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Megan Tucker/PAN-026945/"/>
    </mc:Choice>
  </mc:AlternateContent>
  <xr:revisionPtr revIDLastSave="0" documentId="13_ncr:1_{BECE132D-8C7A-426D-9478-B686D772DCE0}" xr6:coauthVersionLast="47" xr6:coauthVersionMax="47" xr10:uidLastSave="{00000000-0000-0000-0000-000000000000}"/>
  <bookViews>
    <workbookView xWindow="33720" yWindow="-120" windowWidth="29040" windowHeight="15720" tabRatio="870" xr2:uid="{00000000-000D-0000-FFFF-FFFF00000000}"/>
  </bookViews>
  <sheets>
    <sheet name="Newcastle" sheetId="1" r:id="rId1"/>
    <sheet name="Volvac" sheetId="21" r:id="rId2"/>
    <sheet name="First Milk" sheetId="27" r:id="rId3"/>
    <sheet name="Penderyn" sheetId="28" r:id="rId4"/>
    <sheet name="Strata Florida " sheetId="30" r:id="rId5"/>
    <sheet name="Bontgoch " sheetId="26" r:id="rId6"/>
    <sheet name="Talybont" sheetId="29" r:id="rId7"/>
    <sheet name="Llyswen" sheetId="24" r:id="rId8"/>
    <sheet name="Bolton Hill" sheetId="23" r:id="rId9"/>
    <sheet name="Additions" sheetId="20" r:id="rId10"/>
    <sheet name="Ratios" sheetId="19" r:id="rId1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3" l="1"/>
  <c r="L3" i="29"/>
  <c r="L3" i="24"/>
  <c r="L3" i="26"/>
  <c r="L3" i="30"/>
  <c r="L3" i="28"/>
  <c r="L3" i="27"/>
  <c r="L3" i="21"/>
  <c r="L3" i="1"/>
  <c r="N65" i="1" l="1"/>
  <c r="P65" i="1"/>
  <c r="Q65" i="1"/>
  <c r="R65" i="1"/>
  <c r="S65" i="1"/>
  <c r="T65" i="1"/>
  <c r="U65" i="1"/>
  <c r="N65" i="21"/>
  <c r="P65" i="21"/>
  <c r="Q65" i="21"/>
  <c r="R65" i="21"/>
  <c r="S65" i="21"/>
  <c r="T65" i="21"/>
  <c r="U65" i="21"/>
  <c r="N65" i="27"/>
  <c r="P65" i="27"/>
  <c r="Q65" i="27"/>
  <c r="R65" i="27"/>
  <c r="S65" i="27"/>
  <c r="T65" i="27"/>
  <c r="U65" i="27"/>
  <c r="N65" i="28"/>
  <c r="P65" i="28"/>
  <c r="Q65" i="28"/>
  <c r="R65" i="28"/>
  <c r="S65" i="28"/>
  <c r="T65" i="28"/>
  <c r="U65" i="28"/>
  <c r="N65" i="30"/>
  <c r="P65" i="30"/>
  <c r="Q65" i="30"/>
  <c r="R65" i="30"/>
  <c r="S65" i="30"/>
  <c r="T65" i="30"/>
  <c r="U65" i="30"/>
  <c r="N65" i="26"/>
  <c r="P65" i="26"/>
  <c r="Q65" i="26"/>
  <c r="R65" i="26"/>
  <c r="S65" i="26"/>
  <c r="T65" i="26"/>
  <c r="U65" i="26"/>
  <c r="N65" i="24"/>
  <c r="P65" i="24"/>
  <c r="Q65" i="24"/>
  <c r="R65" i="24"/>
  <c r="S65" i="24"/>
  <c r="T65" i="24"/>
  <c r="U65" i="24"/>
  <c r="N65" i="29"/>
  <c r="P65" i="29"/>
  <c r="Q65" i="29"/>
  <c r="R65" i="29"/>
  <c r="S65" i="29"/>
  <c r="T65" i="29"/>
  <c r="U65" i="29"/>
  <c r="N65" i="23"/>
  <c r="P65" i="23"/>
  <c r="Q65" i="23"/>
  <c r="R65" i="23"/>
  <c r="S65" i="23"/>
  <c r="T65" i="23"/>
  <c r="U65" i="23"/>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3" l="1"/>
  <c r="B18" i="19" l="1"/>
  <c r="B19" i="19"/>
  <c r="B20" i="19"/>
  <c r="B21" i="19"/>
  <c r="B22" i="19"/>
  <c r="B23" i="19"/>
  <c r="B24" i="19"/>
  <c r="B25" i="19"/>
  <c r="B26" i="19"/>
  <c r="B17" i="19"/>
  <c r="C16" i="19"/>
  <c r="C15" i="19"/>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V22" i="30" s="1"/>
  <c r="D50" i="30"/>
  <c r="C50" i="30"/>
  <c r="U49" i="30"/>
  <c r="T49" i="30"/>
  <c r="S49" i="30"/>
  <c r="R49" i="30"/>
  <c r="Q49" i="30"/>
  <c r="P49" i="30"/>
  <c r="O49" i="30"/>
  <c r="N49" i="30"/>
  <c r="M49" i="30"/>
  <c r="L49" i="30"/>
  <c r="K49" i="30"/>
  <c r="J49" i="30"/>
  <c r="I49" i="30"/>
  <c r="H49" i="30"/>
  <c r="G49" i="30"/>
  <c r="F49" i="30"/>
  <c r="E49" i="30"/>
  <c r="U22" i="30" s="1"/>
  <c r="D49" i="30"/>
  <c r="U18" i="30" s="1"/>
  <c r="C49" i="30"/>
  <c r="U48" i="30"/>
  <c r="T48" i="30"/>
  <c r="S48" i="30"/>
  <c r="R48" i="30"/>
  <c r="Q48" i="30"/>
  <c r="P48" i="30"/>
  <c r="O48" i="30"/>
  <c r="N48" i="30"/>
  <c r="M48" i="30"/>
  <c r="L48" i="30"/>
  <c r="K48" i="30"/>
  <c r="J48" i="30"/>
  <c r="I48" i="30"/>
  <c r="H48" i="30"/>
  <c r="G48" i="30"/>
  <c r="F48" i="30"/>
  <c r="E48" i="30"/>
  <c r="T22" i="30" s="1"/>
  <c r="D48" i="30"/>
  <c r="T18" i="30" s="1"/>
  <c r="C48" i="30"/>
  <c r="U47" i="30"/>
  <c r="T47" i="30"/>
  <c r="S47" i="30"/>
  <c r="R47" i="30"/>
  <c r="Q47" i="30"/>
  <c r="P47" i="30"/>
  <c r="O47" i="30"/>
  <c r="N47" i="30"/>
  <c r="M47" i="30"/>
  <c r="L47" i="30"/>
  <c r="K47" i="30"/>
  <c r="J47" i="30"/>
  <c r="I47" i="30"/>
  <c r="H47" i="30"/>
  <c r="G47" i="30"/>
  <c r="F47" i="30"/>
  <c r="E47" i="30"/>
  <c r="S22" i="30" s="1"/>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Q22" i="30" s="1"/>
  <c r="D45" i="30"/>
  <c r="Q18" i="30" s="1"/>
  <c r="C45" i="30"/>
  <c r="U44" i="30"/>
  <c r="T44" i="30"/>
  <c r="S44" i="30"/>
  <c r="R44" i="30"/>
  <c r="Q44" i="30"/>
  <c r="P44" i="30"/>
  <c r="O44" i="30"/>
  <c r="N44" i="30"/>
  <c r="M44" i="30"/>
  <c r="L44" i="30"/>
  <c r="K44" i="30"/>
  <c r="J44" i="30"/>
  <c r="I44" i="30"/>
  <c r="H44" i="30"/>
  <c r="G44" i="30"/>
  <c r="F44" i="30"/>
  <c r="E44" i="30"/>
  <c r="P22" i="30" s="1"/>
  <c r="D44" i="30"/>
  <c r="P18" i="30" s="1"/>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N22" i="30" s="1"/>
  <c r="D42" i="30"/>
  <c r="N18" i="30" s="1"/>
  <c r="C42" i="30"/>
  <c r="U41" i="30"/>
  <c r="T41" i="30"/>
  <c r="S41" i="30"/>
  <c r="R41" i="30"/>
  <c r="Q41" i="30"/>
  <c r="P41" i="30"/>
  <c r="O41" i="30"/>
  <c r="N41" i="30"/>
  <c r="M41" i="30"/>
  <c r="L41" i="30"/>
  <c r="K41" i="30"/>
  <c r="J41" i="30"/>
  <c r="I41" i="30"/>
  <c r="H41" i="30"/>
  <c r="G41" i="30"/>
  <c r="F41" i="30"/>
  <c r="E41" i="30"/>
  <c r="M22" i="30" s="1"/>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K22" i="30" s="1"/>
  <c r="D39" i="30"/>
  <c r="K18" i="30" s="1"/>
  <c r="C39" i="30"/>
  <c r="U38" i="30"/>
  <c r="T38" i="30"/>
  <c r="S38" i="30"/>
  <c r="R38" i="30"/>
  <c r="Q38" i="30"/>
  <c r="P38" i="30"/>
  <c r="O38" i="30"/>
  <c r="N38" i="30"/>
  <c r="M38" i="30"/>
  <c r="L38" i="30"/>
  <c r="K38" i="30"/>
  <c r="J38" i="30"/>
  <c r="I38" i="30"/>
  <c r="H38" i="30"/>
  <c r="G38" i="30"/>
  <c r="F38" i="30"/>
  <c r="E38" i="30"/>
  <c r="J22" i="30" s="1"/>
  <c r="D38" i="30"/>
  <c r="C38" i="30"/>
  <c r="U37" i="30"/>
  <c r="T37" i="30"/>
  <c r="S37" i="30"/>
  <c r="R37" i="30"/>
  <c r="Q37" i="30"/>
  <c r="P37" i="30"/>
  <c r="O37" i="30"/>
  <c r="N37" i="30"/>
  <c r="M37" i="30"/>
  <c r="L37" i="30"/>
  <c r="K37" i="30"/>
  <c r="J37" i="30"/>
  <c r="I37" i="30"/>
  <c r="H37" i="30"/>
  <c r="G37" i="30"/>
  <c r="F37" i="30"/>
  <c r="E37" i="30"/>
  <c r="I22" i="30" s="1"/>
  <c r="D37" i="30"/>
  <c r="I18" i="30" s="1"/>
  <c r="C37" i="30"/>
  <c r="U36" i="30"/>
  <c r="T36" i="30"/>
  <c r="S36" i="30"/>
  <c r="R36" i="30"/>
  <c r="Q36" i="30"/>
  <c r="P36" i="30"/>
  <c r="O36" i="30"/>
  <c r="N36" i="30"/>
  <c r="M36" i="30"/>
  <c r="L36" i="30"/>
  <c r="K36" i="30"/>
  <c r="J36" i="30"/>
  <c r="I36" i="30"/>
  <c r="H36" i="30"/>
  <c r="G36" i="30"/>
  <c r="F36" i="30"/>
  <c r="E36" i="30"/>
  <c r="H22" i="30" s="1"/>
  <c r="D36" i="30"/>
  <c r="H18" i="30" s="1"/>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F18" i="30" s="1"/>
  <c r="C34" i="30"/>
  <c r="U33" i="30"/>
  <c r="T33" i="30"/>
  <c r="S33" i="30"/>
  <c r="R33" i="30"/>
  <c r="Q33" i="30"/>
  <c r="P33" i="30"/>
  <c r="O33" i="30"/>
  <c r="N33" i="30"/>
  <c r="M33" i="30"/>
  <c r="L33" i="30"/>
  <c r="K33" i="30"/>
  <c r="J33" i="30"/>
  <c r="I33" i="30"/>
  <c r="H33" i="30"/>
  <c r="G33" i="30"/>
  <c r="F33" i="30"/>
  <c r="E33" i="30"/>
  <c r="E22" i="30" s="1"/>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V20" i="30"/>
  <c r="U20" i="30"/>
  <c r="T20" i="30"/>
  <c r="S20" i="30"/>
  <c r="R20" i="30"/>
  <c r="Q20" i="30"/>
  <c r="P20" i="30"/>
  <c r="O20" i="30"/>
  <c r="N20" i="30"/>
  <c r="V18" i="30"/>
  <c r="J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C50" i="29"/>
  <c r="U49" i="29"/>
  <c r="T49" i="29"/>
  <c r="S49" i="29"/>
  <c r="R49" i="29"/>
  <c r="Q49" i="29"/>
  <c r="P49" i="29"/>
  <c r="O49" i="29"/>
  <c r="N49" i="29"/>
  <c r="M49" i="29"/>
  <c r="L49" i="29"/>
  <c r="K49" i="29"/>
  <c r="J49" i="29"/>
  <c r="I49" i="29"/>
  <c r="H49" i="29"/>
  <c r="G49" i="29"/>
  <c r="F49" i="29"/>
  <c r="E49" i="29"/>
  <c r="U22" i="29" s="1"/>
  <c r="D49" i="29"/>
  <c r="U18" i="29" s="1"/>
  <c r="C49" i="29"/>
  <c r="U48" i="29"/>
  <c r="T48" i="29"/>
  <c r="S48" i="29"/>
  <c r="R48" i="29"/>
  <c r="Q48" i="29"/>
  <c r="P48" i="29"/>
  <c r="O48" i="29"/>
  <c r="N48" i="29"/>
  <c r="M48" i="29"/>
  <c r="L48" i="29"/>
  <c r="K48" i="29"/>
  <c r="J48" i="29"/>
  <c r="I48" i="29"/>
  <c r="H48" i="29"/>
  <c r="G48" i="29"/>
  <c r="F48" i="29"/>
  <c r="E48" i="29"/>
  <c r="T22" i="29" s="1"/>
  <c r="D48" i="29"/>
  <c r="C48" i="29"/>
  <c r="U47" i="29"/>
  <c r="T47" i="29"/>
  <c r="S47" i="29"/>
  <c r="R47" i="29"/>
  <c r="Q47" i="29"/>
  <c r="P47" i="29"/>
  <c r="O47" i="29"/>
  <c r="N47" i="29"/>
  <c r="M47" i="29"/>
  <c r="L47" i="29"/>
  <c r="K47" i="29"/>
  <c r="J47" i="29"/>
  <c r="I47" i="29"/>
  <c r="H47" i="29"/>
  <c r="G47" i="29"/>
  <c r="F47" i="29"/>
  <c r="E47" i="29"/>
  <c r="S22" i="29" s="1"/>
  <c r="D47" i="29"/>
  <c r="S18" i="29" s="1"/>
  <c r="C47" i="29"/>
  <c r="U46" i="29"/>
  <c r="T46" i="29"/>
  <c r="S46" i="29"/>
  <c r="R46" i="29"/>
  <c r="Q46" i="29"/>
  <c r="P46" i="29"/>
  <c r="O46" i="29"/>
  <c r="N46" i="29"/>
  <c r="M46" i="29"/>
  <c r="L46" i="29"/>
  <c r="K46" i="29"/>
  <c r="J46" i="29"/>
  <c r="I46" i="29"/>
  <c r="H46" i="29"/>
  <c r="G46" i="29"/>
  <c r="F46" i="29"/>
  <c r="E46" i="29"/>
  <c r="R22" i="29" s="1"/>
  <c r="D46" i="29"/>
  <c r="R18" i="29" s="1"/>
  <c r="C46" i="29"/>
  <c r="U45" i="29"/>
  <c r="T45" i="29"/>
  <c r="S45" i="29"/>
  <c r="R45" i="29"/>
  <c r="Q45" i="29"/>
  <c r="P45" i="29"/>
  <c r="O45" i="29"/>
  <c r="N45" i="29"/>
  <c r="M45" i="29"/>
  <c r="L45" i="29"/>
  <c r="K45" i="29"/>
  <c r="J45" i="29"/>
  <c r="I45" i="29"/>
  <c r="H45" i="29"/>
  <c r="G45" i="29"/>
  <c r="F45" i="29"/>
  <c r="E45" i="29"/>
  <c r="Q22" i="29" s="1"/>
  <c r="D45" i="29"/>
  <c r="Q18" i="29" s="1"/>
  <c r="C45" i="29"/>
  <c r="U44" i="29"/>
  <c r="T44" i="29"/>
  <c r="S44" i="29"/>
  <c r="R44" i="29"/>
  <c r="Q44" i="29"/>
  <c r="P44" i="29"/>
  <c r="O44" i="29"/>
  <c r="N44" i="29"/>
  <c r="M44" i="29"/>
  <c r="L44" i="29"/>
  <c r="K44" i="29"/>
  <c r="J44" i="29"/>
  <c r="I44" i="29"/>
  <c r="H44" i="29"/>
  <c r="G44" i="29"/>
  <c r="F44" i="29"/>
  <c r="E44" i="29"/>
  <c r="P22" i="29" s="1"/>
  <c r="D44" i="29"/>
  <c r="P18" i="29" s="1"/>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N18" i="29" s="1"/>
  <c r="C42" i="29"/>
  <c r="U41" i="29"/>
  <c r="T41" i="29"/>
  <c r="S41" i="29"/>
  <c r="R41" i="29"/>
  <c r="Q41" i="29"/>
  <c r="P41" i="29"/>
  <c r="O41" i="29"/>
  <c r="N41" i="29"/>
  <c r="M41" i="29"/>
  <c r="L41" i="29"/>
  <c r="K41" i="29"/>
  <c r="J41" i="29"/>
  <c r="I41" i="29"/>
  <c r="H41" i="29"/>
  <c r="G41" i="29"/>
  <c r="F41" i="29"/>
  <c r="E41" i="29"/>
  <c r="M22" i="29" s="1"/>
  <c r="D41" i="29"/>
  <c r="M18" i="29" s="1"/>
  <c r="C41" i="29"/>
  <c r="U40" i="29"/>
  <c r="T40" i="29"/>
  <c r="S40" i="29"/>
  <c r="R40" i="29"/>
  <c r="Q40" i="29"/>
  <c r="P40" i="29"/>
  <c r="O40" i="29"/>
  <c r="N40" i="29"/>
  <c r="M40" i="29"/>
  <c r="L40" i="29"/>
  <c r="K40" i="29"/>
  <c r="J40" i="29"/>
  <c r="I40" i="29"/>
  <c r="H40" i="29"/>
  <c r="G40" i="29"/>
  <c r="F40" i="29"/>
  <c r="E40" i="29"/>
  <c r="L22" i="29" s="1"/>
  <c r="D40" i="29"/>
  <c r="L18" i="29" s="1"/>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J22" i="29" s="1"/>
  <c r="D38" i="29"/>
  <c r="J18" i="29" s="1"/>
  <c r="C38" i="29"/>
  <c r="U37" i="29"/>
  <c r="T37" i="29"/>
  <c r="S37" i="29"/>
  <c r="R37" i="29"/>
  <c r="Q37" i="29"/>
  <c r="P37" i="29"/>
  <c r="O37" i="29"/>
  <c r="N37" i="29"/>
  <c r="M37" i="29"/>
  <c r="L37" i="29"/>
  <c r="K37" i="29"/>
  <c r="J37" i="29"/>
  <c r="I37" i="29"/>
  <c r="H37" i="29"/>
  <c r="G37" i="29"/>
  <c r="F37" i="29"/>
  <c r="E37" i="29"/>
  <c r="I22" i="29" s="1"/>
  <c r="D37" i="29"/>
  <c r="I18" i="29" s="1"/>
  <c r="C37" i="29"/>
  <c r="U36" i="29"/>
  <c r="T36" i="29"/>
  <c r="S36" i="29"/>
  <c r="R36" i="29"/>
  <c r="Q36" i="29"/>
  <c r="P36" i="29"/>
  <c r="O36" i="29"/>
  <c r="N36" i="29"/>
  <c r="M36" i="29"/>
  <c r="L36" i="29"/>
  <c r="K36" i="29"/>
  <c r="J36" i="29"/>
  <c r="I36" i="29"/>
  <c r="H36" i="29"/>
  <c r="G36" i="29"/>
  <c r="F36" i="29"/>
  <c r="E36" i="29"/>
  <c r="H22" i="29" s="1"/>
  <c r="D36" i="29"/>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E18" i="29" s="1"/>
  <c r="C33" i="29"/>
  <c r="U32" i="29"/>
  <c r="T32" i="29"/>
  <c r="S32" i="29"/>
  <c r="R32" i="29"/>
  <c r="Q32" i="29"/>
  <c r="P32" i="29"/>
  <c r="O32" i="29"/>
  <c r="N32" i="29"/>
  <c r="M32" i="29"/>
  <c r="L32" i="29"/>
  <c r="K32" i="29"/>
  <c r="J32" i="29"/>
  <c r="I32" i="29"/>
  <c r="H32" i="29"/>
  <c r="G32" i="29"/>
  <c r="F32" i="29"/>
  <c r="E32" i="29"/>
  <c r="D22" i="29" s="1"/>
  <c r="D32" i="29"/>
  <c r="D18" i="29" s="1"/>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V20" i="29"/>
  <c r="U20" i="29"/>
  <c r="T20" i="29"/>
  <c r="S20" i="29"/>
  <c r="R20" i="29"/>
  <c r="Q20" i="29"/>
  <c r="P20" i="29"/>
  <c r="O20" i="29"/>
  <c r="N20" i="29"/>
  <c r="V18" i="29"/>
  <c r="T18" i="29"/>
  <c r="H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N63" i="28"/>
  <c r="U62" i="28"/>
  <c r="T62" i="28"/>
  <c r="S62" i="28"/>
  <c r="R62" i="28"/>
  <c r="Q62" i="28"/>
  <c r="P62" i="28"/>
  <c r="O62" i="28"/>
  <c r="N62" i="28"/>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V18" i="28" s="1"/>
  <c r="C50" i="28"/>
  <c r="U49" i="28"/>
  <c r="T49" i="28"/>
  <c r="S49" i="28"/>
  <c r="R49" i="28"/>
  <c r="Q49" i="28"/>
  <c r="P49" i="28"/>
  <c r="O49" i="28"/>
  <c r="N49" i="28"/>
  <c r="M49" i="28"/>
  <c r="L49" i="28"/>
  <c r="K49" i="28"/>
  <c r="J49" i="28"/>
  <c r="I49" i="28"/>
  <c r="H49" i="28"/>
  <c r="G49" i="28"/>
  <c r="F49" i="28"/>
  <c r="E49" i="28"/>
  <c r="D49" i="28"/>
  <c r="U18" i="28" s="1"/>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R18" i="28" s="1"/>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P18" i="28" s="1"/>
  <c r="C44" i="28"/>
  <c r="U43" i="28"/>
  <c r="T43" i="28"/>
  <c r="S43" i="28"/>
  <c r="R43" i="28"/>
  <c r="Q43" i="28"/>
  <c r="P43" i="28"/>
  <c r="O43" i="28"/>
  <c r="N43" i="28"/>
  <c r="M43" i="28"/>
  <c r="L43" i="28"/>
  <c r="K43" i="28"/>
  <c r="J43" i="28"/>
  <c r="I43" i="28"/>
  <c r="H43" i="28"/>
  <c r="G43" i="28"/>
  <c r="F43" i="28"/>
  <c r="E43" i="28"/>
  <c r="O22" i="28" s="1"/>
  <c r="D43" i="28"/>
  <c r="O18" i="28" s="1"/>
  <c r="C43" i="28"/>
  <c r="U42" i="28"/>
  <c r="T42" i="28"/>
  <c r="S42" i="28"/>
  <c r="R42" i="28"/>
  <c r="Q42" i="28"/>
  <c r="P42" i="28"/>
  <c r="O42" i="28"/>
  <c r="N42" i="28"/>
  <c r="M42" i="28"/>
  <c r="L42" i="28"/>
  <c r="K42" i="28"/>
  <c r="J42" i="28"/>
  <c r="I42" i="28"/>
  <c r="H42" i="28"/>
  <c r="G42" i="28"/>
  <c r="F42" i="28"/>
  <c r="E42" i="28"/>
  <c r="N22" i="28" s="1"/>
  <c r="D42" i="28"/>
  <c r="N18" i="28" s="1"/>
  <c r="C42" i="28"/>
  <c r="U41" i="28"/>
  <c r="T41" i="28"/>
  <c r="S41" i="28"/>
  <c r="R41" i="28"/>
  <c r="Q41" i="28"/>
  <c r="P41" i="28"/>
  <c r="O41" i="28"/>
  <c r="N41" i="28"/>
  <c r="M41" i="28"/>
  <c r="L41" i="28"/>
  <c r="K41" i="28"/>
  <c r="J41" i="28"/>
  <c r="I41" i="28"/>
  <c r="H41" i="28"/>
  <c r="G41" i="28"/>
  <c r="F41" i="28"/>
  <c r="E41" i="28"/>
  <c r="M22" i="28" s="1"/>
  <c r="D41" i="28"/>
  <c r="M18" i="28" s="1"/>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I18" i="28" s="1"/>
  <c r="C37" i="28"/>
  <c r="U36" i="28"/>
  <c r="T36" i="28"/>
  <c r="S36" i="28"/>
  <c r="R36" i="28"/>
  <c r="Q36" i="28"/>
  <c r="P36" i="28"/>
  <c r="O36" i="28"/>
  <c r="N36" i="28"/>
  <c r="M36" i="28"/>
  <c r="L36" i="28"/>
  <c r="K36" i="28"/>
  <c r="J36" i="28"/>
  <c r="I36" i="28"/>
  <c r="H36" i="28"/>
  <c r="G36" i="28"/>
  <c r="F36" i="28"/>
  <c r="E36" i="28"/>
  <c r="H22" i="28" s="1"/>
  <c r="D36" i="28"/>
  <c r="H18" i="28" s="1"/>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E18" i="28" s="1"/>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U22" i="28"/>
  <c r="V20" i="28"/>
  <c r="U20" i="28"/>
  <c r="T20" i="28"/>
  <c r="S20" i="28"/>
  <c r="R20" i="28"/>
  <c r="Q20" i="28"/>
  <c r="P20" i="28"/>
  <c r="O20" i="28"/>
  <c r="N20"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T18" i="27" s="1"/>
  <c r="C48" i="27"/>
  <c r="U47" i="27"/>
  <c r="T47" i="27"/>
  <c r="S47" i="27"/>
  <c r="R47" i="27"/>
  <c r="Q47" i="27"/>
  <c r="P47" i="27"/>
  <c r="O47" i="27"/>
  <c r="N47" i="27"/>
  <c r="M47" i="27"/>
  <c r="L47" i="27"/>
  <c r="K47" i="27"/>
  <c r="J47" i="27"/>
  <c r="I47" i="27"/>
  <c r="H47" i="27"/>
  <c r="G47" i="27"/>
  <c r="F47" i="27"/>
  <c r="E47" i="27"/>
  <c r="S22" i="27" s="1"/>
  <c r="D47" i="27"/>
  <c r="S18" i="27" s="1"/>
  <c r="C47" i="27"/>
  <c r="U46" i="27"/>
  <c r="T46" i="27"/>
  <c r="S46" i="27"/>
  <c r="R46" i="27"/>
  <c r="Q46" i="27"/>
  <c r="P46" i="27"/>
  <c r="O46" i="27"/>
  <c r="N46" i="27"/>
  <c r="M46" i="27"/>
  <c r="L46" i="27"/>
  <c r="K46" i="27"/>
  <c r="J46" i="27"/>
  <c r="I46" i="27"/>
  <c r="H46" i="27"/>
  <c r="G46" i="27"/>
  <c r="F46" i="27"/>
  <c r="E46" i="27"/>
  <c r="R22" i="27" s="1"/>
  <c r="D46" i="27"/>
  <c r="R18" i="27" s="1"/>
  <c r="C46" i="27"/>
  <c r="U45" i="27"/>
  <c r="T45" i="27"/>
  <c r="S45" i="27"/>
  <c r="R45" i="27"/>
  <c r="Q45" i="27"/>
  <c r="P45" i="27"/>
  <c r="O45" i="27"/>
  <c r="N45" i="27"/>
  <c r="M45" i="27"/>
  <c r="L45" i="27"/>
  <c r="K45" i="27"/>
  <c r="J45" i="27"/>
  <c r="I45" i="27"/>
  <c r="H45" i="27"/>
  <c r="G45" i="27"/>
  <c r="F45" i="27"/>
  <c r="E45" i="27"/>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O22" i="27" s="1"/>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L18" i="27" s="1"/>
  <c r="C40" i="27"/>
  <c r="U39" i="27"/>
  <c r="T39" i="27"/>
  <c r="S39" i="27"/>
  <c r="R39" i="27"/>
  <c r="Q39" i="27"/>
  <c r="P39" i="27"/>
  <c r="O39" i="27"/>
  <c r="N39" i="27"/>
  <c r="M39" i="27"/>
  <c r="L39" i="27"/>
  <c r="K39" i="27"/>
  <c r="J39" i="27"/>
  <c r="I39" i="27"/>
  <c r="H39" i="27"/>
  <c r="G39" i="27"/>
  <c r="F39" i="27"/>
  <c r="E39" i="27"/>
  <c r="K22" i="27" s="1"/>
  <c r="D39" i="27"/>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E18" i="27" s="1"/>
  <c r="C33" i="27"/>
  <c r="U32" i="27"/>
  <c r="T32" i="27"/>
  <c r="S32" i="27"/>
  <c r="R32" i="27"/>
  <c r="Q32" i="27"/>
  <c r="P32" i="27"/>
  <c r="O32" i="27"/>
  <c r="N32" i="27"/>
  <c r="M32" i="27"/>
  <c r="L32" i="27"/>
  <c r="K32" i="27"/>
  <c r="J32" i="27"/>
  <c r="I32" i="27"/>
  <c r="H32" i="27"/>
  <c r="G32" i="27"/>
  <c r="F32" i="27"/>
  <c r="E32" i="27"/>
  <c r="D22" i="27" s="1"/>
  <c r="D32" i="27"/>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Q22" i="27"/>
  <c r="G22" i="27"/>
  <c r="V20" i="27"/>
  <c r="U20" i="27"/>
  <c r="T20" i="27"/>
  <c r="S20" i="27"/>
  <c r="R20" i="27"/>
  <c r="Q20" i="27"/>
  <c r="P20" i="27"/>
  <c r="O20" i="27"/>
  <c r="N20" i="27"/>
  <c r="U18" i="27"/>
  <c r="K18" i="27"/>
  <c r="D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T18" i="26" s="1"/>
  <c r="C48" i="26"/>
  <c r="U47" i="26"/>
  <c r="T47" i="26"/>
  <c r="S47" i="26"/>
  <c r="R47" i="26"/>
  <c r="Q47" i="26"/>
  <c r="P47" i="26"/>
  <c r="O47" i="26"/>
  <c r="N47" i="26"/>
  <c r="M47" i="26"/>
  <c r="L47" i="26"/>
  <c r="K47" i="26"/>
  <c r="J47" i="26"/>
  <c r="I47" i="26"/>
  <c r="H47" i="26"/>
  <c r="G47" i="26"/>
  <c r="F47" i="26"/>
  <c r="E47" i="26"/>
  <c r="S22" i="26" s="1"/>
  <c r="D47" i="26"/>
  <c r="S18" i="26" s="1"/>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Q22" i="26" s="1"/>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O22" i="26" s="1"/>
  <c r="D43" i="26"/>
  <c r="O18" i="26" s="1"/>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L18" i="26" s="1"/>
  <c r="C40" i="26"/>
  <c r="U39" i="26"/>
  <c r="T39" i="26"/>
  <c r="S39" i="26"/>
  <c r="R39" i="26"/>
  <c r="Q39" i="26"/>
  <c r="P39" i="26"/>
  <c r="O39" i="26"/>
  <c r="N39" i="26"/>
  <c r="M39" i="26"/>
  <c r="L39" i="26"/>
  <c r="K39" i="26"/>
  <c r="J39" i="26"/>
  <c r="I39" i="26"/>
  <c r="H39" i="26"/>
  <c r="G39" i="26"/>
  <c r="F39" i="26"/>
  <c r="E39" i="26"/>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I22" i="26" s="1"/>
  <c r="D37" i="26"/>
  <c r="I18" i="26" s="1"/>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G22" i="26" s="1"/>
  <c r="D35" i="26"/>
  <c r="G18" i="26" s="1"/>
  <c r="C35" i="26"/>
  <c r="U34" i="26"/>
  <c r="T34" i="26"/>
  <c r="S34" i="26"/>
  <c r="R34" i="26"/>
  <c r="Q34" i="26"/>
  <c r="P34" i="26"/>
  <c r="O34" i="26"/>
  <c r="N34" i="26"/>
  <c r="M34" i="26"/>
  <c r="L34" i="26"/>
  <c r="K34" i="26"/>
  <c r="J34" i="26"/>
  <c r="I34" i="26"/>
  <c r="H34" i="26"/>
  <c r="G34" i="26"/>
  <c r="F34" i="26"/>
  <c r="E34" i="26"/>
  <c r="F22" i="26" s="1"/>
  <c r="D34" i="26"/>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K22" i="26"/>
  <c r="V20" i="26"/>
  <c r="U20" i="26"/>
  <c r="T20" i="26"/>
  <c r="S20" i="26"/>
  <c r="R20" i="26"/>
  <c r="Q20" i="26"/>
  <c r="P20" i="26"/>
  <c r="O20" i="26"/>
  <c r="N20" i="26"/>
  <c r="V18" i="26"/>
  <c r="F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V18" i="24" s="1"/>
  <c r="C50" i="24"/>
  <c r="U49" i="24"/>
  <c r="T49" i="24"/>
  <c r="S49" i="24"/>
  <c r="R49" i="24"/>
  <c r="Q49" i="24"/>
  <c r="P49" i="24"/>
  <c r="O49" i="24"/>
  <c r="N49" i="24"/>
  <c r="M49" i="24"/>
  <c r="L49" i="24"/>
  <c r="K49" i="24"/>
  <c r="J49" i="24"/>
  <c r="I49" i="24"/>
  <c r="H49" i="24"/>
  <c r="G49" i="24"/>
  <c r="F49" i="24"/>
  <c r="E49" i="24"/>
  <c r="U22" i="24" s="1"/>
  <c r="D49" i="24"/>
  <c r="U18" i="24" s="1"/>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Q22" i="24" s="1"/>
  <c r="D45" i="24"/>
  <c r="Q18" i="24" s="1"/>
  <c r="C45" i="24"/>
  <c r="U44" i="24"/>
  <c r="T44" i="24"/>
  <c r="S44" i="24"/>
  <c r="R44" i="24"/>
  <c r="Q44" i="24"/>
  <c r="P44" i="24"/>
  <c r="O44" i="24"/>
  <c r="N44" i="24"/>
  <c r="M44" i="24"/>
  <c r="L44" i="24"/>
  <c r="K44" i="24"/>
  <c r="J44" i="24"/>
  <c r="I44" i="24"/>
  <c r="H44" i="24"/>
  <c r="G44" i="24"/>
  <c r="F44" i="24"/>
  <c r="E44" i="24"/>
  <c r="P22" i="24" s="1"/>
  <c r="D44" i="24"/>
  <c r="P18" i="24" s="1"/>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M22" i="24" s="1"/>
  <c r="D41" i="24"/>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H18" i="24" s="1"/>
  <c r="C36" i="24"/>
  <c r="U35" i="24"/>
  <c r="T35" i="24"/>
  <c r="S35" i="24"/>
  <c r="R35" i="24"/>
  <c r="Q35" i="24"/>
  <c r="P35" i="24"/>
  <c r="O35" i="24"/>
  <c r="N35" i="24"/>
  <c r="M35" i="24"/>
  <c r="L35" i="24"/>
  <c r="K35" i="24"/>
  <c r="J35" i="24"/>
  <c r="I35" i="24"/>
  <c r="H35" i="24"/>
  <c r="G35" i="24"/>
  <c r="F35" i="24"/>
  <c r="E35" i="24"/>
  <c r="G22" i="24" s="1"/>
  <c r="D35" i="24"/>
  <c r="G18" i="24" s="1"/>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E22" i="24" s="1"/>
  <c r="D33" i="24"/>
  <c r="E18" i="24" s="1"/>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V20" i="24"/>
  <c r="U20" i="24"/>
  <c r="T20" i="24"/>
  <c r="S20" i="24"/>
  <c r="R20" i="24"/>
  <c r="Q20" i="24"/>
  <c r="P20" i="24"/>
  <c r="O20" i="24"/>
  <c r="N20" i="24"/>
  <c r="M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S22" i="23" s="1"/>
  <c r="D47" i="23"/>
  <c r="S18" i="23" s="1"/>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Q18" i="23" s="1"/>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O18" i="23" s="1"/>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M22" i="23" s="1"/>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K18" i="23" s="1"/>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I22" i="23" s="1"/>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V20" i="23"/>
  <c r="U20" i="23"/>
  <c r="T20" i="23"/>
  <c r="S20" i="23"/>
  <c r="R20" i="23"/>
  <c r="Q20" i="23"/>
  <c r="P20" i="23"/>
  <c r="O20" i="23"/>
  <c r="N20"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12" i="20"/>
  <c r="T12" i="20"/>
  <c r="S12" i="20"/>
  <c r="R12" i="20"/>
  <c r="Q12" i="20"/>
  <c r="P12" i="20"/>
  <c r="M12" i="20"/>
  <c r="L12" i="20"/>
  <c r="K12" i="20"/>
  <c r="J12" i="20"/>
  <c r="I12" i="20"/>
  <c r="H12" i="20"/>
  <c r="E12" i="20"/>
  <c r="D12" i="20"/>
  <c r="C12" i="20"/>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O20" i="21"/>
  <c r="N20" i="21"/>
  <c r="V18" i="21"/>
  <c r="H10" i="19" l="1"/>
  <c r="H24" i="19" s="1"/>
  <c r="T6" i="19"/>
  <c r="T20" i="19" s="1"/>
  <c r="F58" i="21"/>
  <c r="F61" i="21" s="1"/>
  <c r="U57" i="21"/>
  <c r="T63" i="26"/>
  <c r="U63" i="26"/>
  <c r="F57" i="21"/>
  <c r="S9" i="19"/>
  <c r="S23" i="19" s="1"/>
  <c r="L6" i="19"/>
  <c r="L20" i="19" s="1"/>
  <c r="R12" i="19"/>
  <c r="R26" i="19" s="1"/>
  <c r="K9" i="19"/>
  <c r="K23" i="19" s="1"/>
  <c r="D6" i="19"/>
  <c r="D20" i="19" s="1"/>
  <c r="O58" i="21"/>
  <c r="O61" i="21" s="1"/>
  <c r="J12" i="19"/>
  <c r="J26" i="19" s="1"/>
  <c r="V8" i="19"/>
  <c r="V22" i="19" s="1"/>
  <c r="U11" i="19"/>
  <c r="U25" i="19" s="1"/>
  <c r="N8" i="19"/>
  <c r="N22" i="19" s="1"/>
  <c r="G58" i="21"/>
  <c r="G61" i="21" s="1"/>
  <c r="T58" i="21"/>
  <c r="T61" i="21" s="1"/>
  <c r="L58" i="21"/>
  <c r="L61" i="21" s="1"/>
  <c r="L64" i="21" s="1"/>
  <c r="L65" i="21" s="1"/>
  <c r="D58" i="21"/>
  <c r="D61" i="21" s="1"/>
  <c r="M11" i="19"/>
  <c r="M25" i="19" s="1"/>
  <c r="F8" i="19"/>
  <c r="F22" i="19" s="1"/>
  <c r="G17" i="27"/>
  <c r="O17" i="27"/>
  <c r="O19" i="27" s="1"/>
  <c r="E11" i="19"/>
  <c r="E25" i="19" s="1"/>
  <c r="Q7" i="19"/>
  <c r="Q21" i="19" s="1"/>
  <c r="I7" i="20"/>
  <c r="P10" i="19"/>
  <c r="P24" i="19" s="1"/>
  <c r="I7" i="19"/>
  <c r="I21" i="19" s="1"/>
  <c r="E59" i="26"/>
  <c r="F17" i="26"/>
  <c r="F19" i="26" s="1"/>
  <c r="F20" i="26" s="1"/>
  <c r="F21" i="26"/>
  <c r="F23" i="26" s="1"/>
  <c r="F24" i="26" s="1"/>
  <c r="M59" i="26"/>
  <c r="N17" i="26"/>
  <c r="N19" i="26" s="1"/>
  <c r="N21" i="26"/>
  <c r="N23" i="26" s="1"/>
  <c r="N24" i="26" s="1"/>
  <c r="U59" i="26"/>
  <c r="V21" i="26"/>
  <c r="V17" i="26"/>
  <c r="V19" i="26" s="1"/>
  <c r="C8" i="20"/>
  <c r="D8" i="19"/>
  <c r="D22" i="19" s="1"/>
  <c r="K8" i="20"/>
  <c r="L8" i="19"/>
  <c r="L22" i="19" s="1"/>
  <c r="S8" i="20"/>
  <c r="T8" i="19"/>
  <c r="T22" i="19" s="1"/>
  <c r="C59" i="29"/>
  <c r="D21" i="29"/>
  <c r="D17" i="29"/>
  <c r="D19" i="29" s="1"/>
  <c r="D20" i="29" s="1"/>
  <c r="K59" i="29"/>
  <c r="L21" i="29"/>
  <c r="L17" i="29"/>
  <c r="S59" i="29"/>
  <c r="T21" i="29"/>
  <c r="T17" i="29"/>
  <c r="O4" i="20"/>
  <c r="P4" i="19"/>
  <c r="P18" i="19" s="1"/>
  <c r="G6" i="20"/>
  <c r="H6" i="19"/>
  <c r="H20" i="19" s="1"/>
  <c r="O6" i="20"/>
  <c r="P6" i="19"/>
  <c r="P20" i="19" s="1"/>
  <c r="G4" i="20"/>
  <c r="H4" i="19"/>
  <c r="H18" i="19" s="1"/>
  <c r="F12" i="20"/>
  <c r="G12" i="19"/>
  <c r="G26" i="19" s="1"/>
  <c r="N12" i="20"/>
  <c r="O12" i="19"/>
  <c r="O26" i="19" s="1"/>
  <c r="U63" i="24"/>
  <c r="F63" i="24"/>
  <c r="N63" i="24"/>
  <c r="D59" i="28"/>
  <c r="E17" i="28"/>
  <c r="E19" i="28" s="1"/>
  <c r="E20" i="28" s="1"/>
  <c r="E21" i="28"/>
  <c r="E23" i="28" s="1"/>
  <c r="E24" i="28" s="1"/>
  <c r="L59" i="28"/>
  <c r="L64" i="28" s="1"/>
  <c r="M17" i="28"/>
  <c r="M21" i="28"/>
  <c r="T59" i="28"/>
  <c r="U17" i="28"/>
  <c r="U21" i="28"/>
  <c r="U23" i="28" s="1"/>
  <c r="U24" i="28" s="1"/>
  <c r="I4" i="20"/>
  <c r="J4" i="19"/>
  <c r="J18" i="19" s="1"/>
  <c r="I59" i="21"/>
  <c r="J17" i="21"/>
  <c r="J19" i="21" s="1"/>
  <c r="J20" i="21" s="1"/>
  <c r="J21" i="21"/>
  <c r="O12" i="20"/>
  <c r="P12" i="19"/>
  <c r="P26" i="19" s="1"/>
  <c r="O21" i="23"/>
  <c r="O23" i="23" s="1"/>
  <c r="O24" i="23" s="1"/>
  <c r="O17" i="23"/>
  <c r="Q9" i="20"/>
  <c r="R9" i="19"/>
  <c r="R23" i="19" s="1"/>
  <c r="F5" i="20"/>
  <c r="G5" i="19"/>
  <c r="G19" i="19" s="1"/>
  <c r="N5" i="20"/>
  <c r="O5" i="19"/>
  <c r="O19" i="19" s="1"/>
  <c r="Q4" i="20"/>
  <c r="R4" i="19"/>
  <c r="R18" i="19" s="1"/>
  <c r="Q59" i="21"/>
  <c r="R21" i="21"/>
  <c r="R17" i="21"/>
  <c r="G12" i="20"/>
  <c r="H12" i="19"/>
  <c r="H26" i="19" s="1"/>
  <c r="J4" i="20"/>
  <c r="K4" i="19"/>
  <c r="K18" i="19" s="1"/>
  <c r="U63" i="21"/>
  <c r="N63" i="21"/>
  <c r="F63" i="21"/>
  <c r="P59" i="21"/>
  <c r="Q21" i="21"/>
  <c r="Q23" i="21" s="1"/>
  <c r="Q24" i="21" s="1"/>
  <c r="Q17" i="21"/>
  <c r="I17" i="21"/>
  <c r="I21" i="21"/>
  <c r="I23" i="21" s="1"/>
  <c r="I24" i="21" s="1"/>
  <c r="D59" i="27"/>
  <c r="E17" i="27"/>
  <c r="E19" i="27" s="1"/>
  <c r="E20" i="27" s="1"/>
  <c r="L59" i="27"/>
  <c r="M17" i="27"/>
  <c r="M19" i="27" s="1"/>
  <c r="M20" i="27" s="1"/>
  <c r="T59" i="27"/>
  <c r="U17" i="27"/>
  <c r="G21" i="23"/>
  <c r="G23" i="23" s="1"/>
  <c r="G24" i="23" s="1"/>
  <c r="G17" i="23"/>
  <c r="I9" i="20"/>
  <c r="J9" i="19"/>
  <c r="J23" i="19" s="1"/>
  <c r="R4" i="20"/>
  <c r="S4" i="19"/>
  <c r="S18" i="19" s="1"/>
  <c r="R11" i="20"/>
  <c r="S11" i="19"/>
  <c r="S25" i="19" s="1"/>
  <c r="I59" i="24"/>
  <c r="J21" i="24"/>
  <c r="J23" i="24" s="1"/>
  <c r="J24" i="24" s="1"/>
  <c r="J17" i="24"/>
  <c r="J19" i="24" s="1"/>
  <c r="J20" i="24" s="1"/>
  <c r="Q59" i="24"/>
  <c r="R21" i="24"/>
  <c r="R17" i="24"/>
  <c r="L10" i="20"/>
  <c r="M10" i="19"/>
  <c r="M24" i="19" s="1"/>
  <c r="T10" i="20"/>
  <c r="U10" i="19"/>
  <c r="U24" i="19" s="1"/>
  <c r="J11" i="20"/>
  <c r="K11" i="19"/>
  <c r="K25" i="19" s="1"/>
  <c r="C18" i="29"/>
  <c r="E10" i="19"/>
  <c r="E24" i="19" s="1"/>
  <c r="C22" i="21"/>
  <c r="F4" i="19"/>
  <c r="F18" i="19" s="1"/>
  <c r="M4" i="20"/>
  <c r="N4" i="19"/>
  <c r="N18" i="19" s="1"/>
  <c r="U4" i="20"/>
  <c r="V4" i="19"/>
  <c r="V18" i="19" s="1"/>
  <c r="K59" i="21"/>
  <c r="L17" i="21"/>
  <c r="L21" i="21"/>
  <c r="K59" i="23"/>
  <c r="L17" i="23"/>
  <c r="L21" i="23"/>
  <c r="M57" i="21"/>
  <c r="R59" i="21"/>
  <c r="S21" i="21"/>
  <c r="S23" i="21" s="1"/>
  <c r="S24" i="21" s="1"/>
  <c r="S17" i="21"/>
  <c r="J59" i="21"/>
  <c r="K21" i="21"/>
  <c r="K23" i="21" s="1"/>
  <c r="K24" i="21" s="1"/>
  <c r="K17" i="21"/>
  <c r="K19" i="21" s="1"/>
  <c r="K20" i="21" s="1"/>
  <c r="D59" i="23"/>
  <c r="E17" i="23"/>
  <c r="E19" i="23" s="1"/>
  <c r="E20" i="23" s="1"/>
  <c r="E21" i="23"/>
  <c r="E23" i="23" s="1"/>
  <c r="E24" i="23" s="1"/>
  <c r="L59" i="23"/>
  <c r="M17" i="23"/>
  <c r="M19" i="23" s="1"/>
  <c r="M20" i="23" s="1"/>
  <c r="M21" i="23"/>
  <c r="M23" i="23" s="1"/>
  <c r="M24" i="23" s="1"/>
  <c r="T59" i="23"/>
  <c r="U17" i="23"/>
  <c r="U19" i="23" s="1"/>
  <c r="U21" i="23"/>
  <c r="U23" i="23" s="1"/>
  <c r="U24" i="23" s="1"/>
  <c r="H21" i="24"/>
  <c r="H17" i="24"/>
  <c r="H19" i="24" s="1"/>
  <c r="H20" i="24" s="1"/>
  <c r="P17" i="24"/>
  <c r="P21" i="24"/>
  <c r="C59" i="26"/>
  <c r="D21" i="26"/>
  <c r="D23" i="26" s="1"/>
  <c r="D24" i="26" s="1"/>
  <c r="D17" i="26"/>
  <c r="D19" i="26" s="1"/>
  <c r="D20" i="26" s="1"/>
  <c r="K59" i="26"/>
  <c r="L21" i="26"/>
  <c r="L23" i="26" s="1"/>
  <c r="L24" i="26" s="1"/>
  <c r="L17" i="26"/>
  <c r="S59" i="26"/>
  <c r="T21" i="26"/>
  <c r="T17" i="26"/>
  <c r="N63" i="26"/>
  <c r="J59" i="27"/>
  <c r="K17" i="27"/>
  <c r="K19" i="27" s="1"/>
  <c r="K20" i="27" s="1"/>
  <c r="R59" i="27"/>
  <c r="S17" i="27"/>
  <c r="S19" i="27" s="1"/>
  <c r="J59" i="28"/>
  <c r="K17" i="28"/>
  <c r="K19" i="28" s="1"/>
  <c r="K20" i="28" s="1"/>
  <c r="K21" i="28"/>
  <c r="K23" i="28" s="1"/>
  <c r="K24" i="28" s="1"/>
  <c r="R59" i="28"/>
  <c r="S17" i="28"/>
  <c r="S21" i="28"/>
  <c r="S23" i="28" s="1"/>
  <c r="S24" i="28" s="1"/>
  <c r="I59" i="29"/>
  <c r="J17" i="29"/>
  <c r="J19" i="29" s="1"/>
  <c r="J20" i="29" s="1"/>
  <c r="J21" i="29"/>
  <c r="J23" i="29" s="1"/>
  <c r="J24" i="29" s="1"/>
  <c r="Q59" i="29"/>
  <c r="R21" i="29"/>
  <c r="R23" i="29" s="1"/>
  <c r="R24" i="29" s="1"/>
  <c r="R17" i="29"/>
  <c r="H59" i="30"/>
  <c r="H64" i="30" s="1"/>
  <c r="H65" i="30" s="1"/>
  <c r="I17" i="30"/>
  <c r="I19" i="30" s="1"/>
  <c r="I20" i="30" s="1"/>
  <c r="I21" i="30"/>
  <c r="I23" i="30" s="1"/>
  <c r="I24" i="30" s="1"/>
  <c r="Q17" i="30"/>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23" i="23" s="1"/>
  <c r="F24" i="23" s="1"/>
  <c r="F17" i="23"/>
  <c r="F19" i="23" s="1"/>
  <c r="F20" i="23" s="1"/>
  <c r="M59" i="23"/>
  <c r="N21" i="23"/>
  <c r="N23" i="23" s="1"/>
  <c r="N24" i="23" s="1"/>
  <c r="N17" i="23"/>
  <c r="N19" i="23" s="1"/>
  <c r="U59" i="23"/>
  <c r="V21" i="23"/>
  <c r="V23" i="23" s="1"/>
  <c r="V24" i="23" s="1"/>
  <c r="V17" i="23"/>
  <c r="I17" i="24"/>
  <c r="I19" i="24" s="1"/>
  <c r="I20" i="24" s="1"/>
  <c r="I21" i="24"/>
  <c r="I23" i="24" s="1"/>
  <c r="I24" i="24" s="1"/>
  <c r="Q17" i="24"/>
  <c r="Q19" i="24" s="1"/>
  <c r="Q21" i="24"/>
  <c r="Q23" i="24" s="1"/>
  <c r="Q24" i="24" s="1"/>
  <c r="D59" i="26"/>
  <c r="E21" i="26"/>
  <c r="E17" i="26"/>
  <c r="E19" i="26" s="1"/>
  <c r="E20" i="26" s="1"/>
  <c r="L59" i="26"/>
  <c r="M21" i="26"/>
  <c r="M17" i="26"/>
  <c r="M19" i="26" s="1"/>
  <c r="M20" i="26" s="1"/>
  <c r="T59" i="26"/>
  <c r="U21" i="26"/>
  <c r="U23" i="26" s="1"/>
  <c r="U24" i="26" s="1"/>
  <c r="U17" i="26"/>
  <c r="U19" i="26" s="1"/>
  <c r="C59" i="27"/>
  <c r="D17" i="27"/>
  <c r="D19" i="27" s="1"/>
  <c r="D20" i="27" s="1"/>
  <c r="K59" i="27"/>
  <c r="L17" i="27"/>
  <c r="L19" i="27" s="1"/>
  <c r="L20" i="27" s="1"/>
  <c r="S59" i="27"/>
  <c r="T17" i="27"/>
  <c r="T19" i="27" s="1"/>
  <c r="C59" i="28"/>
  <c r="D21" i="28"/>
  <c r="D23" i="28" s="1"/>
  <c r="D24" i="28" s="1"/>
  <c r="D17" i="28"/>
  <c r="D19" i="28" s="1"/>
  <c r="D20" i="28" s="1"/>
  <c r="K59" i="28"/>
  <c r="L21" i="28"/>
  <c r="L23" i="28" s="1"/>
  <c r="L24" i="28" s="1"/>
  <c r="L17" i="28"/>
  <c r="L19" i="28" s="1"/>
  <c r="L20" i="28" s="1"/>
  <c r="S59" i="28"/>
  <c r="T21" i="28"/>
  <c r="T17" i="28"/>
  <c r="T19" i="28" s="1"/>
  <c r="J59" i="29"/>
  <c r="K17" i="29"/>
  <c r="K21" i="29"/>
  <c r="R59" i="29"/>
  <c r="S21" i="29"/>
  <c r="S17" i="29"/>
  <c r="I59" i="30"/>
  <c r="J21" i="30"/>
  <c r="J23" i="30" s="1"/>
  <c r="J24" i="30" s="1"/>
  <c r="J17" i="30"/>
  <c r="J19" i="30" s="1"/>
  <c r="J20" i="30" s="1"/>
  <c r="Q59" i="30"/>
  <c r="R21" i="30"/>
  <c r="R23" i="30" s="1"/>
  <c r="R24"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21" i="30"/>
  <c r="K23" i="30" s="1"/>
  <c r="K24" i="30" s="1"/>
  <c r="O59" i="21"/>
  <c r="O64" i="21" s="1"/>
  <c r="O65" i="21" s="1"/>
  <c r="P21" i="21"/>
  <c r="P23" i="21" s="1"/>
  <c r="P24" i="21" s="1"/>
  <c r="P17" i="21"/>
  <c r="H21" i="21"/>
  <c r="H23" i="21" s="1"/>
  <c r="H24" i="21" s="1"/>
  <c r="H17" i="21"/>
  <c r="H19" i="21" s="1"/>
  <c r="H20" i="21" s="1"/>
  <c r="H21" i="23"/>
  <c r="H23" i="23" s="1"/>
  <c r="H24" i="23" s="1"/>
  <c r="H17" i="23"/>
  <c r="P17" i="23"/>
  <c r="P19" i="23" s="1"/>
  <c r="P21" i="23"/>
  <c r="J59" i="24"/>
  <c r="K21" i="24"/>
  <c r="K23" i="24" s="1"/>
  <c r="K24" i="24" s="1"/>
  <c r="K17" i="24"/>
  <c r="K19" i="24" s="1"/>
  <c r="K20" i="24" s="1"/>
  <c r="R59" i="24"/>
  <c r="S21" i="24"/>
  <c r="S23" i="24" s="1"/>
  <c r="S24" i="24" s="1"/>
  <c r="S17" i="24"/>
  <c r="G21" i="26"/>
  <c r="G23" i="26" s="1"/>
  <c r="G24" i="26" s="1"/>
  <c r="G17" i="26"/>
  <c r="G19" i="26" s="1"/>
  <c r="G20" i="26" s="1"/>
  <c r="O17" i="26"/>
  <c r="O21" i="26"/>
  <c r="E59" i="27"/>
  <c r="F17" i="27"/>
  <c r="F19" i="27" s="1"/>
  <c r="F20" i="27" s="1"/>
  <c r="M59" i="27"/>
  <c r="N17" i="27"/>
  <c r="N19" i="27" s="1"/>
  <c r="U59" i="27"/>
  <c r="V17" i="27"/>
  <c r="E59" i="28"/>
  <c r="F17" i="28"/>
  <c r="F19" i="28" s="1"/>
  <c r="F20" i="28" s="1"/>
  <c r="F21" i="28"/>
  <c r="F23" i="28" s="1"/>
  <c r="F24" i="28" s="1"/>
  <c r="M59" i="28"/>
  <c r="N17" i="28"/>
  <c r="N19" i="28" s="1"/>
  <c r="N21" i="28"/>
  <c r="N23" i="28" s="1"/>
  <c r="N24" i="28" s="1"/>
  <c r="U59" i="28"/>
  <c r="V17" i="28"/>
  <c r="V21" i="28"/>
  <c r="D59" i="29"/>
  <c r="E17" i="29"/>
  <c r="E19" i="29" s="1"/>
  <c r="E20" i="29" s="1"/>
  <c r="E21" i="29"/>
  <c r="L59" i="29"/>
  <c r="M17" i="29"/>
  <c r="M19" i="29" s="1"/>
  <c r="M20" i="29" s="1"/>
  <c r="M21" i="29"/>
  <c r="T59" i="29"/>
  <c r="U17" i="29"/>
  <c r="U21" i="29"/>
  <c r="C59" i="30"/>
  <c r="D17" i="30"/>
  <c r="D19" i="30" s="1"/>
  <c r="D20" i="30" s="1"/>
  <c r="D21" i="30"/>
  <c r="D23" i="30" s="1"/>
  <c r="D24" i="30" s="1"/>
  <c r="K59" i="30"/>
  <c r="L17" i="30"/>
  <c r="L19" i="30" s="1"/>
  <c r="L20" i="30" s="1"/>
  <c r="L21" i="30"/>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N64" i="21" s="1"/>
  <c r="N66" i="21" s="1"/>
  <c r="O21" i="21"/>
  <c r="O23" i="21" s="1"/>
  <c r="O24" i="21" s="1"/>
  <c r="O17" i="21"/>
  <c r="O19" i="21" s="1"/>
  <c r="F59" i="21"/>
  <c r="G21" i="21"/>
  <c r="G17" i="21"/>
  <c r="G19" i="21" s="1"/>
  <c r="G20" i="21" s="1"/>
  <c r="H59" i="23"/>
  <c r="I21" i="23"/>
  <c r="I23" i="23" s="1"/>
  <c r="I24" i="23" s="1"/>
  <c r="I17" i="23"/>
  <c r="I19" i="23" s="1"/>
  <c r="I20" i="23" s="1"/>
  <c r="P59" i="23"/>
  <c r="Q17" i="23"/>
  <c r="Q21" i="23"/>
  <c r="Q23" i="23" s="1"/>
  <c r="Q24" i="23" s="1"/>
  <c r="C59" i="24"/>
  <c r="D17" i="24"/>
  <c r="D19" i="24" s="1"/>
  <c r="D20" i="24" s="1"/>
  <c r="D21" i="24"/>
  <c r="D23" i="24" s="1"/>
  <c r="D24" i="24" s="1"/>
  <c r="K59" i="24"/>
  <c r="L21" i="24"/>
  <c r="L23" i="24" s="1"/>
  <c r="L24" i="24" s="1"/>
  <c r="L17" i="24"/>
  <c r="L19" i="24" s="1"/>
  <c r="L20" i="24" s="1"/>
  <c r="S59" i="24"/>
  <c r="T21" i="24"/>
  <c r="T17" i="24"/>
  <c r="T19" i="24" s="1"/>
  <c r="H21" i="26"/>
  <c r="H23" i="26" s="1"/>
  <c r="H24" i="26" s="1"/>
  <c r="H17" i="26"/>
  <c r="P21" i="26"/>
  <c r="P17" i="26"/>
  <c r="F59" i="28"/>
  <c r="G17" i="28"/>
  <c r="G19" i="28" s="1"/>
  <c r="G20" i="28" s="1"/>
  <c r="G21" i="28"/>
  <c r="G23" i="28" s="1"/>
  <c r="G24" i="28" s="1"/>
  <c r="N59" i="28"/>
  <c r="O17" i="28"/>
  <c r="O19" i="28" s="1"/>
  <c r="O21" i="28"/>
  <c r="E59" i="29"/>
  <c r="F17" i="29"/>
  <c r="F19" i="29" s="1"/>
  <c r="F20" i="29" s="1"/>
  <c r="F21" i="29"/>
  <c r="F23" i="29" s="1"/>
  <c r="F24" i="29" s="1"/>
  <c r="M59" i="29"/>
  <c r="N17" i="29"/>
  <c r="N19" i="29" s="1"/>
  <c r="N21" i="29"/>
  <c r="U59" i="29"/>
  <c r="V17" i="29"/>
  <c r="V21" i="29"/>
  <c r="V23" i="29" s="1"/>
  <c r="V24" i="29" s="1"/>
  <c r="D59" i="30"/>
  <c r="E17" i="30"/>
  <c r="E19" i="30" s="1"/>
  <c r="E20" i="30" s="1"/>
  <c r="E21" i="30"/>
  <c r="L59" i="30"/>
  <c r="M17" i="30"/>
  <c r="M19" i="30" s="1"/>
  <c r="M20" i="30" s="1"/>
  <c r="M21" i="30"/>
  <c r="M23" i="30" s="1"/>
  <c r="M24"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1" i="21"/>
  <c r="N23" i="21" s="1"/>
  <c r="N24" i="21" s="1"/>
  <c r="I59" i="23"/>
  <c r="J21" i="23"/>
  <c r="J23" i="23" s="1"/>
  <c r="J24" i="23" s="1"/>
  <c r="J17" i="23"/>
  <c r="J19" i="23" s="1"/>
  <c r="J20" i="23" s="1"/>
  <c r="Q59" i="23"/>
  <c r="R21" i="23"/>
  <c r="R17" i="23"/>
  <c r="D59" i="24"/>
  <c r="E17" i="24"/>
  <c r="E19" i="24" s="1"/>
  <c r="E20" i="24" s="1"/>
  <c r="E21" i="24"/>
  <c r="E23" i="24" s="1"/>
  <c r="E24" i="24" s="1"/>
  <c r="L59" i="24"/>
  <c r="M17" i="24"/>
  <c r="M19" i="24" s="1"/>
  <c r="M20" i="24" s="1"/>
  <c r="M21" i="24"/>
  <c r="M23" i="24" s="1"/>
  <c r="M24" i="24" s="1"/>
  <c r="T59" i="24"/>
  <c r="U21" i="24"/>
  <c r="U17" i="24"/>
  <c r="H59" i="26"/>
  <c r="H64" i="26" s="1"/>
  <c r="I17" i="26"/>
  <c r="I21" i="26"/>
  <c r="I23" i="26" s="1"/>
  <c r="I24" i="26" s="1"/>
  <c r="P59" i="26"/>
  <c r="Q17" i="26"/>
  <c r="Q19" i="26" s="1"/>
  <c r="Q21" i="26"/>
  <c r="E63" i="26"/>
  <c r="H17" i="27"/>
  <c r="H19" i="27" s="1"/>
  <c r="H20" i="27" s="1"/>
  <c r="P17" i="27"/>
  <c r="P19" i="27" s="1"/>
  <c r="H21" i="28"/>
  <c r="H23" i="28" s="1"/>
  <c r="H24" i="28" s="1"/>
  <c r="H17" i="28"/>
  <c r="P21" i="28"/>
  <c r="P17" i="28"/>
  <c r="P19" i="28" s="1"/>
  <c r="G17" i="29"/>
  <c r="G21" i="29"/>
  <c r="G23" i="29" s="1"/>
  <c r="G24" i="29" s="1"/>
  <c r="O17" i="29"/>
  <c r="O21" i="29"/>
  <c r="E59" i="30"/>
  <c r="F21" i="30"/>
  <c r="F23" i="30" s="1"/>
  <c r="F24" i="30" s="1"/>
  <c r="F17" i="30"/>
  <c r="F19" i="30" s="1"/>
  <c r="F20" i="30" s="1"/>
  <c r="M59" i="30"/>
  <c r="N21" i="30"/>
  <c r="N23" i="30" s="1"/>
  <c r="N24" i="30" s="1"/>
  <c r="N17" i="30"/>
  <c r="N19" i="30" s="1"/>
  <c r="U59" i="30"/>
  <c r="V21" i="30"/>
  <c r="V23" i="30" s="1"/>
  <c r="V24"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F23" i="21" s="1"/>
  <c r="F24" i="21" s="1"/>
  <c r="T59" i="21"/>
  <c r="T64" i="21" s="1"/>
  <c r="U17" i="21"/>
  <c r="U19" i="21" s="1"/>
  <c r="U21" i="21"/>
  <c r="U23" i="21" s="1"/>
  <c r="U24" i="21" s="1"/>
  <c r="M17" i="21"/>
  <c r="M21" i="21"/>
  <c r="M23" i="21" s="1"/>
  <c r="M24" i="21" s="1"/>
  <c r="E17" i="21"/>
  <c r="E19" i="21" s="1"/>
  <c r="E20" i="21" s="1"/>
  <c r="E21" i="21"/>
  <c r="E23" i="21" s="1"/>
  <c r="E24" i="21" s="1"/>
  <c r="J59" i="23"/>
  <c r="K17" i="23"/>
  <c r="K19" i="23" s="1"/>
  <c r="K20" i="23" s="1"/>
  <c r="K21" i="23"/>
  <c r="K23" i="23" s="1"/>
  <c r="K24" i="23" s="1"/>
  <c r="R59" i="23"/>
  <c r="S17" i="23"/>
  <c r="S19" i="23" s="1"/>
  <c r="S21" i="23"/>
  <c r="E59" i="24"/>
  <c r="F21" i="24"/>
  <c r="F23" i="24" s="1"/>
  <c r="F24" i="24" s="1"/>
  <c r="F17" i="24"/>
  <c r="F19" i="24" s="1"/>
  <c r="F20" i="24" s="1"/>
  <c r="M59" i="24"/>
  <c r="N21" i="24"/>
  <c r="N23" i="24" s="1"/>
  <c r="N24" i="24" s="1"/>
  <c r="N17" i="24"/>
  <c r="N19" i="24" s="1"/>
  <c r="U59" i="24"/>
  <c r="V21" i="24"/>
  <c r="V17" i="24"/>
  <c r="V19" i="24" s="1"/>
  <c r="I58" i="26"/>
  <c r="I61" i="26" s="1"/>
  <c r="J17" i="26"/>
  <c r="J19" i="26" s="1"/>
  <c r="J20" i="26" s="1"/>
  <c r="J21" i="26"/>
  <c r="Q58" i="26"/>
  <c r="Q61" i="26" s="1"/>
  <c r="R21" i="26"/>
  <c r="R23" i="26" s="1"/>
  <c r="R24" i="26" s="1"/>
  <c r="R17" i="26"/>
  <c r="R19" i="26" s="1"/>
  <c r="F63" i="26"/>
  <c r="I17" i="27"/>
  <c r="I19" i="27" s="1"/>
  <c r="I20" i="27" s="1"/>
  <c r="Q17" i="27"/>
  <c r="I21" i="28"/>
  <c r="I23" i="28" s="1"/>
  <c r="I24" i="28" s="1"/>
  <c r="I17" i="28"/>
  <c r="I19" i="28" s="1"/>
  <c r="I20" i="28" s="1"/>
  <c r="Q21" i="28"/>
  <c r="Q23" i="28" s="1"/>
  <c r="Q24" i="28" s="1"/>
  <c r="Q17" i="28"/>
  <c r="Q19" i="28" s="1"/>
  <c r="H21" i="29"/>
  <c r="H23" i="29" s="1"/>
  <c r="H24" i="29" s="1"/>
  <c r="H17" i="29"/>
  <c r="H19" i="29" s="1"/>
  <c r="H20" i="29" s="1"/>
  <c r="P21" i="29"/>
  <c r="P23" i="29" s="1"/>
  <c r="P24" i="29" s="1"/>
  <c r="P17" i="29"/>
  <c r="G21" i="30"/>
  <c r="G23" i="30" s="1"/>
  <c r="G24" i="30" s="1"/>
  <c r="G17" i="30"/>
  <c r="O21" i="30"/>
  <c r="O17" i="30"/>
  <c r="O19"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C59" i="23"/>
  <c r="D17" i="23"/>
  <c r="D19" i="23" s="1"/>
  <c r="D20" i="23" s="1"/>
  <c r="D21" i="23"/>
  <c r="D23" i="23" s="1"/>
  <c r="D24" i="23" s="1"/>
  <c r="S59" i="23"/>
  <c r="T17" i="23"/>
  <c r="T21" i="23"/>
  <c r="G17" i="24"/>
  <c r="G19" i="24" s="1"/>
  <c r="G20" i="24" s="1"/>
  <c r="G21" i="24"/>
  <c r="G23" i="24" s="1"/>
  <c r="G24" i="24" s="1"/>
  <c r="O17" i="24"/>
  <c r="O21" i="24"/>
  <c r="J59" i="26"/>
  <c r="K17" i="26"/>
  <c r="K19" i="26" s="1"/>
  <c r="K20" i="26" s="1"/>
  <c r="K21" i="26"/>
  <c r="K23" i="26" s="1"/>
  <c r="K24" i="26" s="1"/>
  <c r="R59" i="26"/>
  <c r="S17" i="26"/>
  <c r="S19" i="26" s="1"/>
  <c r="S21" i="26"/>
  <c r="S23" i="26" s="1"/>
  <c r="S24" i="26" s="1"/>
  <c r="M63" i="26"/>
  <c r="I59" i="27"/>
  <c r="J17" i="27"/>
  <c r="J19" i="27" s="1"/>
  <c r="J20" i="27" s="1"/>
  <c r="Q59" i="27"/>
  <c r="R17" i="27"/>
  <c r="I59" i="28"/>
  <c r="J17" i="28"/>
  <c r="J19" i="28" s="1"/>
  <c r="J20" i="28" s="1"/>
  <c r="J21" i="28"/>
  <c r="J23" i="28" s="1"/>
  <c r="J24" i="28" s="1"/>
  <c r="Q59" i="28"/>
  <c r="R21" i="28"/>
  <c r="R23" i="28" s="1"/>
  <c r="R24" i="28" s="1"/>
  <c r="R17" i="28"/>
  <c r="I21" i="29"/>
  <c r="I23" i="29" s="1"/>
  <c r="I24" i="29" s="1"/>
  <c r="I17" i="29"/>
  <c r="I19" i="29" s="1"/>
  <c r="I20" i="29" s="1"/>
  <c r="Q21" i="29"/>
  <c r="Q17" i="29"/>
  <c r="Q19" i="29" s="1"/>
  <c r="H17" i="30"/>
  <c r="H19" i="30" s="1"/>
  <c r="H20" i="30" s="1"/>
  <c r="H21" i="30"/>
  <c r="H23" i="30" s="1"/>
  <c r="H24" i="30" s="1"/>
  <c r="P17" i="30"/>
  <c r="P21" i="30"/>
  <c r="P23" i="30" s="1"/>
  <c r="P24"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7"/>
  <c r="C17" i="27"/>
  <c r="C19" i="27" s="1"/>
  <c r="C20" i="27" s="1"/>
  <c r="C21" i="27"/>
  <c r="C23" i="27" s="1"/>
  <c r="C24" i="27" s="1"/>
  <c r="B59" i="28"/>
  <c r="C21" i="28"/>
  <c r="C23" i="28" s="1"/>
  <c r="C24" i="28" s="1"/>
  <c r="C17" i="28"/>
  <c r="C19" i="28" s="1"/>
  <c r="C20" i="28" s="1"/>
  <c r="B59" i="29"/>
  <c r="C21" i="29"/>
  <c r="C23" i="29" s="1"/>
  <c r="C24" i="29" s="1"/>
  <c r="C17" i="29"/>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B59" i="21"/>
  <c r="C21" i="21"/>
  <c r="C17" i="21"/>
  <c r="C19" i="21" s="1"/>
  <c r="C20" i="21" s="1"/>
  <c r="D23" i="21"/>
  <c r="D24" i="21" s="1"/>
  <c r="S58" i="21"/>
  <c r="S61" i="21" s="1"/>
  <c r="C58" i="21"/>
  <c r="C61" i="21" s="1"/>
  <c r="C64" i="21" s="1"/>
  <c r="K58" i="21"/>
  <c r="K61" i="21" s="1"/>
  <c r="K64" i="21" s="1"/>
  <c r="R19" i="24"/>
  <c r="I21" i="27"/>
  <c r="I23" i="27" s="1"/>
  <c r="I24" i="27" s="1"/>
  <c r="Q21" i="27"/>
  <c r="R58" i="21"/>
  <c r="R61" i="21" s="1"/>
  <c r="R64" i="21" s="1"/>
  <c r="O57" i="21"/>
  <c r="A43" i="21"/>
  <c r="J58" i="21"/>
  <c r="J61" i="21" s="1"/>
  <c r="D58" i="29"/>
  <c r="D61" i="29" s="1"/>
  <c r="P23" i="26"/>
  <c r="P24" i="26" s="1"/>
  <c r="G21" i="27"/>
  <c r="G23" i="27" s="1"/>
  <c r="G24" i="27" s="1"/>
  <c r="O21" i="27"/>
  <c r="O23" i="27" s="1"/>
  <c r="O24" i="27" s="1"/>
  <c r="D58" i="30"/>
  <c r="D61" i="30" s="1"/>
  <c r="L58" i="30"/>
  <c r="L61" i="30" s="1"/>
  <c r="L64" i="30" s="1"/>
  <c r="L65" i="30" s="1"/>
  <c r="R58" i="23"/>
  <c r="R61" i="23" s="1"/>
  <c r="H21" i="27"/>
  <c r="H23" i="27" s="1"/>
  <c r="H24" i="27" s="1"/>
  <c r="P21" i="27"/>
  <c r="J58" i="26"/>
  <c r="J61" i="26" s="1"/>
  <c r="R19" i="23"/>
  <c r="J58" i="27"/>
  <c r="J61" i="27" s="1"/>
  <c r="R58" i="27"/>
  <c r="R61" i="27" s="1"/>
  <c r="R64" i="27" s="1"/>
  <c r="R58" i="28"/>
  <c r="R61" i="28" s="1"/>
  <c r="R64" i="28" s="1"/>
  <c r="F58" i="23"/>
  <c r="F61" i="23" s="1"/>
  <c r="N58" i="23"/>
  <c r="N61" i="23" s="1"/>
  <c r="L21" i="27"/>
  <c r="L23" i="27" s="1"/>
  <c r="L24" i="27" s="1"/>
  <c r="T21" i="27"/>
  <c r="H57" i="29"/>
  <c r="P58" i="21"/>
  <c r="P61" i="21" s="1"/>
  <c r="H58" i="21"/>
  <c r="H61" i="21" s="1"/>
  <c r="N59" i="23"/>
  <c r="R58" i="26"/>
  <c r="R61" i="26" s="1"/>
  <c r="R57" i="21"/>
  <c r="K58" i="29"/>
  <c r="K61" i="29" s="1"/>
  <c r="I58" i="23"/>
  <c r="I61" i="23" s="1"/>
  <c r="I64" i="23" s="1"/>
  <c r="I65" i="23" s="1"/>
  <c r="Q58" i="23"/>
  <c r="Q61" i="23" s="1"/>
  <c r="L58" i="29"/>
  <c r="L61" i="29" s="1"/>
  <c r="T58" i="29"/>
  <c r="T61" i="29" s="1"/>
  <c r="T64" i="29" s="1"/>
  <c r="Q23" i="30"/>
  <c r="Q24" i="30" s="1"/>
  <c r="E23" i="30"/>
  <c r="E24" i="30" s="1"/>
  <c r="U23" i="30"/>
  <c r="U24" i="30" s="1"/>
  <c r="J58" i="28"/>
  <c r="J61" i="28" s="1"/>
  <c r="J64" i="28" s="1"/>
  <c r="J65" i="28" s="1"/>
  <c r="J58" i="23"/>
  <c r="J61" i="23" s="1"/>
  <c r="J64" i="23" s="1"/>
  <c r="J65" i="23" s="1"/>
  <c r="J58" i="24"/>
  <c r="J61" i="24" s="1"/>
  <c r="J64" i="24" s="1"/>
  <c r="J65" i="24" s="1"/>
  <c r="R58" i="24"/>
  <c r="R61" i="24" s="1"/>
  <c r="F57" i="24"/>
  <c r="T58" i="30"/>
  <c r="T61" i="30" s="1"/>
  <c r="T64" i="30" s="1"/>
  <c r="C58" i="23"/>
  <c r="C61" i="23" s="1"/>
  <c r="C64" i="23" s="1"/>
  <c r="K58" i="23"/>
  <c r="K61" i="23" s="1"/>
  <c r="S58" i="23"/>
  <c r="S61" i="23" s="1"/>
  <c r="F58" i="26"/>
  <c r="F61" i="26" s="1"/>
  <c r="D58" i="27"/>
  <c r="D61" i="27" s="1"/>
  <c r="D64" i="27" s="1"/>
  <c r="L58" i="27"/>
  <c r="L61" i="27" s="1"/>
  <c r="T58" i="27"/>
  <c r="T61" i="27" s="1"/>
  <c r="T64" i="27" s="1"/>
  <c r="J58" i="30"/>
  <c r="J61" i="30" s="1"/>
  <c r="J64" i="30" s="1"/>
  <c r="R58" i="30"/>
  <c r="R61" i="30" s="1"/>
  <c r="R64" i="30" s="1"/>
  <c r="P57" i="30"/>
  <c r="J57" i="21"/>
  <c r="H59" i="21"/>
  <c r="R21" i="27"/>
  <c r="R23" i="27" s="1"/>
  <c r="R24" i="27" s="1"/>
  <c r="E58" i="27"/>
  <c r="E61" i="27" s="1"/>
  <c r="E64" i="27" s="1"/>
  <c r="M58" i="27"/>
  <c r="M61" i="27" s="1"/>
  <c r="U58" i="27"/>
  <c r="U61" i="27" s="1"/>
  <c r="I58" i="29"/>
  <c r="I61" i="29" s="1"/>
  <c r="I64" i="29" s="1"/>
  <c r="I65" i="29" s="1"/>
  <c r="Q58" i="29"/>
  <c r="Q61" i="29" s="1"/>
  <c r="Q64" i="29" s="1"/>
  <c r="F58" i="30"/>
  <c r="F61" i="30" s="1"/>
  <c r="N58" i="30"/>
  <c r="N61" i="30" s="1"/>
  <c r="G59" i="21"/>
  <c r="F59" i="23"/>
  <c r="C58" i="24"/>
  <c r="C61" i="24" s="1"/>
  <c r="K58" i="24"/>
  <c r="K61" i="24" s="1"/>
  <c r="S58" i="24"/>
  <c r="S61" i="24" s="1"/>
  <c r="N57" i="24"/>
  <c r="G58" i="26"/>
  <c r="G61" i="26" s="1"/>
  <c r="O58" i="26"/>
  <c r="O61" i="26" s="1"/>
  <c r="F58" i="27"/>
  <c r="F61" i="27" s="1"/>
  <c r="N58" i="27"/>
  <c r="N61" i="27" s="1"/>
  <c r="C58" i="28"/>
  <c r="C61" i="28" s="1"/>
  <c r="K58" i="28"/>
  <c r="K61" i="28" s="1"/>
  <c r="S58" i="28"/>
  <c r="S61" i="28" s="1"/>
  <c r="J58" i="29"/>
  <c r="J61" i="29" s="1"/>
  <c r="R58" i="29"/>
  <c r="R61" i="29" s="1"/>
  <c r="R64" i="29" s="1"/>
  <c r="P57" i="29"/>
  <c r="L23" i="30"/>
  <c r="L24" i="30" s="1"/>
  <c r="T23" i="30"/>
  <c r="T24" i="30" s="1"/>
  <c r="G58" i="30"/>
  <c r="G61" i="30" s="1"/>
  <c r="O58" i="30"/>
  <c r="O61" i="30" s="1"/>
  <c r="Q57" i="30"/>
  <c r="G58" i="27"/>
  <c r="G61" i="27" s="1"/>
  <c r="T58" i="28"/>
  <c r="T61" i="28" s="1"/>
  <c r="T64" i="28" s="1"/>
  <c r="C58" i="29"/>
  <c r="C61" i="29" s="1"/>
  <c r="H58" i="30"/>
  <c r="H61" i="30" s="1"/>
  <c r="N59" i="30"/>
  <c r="Q57" i="21"/>
  <c r="B58" i="21"/>
  <c r="B61" i="21" s="1"/>
  <c r="D58" i="23"/>
  <c r="D61" i="23" s="1"/>
  <c r="L58" i="23"/>
  <c r="L61" i="23" s="1"/>
  <c r="L64" i="23" s="1"/>
  <c r="L65" i="23" s="1"/>
  <c r="T58" i="23"/>
  <c r="T61" i="23" s="1"/>
  <c r="T64" i="23" s="1"/>
  <c r="E58" i="24"/>
  <c r="E61" i="24" s="1"/>
  <c r="M58" i="24"/>
  <c r="M61" i="24" s="1"/>
  <c r="U58" i="24"/>
  <c r="U61" i="24" s="1"/>
  <c r="N59" i="26"/>
  <c r="H58" i="27"/>
  <c r="H61" i="27" s="1"/>
  <c r="P58" i="27"/>
  <c r="P61" i="27" s="1"/>
  <c r="F57" i="27"/>
  <c r="E58" i="28"/>
  <c r="E61" i="28" s="1"/>
  <c r="M58" i="28"/>
  <c r="M61" i="28" s="1"/>
  <c r="U58" i="28"/>
  <c r="U61" i="28" s="1"/>
  <c r="I58" i="30"/>
  <c r="I61" i="30" s="1"/>
  <c r="Q58" i="30"/>
  <c r="Q61" i="30" s="1"/>
  <c r="Q64" i="30" s="1"/>
  <c r="P59" i="30"/>
  <c r="L58" i="24"/>
  <c r="L61" i="24" s="1"/>
  <c r="L64" i="24" s="1"/>
  <c r="P58" i="26"/>
  <c r="P61" i="26" s="1"/>
  <c r="F59" i="26"/>
  <c r="O58" i="27"/>
  <c r="O61" i="27" s="1"/>
  <c r="A38" i="21"/>
  <c r="E58" i="23"/>
  <c r="E61" i="23" s="1"/>
  <c r="M58" i="23"/>
  <c r="M61" i="23" s="1"/>
  <c r="U58" i="23"/>
  <c r="U61" i="23" s="1"/>
  <c r="U64" i="23" s="1"/>
  <c r="V19" i="23"/>
  <c r="O23" i="24"/>
  <c r="O24" i="24" s="1"/>
  <c r="F58" i="24"/>
  <c r="F61" i="24" s="1"/>
  <c r="N58" i="24"/>
  <c r="N61" i="24" s="1"/>
  <c r="F59" i="24"/>
  <c r="I58" i="27"/>
  <c r="I61" i="27" s="1"/>
  <c r="I64" i="27" s="1"/>
  <c r="Q58" i="27"/>
  <c r="Q61" i="27" s="1"/>
  <c r="Q64" i="27" s="1"/>
  <c r="H57" i="27"/>
  <c r="F59" i="27"/>
  <c r="O23" i="28"/>
  <c r="O24" i="28" s="1"/>
  <c r="F58" i="28"/>
  <c r="F61" i="28" s="1"/>
  <c r="N58" i="28"/>
  <c r="N61" i="28" s="1"/>
  <c r="E58" i="29"/>
  <c r="E61" i="29" s="1"/>
  <c r="M58" i="29"/>
  <c r="M61" i="29" s="1"/>
  <c r="U58" i="29"/>
  <c r="U61" i="29" s="1"/>
  <c r="F57" i="30"/>
  <c r="N58" i="26"/>
  <c r="N61" i="26" s="1"/>
  <c r="T58" i="24"/>
  <c r="T61" i="24" s="1"/>
  <c r="T64" i="24" s="1"/>
  <c r="H58" i="26"/>
  <c r="H61" i="26" s="1"/>
  <c r="L58" i="28"/>
  <c r="L61" i="28" s="1"/>
  <c r="S58" i="29"/>
  <c r="S61" i="29" s="1"/>
  <c r="S64" i="29" s="1"/>
  <c r="P19" i="21"/>
  <c r="F57" i="23"/>
  <c r="T23" i="24"/>
  <c r="T24" i="24" s="1"/>
  <c r="G58" i="24"/>
  <c r="G61" i="24" s="1"/>
  <c r="O58" i="24"/>
  <c r="O61" i="24" s="1"/>
  <c r="N59" i="24"/>
  <c r="C58" i="26"/>
  <c r="C61" i="26" s="1"/>
  <c r="K58" i="26"/>
  <c r="K61" i="26" s="1"/>
  <c r="S58" i="26"/>
  <c r="S61" i="26" s="1"/>
  <c r="S64" i="26" s="1"/>
  <c r="P23" i="27"/>
  <c r="P24" i="27" s="1"/>
  <c r="N57" i="27"/>
  <c r="H59" i="27"/>
  <c r="G58" i="28"/>
  <c r="G61" i="28" s="1"/>
  <c r="O58" i="28"/>
  <c r="O61" i="28" s="1"/>
  <c r="F57" i="28"/>
  <c r="F58" i="29"/>
  <c r="F61" i="29" s="1"/>
  <c r="N58" i="29"/>
  <c r="N61" i="29" s="1"/>
  <c r="H59" i="29"/>
  <c r="C58" i="30"/>
  <c r="C61" i="30" s="1"/>
  <c r="C64" i="30" s="1"/>
  <c r="C65" i="30" s="1"/>
  <c r="K58" i="30"/>
  <c r="K61" i="30" s="1"/>
  <c r="K64" i="30" s="1"/>
  <c r="S58" i="30"/>
  <c r="S61" i="30" s="1"/>
  <c r="H57" i="30"/>
  <c r="D58" i="24"/>
  <c r="D61" i="24" s="1"/>
  <c r="D64" i="24" s="1"/>
  <c r="D58" i="28"/>
  <c r="D61" i="28" s="1"/>
  <c r="P58" i="30"/>
  <c r="P61" i="30" s="1"/>
  <c r="Q58" i="21"/>
  <c r="Q61" i="21" s="1"/>
  <c r="Q64" i="21" s="1"/>
  <c r="I58" i="21"/>
  <c r="I61" i="21" s="1"/>
  <c r="G58" i="23"/>
  <c r="G61" i="23" s="1"/>
  <c r="O58" i="23"/>
  <c r="O61" i="23" s="1"/>
  <c r="N57" i="23"/>
  <c r="H58" i="24"/>
  <c r="H61" i="24" s="1"/>
  <c r="P58" i="24"/>
  <c r="P61" i="24" s="1"/>
  <c r="Q23" i="26"/>
  <c r="Q24" i="26" s="1"/>
  <c r="D58" i="26"/>
  <c r="D61" i="26" s="1"/>
  <c r="L58" i="26"/>
  <c r="L61" i="26" s="1"/>
  <c r="L64" i="26" s="1"/>
  <c r="T58" i="26"/>
  <c r="T61" i="26" s="1"/>
  <c r="F57" i="26"/>
  <c r="C58" i="27"/>
  <c r="C61" i="27" s="1"/>
  <c r="K58" i="27"/>
  <c r="K61" i="27" s="1"/>
  <c r="S58" i="27"/>
  <c r="S61" i="27" s="1"/>
  <c r="S64" i="27" s="1"/>
  <c r="P57" i="27"/>
  <c r="N59" i="27"/>
  <c r="H58" i="28"/>
  <c r="H61" i="28" s="1"/>
  <c r="P58" i="28"/>
  <c r="P61" i="28" s="1"/>
  <c r="N57" i="28"/>
  <c r="D23" i="29"/>
  <c r="D24" i="29" s="1"/>
  <c r="L23" i="29"/>
  <c r="L24" i="29" s="1"/>
  <c r="T23" i="29"/>
  <c r="T24" i="29" s="1"/>
  <c r="G58" i="29"/>
  <c r="G61" i="29" s="1"/>
  <c r="O58" i="29"/>
  <c r="O61" i="29" s="1"/>
  <c r="P59" i="29"/>
  <c r="I57" i="30"/>
  <c r="M19" i="21"/>
  <c r="M20" i="21" s="1"/>
  <c r="G57" i="21"/>
  <c r="H58" i="23"/>
  <c r="H61" i="23" s="1"/>
  <c r="H64" i="23" s="1"/>
  <c r="P58" i="23"/>
  <c r="P61" i="23" s="1"/>
  <c r="P64" i="23" s="1"/>
  <c r="I58" i="24"/>
  <c r="I61" i="24" s="1"/>
  <c r="Q58" i="24"/>
  <c r="Q61" i="24" s="1"/>
  <c r="Q64" i="24" s="1"/>
  <c r="E58" i="26"/>
  <c r="E61" i="26" s="1"/>
  <c r="M58" i="26"/>
  <c r="M61" i="26" s="1"/>
  <c r="U58" i="26"/>
  <c r="U61" i="26" s="1"/>
  <c r="N57" i="26"/>
  <c r="P59" i="27"/>
  <c r="I58" i="28"/>
  <c r="I61" i="28" s="1"/>
  <c r="I64" i="28" s="1"/>
  <c r="Q58" i="28"/>
  <c r="Q61" i="28" s="1"/>
  <c r="Q64" i="28" s="1"/>
  <c r="P23" i="28"/>
  <c r="P24" i="28" s="1"/>
  <c r="H58" i="29"/>
  <c r="H61" i="29" s="1"/>
  <c r="P58" i="29"/>
  <c r="P61" i="29" s="1"/>
  <c r="E58" i="30"/>
  <c r="E61" i="30" s="1"/>
  <c r="M58" i="30"/>
  <c r="M61" i="30" s="1"/>
  <c r="U58" i="30"/>
  <c r="U61" i="30" s="1"/>
  <c r="U64" i="30" s="1"/>
  <c r="U66" i="30" s="1"/>
  <c r="N57" i="30"/>
  <c r="F59" i="30"/>
  <c r="B58" i="30"/>
  <c r="B61" i="30" s="1"/>
  <c r="B64" i="30" s="1"/>
  <c r="B58" i="24"/>
  <c r="B61" i="24" s="1"/>
  <c r="B64" i="24" s="1"/>
  <c r="B65" i="24" s="1"/>
  <c r="B58" i="26"/>
  <c r="B61" i="26" s="1"/>
  <c r="B58" i="27"/>
  <c r="B61" i="27" s="1"/>
  <c r="B58" i="23"/>
  <c r="B61" i="23" s="1"/>
  <c r="B58" i="28"/>
  <c r="B61" i="28" s="1"/>
  <c r="B58" i="29"/>
  <c r="B61" i="29" s="1"/>
  <c r="D5" i="20"/>
  <c r="D6" i="20"/>
  <c r="D4" i="20"/>
  <c r="E9" i="20"/>
  <c r="D9" i="20"/>
  <c r="E11" i="20"/>
  <c r="D11" i="20"/>
  <c r="E8" i="20"/>
  <c r="D8" i="20"/>
  <c r="E10" i="20"/>
  <c r="D10" i="20"/>
  <c r="E7" i="20"/>
  <c r="D7" i="20"/>
  <c r="E6" i="20"/>
  <c r="E5" i="20"/>
  <c r="E4" i="20"/>
  <c r="O23" i="30"/>
  <c r="O24" i="30" s="1"/>
  <c r="R19" i="30"/>
  <c r="F63" i="30"/>
  <c r="N63" i="30"/>
  <c r="K19" i="30"/>
  <c r="K20" i="30" s="1"/>
  <c r="S19" i="30"/>
  <c r="S23" i="30"/>
  <c r="S24" i="30" s="1"/>
  <c r="A31" i="30"/>
  <c r="A33" i="30"/>
  <c r="A39" i="30"/>
  <c r="A41" i="30"/>
  <c r="A47" i="30"/>
  <c r="A49" i="30"/>
  <c r="G57" i="30"/>
  <c r="O57" i="30"/>
  <c r="G59" i="30"/>
  <c r="O59" i="30"/>
  <c r="G63" i="30"/>
  <c r="O63" i="30"/>
  <c r="P63" i="30"/>
  <c r="I63" i="30"/>
  <c r="Q63" i="30"/>
  <c r="T19" i="30"/>
  <c r="V19" i="30"/>
  <c r="B63" i="30"/>
  <c r="J63" i="30"/>
  <c r="R63" i="30"/>
  <c r="G19" i="30"/>
  <c r="G20" i="30" s="1"/>
  <c r="A32" i="30"/>
  <c r="A34" i="30"/>
  <c r="A40" i="30"/>
  <c r="A42" i="30"/>
  <c r="A48" i="30"/>
  <c r="A50" i="30"/>
  <c r="C63" i="30"/>
  <c r="K63" i="30"/>
  <c r="S63" i="30"/>
  <c r="P19" i="30"/>
  <c r="D63" i="30"/>
  <c r="L63" i="30"/>
  <c r="T63" i="30"/>
  <c r="H63" i="30"/>
  <c r="Q19" i="30"/>
  <c r="E63" i="30"/>
  <c r="M63" i="30"/>
  <c r="Q23" i="29"/>
  <c r="Q24" i="29" s="1"/>
  <c r="O23" i="29"/>
  <c r="O24" i="29" s="1"/>
  <c r="T19" i="29"/>
  <c r="P63" i="29"/>
  <c r="R19" i="29"/>
  <c r="F57" i="29"/>
  <c r="N57" i="29"/>
  <c r="F59" i="29"/>
  <c r="N59" i="29"/>
  <c r="F63" i="29"/>
  <c r="N63" i="29"/>
  <c r="H63" i="29"/>
  <c r="K19" i="29"/>
  <c r="K20" i="29" s="1"/>
  <c r="S19" i="29"/>
  <c r="K23" i="29"/>
  <c r="K24" i="29" s="1"/>
  <c r="S23" i="29"/>
  <c r="S24" i="29" s="1"/>
  <c r="A31" i="29"/>
  <c r="A33" i="29"/>
  <c r="A39" i="29"/>
  <c r="A41" i="29"/>
  <c r="A47" i="29"/>
  <c r="A49" i="29"/>
  <c r="G57" i="29"/>
  <c r="O57" i="29"/>
  <c r="G59" i="29"/>
  <c r="O59" i="29"/>
  <c r="G63" i="29"/>
  <c r="O63" i="29"/>
  <c r="U19" i="29"/>
  <c r="E23" i="29"/>
  <c r="E24" i="29" s="1"/>
  <c r="M23" i="29"/>
  <c r="M24" i="29" s="1"/>
  <c r="U23" i="29"/>
  <c r="U24" i="29" s="1"/>
  <c r="I57" i="29"/>
  <c r="Q57" i="29"/>
  <c r="I63" i="29"/>
  <c r="Q63" i="29"/>
  <c r="V19" i="29"/>
  <c r="N23" i="29"/>
  <c r="N24" i="29" s="1"/>
  <c r="B63" i="29"/>
  <c r="J63" i="29"/>
  <c r="R63" i="29"/>
  <c r="L19" i="29"/>
  <c r="L20" i="29" s="1"/>
  <c r="G19" i="29"/>
  <c r="G20" i="29" s="1"/>
  <c r="O19" i="29"/>
  <c r="A32" i="29"/>
  <c r="A34" i="29"/>
  <c r="A40" i="29"/>
  <c r="A42" i="29"/>
  <c r="A48" i="29"/>
  <c r="A50" i="29"/>
  <c r="C63" i="29"/>
  <c r="K63" i="29"/>
  <c r="S63" i="29"/>
  <c r="P19" i="29"/>
  <c r="D63" i="29"/>
  <c r="L63" i="29"/>
  <c r="T63" i="29"/>
  <c r="E63" i="29"/>
  <c r="M63" i="29"/>
  <c r="S19" i="28"/>
  <c r="A31" i="28"/>
  <c r="A33" i="28"/>
  <c r="A37" i="28"/>
  <c r="A39" i="28"/>
  <c r="A41" i="28"/>
  <c r="A45" i="28"/>
  <c r="A47" i="28"/>
  <c r="A49" i="28"/>
  <c r="G57" i="28"/>
  <c r="O57" i="28"/>
  <c r="G59" i="28"/>
  <c r="O59" i="28"/>
  <c r="G63" i="28"/>
  <c r="O63" i="28"/>
  <c r="T23" i="28"/>
  <c r="T24" i="28" s="1"/>
  <c r="H59" i="28"/>
  <c r="P59" i="28"/>
  <c r="H63" i="28"/>
  <c r="P63" i="28"/>
  <c r="M19" i="28"/>
  <c r="M20" i="28" s="1"/>
  <c r="U19" i="28"/>
  <c r="M23" i="28"/>
  <c r="M24" i="28" s="1"/>
  <c r="I57" i="28"/>
  <c r="Q57" i="28"/>
  <c r="I63" i="28"/>
  <c r="Q63" i="28"/>
  <c r="R19" i="28"/>
  <c r="V19" i="28"/>
  <c r="V23" i="28"/>
  <c r="V24" i="28" s="1"/>
  <c r="B63" i="28"/>
  <c r="J63" i="28"/>
  <c r="R63" i="28"/>
  <c r="A32" i="28"/>
  <c r="A34" i="28"/>
  <c r="A40" i="28"/>
  <c r="A42" i="28"/>
  <c r="A48" i="28"/>
  <c r="A50" i="28"/>
  <c r="C63" i="28"/>
  <c r="K63" i="28"/>
  <c r="S63" i="28"/>
  <c r="H19" i="28"/>
  <c r="H20" i="28" s="1"/>
  <c r="D63" i="28"/>
  <c r="L63" i="28"/>
  <c r="T63" i="28"/>
  <c r="E63" i="28"/>
  <c r="M63" i="28"/>
  <c r="Q23" i="27"/>
  <c r="Q24" i="27" s="1"/>
  <c r="T23" i="27"/>
  <c r="T24" i="27" s="1"/>
  <c r="R19" i="27"/>
  <c r="J21" i="27"/>
  <c r="J23" i="27" s="1"/>
  <c r="J24" i="27" s="1"/>
  <c r="F63" i="27"/>
  <c r="N63" i="27"/>
  <c r="K21" i="27"/>
  <c r="K23" i="27" s="1"/>
  <c r="K24" i="27" s="1"/>
  <c r="S21" i="27"/>
  <c r="S23" i="27" s="1"/>
  <c r="S24"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U24" i="27" s="1"/>
  <c r="I57" i="27"/>
  <c r="Q57" i="27"/>
  <c r="I63" i="27"/>
  <c r="Q63" i="27"/>
  <c r="V19" i="27"/>
  <c r="F21" i="27"/>
  <c r="F23" i="27" s="1"/>
  <c r="F24" i="27" s="1"/>
  <c r="N21" i="27"/>
  <c r="N23" i="27" s="1"/>
  <c r="N24" i="27" s="1"/>
  <c r="V21" i="27"/>
  <c r="V23" i="27" s="1"/>
  <c r="V24" i="27" s="1"/>
  <c r="B63" i="27"/>
  <c r="J63" i="27"/>
  <c r="R63" i="27"/>
  <c r="G19" i="27"/>
  <c r="G20" i="27" s="1"/>
  <c r="A32" i="27"/>
  <c r="A34" i="27"/>
  <c r="A40" i="27"/>
  <c r="A42" i="27"/>
  <c r="A48" i="27"/>
  <c r="A50" i="27"/>
  <c r="C63" i="27"/>
  <c r="K63" i="27"/>
  <c r="S63" i="27"/>
  <c r="D63" i="27"/>
  <c r="L63" i="27"/>
  <c r="T63" i="27"/>
  <c r="H63" i="27"/>
  <c r="Q19" i="27"/>
  <c r="E63" i="27"/>
  <c r="M63" i="27"/>
  <c r="U64" i="26"/>
  <c r="U66" i="26" s="1"/>
  <c r="O23" i="26"/>
  <c r="O24" i="26" s="1"/>
  <c r="J23" i="26"/>
  <c r="J24" i="26" s="1"/>
  <c r="C19" i="26"/>
  <c r="C20" i="26" s="1"/>
  <c r="A31" i="26"/>
  <c r="A33" i="26"/>
  <c r="A37" i="26"/>
  <c r="A39" i="26"/>
  <c r="A41" i="26"/>
  <c r="A45" i="26"/>
  <c r="A47" i="26"/>
  <c r="A49" i="26"/>
  <c r="G57" i="26"/>
  <c r="O57" i="26"/>
  <c r="G59" i="26"/>
  <c r="O59" i="26"/>
  <c r="G63" i="26"/>
  <c r="O63" i="26"/>
  <c r="L19" i="26"/>
  <c r="L20" i="26" s="1"/>
  <c r="T19" i="26"/>
  <c r="T23" i="26"/>
  <c r="T24" i="26" s="1"/>
  <c r="H63" i="26"/>
  <c r="P63" i="26"/>
  <c r="E23" i="26"/>
  <c r="E24" i="26" s="1"/>
  <c r="M23" i="26"/>
  <c r="M24" i="26" s="1"/>
  <c r="I57" i="26"/>
  <c r="Q57" i="26"/>
  <c r="I59" i="26"/>
  <c r="Q59" i="26"/>
  <c r="Q64" i="26" s="1"/>
  <c r="I63" i="26"/>
  <c r="Q63" i="26"/>
  <c r="V23" i="26"/>
  <c r="V24" i="26" s="1"/>
  <c r="B63" i="26"/>
  <c r="J63" i="26"/>
  <c r="R63" i="26"/>
  <c r="O19" i="26"/>
  <c r="A32" i="26"/>
  <c r="A34" i="26"/>
  <c r="A40" i="26"/>
  <c r="A42" i="26"/>
  <c r="A48" i="26"/>
  <c r="A50" i="26"/>
  <c r="C63" i="26"/>
  <c r="K63" i="26"/>
  <c r="S63" i="26"/>
  <c r="H19" i="26"/>
  <c r="H20" i="26" s="1"/>
  <c r="P19" i="26"/>
  <c r="D63" i="26"/>
  <c r="L63" i="26"/>
  <c r="I19" i="26"/>
  <c r="I20" i="26" s="1"/>
  <c r="H23" i="24"/>
  <c r="H24" i="24" s="1"/>
  <c r="P23" i="24"/>
  <c r="P24" i="24" s="1"/>
  <c r="S19" i="24"/>
  <c r="A31" i="24"/>
  <c r="A33" i="24"/>
  <c r="A37" i="24"/>
  <c r="A39" i="24"/>
  <c r="A41" i="24"/>
  <c r="A45" i="24"/>
  <c r="A47" i="24"/>
  <c r="A49" i="24"/>
  <c r="G57" i="24"/>
  <c r="O57" i="24"/>
  <c r="G59" i="24"/>
  <c r="O59" i="24"/>
  <c r="G63" i="24"/>
  <c r="O63" i="24"/>
  <c r="H59" i="24"/>
  <c r="P59" i="24"/>
  <c r="H63" i="24"/>
  <c r="P63" i="24"/>
  <c r="U19" i="24"/>
  <c r="U23" i="24"/>
  <c r="U24" i="24" s="1"/>
  <c r="I57" i="24"/>
  <c r="Q57" i="24"/>
  <c r="I63" i="24"/>
  <c r="Q63" i="24"/>
  <c r="V23" i="24"/>
  <c r="V24" i="24" s="1"/>
  <c r="B63" i="24"/>
  <c r="J63" i="24"/>
  <c r="R63" i="24"/>
  <c r="O19" i="24"/>
  <c r="A32" i="24"/>
  <c r="A34" i="24"/>
  <c r="A40" i="24"/>
  <c r="A42" i="24"/>
  <c r="A48" i="24"/>
  <c r="A50" i="24"/>
  <c r="C63" i="24"/>
  <c r="K63" i="24"/>
  <c r="S63" i="24"/>
  <c r="R23" i="24"/>
  <c r="R24" i="24" s="1"/>
  <c r="P19" i="24"/>
  <c r="D63" i="24"/>
  <c r="L63" i="24"/>
  <c r="T63" i="24"/>
  <c r="E63" i="24"/>
  <c r="M63" i="24"/>
  <c r="U63" i="23"/>
  <c r="M63" i="23"/>
  <c r="E63" i="23"/>
  <c r="T63" i="23"/>
  <c r="L63" i="23"/>
  <c r="D63" i="23"/>
  <c r="S63" i="23"/>
  <c r="K63" i="23"/>
  <c r="C63" i="23"/>
  <c r="R63" i="23"/>
  <c r="J63" i="23"/>
  <c r="B63" i="23"/>
  <c r="Q63" i="23"/>
  <c r="I63" i="23"/>
  <c r="P63" i="23"/>
  <c r="H63" i="23"/>
  <c r="F63" i="23"/>
  <c r="O63" i="23"/>
  <c r="G63" i="23"/>
  <c r="N63" i="23"/>
  <c r="P23" i="23"/>
  <c r="P24" i="23" s="1"/>
  <c r="R23" i="23"/>
  <c r="R24" i="23" s="1"/>
  <c r="S23" i="23"/>
  <c r="S24" i="23" s="1"/>
  <c r="A31" i="23"/>
  <c r="A33" i="23"/>
  <c r="A37" i="23"/>
  <c r="A39" i="23"/>
  <c r="A41" i="23"/>
  <c r="A45" i="23"/>
  <c r="A47" i="23"/>
  <c r="A49" i="23"/>
  <c r="G57" i="23"/>
  <c r="O57" i="23"/>
  <c r="G59" i="23"/>
  <c r="O59" i="23"/>
  <c r="L19" i="23"/>
  <c r="L20" i="23" s="1"/>
  <c r="T19" i="23"/>
  <c r="L23" i="23"/>
  <c r="L24" i="23" s="1"/>
  <c r="T23" i="23"/>
  <c r="T24" i="23" s="1"/>
  <c r="I57" i="23"/>
  <c r="Q57" i="23"/>
  <c r="G19" i="23"/>
  <c r="G20" i="23" s="1"/>
  <c r="O19" i="23"/>
  <c r="A32" i="23"/>
  <c r="A34" i="23"/>
  <c r="A40" i="23"/>
  <c r="A42" i="23"/>
  <c r="A48" i="23"/>
  <c r="A50" i="23"/>
  <c r="H19" i="23"/>
  <c r="H20" i="23" s="1"/>
  <c r="Q19" i="23"/>
  <c r="P64" i="21"/>
  <c r="L23" i="21"/>
  <c r="L24" i="21" s="1"/>
  <c r="A33" i="21"/>
  <c r="A37" i="21"/>
  <c r="A41" i="21"/>
  <c r="A45" i="21"/>
  <c r="A49" i="21"/>
  <c r="E58" i="21"/>
  <c r="E61" i="21" s="1"/>
  <c r="M58" i="21"/>
  <c r="M61" i="21" s="1"/>
  <c r="U58" i="21"/>
  <c r="U61" i="21" s="1"/>
  <c r="U64" i="21" s="1"/>
  <c r="U66" i="21" s="1"/>
  <c r="S19" i="21"/>
  <c r="G23" i="21"/>
  <c r="G24" i="21" s="1"/>
  <c r="C57" i="21"/>
  <c r="K57" i="21"/>
  <c r="S57" i="21"/>
  <c r="Q19" i="21"/>
  <c r="J23" i="21"/>
  <c r="J24" i="21" s="1"/>
  <c r="R23" i="21"/>
  <c r="R24" i="21" s="1"/>
  <c r="I19" i="21"/>
  <c r="I20" i="21" s="1"/>
  <c r="L19" i="21"/>
  <c r="L20" i="21" s="1"/>
  <c r="R19" i="21"/>
  <c r="A31" i="21"/>
  <c r="D64" i="21"/>
  <c r="D65" i="21" s="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H65" i="23" l="1"/>
  <c r="C65" i="23"/>
  <c r="C19" i="29"/>
  <c r="C20" i="29" s="1"/>
  <c r="D65" i="24"/>
  <c r="L65" i="24"/>
  <c r="L65" i="26"/>
  <c r="H65" i="26"/>
  <c r="J65" i="30"/>
  <c r="K65" i="30"/>
  <c r="B65" i="30"/>
  <c r="I65" i="28"/>
  <c r="L65" i="28"/>
  <c r="D65" i="27"/>
  <c r="E65" i="27"/>
  <c r="I65" i="27"/>
  <c r="C23" i="21"/>
  <c r="C24" i="21" s="1"/>
  <c r="K65" i="21"/>
  <c r="C65" i="21"/>
  <c r="D64" i="30"/>
  <c r="D65" i="30" s="1"/>
  <c r="K64" i="28"/>
  <c r="K65" i="28" s="1"/>
  <c r="K64" i="27"/>
  <c r="K65" i="27" s="1"/>
  <c r="J64" i="27"/>
  <c r="J65" i="27" s="1"/>
  <c r="I64" i="26"/>
  <c r="I65" i="26" s="1"/>
  <c r="I64" i="30"/>
  <c r="I65" i="30" s="1"/>
  <c r="G64" i="30"/>
  <c r="G65" i="30" s="1"/>
  <c r="F64" i="26"/>
  <c r="F66" i="26" s="1"/>
  <c r="E64" i="30"/>
  <c r="E65" i="30" s="1"/>
  <c r="E64" i="23"/>
  <c r="E65" i="23" s="1"/>
  <c r="M64" i="26"/>
  <c r="M65" i="26" s="1"/>
  <c r="D64" i="28"/>
  <c r="D65" i="28" s="1"/>
  <c r="C64" i="29"/>
  <c r="C65" i="29" s="1"/>
  <c r="C64" i="27"/>
  <c r="C65" i="27" s="1"/>
  <c r="C64" i="26"/>
  <c r="C65" i="26" s="1"/>
  <c r="S64" i="23"/>
  <c r="M64" i="23"/>
  <c r="R64" i="23"/>
  <c r="R66" i="23" s="1"/>
  <c r="M64" i="29"/>
  <c r="M65" i="29" s="1"/>
  <c r="D64" i="29"/>
  <c r="D65" i="29" s="1"/>
  <c r="O64" i="24"/>
  <c r="I64" i="24"/>
  <c r="I65" i="24" s="1"/>
  <c r="M64" i="24"/>
  <c r="M65" i="24" s="1"/>
  <c r="S64" i="24"/>
  <c r="T64" i="26"/>
  <c r="T66" i="26" s="1"/>
  <c r="E64" i="26"/>
  <c r="M64" i="28"/>
  <c r="M65" i="28" s="1"/>
  <c r="S64" i="28"/>
  <c r="P64" i="27"/>
  <c r="G64" i="21"/>
  <c r="S64" i="21"/>
  <c r="S66" i="21" s="1"/>
  <c r="E64" i="21"/>
  <c r="F64" i="21"/>
  <c r="N64" i="28"/>
  <c r="N66" i="28" s="1"/>
  <c r="J64" i="21"/>
  <c r="F64" i="24"/>
  <c r="F64" i="28"/>
  <c r="D64" i="26"/>
  <c r="D65" i="26" s="1"/>
  <c r="H64" i="29"/>
  <c r="S64" i="30"/>
  <c r="S66" i="30" s="1"/>
  <c r="Q64" i="23"/>
  <c r="Q66" i="23" s="1"/>
  <c r="F64" i="30"/>
  <c r="K64" i="23"/>
  <c r="R64" i="26"/>
  <c r="E64" i="24"/>
  <c r="H64" i="21"/>
  <c r="H65" i="21" s="1"/>
  <c r="H64" i="28"/>
  <c r="G64" i="28"/>
  <c r="P64" i="26"/>
  <c r="E64" i="28"/>
  <c r="N64" i="23"/>
  <c r="J64" i="26"/>
  <c r="J65" i="26" s="1"/>
  <c r="B64" i="23"/>
  <c r="M64" i="27"/>
  <c r="H64" i="27"/>
  <c r="L64" i="29"/>
  <c r="L65" i="29" s="1"/>
  <c r="G64" i="24"/>
  <c r="H64" i="24"/>
  <c r="D64" i="23"/>
  <c r="D65" i="23" s="1"/>
  <c r="K64" i="24"/>
  <c r="K65" i="24" s="1"/>
  <c r="P64" i="24"/>
  <c r="U64" i="29"/>
  <c r="U66" i="29" s="1"/>
  <c r="O66" i="21"/>
  <c r="M64" i="30"/>
  <c r="K64" i="26"/>
  <c r="C64" i="28"/>
  <c r="C64" i="24"/>
  <c r="L64" i="27"/>
  <c r="R64" i="24"/>
  <c r="R66" i="24" s="1"/>
  <c r="K64" i="29"/>
  <c r="J64" i="29"/>
  <c r="E64" i="29"/>
  <c r="M64" i="21"/>
  <c r="M65" i="21" s="1"/>
  <c r="P64" i="28"/>
  <c r="P66" i="28" s="1"/>
  <c r="I64" i="21"/>
  <c r="U64" i="28"/>
  <c r="U66" i="28" s="1"/>
  <c r="U64" i="24"/>
  <c r="U66" i="24" s="1"/>
  <c r="F64" i="23"/>
  <c r="U64" i="27"/>
  <c r="U66" i="27" s="1"/>
  <c r="S66" i="27"/>
  <c r="D66" i="30"/>
  <c r="Q66" i="30"/>
  <c r="B64" i="29"/>
  <c r="B64" i="28"/>
  <c r="B64" i="27"/>
  <c r="B64" i="26"/>
  <c r="B64" i="21"/>
  <c r="T66" i="29"/>
  <c r="O64" i="27"/>
  <c r="O64" i="28"/>
  <c r="N64" i="27"/>
  <c r="N66" i="27" s="1"/>
  <c r="N64" i="30"/>
  <c r="N66" i="30" s="1"/>
  <c r="L66" i="30"/>
  <c r="J66" i="28"/>
  <c r="G64" i="26"/>
  <c r="G64" i="29"/>
  <c r="D66" i="29"/>
  <c r="O64" i="26"/>
  <c r="T66" i="24"/>
  <c r="U66" i="23"/>
  <c r="P64" i="30"/>
  <c r="P66" i="30" s="1"/>
  <c r="C66" i="23"/>
  <c r="P66" i="23"/>
  <c r="T66" i="23"/>
  <c r="Q66" i="21"/>
  <c r="P66" i="21"/>
  <c r="K66" i="27"/>
  <c r="G64" i="23"/>
  <c r="Q66" i="24"/>
  <c r="R66" i="27"/>
  <c r="H66" i="23"/>
  <c r="G64" i="27"/>
  <c r="J66" i="30"/>
  <c r="F64" i="27"/>
  <c r="T66" i="27"/>
  <c r="T66" i="21"/>
  <c r="S66" i="23"/>
  <c r="H66" i="30"/>
  <c r="S66" i="24"/>
  <c r="L66" i="21"/>
  <c r="S66" i="26"/>
  <c r="L66" i="28"/>
  <c r="L66" i="26"/>
  <c r="T66" i="30"/>
  <c r="R66" i="28"/>
  <c r="N64" i="26"/>
  <c r="N66" i="26" s="1"/>
  <c r="O64" i="29"/>
  <c r="P64" i="29"/>
  <c r="P66" i="29" s="1"/>
  <c r="S64" i="1"/>
  <c r="R66" i="26"/>
  <c r="D66" i="27"/>
  <c r="N64" i="29"/>
  <c r="N66" i="29" s="1"/>
  <c r="R66" i="30"/>
  <c r="L66" i="23"/>
  <c r="R64" i="1"/>
  <c r="J66" i="23"/>
  <c r="Q64" i="1"/>
  <c r="U64" i="1"/>
  <c r="P64" i="1"/>
  <c r="E66" i="27"/>
  <c r="J66" i="24"/>
  <c r="Q66" i="29"/>
  <c r="F64" i="29"/>
  <c r="O64" i="23"/>
  <c r="O64" i="30"/>
  <c r="N64" i="24"/>
  <c r="N66" i="24" s="1"/>
  <c r="B66" i="30"/>
  <c r="B66" i="24"/>
  <c r="K66" i="30"/>
  <c r="C66" i="30"/>
  <c r="R66" i="29"/>
  <c r="I66" i="29"/>
  <c r="S66" i="29"/>
  <c r="T66" i="28"/>
  <c r="D66" i="28"/>
  <c r="Q66" i="28"/>
  <c r="I66" i="28"/>
  <c r="S66" i="28"/>
  <c r="K66" i="28"/>
  <c r="Q66" i="27"/>
  <c r="I66" i="27"/>
  <c r="P66" i="27"/>
  <c r="Q66" i="26"/>
  <c r="P66" i="26"/>
  <c r="C66" i="26"/>
  <c r="I66" i="26"/>
  <c r="H66" i="26"/>
  <c r="L66" i="24"/>
  <c r="I66" i="24"/>
  <c r="P66" i="24"/>
  <c r="D66" i="24"/>
  <c r="I66" i="23"/>
  <c r="N66" i="23"/>
  <c r="K66" i="21"/>
  <c r="C66" i="21"/>
  <c r="D66" i="21"/>
  <c r="R66" i="21"/>
  <c r="N64" i="1"/>
  <c r="M64" i="1"/>
  <c r="M65" i="1" s="1"/>
  <c r="T64" i="1"/>
  <c r="L64" i="1"/>
  <c r="L65" i="1" s="1"/>
  <c r="J64" i="1"/>
  <c r="K64" i="1"/>
  <c r="O64" i="1"/>
  <c r="O65" i="1" s="1"/>
  <c r="C64" i="1"/>
  <c r="I64" i="1"/>
  <c r="H64" i="1"/>
  <c r="G64" i="1"/>
  <c r="G65" i="1" s="1"/>
  <c r="F64" i="1"/>
  <c r="E64" i="1"/>
  <c r="D64" i="1"/>
  <c r="D65" i="1" s="1"/>
  <c r="B64" i="1"/>
  <c r="D63" i="1"/>
  <c r="L63" i="1"/>
  <c r="F63" i="1"/>
  <c r="R63" i="1"/>
  <c r="J63" i="1"/>
  <c r="Q63" i="1"/>
  <c r="Q66" i="1" s="1"/>
  <c r="I63" i="1"/>
  <c r="C63" i="1"/>
  <c r="K63" i="1"/>
  <c r="P63" i="1"/>
  <c r="H63" i="1"/>
  <c r="T63" i="1"/>
  <c r="T66" i="1" s="1"/>
  <c r="S63" i="1"/>
  <c r="O63" i="1"/>
  <c r="G63" i="1"/>
  <c r="N63" i="1"/>
  <c r="E63" i="1"/>
  <c r="B63" i="1"/>
  <c r="U63" i="1"/>
  <c r="M63" i="1"/>
  <c r="H65" i="1" l="1"/>
  <c r="I65" i="1"/>
  <c r="K65" i="1"/>
  <c r="J65" i="1"/>
  <c r="F65" i="1"/>
  <c r="C65" i="1"/>
  <c r="E65" i="1"/>
  <c r="B65" i="1"/>
  <c r="E66" i="30"/>
  <c r="F65" i="26"/>
  <c r="E66" i="23"/>
  <c r="I66" i="30"/>
  <c r="J66" i="26"/>
  <c r="O66" i="30"/>
  <c r="O65" i="30"/>
  <c r="O66" i="27"/>
  <c r="O65" i="27"/>
  <c r="O66" i="23"/>
  <c r="O65" i="23"/>
  <c r="O66" i="28"/>
  <c r="O65" i="28"/>
  <c r="O66" i="29"/>
  <c r="O65" i="29"/>
  <c r="O66" i="26"/>
  <c r="O65" i="26"/>
  <c r="O66" i="24"/>
  <c r="O65" i="24"/>
  <c r="K66" i="24"/>
  <c r="J66" i="27"/>
  <c r="G66" i="30"/>
  <c r="M66" i="26"/>
  <c r="M66" i="24"/>
  <c r="D66" i="26"/>
  <c r="M66" i="29"/>
  <c r="M66" i="21"/>
  <c r="C66" i="27"/>
  <c r="C66" i="29"/>
  <c r="M66" i="28"/>
  <c r="M66" i="27"/>
  <c r="M65" i="27"/>
  <c r="M66" i="30"/>
  <c r="M65" i="30"/>
  <c r="M66" i="23"/>
  <c r="M65" i="23"/>
  <c r="L66" i="27"/>
  <c r="L65" i="27"/>
  <c r="L66" i="29"/>
  <c r="K66" i="26"/>
  <c r="K65" i="26"/>
  <c r="K66" i="23"/>
  <c r="K65" i="23"/>
  <c r="K66" i="29"/>
  <c r="K65" i="29"/>
  <c r="J66" i="29"/>
  <c r="J65" i="29"/>
  <c r="J66" i="21"/>
  <c r="J65" i="21"/>
  <c r="I66" i="21"/>
  <c r="I65" i="21"/>
  <c r="H66" i="24"/>
  <c r="H65" i="24"/>
  <c r="H66" i="27"/>
  <c r="H65" i="27"/>
  <c r="H66" i="21"/>
  <c r="H66" i="29"/>
  <c r="H65" i="29"/>
  <c r="H66" i="28"/>
  <c r="H65" i="28"/>
  <c r="G66" i="29"/>
  <c r="G65" i="29"/>
  <c r="G66" i="21"/>
  <c r="G65" i="21"/>
  <c r="G66" i="26"/>
  <c r="G65" i="26"/>
  <c r="G66" i="27"/>
  <c r="G65" i="27"/>
  <c r="G66" i="28"/>
  <c r="G65" i="28"/>
  <c r="G66" i="24"/>
  <c r="G65" i="24"/>
  <c r="G66" i="23"/>
  <c r="G65" i="23"/>
  <c r="F66" i="27"/>
  <c r="F65" i="27"/>
  <c r="F66" i="30"/>
  <c r="F65" i="30"/>
  <c r="F66" i="28"/>
  <c r="F65" i="28"/>
  <c r="F66" i="24"/>
  <c r="F65" i="24"/>
  <c r="F66" i="29"/>
  <c r="F65" i="29"/>
  <c r="F66" i="21"/>
  <c r="F65" i="21"/>
  <c r="F66" i="23"/>
  <c r="F65" i="23"/>
  <c r="E66" i="24"/>
  <c r="E65" i="24"/>
  <c r="E66" i="21"/>
  <c r="E65" i="21"/>
  <c r="E66" i="28"/>
  <c r="E65" i="28"/>
  <c r="E66" i="29"/>
  <c r="E65" i="29"/>
  <c r="E66" i="26"/>
  <c r="E65" i="26"/>
  <c r="D66" i="23"/>
  <c r="C66" i="24"/>
  <c r="C65" i="24"/>
  <c r="C66" i="28"/>
  <c r="C65" i="28"/>
  <c r="B66" i="21"/>
  <c r="B65" i="21"/>
  <c r="B66" i="26"/>
  <c r="B65" i="26"/>
  <c r="B66" i="27"/>
  <c r="B65" i="27"/>
  <c r="B66" i="23"/>
  <c r="B65" i="23"/>
  <c r="B66" i="28"/>
  <c r="B65" i="28"/>
  <c r="B66" i="29"/>
  <c r="B65" i="29"/>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<sst xmlns="http://schemas.openxmlformats.org/spreadsheetml/2006/main" count="2036" uniqueCount="190">
  <si>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</si>
  <si>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</si>
  <si>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</si>
  <si>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</si>
  <si>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</si>
  <si>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</si>
  <si>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</si>
  <si>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</si>
  <si>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</si>
  <si>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</si>
  <si>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</si>
  <si>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</si>
  <si>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</si>
  <si>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</si>
  <si>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</si>
  <si>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</si>
  <si>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</si>
  <si>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</si>
  <si>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</si>
  <si>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</si>
  <si>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</si>
  <si>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</si>
  <si>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</si>
  <si>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</si>
  <si>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</si>
  <si>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</si>
  <si>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</si>
  <si>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</si>
  <si>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</si>
  <si>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</si>
  <si>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</si>
  <si>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</si>
  <si>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</si>
  <si>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</si>
  <si>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</si>
  <si>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</si>
  <si>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</si>
  <si>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</si>
  <si>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</si>
  <si>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</si>
  <si>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</si>
  <si>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</si>
  <si>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</si>
  <si>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</si>
  <si>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</si>
  <si>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</si>
  <si>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</si>
  <si>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</si>
  <si>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</si>
  <si>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</si>
  <si>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</si>
  <si>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</si>
  <si>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</si>
  <si>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</si>
  <si>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</si>
  <si>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</si>
  <si>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</si>
  <si>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</si>
  <si>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</si>
  <si>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</si>
  <si>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</si>
  <si>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</si>
  <si>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</si>
  <si>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</si>
  <si>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</si>
  <si>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</si>
  <si>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</si>
  <si>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</si>
  <si>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</si>
  <si>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</si>
  <si>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</si>
  <si>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</si>
  <si>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</si>
  <si>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</si>
  <si>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</si>
  <si>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</si>
  <si>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</si>
  <si>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</si>
  <si>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</si>
  <si>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</si>
  <si>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</si>
  <si>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</si>
  <si>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</si>
  <si>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</si>
  <si>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</si>
  <si>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</si>
  <si>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</si>
  <si>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</si>
  <si>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</si>
  <si>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</si>
  <si>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</si>
  <si>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</si>
  <si>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</si>
  <si>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</si>
  <si>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</si>
  <si>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</si>
  <si>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</si>
  <si>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</si>
  <si>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</si>
  <si>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</si>
  <si>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</si>
  <si>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</si>
  <si>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</si>
  <si>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</si>
  <si>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</si>
  <si>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</si>
  <si>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</si>
  <si>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</si>
  <si>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</si>
  <si>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</si>
  <si>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</si>
  <si>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</si>
  <si>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</si>
  <si>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</si>
  <si>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</si>
  <si>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</si>
  <si>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</si>
  <si>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</si>
  <si>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</si>
  <si>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</si>
  <si>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</si>
  <si>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</si>
  <si>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</si>
  <si>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</si>
  <si>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</si>
  <si>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</si>
  <si>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</si>
  <si>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</si>
  <si>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</si>
  <si>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</si>
  <si>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</si>
  <si>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</si>
  <si>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</si>
  <si>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</si>
  <si>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</si>
  <si>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</si>
  <si>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</si>
  <si>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</si>
  <si>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</si>
  <si>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</si>
  <si>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</si>
  <si>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</si>
  <si>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</si>
  <si>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</si>
  <si>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</si>
  <si>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</si>
  <si>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</si>
  <si>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</si>
  <si>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</si>
  <si>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</si>
  <si>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</si>
  <si>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</si>
  <si>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</si>
  <si>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</si>
  <si>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</si>
  <si>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</si>
  <si>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</si>
  <si>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</si>
  <si>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</si>
  <si>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</si>
  <si>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PAN-026945</t>
  </si>
  <si>
    <t>EPR/AB3891CX</t>
  </si>
  <si>
    <t xml:space="preserve">Mr Daniel James and Mrs Carys James </t>
  </si>
  <si>
    <t>Megan Tucker</t>
  </si>
  <si>
    <t>Hafod Fram, Ferwig, Cardigan, Ceredigion, SA43 1PU</t>
  </si>
  <si>
    <t xml:space="preserve">02 05 02 </t>
  </si>
  <si>
    <t xml:space="preserve">Newcastle </t>
  </si>
  <si>
    <t>Nant Y Croi 9</t>
  </si>
  <si>
    <t>Hafod 4315</t>
  </si>
  <si>
    <t>Hafod 4734</t>
  </si>
  <si>
    <t>Hafod 5761</t>
  </si>
  <si>
    <t>Hafod 4067</t>
  </si>
  <si>
    <t>Hafod 2455</t>
  </si>
  <si>
    <t>Hafod 1741</t>
  </si>
  <si>
    <t>Hafod 0720</t>
  </si>
  <si>
    <t>Solafron 2893</t>
  </si>
  <si>
    <t>Solafron 2611</t>
  </si>
  <si>
    <t>Solafron 1404</t>
  </si>
  <si>
    <t>Volvac</t>
  </si>
  <si>
    <t xml:space="preserve">First Milk </t>
  </si>
  <si>
    <t xml:space="preserve">19 09 02 </t>
  </si>
  <si>
    <t xml:space="preserve">Penderyn </t>
  </si>
  <si>
    <t>19 09 02</t>
  </si>
  <si>
    <t>Strata Florida</t>
  </si>
  <si>
    <t>Bontgoch</t>
  </si>
  <si>
    <t>Llyswen</t>
  </si>
  <si>
    <t>Talybont</t>
  </si>
  <si>
    <t>Bolton Hill</t>
  </si>
  <si>
    <t>02 07 02</t>
  </si>
  <si>
    <t xml:space="preserve">Moderate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</si>
</sst>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34">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5"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Protection="1">
      <protection hidden="1"/>
    </xf>
    <xf numFmtId="1" fontId="2" fillId="0" borderId="0" xfId="1" applyNumberFormat="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ill="1" applyBorder="1" applyAlignment="1" applyProtection="1">
      <alignment vertical="top"/>
      <protection hidden="1"/>
    </xf>
    <xf numFmtId="1" fontId="2" fillId="11" borderId="3" xfId="1" applyNumberFormat="1" applyFill="1" applyBorder="1" applyAlignment="1" applyProtection="1">
      <alignment horizontal="center"/>
      <protection hidden="1"/>
    </xf>
    <xf numFmtId="0" fontId="2" fillId="6" borderId="0" xfId="1" applyFill="1" applyAlignment="1" applyProtection="1">
      <alignment vertical="top" wrapText="1"/>
      <protection hidden="1"/>
    </xf>
    <xf numFmtId="0" fontId="2" fillId="6" borderId="3" xfId="1" applyFill="1" applyBorder="1" applyAlignment="1" applyProtection="1">
      <alignment vertical="top" wrapText="1"/>
      <protection hidden="1"/>
    </xf>
    <xf numFmtId="0" fontId="2" fillId="6" borderId="3" xfId="1" applyFill="1" applyBorder="1" applyAlignment="1" applyProtection="1">
      <alignment horizontal="center"/>
      <protection hidden="1"/>
    </xf>
    <xf numFmtId="0" fontId="2" fillId="0" borderId="0" xfId="1" applyAlignment="1" applyProtection="1">
      <alignment horizontal="center"/>
      <protection hidden="1"/>
    </xf>
    <xf numFmtId="0" fontId="2" fillId="6" borderId="3" xfId="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Border="1" applyProtection="1">
      <protection hidden="1"/>
    </xf>
    <xf numFmtId="0" fontId="1" fillId="0" borderId="2" xfId="0" applyFont="1" applyBorder="1" applyProtection="1">
      <protection hidden="1"/>
    </xf>
    <xf numFmtId="0" fontId="1" fillId="0" borderId="16" xfId="0" applyFont="1" applyBorder="1" applyProtection="1">
      <protection hidden="1"/>
    </xf>
    <xf numFmtId="0" fontId="1" fillId="0" borderId="2" xfId="0" applyFont="1" applyBorder="1" applyAlignment="1" applyProtection="1">
      <alignment horizontal="left" vertical="top"/>
      <protection hidden="1"/>
    </xf>
    <xf numFmtId="0" fontId="5" fillId="0" borderId="7" xfId="0" applyFont="1" applyBorder="1" applyProtection="1">
      <protection hidden="1"/>
    </xf>
    <xf numFmtId="0" fontId="1" fillId="0" borderId="7" xfId="0" applyFont="1" applyBorder="1" applyProtection="1">
      <protection hidden="1"/>
    </xf>
    <xf numFmtId="0" fontId="1" fillId="0" borderId="3" xfId="0" applyFont="1" applyBorder="1" applyAlignment="1" applyProtection="1">
      <alignment horizontal="right"/>
      <protection hidden="1"/>
    </xf>
    <xf numFmtId="0" fontId="1" fillId="0" borderId="6" xfId="0" applyFont="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Border="1" applyAlignment="1" applyProtection="1">
      <alignment horizontal="left" vertical="top"/>
      <protection hidden="1"/>
    </xf>
    <xf numFmtId="0" fontId="2" fillId="0" borderId="7" xfId="0" applyFont="1" applyBorder="1" applyProtection="1">
      <protection hidden="1"/>
    </xf>
    <xf numFmtId="0" fontId="2" fillId="0" borderId="3" xfId="0" applyFont="1" applyBorder="1" applyProtection="1">
      <protection hidden="1"/>
    </xf>
    <xf numFmtId="0" fontId="2" fillId="0" borderId="6" xfId="0" applyFont="1" applyBorder="1" applyProtection="1">
      <protection hidden="1"/>
    </xf>
    <xf numFmtId="0" fontId="5" fillId="0" borderId="0" xfId="0" applyFont="1" applyAlignment="1" applyProtection="1">
      <alignment horizontal="right" vertical="top"/>
      <protection hidden="1"/>
    </xf>
    <xf numFmtId="0" fontId="2" fillId="0" borderId="0" xfId="0" applyFont="1" applyAlignment="1" applyProtection="1">
      <alignment horizontal="right" vertical="top"/>
      <protection hidden="1"/>
    </xf>
    <xf numFmtId="0" fontId="5" fillId="0" borderId="0" xfId="0" applyFont="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Alignment="1" applyProtection="1">
      <alignment vertical="center"/>
      <protection hidden="1"/>
    </xf>
    <xf numFmtId="0" fontId="2" fillId="0" borderId="3" xfId="0" applyFont="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Protection="1">
      <protection hidden="1"/>
    </xf>
    <xf numFmtId="0" fontId="2" fillId="6" borderId="3" xfId="1" applyFill="1" applyBorder="1" applyProtection="1">
      <protection hidden="1"/>
    </xf>
    <xf numFmtId="9" fontId="5" fillId="6" borderId="3" xfId="0" applyNumberFormat="1" applyFont="1" applyFill="1" applyBorder="1" applyProtection="1">
      <protection hidden="1"/>
    </xf>
    <xf numFmtId="1" fontId="2" fillId="6" borderId="3" xfId="1" applyNumberFormat="1" applyFill="1" applyBorder="1" applyProtection="1">
      <protection hidden="1"/>
    </xf>
    <xf numFmtId="0" fontId="2" fillId="11" borderId="3" xfId="1" applyFill="1" applyBorder="1" applyProtection="1">
      <protection hidden="1"/>
    </xf>
    <xf numFmtId="2" fontId="8" fillId="11" borderId="3" xfId="1" applyNumberFormat="1" applyFont="1" applyFill="1" applyBorder="1" applyProtection="1">
      <protection hidden="1"/>
    </xf>
    <xf numFmtId="0" fontId="11" fillId="0" borderId="0" xfId="0" applyFont="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6" fillId="8" borderId="3" xfId="0" applyFont="1" applyFill="1" applyBorder="1" applyAlignment="1" applyProtection="1">
      <alignment horizontal="right" vertical="top"/>
      <protection hidden="1"/>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ill="1" applyBorder="1" applyAlignment="1" applyProtection="1">
      <alignment horizontal="center" wrapText="1"/>
      <protection hidden="1"/>
    </xf>
    <xf numFmtId="0" fontId="2" fillId="6" borderId="3" xfId="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 cent" xfId="2" builtinId="5"/>
  </cellStyles>
  <dxfs count="351">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FF0000"/>
      </font>
    </dxf>
    <dxf>
      <font>
        <color rgb="FF9C0006"/>
      </font>
      <fill>
        <patternFill>
          <bgColor rgb="FFFFC7CE"/>
        </patternFill>
      </fill>
    </dxf>
    <dxf>
      <font>
        <color rgb="FF006100"/>
      </font>
      <fill>
        <patternFill>
          <bgColor rgb="FFC6EFCE"/>
        </patternFill>
      </fill>
    </dxf>
    <dxf>
      <font>
        <color rgb="FFFF0000"/>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20" Type="http://schemas.openxmlformats.org/officeDocument/2006/relationships/customXml" Target="../customXml/item5.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customXml" Target="../customXml/item4.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350" dataDxfId="348" headerRowBorderDxfId="349" tableBorderDxfId="347" totalsRowBorderDxfId="346">
  <autoFilter ref="AI1:AN26" xr:uid="{F8B5EC87-3095-445A-A980-2CFAA0A7B9A2}"/>
  <sortState xmlns:xlrd2="http://schemas.microsoft.com/office/spreadsheetml/2017/richdata2" ref="AI2:AL25">
    <sortCondition ref="AL1:AL25"/>
  </sortState>
  <tableColumns count="6">
    <tableColumn id="1" xr3:uid="{360F44E4-7249-415F-8D5E-41D249F9A162}" name="Crop" dataDxfId="345"/>
    <tableColumn id="2" xr3:uid="{55E07717-B4EC-4E8A-B9A9-34F3CF85E32D}" name="P Offtake" dataDxfId="344"/>
    <tableColumn id="3" xr3:uid="{7B25FA52-8104-4FE3-AED4-B53CBFDF89B2}" name="K Offtake" dataDxfId="343"/>
    <tableColumn id="4" xr3:uid="{0DBAE461-2D09-43C8-9342-3980D552AE4D}" name="Order" dataDxfId="342"/>
    <tableColumn id="5" xr3:uid="{52CACE7B-0CBA-46FC-9F24-02CBD6100239}" name="Lime pH requirement" dataDxfId="341"/>
    <tableColumn id="6" xr3:uid="{F1432630-9B16-4266-8147-CE754A715307}" name="Column1" dataDxfId="340"/>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39" dataDxfId="337" headerRowBorderDxfId="338" tableBorderDxfId="336" totalsRowBorderDxfId="335">
  <autoFilter ref="AI1:AN26" xr:uid="{F8B5EC87-3095-445A-A980-2CFAA0A7B9A2}"/>
  <sortState xmlns:xlrd2="http://schemas.microsoft.com/office/spreadsheetml/2017/richdata2" ref="AI2:AL25">
    <sortCondition ref="AL1:AL25"/>
  </sortState>
  <tableColumns count="6">
    <tableColumn id="1" xr3:uid="{7E96A84B-948F-445F-BD6E-30CC8E6E6DD1}" name="Crop" dataDxfId="334"/>
    <tableColumn id="2" xr3:uid="{12657DDB-F680-47DE-ABB1-8675D5F91E41}" name="P Offtake" dataDxfId="333"/>
    <tableColumn id="3" xr3:uid="{DEB99109-D325-4F98-8A71-E70C03433437}" name="K Offtake" dataDxfId="332"/>
    <tableColumn id="4" xr3:uid="{E96A561F-7E7F-4FB3-97AA-0B35D8C8E93A}" name="Order" dataDxfId="331"/>
    <tableColumn id="5" xr3:uid="{181DD475-0A71-4C52-AF1A-8BFF46F5A827}" name="Lime pH requirement" dataDxfId="330"/>
    <tableColumn id="6" xr3:uid="{AC3FA7E8-D76B-43A3-B715-04446DFF63C6}" name="Column1" dataDxfId="329"/>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328" dataDxfId="326" headerRowBorderDxfId="327" tableBorderDxfId="325" totalsRowBorderDxfId="324">
  <autoFilter ref="AI1:AN26" xr:uid="{F8B5EC87-3095-445A-A980-2CFAA0A7B9A2}"/>
  <sortState xmlns:xlrd2="http://schemas.microsoft.com/office/spreadsheetml/2017/richdata2" ref="AI2:AL25">
    <sortCondition ref="AL1:AL25"/>
  </sortState>
  <tableColumns count="6">
    <tableColumn id="1" xr3:uid="{06008BA1-A1E9-4286-B67A-352533C06A26}" name="Crop" dataDxfId="323"/>
    <tableColumn id="2" xr3:uid="{2AEB5EEB-C9D1-41DC-913E-953A33D1A4AF}" name="P Offtake" dataDxfId="322"/>
    <tableColumn id="3" xr3:uid="{8FA16A0B-1017-4CEE-862E-0A8CBD8EB3D3}" name="K Offtake" dataDxfId="321"/>
    <tableColumn id="4" xr3:uid="{E7A3B8CD-4036-47F4-B818-C3F22E80C749}" name="Order" dataDxfId="320"/>
    <tableColumn id="5" xr3:uid="{8F3EBD84-7904-4559-9B5C-63088B792C98}" name="Lime pH requirement" dataDxfId="319"/>
    <tableColumn id="6" xr3:uid="{A21DD95A-C955-4510-9114-E3F1CB645370}" name="Column1" dataDxfId="318"/>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317" dataDxfId="315" headerRowBorderDxfId="316" tableBorderDxfId="314" totalsRowBorderDxfId="313">
  <autoFilter ref="AI1:AN26" xr:uid="{F8B5EC87-3095-445A-A980-2CFAA0A7B9A2}"/>
  <sortState xmlns:xlrd2="http://schemas.microsoft.com/office/spreadsheetml/2017/richdata2" ref="AI2:AL25">
    <sortCondition ref="AL1:AL25"/>
  </sortState>
  <tableColumns count="6">
    <tableColumn id="1" xr3:uid="{11579FCC-3D9F-49AD-888D-5D79B801F6AE}" name="Crop" dataDxfId="312"/>
    <tableColumn id="2" xr3:uid="{05C08116-56D5-4CC6-A649-B06AF891B931}" name="P Offtake" dataDxfId="311"/>
    <tableColumn id="3" xr3:uid="{59CDE959-192B-4757-9203-A0F691CF0F96}" name="K Offtake" dataDxfId="310"/>
    <tableColumn id="4" xr3:uid="{9FB8E4F7-B91F-4CE0-AF39-D4895D0ECF2F}" name="Order" dataDxfId="309"/>
    <tableColumn id="5" xr3:uid="{688FF2A4-D7C6-4425-A915-A9ADD700A9EE}" name="Lime pH requirement" dataDxfId="308"/>
    <tableColumn id="6" xr3:uid="{05FC5CFF-3D81-4B5F-87C7-2364076F2714}" name="Column1" dataDxfId="307"/>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306" dataDxfId="304" headerRowBorderDxfId="305" tableBorderDxfId="303" totalsRowBorderDxfId="302">
  <autoFilter ref="AI1:AN26" xr:uid="{F8B5EC87-3095-445A-A980-2CFAA0A7B9A2}"/>
  <sortState xmlns:xlrd2="http://schemas.microsoft.com/office/spreadsheetml/2017/richdata2" ref="AI2:AL25">
    <sortCondition ref="AL1:AL25"/>
  </sortState>
  <tableColumns count="6">
    <tableColumn id="1" xr3:uid="{973D7FFB-D248-4199-9B2E-B3C6CC09D382}" name="Crop" dataDxfId="301"/>
    <tableColumn id="2" xr3:uid="{7F2A3986-EC86-4CF9-BD10-791170BA6682}" name="P Offtake" dataDxfId="300"/>
    <tableColumn id="3" xr3:uid="{D6129C35-9DC6-42E5-AE3F-EA3A083168E6}" name="K Offtake" dataDxfId="299"/>
    <tableColumn id="4" xr3:uid="{C1CC42B5-564A-4DE7-B817-B7D686FE9A11}" name="Order" dataDxfId="298"/>
    <tableColumn id="5" xr3:uid="{620F3ABD-564C-411A-8DEA-CE1A34F9FC36}" name="Lime pH requirement" dataDxfId="297"/>
    <tableColumn id="6" xr3:uid="{76C9BC4F-4FF3-4AFB-8E7B-16DC0CC3E97C}" name="Column1" dataDxfId="296"/>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295" dataDxfId="293" headerRowBorderDxfId="294" tableBorderDxfId="292" totalsRowBorderDxfId="291">
  <autoFilter ref="AI1:AN26" xr:uid="{F8B5EC87-3095-445A-A980-2CFAA0A7B9A2}"/>
  <sortState xmlns:xlrd2="http://schemas.microsoft.com/office/spreadsheetml/2017/richdata2" ref="AI2:AL25">
    <sortCondition ref="AL1:AL25"/>
  </sortState>
  <tableColumns count="6">
    <tableColumn id="1" xr3:uid="{D13A12FC-EAE6-4280-A219-C2622262E5F4}" name="Crop" dataDxfId="290"/>
    <tableColumn id="2" xr3:uid="{FD06C4A3-4B75-490D-88CF-232C7DC3EFC6}" name="P Offtake" dataDxfId="289"/>
    <tableColumn id="3" xr3:uid="{B043BEFF-10D4-4840-989B-BB13A502ECDF}" name="K Offtake" dataDxfId="288"/>
    <tableColumn id="4" xr3:uid="{48481FDC-5D20-466C-B554-D45886EA366A}" name="Order" dataDxfId="287"/>
    <tableColumn id="5" xr3:uid="{9E0852D2-9D0D-44AB-98B7-FBA51F331ACF}" name="Lime pH requirement" dataDxfId="286"/>
    <tableColumn id="6" xr3:uid="{29F9C4A5-6854-4F37-8BD1-0DD9B6024A55}" name="Column1" dataDxfId="285"/>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284" dataDxfId="282" headerRowBorderDxfId="283" tableBorderDxfId="281" totalsRowBorderDxfId="280">
  <autoFilter ref="AI1:AN26" xr:uid="{F8B5EC87-3095-445A-A980-2CFAA0A7B9A2}"/>
  <sortState xmlns:xlrd2="http://schemas.microsoft.com/office/spreadsheetml/2017/richdata2" ref="AI2:AL25">
    <sortCondition ref="AL1:AL25"/>
  </sortState>
  <tableColumns count="6">
    <tableColumn id="1" xr3:uid="{C4B2E6E9-5990-417D-9E04-7933BDF1FC69}" name="Crop" dataDxfId="279"/>
    <tableColumn id="2" xr3:uid="{E74EF8D0-6C68-49B8-AE52-40C276CA5FC9}" name="P Offtake" dataDxfId="278"/>
    <tableColumn id="3" xr3:uid="{9E0A7857-36E3-482D-B4B2-65B90760417F}" name="K Offtake" dataDxfId="277"/>
    <tableColumn id="4" xr3:uid="{A78867D2-7566-4070-AF99-15EE4CEB1699}" name="Order" dataDxfId="276"/>
    <tableColumn id="5" xr3:uid="{240FD5FA-5659-468E-8544-C93086800EC9}" name="Lime pH requirement" dataDxfId="275"/>
    <tableColumn id="6" xr3:uid="{D5C8E9C3-9076-473B-AE62-DA32692BAABC}" name="Column1" dataDxfId="274"/>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273" dataDxfId="271" headerRowBorderDxfId="272" tableBorderDxfId="270" totalsRowBorderDxfId="269">
  <autoFilter ref="AI1:AN26" xr:uid="{F8B5EC87-3095-445A-A980-2CFAA0A7B9A2}"/>
  <sortState xmlns:xlrd2="http://schemas.microsoft.com/office/spreadsheetml/2017/richdata2" ref="AI2:AL25">
    <sortCondition ref="AL1:AL25"/>
  </sortState>
  <tableColumns count="6">
    <tableColumn id="1" xr3:uid="{1B554ED3-7AAF-4192-827C-B071945474B8}" name="Crop" dataDxfId="268"/>
    <tableColumn id="2" xr3:uid="{35F435E0-8D8E-44D1-84BD-C2FF51C3F944}" name="P Offtake" dataDxfId="267"/>
    <tableColumn id="3" xr3:uid="{38465C9D-AA8F-443A-80F5-96D1F6258317}" name="K Offtake" dataDxfId="266"/>
    <tableColumn id="4" xr3:uid="{E0C0E6AF-5628-4BC3-9625-81A87B93D279}" name="Order" dataDxfId="265"/>
    <tableColumn id="5" xr3:uid="{ACDE1D9A-7F94-4404-BDDC-1235C32C758F}" name="Lime pH requirement" dataDxfId="264"/>
    <tableColumn id="6" xr3:uid="{B093C9DF-C4CF-4906-9658-89F446EB9C12}" name="Column1" dataDxfId="263"/>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262" dataDxfId="260" headerRowBorderDxfId="261" tableBorderDxfId="259" totalsRowBorderDxfId="258">
  <autoFilter ref="AI1:AN26" xr:uid="{F8B5EC87-3095-445A-A980-2CFAA0A7B9A2}"/>
  <sortState xmlns:xlrd2="http://schemas.microsoft.com/office/spreadsheetml/2017/richdata2" ref="AI2:AL25">
    <sortCondition ref="AL1:AL25"/>
  </sortState>
  <tableColumns count="6">
    <tableColumn id="1" xr3:uid="{82F1A1D2-F5AA-4D76-98E8-3C18592FB8CF}" name="Crop" dataDxfId="257"/>
    <tableColumn id="2" xr3:uid="{17F60BEE-3BBA-4198-AA21-518EC4696EB6}" name="P Offtake" dataDxfId="256"/>
    <tableColumn id="3" xr3:uid="{95D820EB-2583-433A-A070-6E8356E186E7}" name="K Offtake" dataDxfId="255"/>
    <tableColumn id="4" xr3:uid="{F3AE1839-F59F-4A70-B11A-A32E3FDD1A00}" name="Order" dataDxfId="254"/>
    <tableColumn id="5" xr3:uid="{C52880C5-B266-4CF0-9A11-778ABC47F9F0}" name="Lime pH requirement" dataDxfId="253"/>
    <tableColumn id="6" xr3:uid="{233F7657-9414-44B1-9E43-A91A69CB97ED}" name="Column1" dataDxfId="252"/>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abSelected="1" zoomScale="90" zoomScaleNormal="90" workbookViewId="0">
      <selection activeCell="M9" sqref="M9"/>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13.1796875" style="9" hidden="1" customWidth="1"/>
    <col min="28" max="29" width="10.7265625" style="9" hidden="1" customWidth="1"/>
    <col min="30" max="30" width="19.7265625" style="9" hidden="1" customWidth="1"/>
    <col min="31" max="34" width="12.453125" style="9" hidden="1" customWidth="1"/>
    <col min="35" max="35" width="27.7265625" style="9" hidden="1" customWidth="1"/>
    <col min="36" max="41" width="13.1796875" style="9" hidden="1" customWidth="1"/>
    <col min="42" max="42" width="0" style="9" hidden="1" customWidth="1"/>
    <col min="43" max="16384" width="13.1796875" style="9"/>
  </cols>
  <sheetData>
    <row r="1" spans="1:40" ht="13" x14ac:dyDescent="0.3">
      <c r="A1" s="106" t="s">
        <v>41</v>
      </c>
      <c r="B1" s="106"/>
      <c r="C1" s="122" t="s">
        <v>160</v>
      </c>
      <c r="D1" s="123"/>
      <c r="E1" s="83" t="s">
        <v>45</v>
      </c>
      <c r="F1" s="86">
        <v>47.3</v>
      </c>
      <c r="G1" s="107" t="s">
        <v>43</v>
      </c>
      <c r="H1" s="108"/>
      <c r="I1" s="86">
        <v>5.62</v>
      </c>
      <c r="J1" s="106" t="s">
        <v>153</v>
      </c>
      <c r="K1" s="106"/>
      <c r="L1" s="86">
        <v>109</v>
      </c>
      <c r="AB1" s="14"/>
      <c r="AC1" s="14"/>
      <c r="AD1" s="23" t="s">
        <v>126</v>
      </c>
      <c r="AE1" s="14"/>
      <c r="AF1" s="14"/>
      <c r="AG1" s="14"/>
      <c r="AH1" s="14"/>
      <c r="AI1" s="33" t="s">
        <v>79</v>
      </c>
      <c r="AJ1" s="34" t="s">
        <v>94</v>
      </c>
      <c r="AK1" s="35" t="s">
        <v>95</v>
      </c>
      <c r="AL1" s="36" t="s">
        <v>125</v>
      </c>
      <c r="AM1" s="36" t="s">
        <v>131</v>
      </c>
      <c r="AN1" s="36" t="s">
        <v>111</v>
      </c>
    </row>
    <row r="2" spans="1:40" ht="13" x14ac:dyDescent="0.3">
      <c r="A2" s="106" t="s">
        <v>87</v>
      </c>
      <c r="B2" s="106"/>
      <c r="C2" s="120" t="s">
        <v>161</v>
      </c>
      <c r="D2" s="121"/>
      <c r="E2" s="83" t="s">
        <v>109</v>
      </c>
      <c r="F2" s="86" t="s">
        <v>165</v>
      </c>
      <c r="G2" s="125" t="s">
        <v>110</v>
      </c>
      <c r="H2" s="126"/>
      <c r="I2" s="86">
        <v>477</v>
      </c>
      <c r="J2" s="106" t="s">
        <v>158</v>
      </c>
      <c r="K2" s="106"/>
      <c r="L2" s="86">
        <v>0.13</v>
      </c>
      <c r="AB2" s="23" t="s">
        <v>56</v>
      </c>
      <c r="AC2" s="14"/>
      <c r="AD2" s="23" t="s">
        <v>70</v>
      </c>
      <c r="AE2" s="14"/>
      <c r="AF2" s="14"/>
      <c r="AG2" s="37" t="s">
        <v>76</v>
      </c>
      <c r="AH2" s="14"/>
      <c r="AI2" s="38" t="s">
        <v>126</v>
      </c>
      <c r="AJ2" s="39">
        <v>0</v>
      </c>
      <c r="AK2" s="40">
        <v>0</v>
      </c>
      <c r="AL2" s="7">
        <v>0</v>
      </c>
      <c r="AM2" s="9">
        <v>0</v>
      </c>
      <c r="AN2" s="9">
        <v>0</v>
      </c>
    </row>
    <row r="3" spans="1:40" ht="13" x14ac:dyDescent="0.25">
      <c r="A3" s="107" t="s">
        <v>42</v>
      </c>
      <c r="B3" s="108"/>
      <c r="C3" s="120" t="s">
        <v>162</v>
      </c>
      <c r="D3" s="121"/>
      <c r="E3" s="83" t="s">
        <v>108</v>
      </c>
      <c r="F3" s="24" t="s">
        <v>78</v>
      </c>
      <c r="G3" s="106" t="s">
        <v>159</v>
      </c>
      <c r="H3" s="106"/>
      <c r="I3" s="86">
        <v>5420</v>
      </c>
      <c r="J3" s="107" t="s">
        <v>154</v>
      </c>
      <c r="K3" s="108"/>
      <c r="L3" s="86">
        <f>(L1/(L2*10000))*100</f>
        <v>8.384615384615385</v>
      </c>
      <c r="AB3" s="23" t="s">
        <v>57</v>
      </c>
      <c r="AC3" s="14"/>
      <c r="AD3" s="23" t="s">
        <v>71</v>
      </c>
      <c r="AE3" s="14"/>
      <c r="AF3" s="14"/>
      <c r="AG3" s="37" t="s">
        <v>77</v>
      </c>
      <c r="AH3" s="14"/>
      <c r="AI3" s="41" t="s">
        <v>113</v>
      </c>
      <c r="AJ3" s="42">
        <v>1.7</v>
      </c>
      <c r="AK3" s="43">
        <v>6</v>
      </c>
      <c r="AL3" s="44">
        <v>1</v>
      </c>
      <c r="AM3" s="9">
        <v>6.2</v>
      </c>
      <c r="AN3" s="9" t="s">
        <v>112</v>
      </c>
    </row>
    <row r="4" spans="1:40" ht="13" x14ac:dyDescent="0.25">
      <c r="A4" s="106" t="s">
        <v>0</v>
      </c>
      <c r="B4" s="106"/>
      <c r="C4" s="122" t="s">
        <v>164</v>
      </c>
      <c r="D4" s="123"/>
      <c r="E4" s="84" t="s">
        <v>1</v>
      </c>
      <c r="F4" s="85" t="s">
        <v>166</v>
      </c>
      <c r="G4" s="106"/>
      <c r="H4" s="106"/>
      <c r="I4" s="86"/>
      <c r="J4" s="107"/>
      <c r="K4" s="108"/>
      <c r="L4" s="86"/>
      <c r="AB4" s="23" t="s">
        <v>52</v>
      </c>
      <c r="AC4" s="14"/>
      <c r="AD4" s="45" t="s">
        <v>72</v>
      </c>
      <c r="AE4" s="14"/>
      <c r="AF4" s="14"/>
      <c r="AG4" s="37" t="s">
        <v>78</v>
      </c>
      <c r="AH4" s="14"/>
      <c r="AI4" s="46" t="s">
        <v>124</v>
      </c>
      <c r="AJ4" s="47">
        <v>7</v>
      </c>
      <c r="AK4" s="48">
        <v>10.5</v>
      </c>
      <c r="AL4" s="9">
        <v>2</v>
      </c>
      <c r="AM4" s="9">
        <v>6.7</v>
      </c>
      <c r="AN4" s="9" t="s">
        <v>135</v>
      </c>
    </row>
    <row r="5" spans="1:40" ht="13" x14ac:dyDescent="0.25">
      <c r="A5" s="106" t="s">
        <v>47</v>
      </c>
      <c r="B5" s="106"/>
      <c r="C5" s="124" t="s">
        <v>163</v>
      </c>
      <c r="D5" s="124"/>
      <c r="E5" s="84"/>
      <c r="F5" s="85"/>
      <c r="G5" s="106"/>
      <c r="H5" s="106"/>
      <c r="I5" s="86"/>
      <c r="J5" s="107"/>
      <c r="K5" s="108"/>
      <c r="L5" s="86"/>
      <c r="AB5" s="23" t="s">
        <v>53</v>
      </c>
      <c r="AC5" s="14"/>
      <c r="AD5" s="45" t="s">
        <v>73</v>
      </c>
      <c r="AE5" s="14"/>
      <c r="AF5" s="14"/>
      <c r="AG5" s="37" t="s">
        <v>104</v>
      </c>
      <c r="AH5" s="14"/>
      <c r="AI5" s="46" t="s">
        <v>123</v>
      </c>
      <c r="AJ5" s="47">
        <v>6.5</v>
      </c>
      <c r="AK5" s="48">
        <v>5.5</v>
      </c>
      <c r="AL5" s="9">
        <v>3</v>
      </c>
      <c r="AM5" s="9">
        <v>6.7</v>
      </c>
      <c r="AN5" s="9" t="s">
        <v>135</v>
      </c>
    </row>
    <row r="6" spans="1:40" x14ac:dyDescent="0.25">
      <c r="A6" s="49"/>
      <c r="B6" s="49"/>
      <c r="F6" s="50"/>
      <c r="G6" s="50"/>
      <c r="H6" s="51"/>
      <c r="I6" s="51"/>
      <c r="J6" s="51"/>
      <c r="AB6" s="23" t="s">
        <v>54</v>
      </c>
      <c r="AC6" s="14"/>
      <c r="AD6" s="45" t="s">
        <v>74</v>
      </c>
      <c r="AE6" s="14"/>
      <c r="AF6" s="14"/>
      <c r="AG6" s="14"/>
      <c r="AH6" s="14"/>
      <c r="AI6" s="46" t="s">
        <v>68</v>
      </c>
      <c r="AJ6" s="47">
        <v>8.5</v>
      </c>
      <c r="AK6" s="48">
        <v>12</v>
      </c>
      <c r="AL6" s="9">
        <v>4</v>
      </c>
      <c r="AM6" s="9">
        <v>6.7</v>
      </c>
      <c r="AN6" s="9" t="s">
        <v>135</v>
      </c>
    </row>
    <row r="7" spans="1:40" s="7" customFormat="1" ht="13" x14ac:dyDescent="0.25">
      <c r="A7" s="112" t="s">
        <v>63</v>
      </c>
      <c r="B7" s="112"/>
      <c r="C7" s="10">
        <v>1</v>
      </c>
      <c r="D7" s="10">
        <v>2</v>
      </c>
      <c r="E7" s="10">
        <v>3</v>
      </c>
      <c r="F7" s="10">
        <v>4</v>
      </c>
      <c r="G7" s="10">
        <v>5</v>
      </c>
      <c r="H7" s="10">
        <v>6</v>
      </c>
      <c r="I7" s="10">
        <v>7</v>
      </c>
      <c r="J7" s="10">
        <v>8</v>
      </c>
      <c r="K7" s="10">
        <v>9</v>
      </c>
      <c r="L7" s="10">
        <v>10</v>
      </c>
      <c r="M7" s="10">
        <v>11</v>
      </c>
      <c r="N7" s="10">
        <v>12</v>
      </c>
      <c r="O7" s="10">
        <v>13</v>
      </c>
      <c r="P7" s="10">
        <v>14</v>
      </c>
      <c r="Q7" s="10">
        <v>15</v>
      </c>
      <c r="R7" s="10">
        <v>16</v>
      </c>
      <c r="S7" s="10">
        <v>17</v>
      </c>
      <c r="T7" s="10">
        <v>18</v>
      </c>
      <c r="U7" s="10">
        <v>19</v>
      </c>
      <c r="V7" s="10">
        <v>20</v>
      </c>
      <c r="AB7" s="23" t="s">
        <v>55</v>
      </c>
      <c r="AC7" s="14"/>
      <c r="AD7" s="14"/>
      <c r="AE7" s="14"/>
      <c r="AF7" s="14"/>
      <c r="AG7" s="14"/>
      <c r="AH7" s="14"/>
      <c r="AI7" s="46" t="s">
        <v>96</v>
      </c>
      <c r="AJ7" s="47">
        <v>8.5</v>
      </c>
      <c r="AK7" s="48">
        <v>10.5</v>
      </c>
      <c r="AL7" s="9">
        <v>5</v>
      </c>
      <c r="AM7" s="7">
        <v>6.7</v>
      </c>
      <c r="AN7" s="9" t="s">
        <v>135</v>
      </c>
    </row>
    <row r="8" spans="1:40" ht="13" x14ac:dyDescent="0.25">
      <c r="A8" s="106" t="s">
        <v>2</v>
      </c>
      <c r="B8" s="106"/>
      <c r="C8" s="12" t="s">
        <v>167</v>
      </c>
      <c r="D8" s="12" t="s">
        <v>168</v>
      </c>
      <c r="E8" s="12" t="s">
        <v>169</v>
      </c>
      <c r="F8" s="12" t="s">
        <v>170</v>
      </c>
      <c r="G8" s="12" t="s">
        <v>171</v>
      </c>
      <c r="H8" s="12" t="s">
        <v>172</v>
      </c>
      <c r="I8" s="12" t="s">
        <v>173</v>
      </c>
      <c r="J8" s="12" t="s">
        <v>174</v>
      </c>
      <c r="K8" s="12" t="s">
        <v>175</v>
      </c>
      <c r="L8" s="12" t="s">
        <v>176</v>
      </c>
      <c r="M8" s="12" t="s">
        <v>177</v>
      </c>
      <c r="N8" s="12"/>
      <c r="O8" s="12"/>
      <c r="P8" s="12"/>
      <c r="Q8" s="12"/>
      <c r="R8" s="12"/>
      <c r="S8" s="12"/>
      <c r="T8" s="12"/>
      <c r="U8" s="12"/>
      <c r="V8" s="12"/>
      <c r="AB8" s="53"/>
      <c r="AC8" s="53"/>
      <c r="AD8" s="14"/>
      <c r="AE8" s="14" t="s">
        <v>139</v>
      </c>
      <c r="AF8" s="14"/>
      <c r="AG8" s="14"/>
      <c r="AH8" s="14"/>
      <c r="AI8" s="46" t="s">
        <v>105</v>
      </c>
      <c r="AJ8" s="54">
        <v>1.4</v>
      </c>
      <c r="AK8" s="48">
        <v>4.4000000000000004</v>
      </c>
      <c r="AL8" s="9">
        <v>6</v>
      </c>
      <c r="AM8" s="9">
        <v>6.7</v>
      </c>
      <c r="AN8" s="9" t="s">
        <v>135</v>
      </c>
    </row>
    <row r="9" spans="1:40" ht="13" x14ac:dyDescent="0.25">
      <c r="A9" s="106" t="s">
        <v>3</v>
      </c>
      <c r="B9" s="106"/>
      <c r="C9" s="12" t="s">
        <v>189</v>
      </c>
      <c r="D9" s="12" t="s">
        <v>189</v>
      </c>
      <c r="E9" s="12" t="s">
        <v>189</v>
      </c>
      <c r="F9" s="12" t="s">
        <v>189</v>
      </c>
      <c r="G9" s="12" t="s">
        <v>189</v>
      </c>
      <c r="H9" s="12" t="s">
        <v>189</v>
      </c>
      <c r="I9" s="12" t="s">
        <v>189</v>
      </c>
      <c r="J9" s="12" t="s">
        <v>189</v>
      </c>
      <c r="K9" s="12" t="s">
        <v>189</v>
      </c>
      <c r="L9" s="12" t="s">
        <v>189</v>
      </c>
      <c r="M9" s="12" t="s">
        <v>189</v>
      </c>
      <c r="N9" s="12"/>
      <c r="O9" s="12"/>
      <c r="P9" s="12"/>
      <c r="Q9" s="12"/>
      <c r="R9" s="12"/>
      <c r="S9" s="12"/>
      <c r="T9" s="12"/>
      <c r="U9" s="12"/>
      <c r="V9" s="12"/>
      <c r="AB9" s="14"/>
      <c r="AC9" s="14"/>
      <c r="AD9" s="23" t="s">
        <v>137</v>
      </c>
      <c r="AE9" s="23">
        <v>4.5</v>
      </c>
      <c r="AF9" s="14"/>
      <c r="AG9" s="14"/>
      <c r="AH9" s="14"/>
      <c r="AI9" s="55" t="s">
        <v>103</v>
      </c>
      <c r="AJ9" s="56">
        <v>0.7</v>
      </c>
      <c r="AK9" s="57">
        <v>4</v>
      </c>
      <c r="AL9" s="22">
        <v>7</v>
      </c>
      <c r="AM9" s="9">
        <v>6.7</v>
      </c>
      <c r="AN9" s="9" t="s">
        <v>135</v>
      </c>
    </row>
    <row r="10" spans="1:40" ht="13" x14ac:dyDescent="0.25">
      <c r="A10" s="106" t="s">
        <v>4</v>
      </c>
      <c r="B10" s="106"/>
      <c r="C10" s="12">
        <v>5.4</v>
      </c>
      <c r="D10" s="12">
        <v>6.3</v>
      </c>
      <c r="E10" s="12">
        <v>6.3</v>
      </c>
      <c r="F10" s="12">
        <v>6.2</v>
      </c>
      <c r="G10" s="12">
        <v>6.2</v>
      </c>
      <c r="H10" s="12">
        <v>6.3</v>
      </c>
      <c r="I10" s="12">
        <v>6.3</v>
      </c>
      <c r="J10" s="12">
        <v>6.2</v>
      </c>
      <c r="K10" s="12">
        <v>6.3</v>
      </c>
      <c r="L10" s="12">
        <v>6.3</v>
      </c>
      <c r="M10" s="12">
        <v>6.3</v>
      </c>
      <c r="N10" s="12"/>
      <c r="O10" s="12"/>
      <c r="P10" s="12"/>
      <c r="Q10" s="12"/>
      <c r="R10" s="12"/>
      <c r="S10" s="12"/>
      <c r="T10" s="12"/>
      <c r="U10" s="12"/>
      <c r="V10" s="12"/>
      <c r="AB10" s="14"/>
      <c r="AC10" s="14"/>
      <c r="AD10" s="23" t="s">
        <v>140</v>
      </c>
      <c r="AE10" s="23">
        <v>5</v>
      </c>
      <c r="AF10" s="14"/>
      <c r="AG10" s="14"/>
      <c r="AH10" s="14"/>
      <c r="AI10" s="46" t="s">
        <v>97</v>
      </c>
      <c r="AJ10" s="47">
        <v>9</v>
      </c>
      <c r="AK10" s="48">
        <v>16.5</v>
      </c>
      <c r="AL10" s="9">
        <v>8</v>
      </c>
      <c r="AM10" s="9">
        <v>6.7</v>
      </c>
      <c r="AN10" s="9" t="s">
        <v>135</v>
      </c>
    </row>
    <row r="11" spans="1:40" ht="13" x14ac:dyDescent="0.25">
      <c r="A11" s="106" t="s">
        <v>5</v>
      </c>
      <c r="B11" s="106"/>
      <c r="C11" s="12">
        <v>2</v>
      </c>
      <c r="D11" s="12">
        <v>2</v>
      </c>
      <c r="E11" s="12">
        <v>2</v>
      </c>
      <c r="F11" s="12">
        <v>1</v>
      </c>
      <c r="G11" s="12">
        <v>2</v>
      </c>
      <c r="H11" s="12">
        <v>2</v>
      </c>
      <c r="I11" s="12">
        <v>2</v>
      </c>
      <c r="J11" s="12">
        <v>2</v>
      </c>
      <c r="K11" s="12">
        <v>2</v>
      </c>
      <c r="L11" s="12">
        <v>2</v>
      </c>
      <c r="M11" s="12">
        <v>2</v>
      </c>
      <c r="N11" s="12"/>
      <c r="O11" s="12"/>
      <c r="P11" s="12"/>
      <c r="Q11" s="12"/>
      <c r="R11" s="12"/>
      <c r="S11" s="12"/>
      <c r="T11" s="12"/>
      <c r="U11" s="12"/>
      <c r="V11" s="12"/>
      <c r="AB11" s="14"/>
      <c r="AC11" s="14"/>
      <c r="AD11" s="45" t="s">
        <v>141</v>
      </c>
      <c r="AE11" s="23">
        <v>6</v>
      </c>
      <c r="AF11" s="14"/>
      <c r="AG11" s="14"/>
      <c r="AH11" s="14"/>
      <c r="AI11" s="46" t="s">
        <v>122</v>
      </c>
      <c r="AJ11" s="47">
        <v>15</v>
      </c>
      <c r="AK11" s="48">
        <v>17.5</v>
      </c>
      <c r="AL11" s="9">
        <v>9</v>
      </c>
      <c r="AM11" s="9">
        <v>7</v>
      </c>
      <c r="AN11" s="9" t="s">
        <v>135</v>
      </c>
    </row>
    <row r="12" spans="1:40" ht="13" x14ac:dyDescent="0.25">
      <c r="A12" s="106" t="s">
        <v>6</v>
      </c>
      <c r="B12" s="106"/>
      <c r="C12" s="12">
        <v>1</v>
      </c>
      <c r="D12" s="12">
        <v>2</v>
      </c>
      <c r="E12" s="12">
        <v>1</v>
      </c>
      <c r="F12" s="12">
        <v>2</v>
      </c>
      <c r="G12" s="12">
        <v>2</v>
      </c>
      <c r="H12" s="12">
        <v>1</v>
      </c>
      <c r="I12" s="12">
        <v>2</v>
      </c>
      <c r="J12" s="12">
        <v>1</v>
      </c>
      <c r="K12" s="12">
        <v>2</v>
      </c>
      <c r="L12" s="12">
        <v>2</v>
      </c>
      <c r="M12" s="12">
        <v>1</v>
      </c>
      <c r="N12" s="12"/>
      <c r="O12" s="12"/>
      <c r="P12" s="12"/>
      <c r="Q12" s="12"/>
      <c r="R12" s="12"/>
      <c r="S12" s="12"/>
      <c r="T12" s="12"/>
      <c r="U12" s="12"/>
      <c r="V12" s="12"/>
      <c r="AB12" s="14"/>
      <c r="AC12" s="14"/>
      <c r="AD12" s="45" t="s">
        <v>142</v>
      </c>
      <c r="AE12" s="23">
        <v>7.5</v>
      </c>
      <c r="AF12" s="14"/>
      <c r="AG12" s="14"/>
      <c r="AH12" s="14"/>
      <c r="AI12" s="46" t="s">
        <v>121</v>
      </c>
      <c r="AJ12" s="47">
        <v>14</v>
      </c>
      <c r="AK12" s="48">
        <v>11</v>
      </c>
      <c r="AL12" s="9">
        <v>10</v>
      </c>
      <c r="AM12" s="9">
        <v>7</v>
      </c>
      <c r="AN12" s="9" t="s">
        <v>135</v>
      </c>
    </row>
    <row r="13" spans="1:40" ht="13" x14ac:dyDescent="0.25">
      <c r="A13" s="106" t="s">
        <v>7</v>
      </c>
      <c r="B13" s="106"/>
      <c r="C13" s="12">
        <v>3</v>
      </c>
      <c r="D13" s="12">
        <v>5</v>
      </c>
      <c r="E13" s="12">
        <v>5</v>
      </c>
      <c r="F13" s="12">
        <v>5</v>
      </c>
      <c r="G13" s="12">
        <v>5</v>
      </c>
      <c r="H13" s="12">
        <v>5</v>
      </c>
      <c r="I13" s="12">
        <v>5</v>
      </c>
      <c r="J13" s="12">
        <v>5</v>
      </c>
      <c r="K13" s="12">
        <v>5</v>
      </c>
      <c r="L13" s="12">
        <v>5</v>
      </c>
      <c r="M13" s="12">
        <v>5</v>
      </c>
      <c r="N13" s="12"/>
      <c r="O13" s="12"/>
      <c r="P13" s="12"/>
      <c r="Q13" s="12"/>
      <c r="R13" s="12"/>
      <c r="S13" s="12"/>
      <c r="T13" s="12"/>
      <c r="U13" s="12"/>
      <c r="V13" s="12"/>
      <c r="AB13" s="14"/>
      <c r="AC13" s="14"/>
      <c r="AD13" s="45" t="s">
        <v>143</v>
      </c>
      <c r="AE13" s="23">
        <v>12</v>
      </c>
      <c r="AF13" s="14"/>
      <c r="AG13" s="14"/>
      <c r="AH13" s="14"/>
      <c r="AI13" s="46" t="s">
        <v>120</v>
      </c>
      <c r="AJ13" s="47">
        <v>1.9</v>
      </c>
      <c r="AK13" s="48">
        <v>7.5</v>
      </c>
      <c r="AL13" s="9">
        <v>11</v>
      </c>
      <c r="AM13" s="9">
        <v>6.7</v>
      </c>
      <c r="AN13" s="9" t="s">
        <v>135</v>
      </c>
    </row>
    <row r="14" spans="1:40" ht="13" x14ac:dyDescent="0.25">
      <c r="A14" s="118" t="s">
        <v>8</v>
      </c>
      <c r="B14" s="118"/>
      <c r="C14" s="89" t="s">
        <v>113</v>
      </c>
      <c r="D14" s="89" t="s">
        <v>113</v>
      </c>
      <c r="E14" s="89" t="s">
        <v>113</v>
      </c>
      <c r="F14" s="89" t="s">
        <v>113</v>
      </c>
      <c r="G14" s="89" t="s">
        <v>113</v>
      </c>
      <c r="H14" s="89" t="s">
        <v>113</v>
      </c>
      <c r="I14" s="89" t="s">
        <v>113</v>
      </c>
      <c r="J14" s="89" t="s">
        <v>113</v>
      </c>
      <c r="K14" s="89" t="s">
        <v>113</v>
      </c>
      <c r="L14" s="89" t="s">
        <v>113</v>
      </c>
      <c r="M14" s="89" t="s">
        <v>113</v>
      </c>
      <c r="N14" s="89"/>
      <c r="O14" s="89"/>
      <c r="P14" s="89"/>
      <c r="Q14" s="89"/>
      <c r="R14" s="89"/>
      <c r="S14" s="89"/>
      <c r="T14" s="89"/>
      <c r="U14" s="89"/>
      <c r="V14" s="89"/>
      <c r="AD14" s="23" t="s">
        <v>138</v>
      </c>
      <c r="AE14" s="23">
        <v>6</v>
      </c>
      <c r="AI14" s="46" t="s">
        <v>119</v>
      </c>
      <c r="AJ14" s="47">
        <v>0.8</v>
      </c>
      <c r="AK14" s="48">
        <v>1.7</v>
      </c>
      <c r="AL14" s="9">
        <v>12</v>
      </c>
      <c r="AM14" s="9">
        <v>6.7</v>
      </c>
      <c r="AN14" s="9" t="s">
        <v>135</v>
      </c>
    </row>
    <row r="15" spans="1:40" ht="13" x14ac:dyDescent="0.25">
      <c r="A15" s="117" t="s">
        <v>9</v>
      </c>
      <c r="B15" s="117"/>
      <c r="C15" s="12">
        <v>47</v>
      </c>
      <c r="D15" s="12">
        <v>47</v>
      </c>
      <c r="E15" s="12">
        <v>47</v>
      </c>
      <c r="F15" s="12">
        <v>47</v>
      </c>
      <c r="G15" s="12">
        <v>47</v>
      </c>
      <c r="H15" s="12">
        <v>47</v>
      </c>
      <c r="I15" s="12">
        <v>47</v>
      </c>
      <c r="J15" s="12">
        <v>47</v>
      </c>
      <c r="K15" s="12">
        <v>47</v>
      </c>
      <c r="L15" s="12">
        <v>47</v>
      </c>
      <c r="M15" s="12">
        <v>47</v>
      </c>
      <c r="N15" s="12"/>
      <c r="O15" s="12"/>
      <c r="P15" s="12"/>
      <c r="Q15" s="12"/>
      <c r="R15" s="12"/>
      <c r="S15" s="12"/>
      <c r="T15" s="12"/>
      <c r="U15" s="12"/>
      <c r="V15" s="12"/>
      <c r="AD15" s="23" t="s">
        <v>144</v>
      </c>
      <c r="AE15" s="23">
        <v>7</v>
      </c>
      <c r="AI15" s="46" t="s">
        <v>101</v>
      </c>
      <c r="AJ15" s="54">
        <v>1.8</v>
      </c>
      <c r="AK15" s="48">
        <v>5.4</v>
      </c>
      <c r="AL15" s="9">
        <v>13</v>
      </c>
      <c r="AM15" s="9">
        <v>6.7</v>
      </c>
      <c r="AN15" s="9" t="s">
        <v>135</v>
      </c>
    </row>
    <row r="16" spans="1:40" ht="13.5" thickBot="1" x14ac:dyDescent="0.3">
      <c r="A16" s="119" t="s">
        <v>44</v>
      </c>
      <c r="B16" s="119"/>
      <c r="C16" s="90" t="s">
        <v>72</v>
      </c>
      <c r="D16" s="90" t="s">
        <v>72</v>
      </c>
      <c r="E16" s="90" t="s">
        <v>72</v>
      </c>
      <c r="F16" s="90" t="s">
        <v>72</v>
      </c>
      <c r="G16" s="90" t="s">
        <v>72</v>
      </c>
      <c r="H16" s="90" t="s">
        <v>72</v>
      </c>
      <c r="I16" s="90" t="s">
        <v>72</v>
      </c>
      <c r="J16" s="90" t="s">
        <v>72</v>
      </c>
      <c r="K16" s="90" t="s">
        <v>72</v>
      </c>
      <c r="L16" s="90" t="s">
        <v>72</v>
      </c>
      <c r="M16" s="90" t="s">
        <v>72</v>
      </c>
      <c r="N16" s="90"/>
      <c r="O16" s="90"/>
      <c r="P16" s="90"/>
      <c r="Q16" s="90"/>
      <c r="R16" s="90"/>
      <c r="S16" s="90"/>
      <c r="T16" s="90"/>
      <c r="U16" s="90"/>
      <c r="V16" s="90"/>
      <c r="AD16" s="45" t="s">
        <v>145</v>
      </c>
      <c r="AE16" s="23">
        <v>8</v>
      </c>
      <c r="AI16" s="46" t="s">
        <v>118</v>
      </c>
      <c r="AJ16" s="47">
        <v>8</v>
      </c>
      <c r="AK16" s="48">
        <v>5.5</v>
      </c>
      <c r="AL16" s="7">
        <v>14</v>
      </c>
      <c r="AM16" s="9">
        <v>6.7</v>
      </c>
      <c r="AN16" s="9" t="s">
        <v>135</v>
      </c>
    </row>
    <row r="17" spans="1:40" ht="13" x14ac:dyDescent="0.25">
      <c r="A17" s="109" t="s">
        <v>69</v>
      </c>
      <c r="B17" s="110"/>
      <c r="C17" s="21">
        <f>(VLOOKUP(C$14,$AI2:$AK26,2,FALSE))*C$15</f>
        <v>79.899999999999991</v>
      </c>
      <c r="D17" s="21">
        <f t="shared" ref="D17:V17" si="0">(VLOOKUP(D$14,$AI2:$AK26,2,FALSE))*D$15</f>
        <v>79.899999999999991</v>
      </c>
      <c r="E17" s="21">
        <f t="shared" si="0"/>
        <v>79.899999999999991</v>
      </c>
      <c r="F17" s="21">
        <f t="shared" si="0"/>
        <v>79.899999999999991</v>
      </c>
      <c r="G17" s="21">
        <f t="shared" si="0"/>
        <v>79.899999999999991</v>
      </c>
      <c r="H17" s="21">
        <f t="shared" si="0"/>
        <v>79.899999999999991</v>
      </c>
      <c r="I17" s="21">
        <f t="shared" si="0"/>
        <v>79.899999999999991</v>
      </c>
      <c r="J17" s="21">
        <f t="shared" si="0"/>
        <v>79.899999999999991</v>
      </c>
      <c r="K17" s="21">
        <f t="shared" si="0"/>
        <v>79.899999999999991</v>
      </c>
      <c r="L17" s="21">
        <f t="shared" si="0"/>
        <v>79.899999999999991</v>
      </c>
      <c r="M17" s="21">
        <f t="shared" si="0"/>
        <v>79.899999999999991</v>
      </c>
      <c r="N17" s="21" t="e">
        <f t="shared" si="0"/>
        <v>#N/A</v>
      </c>
      <c r="O17" s="21" t="e">
        <f t="shared" si="0"/>
        <v>#N/A</v>
      </c>
      <c r="P17" s="21" t="e">
        <f t="shared" si="0"/>
        <v>#N/A</v>
      </c>
      <c r="Q17" s="21" t="e">
        <f t="shared" si="0"/>
        <v>#N/A</v>
      </c>
      <c r="R17" s="21" t="e">
        <f t="shared" si="0"/>
        <v>#N/A</v>
      </c>
      <c r="S17" s="21" t="e">
        <f t="shared" si="0"/>
        <v>#N/A</v>
      </c>
      <c r="T17" s="21" t="e">
        <f t="shared" si="0"/>
        <v>#N/A</v>
      </c>
      <c r="U17" s="21" t="e">
        <f t="shared" si="0"/>
        <v>#N/A</v>
      </c>
      <c r="V17" s="21" t="e">
        <f t="shared" si="0"/>
        <v>#N/A</v>
      </c>
      <c r="AD17" s="45" t="s">
        <v>146</v>
      </c>
      <c r="AE17" s="23">
        <v>10</v>
      </c>
      <c r="AI17" s="41" t="s">
        <v>115</v>
      </c>
      <c r="AJ17" s="42">
        <v>1.4</v>
      </c>
      <c r="AK17" s="43">
        <v>4.8</v>
      </c>
      <c r="AL17" s="44">
        <v>15</v>
      </c>
      <c r="AM17" s="9">
        <v>6.2</v>
      </c>
      <c r="AN17" s="9" t="s">
        <v>112</v>
      </c>
    </row>
    <row r="18" spans="1:40" ht="13" x14ac:dyDescent="0.25">
      <c r="A18" s="111" t="s">
        <v>23</v>
      </c>
      <c r="B18" s="112"/>
      <c r="C18" s="13">
        <f>$D31</f>
        <v>79.896333999999996</v>
      </c>
      <c r="D18" s="13">
        <f>$D32</f>
        <v>79.896333999999996</v>
      </c>
      <c r="E18" s="13">
        <f>$D33</f>
        <v>79.896333999999996</v>
      </c>
      <c r="F18" s="13">
        <f>$D34</f>
        <v>143.21041</v>
      </c>
      <c r="G18" s="13">
        <f>$D35</f>
        <v>79.896333999999996</v>
      </c>
      <c r="H18" s="13">
        <f>$D36</f>
        <v>79.896333999999996</v>
      </c>
      <c r="I18" s="13">
        <f>$D37</f>
        <v>79.896333999999996</v>
      </c>
      <c r="J18" s="13">
        <f>$D38</f>
        <v>79.896333999999996</v>
      </c>
      <c r="K18" s="13">
        <f>$D39</f>
        <v>79.896333999999996</v>
      </c>
      <c r="L18" s="13">
        <f>$D40</f>
        <v>79.896333999999996</v>
      </c>
      <c r="M18" s="13">
        <f>$D41</f>
        <v>79.896333999999996</v>
      </c>
      <c r="N18" s="13">
        <f>$D42</f>
        <v>0</v>
      </c>
      <c r="O18" s="13">
        <f>$D43</f>
        <v>0</v>
      </c>
      <c r="P18" s="13">
        <f>$D44</f>
        <v>0</v>
      </c>
      <c r="Q18" s="13">
        <f>$D45</f>
        <v>0</v>
      </c>
      <c r="R18" s="13">
        <f>$D46</f>
        <v>0</v>
      </c>
      <c r="S18" s="13">
        <f>$D47</f>
        <v>0</v>
      </c>
      <c r="T18" s="13">
        <f>$D48</f>
        <v>0</v>
      </c>
      <c r="U18" s="13">
        <f>$D49</f>
        <v>0</v>
      </c>
      <c r="V18" s="18">
        <f>$D50</f>
        <v>0</v>
      </c>
      <c r="AD18" s="45" t="s">
        <v>147</v>
      </c>
      <c r="AE18" s="23">
        <v>16</v>
      </c>
      <c r="AI18" s="41" t="s">
        <v>106</v>
      </c>
      <c r="AJ18" s="42">
        <v>5.9</v>
      </c>
      <c r="AK18" s="43">
        <v>18</v>
      </c>
      <c r="AL18" s="44">
        <v>16</v>
      </c>
      <c r="AM18" s="9">
        <v>6.2</v>
      </c>
      <c r="AN18" s="9" t="s">
        <v>112</v>
      </c>
    </row>
    <row r="19" spans="1:40" ht="13" x14ac:dyDescent="0.25">
      <c r="A19" s="111" t="s">
        <v>90</v>
      </c>
      <c r="B19" s="112"/>
      <c r="C19" s="13">
        <f>C18-C17</f>
        <v>-3.6659999999955062E-3</v>
      </c>
      <c r="D19" s="13">
        <f t="shared" ref="D19:V19" si="1">D18-D17</f>
        <v>-3.6659999999955062E-3</v>
      </c>
      <c r="E19" s="13">
        <f t="shared" si="1"/>
        <v>-3.6659999999955062E-3</v>
      </c>
      <c r="F19" s="13">
        <f t="shared" si="1"/>
        <v>63.310410000000005</v>
      </c>
      <c r="G19" s="13">
        <f t="shared" si="1"/>
        <v>-3.6659999999955062E-3</v>
      </c>
      <c r="H19" s="13">
        <f t="shared" si="1"/>
        <v>-3.6659999999955062E-3</v>
      </c>
      <c r="I19" s="13">
        <f t="shared" si="1"/>
        <v>-3.6659999999955062E-3</v>
      </c>
      <c r="J19" s="13">
        <f t="shared" si="1"/>
        <v>-3.6659999999955062E-3</v>
      </c>
      <c r="K19" s="13">
        <f t="shared" si="1"/>
        <v>-3.6659999999955062E-3</v>
      </c>
      <c r="L19" s="13">
        <f t="shared" si="1"/>
        <v>-3.6659999999955062E-3</v>
      </c>
      <c r="M19" s="13">
        <f t="shared" si="1"/>
        <v>-3.6659999999955062E-3</v>
      </c>
      <c r="N19" s="13" t="e">
        <f t="shared" si="1"/>
        <v>#N/A</v>
      </c>
      <c r="O19" s="13" t="e">
        <f t="shared" si="1"/>
        <v>#N/A</v>
      </c>
      <c r="P19" s="13" t="e">
        <f t="shared" si="1"/>
        <v>#N/A</v>
      </c>
      <c r="Q19" s="13" t="e">
        <f t="shared" si="1"/>
        <v>#N/A</v>
      </c>
      <c r="R19" s="13" t="e">
        <f t="shared" si="1"/>
        <v>#N/A</v>
      </c>
      <c r="S19" s="13" t="e">
        <f t="shared" si="1"/>
        <v>#N/A</v>
      </c>
      <c r="T19" s="13" t="e">
        <f t="shared" si="1"/>
        <v>#N/A</v>
      </c>
      <c r="U19" s="13" t="e">
        <f t="shared" si="1"/>
        <v>#N/A</v>
      </c>
      <c r="V19" s="18" t="e">
        <f t="shared" si="1"/>
        <v>#N/A</v>
      </c>
      <c r="AI19" s="41" t="s">
        <v>107</v>
      </c>
      <c r="AJ19" s="42">
        <v>3.2</v>
      </c>
      <c r="AK19" s="43">
        <v>10.5</v>
      </c>
      <c r="AL19" s="44">
        <v>17</v>
      </c>
      <c r="AM19" s="9">
        <v>6.2</v>
      </c>
      <c r="AN19" s="9" t="s">
        <v>112</v>
      </c>
    </row>
    <row r="20" spans="1:40" ht="13.5" thickBot="1" x14ac:dyDescent="0.3">
      <c r="A20" s="113" t="s">
        <v>91</v>
      </c>
      <c r="B20" s="114"/>
      <c r="C20" s="19" t="str">
        <f>IF($B31="","",IF(C$19&gt;=0,"INCREASE","DECREASE"))</f>
        <v>DECREASE</v>
      </c>
      <c r="D20" s="19" t="str">
        <f>IF($B32="","",IF(D$19&gt;=0,"INCREASE","DECREASE"))</f>
        <v>DECREASE</v>
      </c>
      <c r="E20" s="19" t="str">
        <f>IF($B33="","",IF(E$19&gt;=0,"INCREASE","DECREASE"))</f>
        <v>DECREASE</v>
      </c>
      <c r="F20" s="19" t="str">
        <f>IF($B34="","",IF(F$19&gt;=0,"INCREASE","DECREASE"))</f>
        <v>INCREASE</v>
      </c>
      <c r="G20" s="19" t="str">
        <f>IF($B35="","",IF(G$19&gt;=0,"INCREASE","DECREASE"))</f>
        <v>DECREASE</v>
      </c>
      <c r="H20" s="19" t="str">
        <f>IF($B36="","",IF(H$19&gt;=0,"INCREASE","DECREASE"))</f>
        <v>DECREASE</v>
      </c>
      <c r="I20" s="19" t="str">
        <f>IF($B37="","",IF(I$19&gt;=0,"INCREASE","DECREASE"))</f>
        <v>DECREASE</v>
      </c>
      <c r="J20" s="19" t="str">
        <f>IF($B38="","",IF(J$19&gt;=0,"INCREASE","DECREASE"))</f>
        <v>DECREASE</v>
      </c>
      <c r="K20" s="19" t="str">
        <f>IF($B39="","",IF(K$19&gt;=0,"INCREASE","DECREASE"))</f>
        <v>DECREASE</v>
      </c>
      <c r="L20" s="19" t="str">
        <f>IF($B40="","",IF(L$19&gt;=0,"INCREASE","DECREASE"))</f>
        <v>DECREASE</v>
      </c>
      <c r="M20" s="19" t="str">
        <f>IF($B41="","",IF(M$19&gt;=0,"INCREASE","DECREASE"))</f>
        <v>DECREASE</v>
      </c>
      <c r="N20" s="19" t="str">
        <f>IF($B42="","",IF(N$19&gt;=0,"INCREASE","DECREASE"))</f>
        <v/>
      </c>
      <c r="O20" s="19" t="str">
        <f>IF($B43="","",IF(O$19&gt;=0,"INCREASE","DECREASE"))</f>
        <v/>
      </c>
      <c r="P20" s="19" t="str">
        <f>IF($B44="","",IF(P$19&gt;=0,"INCREASE","DECREASE"))</f>
        <v/>
      </c>
      <c r="Q20" s="19" t="str">
        <f>IF($B45="","",IF(Q$19&gt;=0,"INCREASE","DECREASE"))</f>
        <v/>
      </c>
      <c r="R20" s="19" t="str">
        <f>IF($B46="","",IF(R$19&gt;=0,"INCREASE","DECREASE"))</f>
        <v/>
      </c>
      <c r="S20" s="19" t="str">
        <f>IF($B47="","",IF(S$19&gt;=0,"INCREASE","DECREASE"))</f>
        <v/>
      </c>
      <c r="T20" s="19" t="str">
        <f>IF($B48="","",IF(T$19&gt;=0,"INCREASE","DECREASE"))</f>
        <v/>
      </c>
      <c r="U20" s="19" t="str">
        <f>IF($B49="","",IF(U$19&gt;=0,"INCREASE","DECREASE"))</f>
        <v/>
      </c>
      <c r="V20" s="20" t="str">
        <f>IF($B50="","",IF(V$19&gt;=0,"INCREASE","DECREASE"))</f>
        <v/>
      </c>
      <c r="AI20" s="41" t="s">
        <v>114</v>
      </c>
      <c r="AJ20" s="42">
        <v>2.1</v>
      </c>
      <c r="AK20" s="43">
        <v>7.2</v>
      </c>
      <c r="AL20" s="44">
        <v>18</v>
      </c>
      <c r="AM20" s="9">
        <v>6.2</v>
      </c>
      <c r="AN20" s="9" t="s">
        <v>112</v>
      </c>
    </row>
    <row r="21" spans="1:40" ht="13" x14ac:dyDescent="0.25">
      <c r="A21" s="109" t="s">
        <v>88</v>
      </c>
      <c r="B21" s="110"/>
      <c r="C21" s="21">
        <f>(VLOOKUP(C$14,$AI2:$AK26,3,FALSE))*C$15</f>
        <v>282</v>
      </c>
      <c r="D21" s="21">
        <f t="shared" ref="D21:V21" si="2">(VLOOKUP(D$14,$AI2:$AK26,3,FALSE))*D$15</f>
        <v>282</v>
      </c>
      <c r="E21" s="21">
        <f t="shared" si="2"/>
        <v>282</v>
      </c>
      <c r="F21" s="21">
        <f t="shared" si="2"/>
        <v>282</v>
      </c>
      <c r="G21" s="21">
        <f t="shared" si="2"/>
        <v>282</v>
      </c>
      <c r="H21" s="21">
        <f t="shared" si="2"/>
        <v>282</v>
      </c>
      <c r="I21" s="21">
        <f t="shared" si="2"/>
        <v>282</v>
      </c>
      <c r="J21" s="21">
        <f t="shared" si="2"/>
        <v>282</v>
      </c>
      <c r="K21" s="21">
        <f t="shared" si="2"/>
        <v>282</v>
      </c>
      <c r="L21" s="21">
        <f t="shared" si="2"/>
        <v>282</v>
      </c>
      <c r="M21" s="21">
        <f t="shared" si="2"/>
        <v>282</v>
      </c>
      <c r="N21" s="21" t="e">
        <f t="shared" si="2"/>
        <v>#N/A</v>
      </c>
      <c r="O21" s="21" t="e">
        <f t="shared" si="2"/>
        <v>#N/A</v>
      </c>
      <c r="P21" s="21" t="e">
        <f t="shared" si="2"/>
        <v>#N/A</v>
      </c>
      <c r="Q21" s="21" t="e">
        <f t="shared" si="2"/>
        <v>#N/A</v>
      </c>
      <c r="R21" s="21" t="e">
        <f t="shared" si="2"/>
        <v>#N/A</v>
      </c>
      <c r="S21" s="21" t="e">
        <f t="shared" si="2"/>
        <v>#N/A</v>
      </c>
      <c r="T21" s="21" t="e">
        <f t="shared" si="2"/>
        <v>#N/A</v>
      </c>
      <c r="U21" s="21" t="e">
        <f t="shared" si="2"/>
        <v>#N/A</v>
      </c>
      <c r="V21" s="21" t="e">
        <f t="shared" si="2"/>
        <v>#N/A</v>
      </c>
      <c r="AI21" s="55" t="s">
        <v>100</v>
      </c>
      <c r="AJ21" s="58">
        <v>11</v>
      </c>
      <c r="AK21" s="57">
        <v>12</v>
      </c>
      <c r="AL21" s="22">
        <v>19</v>
      </c>
      <c r="AM21" s="9">
        <v>6.7</v>
      </c>
      <c r="AN21" s="9" t="s">
        <v>135</v>
      </c>
    </row>
    <row r="22" spans="1:40" ht="13" x14ac:dyDescent="0.25">
      <c r="A22" s="111" t="s">
        <v>89</v>
      </c>
      <c r="B22" s="112"/>
      <c r="C22" s="13">
        <f>$E31</f>
        <v>28.994710000000005</v>
      </c>
      <c r="D22" s="13">
        <f>$E32</f>
        <v>28.994710000000005</v>
      </c>
      <c r="E22" s="13">
        <f>$E33</f>
        <v>28.994710000000005</v>
      </c>
      <c r="F22" s="13">
        <f>$E34</f>
        <v>51.971650000000004</v>
      </c>
      <c r="G22" s="13">
        <f>$E35</f>
        <v>28.994710000000005</v>
      </c>
      <c r="H22" s="13">
        <f>$E36</f>
        <v>28.994710000000005</v>
      </c>
      <c r="I22" s="13">
        <f>$E37</f>
        <v>28.994710000000005</v>
      </c>
      <c r="J22" s="13">
        <f>$E38</f>
        <v>28.994710000000005</v>
      </c>
      <c r="K22" s="13">
        <f>$E39</f>
        <v>28.994710000000005</v>
      </c>
      <c r="L22" s="13">
        <f>$E40</f>
        <v>28.994710000000005</v>
      </c>
      <c r="M22" s="13">
        <f>$E41</f>
        <v>28.994710000000005</v>
      </c>
      <c r="N22" s="13">
        <f>$E42</f>
        <v>0</v>
      </c>
      <c r="O22" s="13">
        <f>$E43</f>
        <v>0</v>
      </c>
      <c r="P22" s="13">
        <f>$E44</f>
        <v>0</v>
      </c>
      <c r="Q22" s="13">
        <f>$E45</f>
        <v>0</v>
      </c>
      <c r="R22" s="13">
        <f>$E46</f>
        <v>0</v>
      </c>
      <c r="S22" s="13">
        <f>$E47</f>
        <v>0</v>
      </c>
      <c r="T22" s="13">
        <f>$E48</f>
        <v>0</v>
      </c>
      <c r="U22" s="13">
        <f>$E49</f>
        <v>0</v>
      </c>
      <c r="V22" s="13">
        <f>$E50</f>
        <v>0</v>
      </c>
      <c r="AI22" s="55" t="s">
        <v>102</v>
      </c>
      <c r="AJ22" s="56">
        <v>1.2</v>
      </c>
      <c r="AK22" s="57">
        <v>5</v>
      </c>
      <c r="AL22" s="22">
        <v>20</v>
      </c>
      <c r="AM22" s="9">
        <v>6.7</v>
      </c>
      <c r="AN22" s="9" t="s">
        <v>135</v>
      </c>
    </row>
    <row r="23" spans="1:40" ht="13" x14ac:dyDescent="0.25">
      <c r="A23" s="111" t="s">
        <v>92</v>
      </c>
      <c r="B23" s="112"/>
      <c r="C23" s="13">
        <f>C22-C21</f>
        <v>-253.00529</v>
      </c>
      <c r="D23" s="13">
        <f t="shared" ref="D23:V23" si="3">D22-D21</f>
        <v>-253.00529</v>
      </c>
      <c r="E23" s="13">
        <f t="shared" si="3"/>
        <v>-253.00529</v>
      </c>
      <c r="F23" s="13">
        <f t="shared" si="3"/>
        <v>-230.02834999999999</v>
      </c>
      <c r="G23" s="13">
        <f t="shared" si="3"/>
        <v>-253.00529</v>
      </c>
      <c r="H23" s="13">
        <f t="shared" si="3"/>
        <v>-253.00529</v>
      </c>
      <c r="I23" s="13">
        <f t="shared" si="3"/>
        <v>-253.00529</v>
      </c>
      <c r="J23" s="13">
        <f t="shared" si="3"/>
        <v>-253.00529</v>
      </c>
      <c r="K23" s="13">
        <f t="shared" si="3"/>
        <v>-253.00529</v>
      </c>
      <c r="L23" s="13">
        <f t="shared" si="3"/>
        <v>-253.00529</v>
      </c>
      <c r="M23" s="13">
        <f t="shared" si="3"/>
        <v>-253.00529</v>
      </c>
      <c r="N23" s="13" t="e">
        <f t="shared" si="3"/>
        <v>#N/A</v>
      </c>
      <c r="O23" s="13" t="e">
        <f t="shared" si="3"/>
        <v>#N/A</v>
      </c>
      <c r="P23" s="13" t="e">
        <f t="shared" si="3"/>
        <v>#N/A</v>
      </c>
      <c r="Q23" s="13" t="e">
        <f t="shared" si="3"/>
        <v>#N/A</v>
      </c>
      <c r="R23" s="13" t="e">
        <f t="shared" si="3"/>
        <v>#N/A</v>
      </c>
      <c r="S23" s="13" t="e">
        <f t="shared" si="3"/>
        <v>#N/A</v>
      </c>
      <c r="T23" s="13" t="e">
        <f t="shared" si="3"/>
        <v>#N/A</v>
      </c>
      <c r="U23" s="13" t="e">
        <f t="shared" si="3"/>
        <v>#N/A</v>
      </c>
      <c r="V23" s="13" t="e">
        <f t="shared" si="3"/>
        <v>#N/A</v>
      </c>
      <c r="AI23" s="55" t="s">
        <v>98</v>
      </c>
      <c r="AJ23" s="58">
        <v>9</v>
      </c>
      <c r="AK23" s="57">
        <v>10</v>
      </c>
      <c r="AL23" s="22">
        <v>21</v>
      </c>
      <c r="AM23" s="9">
        <v>6.7</v>
      </c>
      <c r="AN23" s="9" t="s">
        <v>135</v>
      </c>
    </row>
    <row r="24" spans="1:40" ht="13.5" thickBot="1" x14ac:dyDescent="0.3">
      <c r="A24" s="113" t="s">
        <v>93</v>
      </c>
      <c r="B24" s="114"/>
      <c r="C24" s="19" t="str">
        <f>IF($B31="","",IF(C$23&gt;=0,"INCREASE","DECREASE"))</f>
        <v>DECREASE</v>
      </c>
      <c r="D24" s="19" t="str">
        <f t="shared" ref="D24:V24" si="4">IF($B31="","",IF(D$23&gt;=0,"INCREASE","DECREASE"))</f>
        <v>DECREASE</v>
      </c>
      <c r="E24" s="19" t="str">
        <f t="shared" si="4"/>
        <v>DECREASE</v>
      </c>
      <c r="F24" s="19" t="str">
        <f t="shared" si="4"/>
        <v>DECREASE</v>
      </c>
      <c r="G24" s="19" t="str">
        <f t="shared" si="4"/>
        <v>DECREASE</v>
      </c>
      <c r="H24" s="19" t="str">
        <f t="shared" si="4"/>
        <v>DECREASE</v>
      </c>
      <c r="I24" s="19" t="str">
        <f t="shared" si="4"/>
        <v>DECREASE</v>
      </c>
      <c r="J24" s="19" t="str">
        <f t="shared" si="4"/>
        <v>DECREASE</v>
      </c>
      <c r="K24" s="19" t="str">
        <f t="shared" si="4"/>
        <v>DECREASE</v>
      </c>
      <c r="L24" s="19" t="str">
        <f t="shared" si="4"/>
        <v>DECREASE</v>
      </c>
      <c r="M24" s="19" t="str">
        <f t="shared" si="4"/>
        <v>DECREASE</v>
      </c>
      <c r="N24" s="19" t="e">
        <f t="shared" si="4"/>
        <v>#N/A</v>
      </c>
      <c r="O24" s="19" t="e">
        <f t="shared" si="4"/>
        <v>#N/A</v>
      </c>
      <c r="P24" s="19" t="e">
        <f t="shared" si="4"/>
        <v>#N/A</v>
      </c>
      <c r="Q24" s="19" t="e">
        <f t="shared" si="4"/>
        <v>#N/A</v>
      </c>
      <c r="R24" s="19" t="e">
        <f t="shared" si="4"/>
        <v>#N/A</v>
      </c>
      <c r="S24" s="19" t="e">
        <f t="shared" si="4"/>
        <v>#N/A</v>
      </c>
      <c r="T24" s="19" t="e">
        <f t="shared" si="4"/>
        <v>#N/A</v>
      </c>
      <c r="U24" s="19" t="e">
        <f t="shared" si="4"/>
        <v>#N/A</v>
      </c>
      <c r="V24" s="19" t="e">
        <f t="shared" si="4"/>
        <v>#N/A</v>
      </c>
      <c r="AI24" s="55" t="s">
        <v>99</v>
      </c>
      <c r="AJ24" s="58">
        <v>1.5</v>
      </c>
      <c r="AK24" s="57">
        <v>3</v>
      </c>
      <c r="AL24" s="22">
        <v>22</v>
      </c>
      <c r="AM24" s="9">
        <v>6.7</v>
      </c>
      <c r="AN24" s="9" t="s">
        <v>135</v>
      </c>
    </row>
    <row r="25" spans="1:40" x14ac:dyDescent="0.25">
      <c r="D25" s="59"/>
      <c r="E25" s="59"/>
      <c r="F25" s="59"/>
      <c r="AI25" s="55" t="s">
        <v>117</v>
      </c>
      <c r="AJ25" s="58">
        <v>1</v>
      </c>
      <c r="AK25" s="57">
        <v>5.8</v>
      </c>
      <c r="AL25" s="22">
        <v>23</v>
      </c>
      <c r="AM25" s="9">
        <v>6.7</v>
      </c>
      <c r="AN25" s="9" t="s">
        <v>135</v>
      </c>
    </row>
    <row r="26" spans="1:40" s="7" customFormat="1" ht="13" x14ac:dyDescent="0.25">
      <c r="A26" s="93"/>
      <c r="B26" s="3" t="s">
        <v>10</v>
      </c>
      <c r="C26" s="3" t="s">
        <v>75</v>
      </c>
      <c r="D26" s="94" t="s">
        <v>11</v>
      </c>
      <c r="E26" s="94" t="s">
        <v>12</v>
      </c>
      <c r="F26" s="94" t="s">
        <v>13</v>
      </c>
      <c r="G26" s="3" t="s">
        <v>14</v>
      </c>
      <c r="H26" s="94" t="s">
        <v>15</v>
      </c>
      <c r="I26" s="94" t="s">
        <v>16</v>
      </c>
      <c r="J26" s="3" t="s">
        <v>17</v>
      </c>
      <c r="K26" s="3" t="s">
        <v>18</v>
      </c>
      <c r="L26" s="3" t="s">
        <v>19</v>
      </c>
      <c r="M26" s="3" t="s">
        <v>20</v>
      </c>
      <c r="N26" s="3" t="s">
        <v>61</v>
      </c>
      <c r="O26" s="3" t="s">
        <v>62</v>
      </c>
      <c r="P26" s="94" t="s">
        <v>39</v>
      </c>
      <c r="Q26" s="94" t="s">
        <v>40</v>
      </c>
      <c r="R26" s="94" t="s">
        <v>35</v>
      </c>
      <c r="S26" s="94" t="s">
        <v>36</v>
      </c>
      <c r="T26" s="94" t="s">
        <v>37</v>
      </c>
      <c r="U26" s="94" t="s">
        <v>38</v>
      </c>
      <c r="AI26" s="60" t="s">
        <v>116</v>
      </c>
      <c r="AJ26" s="61">
        <v>0.7</v>
      </c>
      <c r="AK26" s="62">
        <v>2.4</v>
      </c>
      <c r="AL26" s="22">
        <v>24</v>
      </c>
      <c r="AM26" s="7">
        <v>6.7</v>
      </c>
      <c r="AN26" s="9" t="s">
        <v>135</v>
      </c>
    </row>
    <row r="27" spans="1:40" x14ac:dyDescent="0.35">
      <c r="A27" s="95"/>
      <c r="B27" s="63" t="s">
        <v>46</v>
      </c>
      <c r="C27" s="96" t="s">
        <v>56</v>
      </c>
      <c r="D27" s="96" t="s">
        <v>54</v>
      </c>
      <c r="E27" s="96" t="s">
        <v>54</v>
      </c>
      <c r="F27" s="96" t="s">
        <v>54</v>
      </c>
      <c r="G27" s="96" t="s">
        <v>54</v>
      </c>
      <c r="H27" s="96" t="s">
        <v>54</v>
      </c>
      <c r="I27" s="96" t="s">
        <v>54</v>
      </c>
      <c r="J27" s="96" t="s">
        <v>54</v>
      </c>
      <c r="K27" s="96" t="s">
        <v>54</v>
      </c>
      <c r="L27" s="96" t="s">
        <v>54</v>
      </c>
      <c r="M27" s="96" t="s">
        <v>54</v>
      </c>
      <c r="N27" s="96"/>
      <c r="O27" s="96"/>
      <c r="P27" s="96" t="s">
        <v>54</v>
      </c>
      <c r="Q27" s="96" t="s">
        <v>54</v>
      </c>
      <c r="R27" s="96"/>
      <c r="S27" s="96" t="s">
        <v>54</v>
      </c>
      <c r="T27" s="96"/>
      <c r="U27" s="96"/>
    </row>
    <row r="28" spans="1:40" x14ac:dyDescent="0.35">
      <c r="A28" s="97"/>
      <c r="B28" s="17">
        <v>3.07</v>
      </c>
      <c r="C28" s="12">
        <v>0.13</v>
      </c>
      <c r="D28" s="12">
        <v>329</v>
      </c>
      <c r="E28" s="12">
        <v>227</v>
      </c>
      <c r="F28" s="12">
        <v>32.1</v>
      </c>
      <c r="G28" s="12">
        <v>0.23</v>
      </c>
      <c r="H28" s="12">
        <v>2.19</v>
      </c>
      <c r="I28" s="12">
        <v>0.5</v>
      </c>
      <c r="J28" s="12">
        <v>0.01</v>
      </c>
      <c r="K28" s="16">
        <v>0.05</v>
      </c>
      <c r="L28" s="12">
        <v>0.2</v>
      </c>
      <c r="M28" s="12">
        <v>0.35</v>
      </c>
      <c r="N28" s="12"/>
      <c r="O28" s="12"/>
      <c r="P28" s="12">
        <v>295</v>
      </c>
      <c r="Q28" s="12">
        <v>92.8</v>
      </c>
      <c r="R28" s="12"/>
      <c r="S28" s="12"/>
      <c r="T28" s="12"/>
      <c r="U28" s="12"/>
    </row>
    <row r="29" spans="1:40" s="7" customFormat="1" ht="28" x14ac:dyDescent="0.35">
      <c r="A29" s="11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6" customFormat="1" ht="28" x14ac:dyDescent="0.35">
      <c r="A30" s="11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51" customFormat="1" ht="13" x14ac:dyDescent="0.35">
      <c r="A31" s="10" t="str">
        <f>C8</f>
        <v>Nant Y Croi 9</v>
      </c>
      <c r="B31" s="12">
        <v>106</v>
      </c>
      <c r="C31" s="68">
        <f>IF(C$27="%w/w SAR",((C$28*10)*$B31),IF(C$27="%w/w DM",(((C$28*10)*($B$28/100))*$B31),IF(C$27="kg/t SAR",(C$28*$B31),IF(C$27="kg/t DM",((C$28*($B$28/100))*$B31),IF(C$27="mg/kg SAR",((C$28*0.001)*$B31),IF(C$27="mg/kg DM",(((C$28*0.001)*($B$28/100))*$B31),0))))))</f>
        <v>137.80000000000001</v>
      </c>
      <c r="D31" s="68">
        <f>(IF(D$27="%w/w SAR",((D$28*10)*$B31),IF(D$27="%w/w DM",(((D$28*10)*($B$28/100))*$B31),IF(D$27="kg/t SAR",(D$28*$B31),IF(D$27="kg/t DM",((D$28*($B$28/100))*$B31),IF(D$27="mg/kg SAR",((D$28*0.001)*$B31),IF(D$27="mg/kg DM",(((D$28*0.001)*($B$28/100))*$B31),"0")))))))*2.291</f>
        <v>79.896333999999996</v>
      </c>
      <c r="E31" s="68">
        <f>(IF(E$27="%w/w SAR",((E$28*10)*$B31),IF(E$27="%w/w DM",(((E$28*10)*($B$28/100))*$B31),IF(E$27="kg/t SAR",(E$28*$B31),IF(E$27="kg/t DM",((E$28*($B$28/100))*$B31),IF(E$27="mg/kg SAR",((E$28*0.001)*$B31),IF(E$27="mg/kg DM",(((E$28*0.001)*($B$28/100))*$B31),"0")))))))*1.205</f>
        <v>28.994710000000005</v>
      </c>
      <c r="F31" s="68">
        <f>(IF(F$27="%w/w SAR",((F$28*10)*$B31),IF(F$27="%w/w DM",(((F$28*10)*($B$28/100))*$B31),IF(F$27="kg/t SAR",(F$28*$B31),IF(F$27="kg/t DM",((F$28*($B$28/100))*$B31),IF(F$27="mg/kg SAR",((F$28*0.001)*$B31),IF(F$27="mg/kg DM",(((F$28*0.001)*($B$28/100))*$B31),"0")))))))*1.658</f>
        <v>5.6415108000000007</v>
      </c>
      <c r="G31" s="68">
        <f t="shared" ref="G31:P31" si="5">IF(G$27="%w/w SAR",((G$28*10)*$B31),IF(G$27="%w/w DM",(((G$28*10)*($B$28/100))*$B31),IF(G$27="kg/t SAR",(G$28*$B31),IF(G$27="kg/t DM",((G$28*($B$28/100))*$B31),IF(G$27="mg/kg SAR",((G$28*0.001)*$B31),IF(G$27="mg/kg DM",(((G$28*0.001)*($B$28/100))*$B31),0))))))</f>
        <v>2.4380000000000002E-2</v>
      </c>
      <c r="H31" s="68">
        <f t="shared" si="5"/>
        <v>0.23214000000000001</v>
      </c>
      <c r="I31" s="68">
        <f t="shared" si="5"/>
        <v>5.2999999999999999E-2</v>
      </c>
      <c r="J31" s="68">
        <f t="shared" si="5"/>
        <v>1.0600000000000002E-3</v>
      </c>
      <c r="K31" s="68">
        <f t="shared" si="5"/>
        <v>5.3E-3</v>
      </c>
      <c r="L31" s="68">
        <f t="shared" si="5"/>
        <v>2.12E-2</v>
      </c>
      <c r="M31" s="68">
        <f t="shared" si="5"/>
        <v>3.7100000000000001E-2</v>
      </c>
      <c r="N31" s="68">
        <f t="shared" si="5"/>
        <v>0</v>
      </c>
      <c r="O31" s="68">
        <f t="shared" si="5"/>
        <v>0</v>
      </c>
      <c r="P31" s="68">
        <f t="shared" si="5"/>
        <v>31.27</v>
      </c>
      <c r="Q31" s="68">
        <f>(IF(Q$27="%w/w SAR",((Q$28*10)*$B31),IF(Q$27="%w/w DM",(((Q$28*10)*($B$28/100))*$B31),IF(Q$27="kg/t SAR",(Q$28*$B31),IF(Q$27="kg/t DM",((Q$28*($B$28/100))*$B31),IF(Q$27="mg/kg SAR",((Q$28*0.001)*$B31),IF(Q$27="mg/kg DM",(((Q$28*0.001)*($B$28/100))*$B31),0)))))))*2.5</f>
        <v>24.591999999999999</v>
      </c>
      <c r="R31" s="68">
        <f>IF(R$27="%w/w SAR",((R$28*10)*$B31),IF(R$27="%w/w DM",(((R$28*10)*($B$28/100))*$B31),IF(R$27="kg/t SAR",(R$28*$B31),IF(R$27="kg/t DM",((R$28*($B$28/100))*$B31),IF(R$27="mg/kg SAR",((R$28*0.001)*$B31),IF(R$27="mg/kg DM",(((R$28*0.001)*($B$28/100))*$B31),0))))))</f>
        <v>0</v>
      </c>
      <c r="S31" s="68">
        <f>IF(S$27="%w/w SAR",((S$28*10)*$B31),IF(S$27="%w/w DM",(((S$28*10)*($B$28/100))*$B31),IF(S$27="kg/t SAR",(S$28*$B31),IF(S$27="kg/t DM",((S$28*($B$28/100))*$B31),IF(S$27="mg/kg SAR",((S$28*0.001)*$B31),IF(S$27="mg/kg DM",(((S$28*0.001)*($B$28/100))*$B31),0))))))</f>
        <v>0</v>
      </c>
      <c r="T31" s="68">
        <f>IF(T$27="%w/w SAR",((T$28*10)*$B31),IF(T$27="%w/w DM",(((T$28*10)*($B$28/100))*$B31),IF(T$27="kg/t SAR",(T$28*$B31),IF(T$27="kg/t DM",((T$28*($B$28/100))*$B31),IF(T$27="mg/kg SAR",((T$28*0.001)*$B31),IF(T$27="mg/kg DM",(((T$28*0.001)*($B$28/100))*$B31),0))))))</f>
        <v>0</v>
      </c>
      <c r="U31" s="68">
        <f>IF(U$27="%w/w SAR",((U$28*10)*$B31),IF(U$27="%w/w DM",(((U$28*10)*($B$28/100))*$B31),IF(U$27="kg/t SAR",(U$28*$B31),IF(U$27="kg/t DM",((U$28*($B$28/100))*$B31),IF(U$27="mg/kg SAR",((U$28*0.001)*$B31),IF(U$27="mg/kg DM",(((U$28*0.001)*($B$28/100))*$B31),0))))))</f>
        <v>0</v>
      </c>
    </row>
    <row r="32" spans="1:40" s="51" customFormat="1" ht="13" x14ac:dyDescent="0.35">
      <c r="A32" s="10" t="str">
        <f>D8</f>
        <v>Hafod 4315</v>
      </c>
      <c r="B32" s="12">
        <v>106</v>
      </c>
      <c r="C32" s="68">
        <f t="shared" ref="C32:C50" si="6">IF(C$27="%w/w SAR",((C$28*10)*$B32),IF(C$27="%w/w DM",(((C$28*10)*($B$28/100))*$B32),IF(C$27="kg/t SAR",(C$28*$B32),IF(C$27="kg/t DM",((C$28*($B$28/100))*$B32),IF(C$27="mg/kg SAR",((C$28*0.001)*$B32),IF(C$27="mg/kg DM",(((C$28*0.001)*($B$28/100))*$B32),0))))))</f>
        <v>137.80000000000001</v>
      </c>
      <c r="D32" s="68">
        <f t="shared" ref="D32:D50" si="7">(IF(D$27="%w/w SAR",((D$28*10)*$B32),IF(D$27="%w/w DM",(((D$28*10)*($B$28/100))*$B32),IF(D$27="kg/t SAR",(D$28*$B32),IF(D$27="kg/t DM",((D$28*($B$28/100))*$B32),IF(D$27="mg/kg SAR",((D$28*0.001)*$B32),IF(D$27="mg/kg DM",(((D$28*0.001)*($B$28/100))*$B32),"0")))))))*2.291</f>
        <v>79.896333999999996</v>
      </c>
      <c r="E32" s="68">
        <f t="shared" ref="E32:E50" si="8">(IF(E$27="%w/w SAR",((E$28*10)*$B32),IF(E$27="%w/w DM",(((E$28*10)*($B$28/100))*$B32),IF(E$27="kg/t SAR",(E$28*$B32),IF(E$27="kg/t DM",((E$28*($B$28/100))*$B32),IF(E$27="mg/kg SAR",((E$28*0.001)*$B32),IF(E$27="mg/kg DM",(((E$28*0.001)*($B$28/100))*$B32),"0")))))))*1.205</f>
        <v>28.994710000000005</v>
      </c>
      <c r="F32" s="68">
        <f t="shared" ref="F32:F50" si="9">(IF(F$27="%w/w SAR",((F$28*10)*$B32),IF(F$27="%w/w DM",(((F$28*10)*($B$28/100))*$B32),IF(F$27="kg/t SAR",(F$28*$B32),IF(F$27="kg/t DM",((F$28*($B$28/100))*$B32),IF(F$27="mg/kg SAR",((F$28*0.001)*$B32),IF(F$27="mg/kg DM",(((F$28*0.001)*($B$28/100))*$B32),"0")))))))*1.658</f>
        <v>5.6415108000000007</v>
      </c>
      <c r="G32" s="68">
        <f t="shared" ref="G32:P50" si="10">IF(G$27="%w/w SAR",((G$28*10)*$B32),IF(G$27="%w/w DM",(((G$28*10)*($B$28/100))*$B32),IF(G$27="kg/t SAR",(G$28*$B32),IF(G$27="kg/t DM",((G$28*($B$28/100))*$B32),IF(G$27="mg/kg SAR",((G$28*0.001)*$B32),IF(G$27="mg/kg DM",(((G$28*0.001)*($B$28/100))*$B32),0))))))</f>
        <v>2.4380000000000002E-2</v>
      </c>
      <c r="H32" s="68">
        <f t="shared" si="10"/>
        <v>0.23214000000000001</v>
      </c>
      <c r="I32" s="68">
        <f t="shared" si="10"/>
        <v>5.2999999999999999E-2</v>
      </c>
      <c r="J32" s="68">
        <f t="shared" si="10"/>
        <v>1.0600000000000002E-3</v>
      </c>
      <c r="K32" s="68">
        <f t="shared" si="10"/>
        <v>5.3E-3</v>
      </c>
      <c r="L32" s="68">
        <f t="shared" si="10"/>
        <v>2.12E-2</v>
      </c>
      <c r="M32" s="68">
        <f t="shared" si="10"/>
        <v>3.7100000000000001E-2</v>
      </c>
      <c r="N32" s="68">
        <f t="shared" si="10"/>
        <v>0</v>
      </c>
      <c r="O32" s="68">
        <f t="shared" si="10"/>
        <v>0</v>
      </c>
      <c r="P32" s="68">
        <f t="shared" si="10"/>
        <v>31.27</v>
      </c>
      <c r="Q32" s="68">
        <f t="shared" ref="Q32:Q50" si="11">(IF(Q$27="%w/w SAR",((Q$28*10)*$B32),IF(Q$27="%w/w DM",(((Q$28*10)*($B$28/100))*$B32),IF(Q$27="kg/t SAR",(Q$28*$B32),IF(Q$27="kg/t DM",((Q$28*($B$28/100))*$B32),IF(Q$27="mg/kg SAR",((Q$28*0.001)*$B32),IF(Q$27="mg/kg DM",(((Q$28*0.001)*($B$28/100))*$B32),0)))))))*2.5</f>
        <v>24.591999999999999</v>
      </c>
      <c r="R32" s="68">
        <f t="shared" ref="R32:U50" si="12">IF(R$27="%w/w SAR",((R$28*10)*$B32),IF(R$27="%w/w DM",(((R$28*10)*($B$28/100))*$B32),IF(R$27="kg/t SAR",(R$28*$B32),IF(R$27="kg/t DM",((R$28*($B$28/100))*$B32),IF(R$27="mg/kg SAR",((R$28*0.001)*$B32),IF(R$27="mg/kg DM",(((R$28*0.001)*($B$28/100))*$B32),0))))))</f>
        <v>0</v>
      </c>
      <c r="S32" s="68">
        <f t="shared" si="12"/>
        <v>0</v>
      </c>
      <c r="T32" s="68">
        <f t="shared" si="12"/>
        <v>0</v>
      </c>
      <c r="U32" s="68">
        <f t="shared" si="12"/>
        <v>0</v>
      </c>
    </row>
    <row r="33" spans="1:21" s="51" customFormat="1" ht="13" x14ac:dyDescent="0.35">
      <c r="A33" s="10" t="str">
        <f>E8</f>
        <v>Hafod 4734</v>
      </c>
      <c r="B33" s="12">
        <v>106</v>
      </c>
      <c r="C33" s="68">
        <f t="shared" si="6"/>
        <v>137.80000000000001</v>
      </c>
      <c r="D33" s="68">
        <f t="shared" si="7"/>
        <v>79.896333999999996</v>
      </c>
      <c r="E33" s="68">
        <f t="shared" si="8"/>
        <v>28.994710000000005</v>
      </c>
      <c r="F33" s="68">
        <f t="shared" si="9"/>
        <v>5.6415108000000007</v>
      </c>
      <c r="G33" s="68">
        <f t="shared" si="10"/>
        <v>2.4380000000000002E-2</v>
      </c>
      <c r="H33" s="68">
        <f t="shared" si="10"/>
        <v>0.23214000000000001</v>
      </c>
      <c r="I33" s="68">
        <f t="shared" si="10"/>
        <v>5.2999999999999999E-2</v>
      </c>
      <c r="J33" s="68">
        <f t="shared" si="10"/>
        <v>1.0600000000000002E-3</v>
      </c>
      <c r="K33" s="68">
        <f t="shared" si="10"/>
        <v>5.3E-3</v>
      </c>
      <c r="L33" s="68">
        <f t="shared" si="10"/>
        <v>2.12E-2</v>
      </c>
      <c r="M33" s="68">
        <f t="shared" si="10"/>
        <v>3.7100000000000001E-2</v>
      </c>
      <c r="N33" s="68">
        <f t="shared" si="10"/>
        <v>0</v>
      </c>
      <c r="O33" s="68">
        <f t="shared" si="10"/>
        <v>0</v>
      </c>
      <c r="P33" s="68">
        <f t="shared" si="10"/>
        <v>31.27</v>
      </c>
      <c r="Q33" s="68">
        <f t="shared" si="11"/>
        <v>24.591999999999999</v>
      </c>
      <c r="R33" s="68">
        <f t="shared" si="12"/>
        <v>0</v>
      </c>
      <c r="S33" s="68">
        <f t="shared" si="12"/>
        <v>0</v>
      </c>
      <c r="T33" s="68">
        <f t="shared" si="12"/>
        <v>0</v>
      </c>
      <c r="U33" s="68">
        <f t="shared" si="12"/>
        <v>0</v>
      </c>
    </row>
    <row r="34" spans="1:21" s="51" customFormat="1" ht="13" x14ac:dyDescent="0.35">
      <c r="A34" s="10" t="str">
        <f>F8</f>
        <v>Hafod 5761</v>
      </c>
      <c r="B34" s="12">
        <v>190</v>
      </c>
      <c r="C34" s="68">
        <f t="shared" si="6"/>
        <v>247</v>
      </c>
      <c r="D34" s="68">
        <f t="shared" si="7"/>
        <v>143.21041</v>
      </c>
      <c r="E34" s="68">
        <f t="shared" si="8"/>
        <v>51.971650000000004</v>
      </c>
      <c r="F34" s="68">
        <f t="shared" si="9"/>
        <v>10.112142000000002</v>
      </c>
      <c r="G34" s="68">
        <f t="shared" si="10"/>
        <v>4.3700000000000003E-2</v>
      </c>
      <c r="H34" s="68">
        <f t="shared" si="10"/>
        <v>0.41610000000000003</v>
      </c>
      <c r="I34" s="68">
        <f t="shared" si="10"/>
        <v>9.5000000000000001E-2</v>
      </c>
      <c r="J34" s="68">
        <f t="shared" si="10"/>
        <v>1.9000000000000002E-3</v>
      </c>
      <c r="K34" s="68">
        <f t="shared" si="10"/>
        <v>9.4999999999999998E-3</v>
      </c>
      <c r="L34" s="68">
        <f t="shared" si="10"/>
        <v>3.7999999999999999E-2</v>
      </c>
      <c r="M34" s="68">
        <f t="shared" si="10"/>
        <v>6.6500000000000004E-2</v>
      </c>
      <c r="N34" s="68">
        <f t="shared" si="10"/>
        <v>0</v>
      </c>
      <c r="O34" s="68">
        <f t="shared" si="10"/>
        <v>0</v>
      </c>
      <c r="P34" s="68">
        <f t="shared" si="10"/>
        <v>56.05</v>
      </c>
      <c r="Q34" s="68">
        <f t="shared" si="11"/>
        <v>44.08</v>
      </c>
      <c r="R34" s="68">
        <f t="shared" si="12"/>
        <v>0</v>
      </c>
      <c r="S34" s="68">
        <f t="shared" si="12"/>
        <v>0</v>
      </c>
      <c r="T34" s="68">
        <f t="shared" si="12"/>
        <v>0</v>
      </c>
      <c r="U34" s="68">
        <f t="shared" si="12"/>
        <v>0</v>
      </c>
    </row>
    <row r="35" spans="1:21" s="51" customFormat="1" ht="13" x14ac:dyDescent="0.35">
      <c r="A35" s="10" t="str">
        <f>G8</f>
        <v>Hafod 4067</v>
      </c>
      <c r="B35" s="12">
        <v>106</v>
      </c>
      <c r="C35" s="68">
        <f t="shared" si="6"/>
        <v>137.80000000000001</v>
      </c>
      <c r="D35" s="68">
        <f t="shared" si="7"/>
        <v>79.896333999999996</v>
      </c>
      <c r="E35" s="68">
        <f t="shared" si="8"/>
        <v>28.994710000000005</v>
      </c>
      <c r="F35" s="68">
        <f t="shared" si="9"/>
        <v>5.6415108000000007</v>
      </c>
      <c r="G35" s="68">
        <f t="shared" si="10"/>
        <v>2.4380000000000002E-2</v>
      </c>
      <c r="H35" s="68">
        <f t="shared" si="10"/>
        <v>0.23214000000000001</v>
      </c>
      <c r="I35" s="68">
        <f t="shared" si="10"/>
        <v>5.2999999999999999E-2</v>
      </c>
      <c r="J35" s="68">
        <f t="shared" si="10"/>
        <v>1.0600000000000002E-3</v>
      </c>
      <c r="K35" s="68">
        <f t="shared" si="10"/>
        <v>5.3E-3</v>
      </c>
      <c r="L35" s="68">
        <f t="shared" si="10"/>
        <v>2.12E-2</v>
      </c>
      <c r="M35" s="68">
        <f t="shared" si="10"/>
        <v>3.7100000000000001E-2</v>
      </c>
      <c r="N35" s="68">
        <f t="shared" si="10"/>
        <v>0</v>
      </c>
      <c r="O35" s="68">
        <f t="shared" si="10"/>
        <v>0</v>
      </c>
      <c r="P35" s="68">
        <f t="shared" si="10"/>
        <v>31.27</v>
      </c>
      <c r="Q35" s="68">
        <f t="shared" si="11"/>
        <v>24.591999999999999</v>
      </c>
      <c r="R35" s="68">
        <f t="shared" si="12"/>
        <v>0</v>
      </c>
      <c r="S35" s="68">
        <f t="shared" si="12"/>
        <v>0</v>
      </c>
      <c r="T35" s="68">
        <f t="shared" si="12"/>
        <v>0</v>
      </c>
      <c r="U35" s="68">
        <f t="shared" si="12"/>
        <v>0</v>
      </c>
    </row>
    <row r="36" spans="1:21" s="51" customFormat="1" ht="13" x14ac:dyDescent="0.35">
      <c r="A36" s="10" t="str">
        <f>H8</f>
        <v>Hafod 2455</v>
      </c>
      <c r="B36" s="12">
        <v>106</v>
      </c>
      <c r="C36" s="68">
        <f t="shared" si="6"/>
        <v>137.80000000000001</v>
      </c>
      <c r="D36" s="68">
        <f t="shared" si="7"/>
        <v>79.896333999999996</v>
      </c>
      <c r="E36" s="68">
        <f t="shared" si="8"/>
        <v>28.994710000000005</v>
      </c>
      <c r="F36" s="68">
        <f t="shared" si="9"/>
        <v>5.6415108000000007</v>
      </c>
      <c r="G36" s="68">
        <f t="shared" si="10"/>
        <v>2.4380000000000002E-2</v>
      </c>
      <c r="H36" s="68">
        <f t="shared" si="10"/>
        <v>0.23214000000000001</v>
      </c>
      <c r="I36" s="68">
        <f t="shared" si="10"/>
        <v>5.2999999999999999E-2</v>
      </c>
      <c r="J36" s="68">
        <f t="shared" si="10"/>
        <v>1.0600000000000002E-3</v>
      </c>
      <c r="K36" s="68">
        <f t="shared" si="10"/>
        <v>5.3E-3</v>
      </c>
      <c r="L36" s="68">
        <f t="shared" si="10"/>
        <v>2.12E-2</v>
      </c>
      <c r="M36" s="68">
        <f t="shared" si="10"/>
        <v>3.7100000000000001E-2</v>
      </c>
      <c r="N36" s="68">
        <f t="shared" si="10"/>
        <v>0</v>
      </c>
      <c r="O36" s="68">
        <f t="shared" si="10"/>
        <v>0</v>
      </c>
      <c r="P36" s="68">
        <f t="shared" si="10"/>
        <v>31.27</v>
      </c>
      <c r="Q36" s="68">
        <f t="shared" si="11"/>
        <v>24.591999999999999</v>
      </c>
      <c r="R36" s="68">
        <f t="shared" si="12"/>
        <v>0</v>
      </c>
      <c r="S36" s="68">
        <f t="shared" si="12"/>
        <v>0</v>
      </c>
      <c r="T36" s="68">
        <f t="shared" si="12"/>
        <v>0</v>
      </c>
      <c r="U36" s="68">
        <f t="shared" si="12"/>
        <v>0</v>
      </c>
    </row>
    <row r="37" spans="1:21" s="51" customFormat="1" ht="13" x14ac:dyDescent="0.35">
      <c r="A37" s="10" t="str">
        <f>I8</f>
        <v>Hafod 1741</v>
      </c>
      <c r="B37" s="12">
        <v>106</v>
      </c>
      <c r="C37" s="68">
        <f t="shared" si="6"/>
        <v>137.80000000000001</v>
      </c>
      <c r="D37" s="68">
        <f t="shared" si="7"/>
        <v>79.896333999999996</v>
      </c>
      <c r="E37" s="68">
        <f t="shared" si="8"/>
        <v>28.994710000000005</v>
      </c>
      <c r="F37" s="68">
        <f t="shared" si="9"/>
        <v>5.6415108000000007</v>
      </c>
      <c r="G37" s="68">
        <f t="shared" si="10"/>
        <v>2.4380000000000002E-2</v>
      </c>
      <c r="H37" s="68">
        <f t="shared" si="10"/>
        <v>0.23214000000000001</v>
      </c>
      <c r="I37" s="68">
        <f t="shared" si="10"/>
        <v>5.2999999999999999E-2</v>
      </c>
      <c r="J37" s="68">
        <f t="shared" si="10"/>
        <v>1.0600000000000002E-3</v>
      </c>
      <c r="K37" s="68">
        <f t="shared" si="10"/>
        <v>5.3E-3</v>
      </c>
      <c r="L37" s="68">
        <f t="shared" si="10"/>
        <v>2.12E-2</v>
      </c>
      <c r="M37" s="68">
        <f t="shared" si="10"/>
        <v>3.7100000000000001E-2</v>
      </c>
      <c r="N37" s="68">
        <f t="shared" si="10"/>
        <v>0</v>
      </c>
      <c r="O37" s="68">
        <f t="shared" si="10"/>
        <v>0</v>
      </c>
      <c r="P37" s="68">
        <f t="shared" si="10"/>
        <v>31.27</v>
      </c>
      <c r="Q37" s="68">
        <f t="shared" si="11"/>
        <v>24.591999999999999</v>
      </c>
      <c r="R37" s="68">
        <f t="shared" si="12"/>
        <v>0</v>
      </c>
      <c r="S37" s="68">
        <f t="shared" si="12"/>
        <v>0</v>
      </c>
      <c r="T37" s="68">
        <f t="shared" si="12"/>
        <v>0</v>
      </c>
      <c r="U37" s="68">
        <f t="shared" si="12"/>
        <v>0</v>
      </c>
    </row>
    <row r="38" spans="1:21" s="51" customFormat="1" ht="13" x14ac:dyDescent="0.35">
      <c r="A38" s="10" t="str">
        <f>J8</f>
        <v>Hafod 0720</v>
      </c>
      <c r="B38" s="12">
        <v>106</v>
      </c>
      <c r="C38" s="68">
        <f t="shared" si="6"/>
        <v>137.80000000000001</v>
      </c>
      <c r="D38" s="68">
        <f t="shared" si="7"/>
        <v>79.896333999999996</v>
      </c>
      <c r="E38" s="68">
        <f t="shared" si="8"/>
        <v>28.994710000000005</v>
      </c>
      <c r="F38" s="68">
        <f t="shared" si="9"/>
        <v>5.6415108000000007</v>
      </c>
      <c r="G38" s="68">
        <f t="shared" si="10"/>
        <v>2.4380000000000002E-2</v>
      </c>
      <c r="H38" s="68">
        <f t="shared" si="10"/>
        <v>0.23214000000000001</v>
      </c>
      <c r="I38" s="68">
        <f t="shared" si="10"/>
        <v>5.2999999999999999E-2</v>
      </c>
      <c r="J38" s="68">
        <f t="shared" si="10"/>
        <v>1.0600000000000002E-3</v>
      </c>
      <c r="K38" s="68">
        <f t="shared" si="10"/>
        <v>5.3E-3</v>
      </c>
      <c r="L38" s="68">
        <f t="shared" si="10"/>
        <v>2.12E-2</v>
      </c>
      <c r="M38" s="68">
        <f t="shared" si="10"/>
        <v>3.7100000000000001E-2</v>
      </c>
      <c r="N38" s="68">
        <f t="shared" si="10"/>
        <v>0</v>
      </c>
      <c r="O38" s="68">
        <f t="shared" si="10"/>
        <v>0</v>
      </c>
      <c r="P38" s="68">
        <f t="shared" si="10"/>
        <v>31.27</v>
      </c>
      <c r="Q38" s="68">
        <f t="shared" si="11"/>
        <v>24.591999999999999</v>
      </c>
      <c r="R38" s="68">
        <f t="shared" si="12"/>
        <v>0</v>
      </c>
      <c r="S38" s="68">
        <f t="shared" si="12"/>
        <v>0</v>
      </c>
      <c r="T38" s="68">
        <f t="shared" si="12"/>
        <v>0</v>
      </c>
      <c r="U38" s="68">
        <f t="shared" si="12"/>
        <v>0</v>
      </c>
    </row>
    <row r="39" spans="1:21" s="51" customFormat="1" ht="13" x14ac:dyDescent="0.35">
      <c r="A39" s="10" t="str">
        <f>K8</f>
        <v>Solafron 2893</v>
      </c>
      <c r="B39" s="12">
        <v>106</v>
      </c>
      <c r="C39" s="68">
        <f t="shared" si="6"/>
        <v>137.80000000000001</v>
      </c>
      <c r="D39" s="68">
        <f t="shared" si="7"/>
        <v>79.896333999999996</v>
      </c>
      <c r="E39" s="68">
        <f t="shared" si="8"/>
        <v>28.994710000000005</v>
      </c>
      <c r="F39" s="68">
        <f t="shared" si="9"/>
        <v>5.6415108000000007</v>
      </c>
      <c r="G39" s="68">
        <f t="shared" si="10"/>
        <v>2.4380000000000002E-2</v>
      </c>
      <c r="H39" s="68">
        <f t="shared" si="10"/>
        <v>0.23214000000000001</v>
      </c>
      <c r="I39" s="68">
        <f t="shared" si="10"/>
        <v>5.2999999999999999E-2</v>
      </c>
      <c r="J39" s="68">
        <f t="shared" si="10"/>
        <v>1.0600000000000002E-3</v>
      </c>
      <c r="K39" s="68">
        <f t="shared" si="10"/>
        <v>5.3E-3</v>
      </c>
      <c r="L39" s="68">
        <f t="shared" si="10"/>
        <v>2.12E-2</v>
      </c>
      <c r="M39" s="68">
        <f t="shared" si="10"/>
        <v>3.7100000000000001E-2</v>
      </c>
      <c r="N39" s="68">
        <f t="shared" si="10"/>
        <v>0</v>
      </c>
      <c r="O39" s="68">
        <f t="shared" si="10"/>
        <v>0</v>
      </c>
      <c r="P39" s="68">
        <f t="shared" si="10"/>
        <v>31.27</v>
      </c>
      <c r="Q39" s="68">
        <f t="shared" si="11"/>
        <v>24.591999999999999</v>
      </c>
      <c r="R39" s="68">
        <f t="shared" si="12"/>
        <v>0</v>
      </c>
      <c r="S39" s="68">
        <f t="shared" si="12"/>
        <v>0</v>
      </c>
      <c r="T39" s="68">
        <f t="shared" si="12"/>
        <v>0</v>
      </c>
      <c r="U39" s="68">
        <f t="shared" si="12"/>
        <v>0</v>
      </c>
    </row>
    <row r="40" spans="1:21" s="51" customFormat="1" ht="13" x14ac:dyDescent="0.35">
      <c r="A40" s="10" t="str">
        <f>L8</f>
        <v>Solafron 2611</v>
      </c>
      <c r="B40" s="12">
        <v>106</v>
      </c>
      <c r="C40" s="68">
        <f t="shared" si="6"/>
        <v>137.80000000000001</v>
      </c>
      <c r="D40" s="68">
        <f t="shared" si="7"/>
        <v>79.896333999999996</v>
      </c>
      <c r="E40" s="68">
        <f t="shared" si="8"/>
        <v>28.994710000000005</v>
      </c>
      <c r="F40" s="68">
        <f t="shared" si="9"/>
        <v>5.6415108000000007</v>
      </c>
      <c r="G40" s="68">
        <f t="shared" si="10"/>
        <v>2.4380000000000002E-2</v>
      </c>
      <c r="H40" s="68">
        <f t="shared" si="10"/>
        <v>0.23214000000000001</v>
      </c>
      <c r="I40" s="68">
        <f t="shared" si="10"/>
        <v>5.2999999999999999E-2</v>
      </c>
      <c r="J40" s="68">
        <f t="shared" si="10"/>
        <v>1.0600000000000002E-3</v>
      </c>
      <c r="K40" s="68">
        <f t="shared" si="10"/>
        <v>5.3E-3</v>
      </c>
      <c r="L40" s="68">
        <f t="shared" si="10"/>
        <v>2.12E-2</v>
      </c>
      <c r="M40" s="68">
        <f t="shared" si="10"/>
        <v>3.7100000000000001E-2</v>
      </c>
      <c r="N40" s="68">
        <f t="shared" si="10"/>
        <v>0</v>
      </c>
      <c r="O40" s="68">
        <f t="shared" si="10"/>
        <v>0</v>
      </c>
      <c r="P40" s="68">
        <f t="shared" si="10"/>
        <v>31.27</v>
      </c>
      <c r="Q40" s="68">
        <f t="shared" si="11"/>
        <v>24.591999999999999</v>
      </c>
      <c r="R40" s="68">
        <f t="shared" si="12"/>
        <v>0</v>
      </c>
      <c r="S40" s="68">
        <f t="shared" si="12"/>
        <v>0</v>
      </c>
      <c r="T40" s="68">
        <f t="shared" si="12"/>
        <v>0</v>
      </c>
      <c r="U40" s="68">
        <f t="shared" si="12"/>
        <v>0</v>
      </c>
    </row>
    <row r="41" spans="1:21" s="51" customFormat="1" ht="13" x14ac:dyDescent="0.35">
      <c r="A41" s="10" t="str">
        <f>M8</f>
        <v>Solafron 1404</v>
      </c>
      <c r="B41" s="12">
        <v>106</v>
      </c>
      <c r="C41" s="68">
        <f t="shared" si="6"/>
        <v>137.80000000000001</v>
      </c>
      <c r="D41" s="68">
        <f t="shared" si="7"/>
        <v>79.896333999999996</v>
      </c>
      <c r="E41" s="68">
        <f t="shared" si="8"/>
        <v>28.994710000000005</v>
      </c>
      <c r="F41" s="68">
        <f t="shared" si="9"/>
        <v>5.6415108000000007</v>
      </c>
      <c r="G41" s="68">
        <f t="shared" si="10"/>
        <v>2.4380000000000002E-2</v>
      </c>
      <c r="H41" s="68">
        <f t="shared" si="10"/>
        <v>0.23214000000000001</v>
      </c>
      <c r="I41" s="68">
        <f t="shared" si="10"/>
        <v>5.2999999999999999E-2</v>
      </c>
      <c r="J41" s="68">
        <f t="shared" si="10"/>
        <v>1.0600000000000002E-3</v>
      </c>
      <c r="K41" s="68">
        <f t="shared" si="10"/>
        <v>5.3E-3</v>
      </c>
      <c r="L41" s="68">
        <f t="shared" si="10"/>
        <v>2.12E-2</v>
      </c>
      <c r="M41" s="68">
        <f t="shared" si="10"/>
        <v>3.7100000000000001E-2</v>
      </c>
      <c r="N41" s="68">
        <f t="shared" si="10"/>
        <v>0</v>
      </c>
      <c r="O41" s="68">
        <f t="shared" si="10"/>
        <v>0</v>
      </c>
      <c r="P41" s="68">
        <f t="shared" si="10"/>
        <v>31.27</v>
      </c>
      <c r="Q41" s="68">
        <f t="shared" si="11"/>
        <v>24.591999999999999</v>
      </c>
      <c r="R41" s="68">
        <f t="shared" si="12"/>
        <v>0</v>
      </c>
      <c r="S41" s="68">
        <f t="shared" si="12"/>
        <v>0</v>
      </c>
      <c r="T41" s="68">
        <f t="shared" si="12"/>
        <v>0</v>
      </c>
      <c r="U41" s="68">
        <f t="shared" si="12"/>
        <v>0</v>
      </c>
    </row>
    <row r="42" spans="1:21" s="51" customFormat="1" ht="13" x14ac:dyDescent="0.35">
      <c r="A42" s="10">
        <f>N8</f>
        <v>0</v>
      </c>
      <c r="B42" s="12"/>
      <c r="C42" s="68">
        <f t="shared" si="6"/>
        <v>0</v>
      </c>
      <c r="D42" s="68">
        <f t="shared" si="7"/>
        <v>0</v>
      </c>
      <c r="E42" s="68">
        <f t="shared" si="8"/>
        <v>0</v>
      </c>
      <c r="F42" s="68">
        <f t="shared" si="9"/>
        <v>0</v>
      </c>
      <c r="G42" s="68">
        <f t="shared" si="10"/>
        <v>0</v>
      </c>
      <c r="H42" s="68">
        <f t="shared" si="10"/>
        <v>0</v>
      </c>
      <c r="I42" s="68">
        <f t="shared" si="10"/>
        <v>0</v>
      </c>
      <c r="J42" s="68">
        <f t="shared" si="10"/>
        <v>0</v>
      </c>
      <c r="K42" s="68">
        <f t="shared" si="10"/>
        <v>0</v>
      </c>
      <c r="L42" s="68">
        <f t="shared" si="10"/>
        <v>0</v>
      </c>
      <c r="M42" s="68">
        <f t="shared" si="10"/>
        <v>0</v>
      </c>
      <c r="N42" s="68">
        <f t="shared" si="10"/>
        <v>0</v>
      </c>
      <c r="O42" s="68">
        <f t="shared" si="10"/>
        <v>0</v>
      </c>
      <c r="P42" s="68">
        <f t="shared" si="10"/>
        <v>0</v>
      </c>
      <c r="Q42" s="68">
        <f t="shared" si="11"/>
        <v>0</v>
      </c>
      <c r="R42" s="68">
        <f t="shared" si="12"/>
        <v>0</v>
      </c>
      <c r="S42" s="68">
        <f t="shared" si="12"/>
        <v>0</v>
      </c>
      <c r="T42" s="68">
        <f t="shared" si="12"/>
        <v>0</v>
      </c>
      <c r="U42" s="68">
        <f t="shared" si="12"/>
        <v>0</v>
      </c>
    </row>
    <row r="43" spans="1:21" s="51" customFormat="1" ht="13" x14ac:dyDescent="0.35">
      <c r="A43" s="10">
        <f>O8</f>
        <v>0</v>
      </c>
      <c r="B43" s="12"/>
      <c r="C43" s="68">
        <f t="shared" si="6"/>
        <v>0</v>
      </c>
      <c r="D43" s="68">
        <f t="shared" si="7"/>
        <v>0</v>
      </c>
      <c r="E43" s="68">
        <f t="shared" si="8"/>
        <v>0</v>
      </c>
      <c r="F43" s="68">
        <f t="shared" si="9"/>
        <v>0</v>
      </c>
      <c r="G43" s="68">
        <f t="shared" si="10"/>
        <v>0</v>
      </c>
      <c r="H43" s="68">
        <f t="shared" si="10"/>
        <v>0</v>
      </c>
      <c r="I43" s="68">
        <f t="shared" si="10"/>
        <v>0</v>
      </c>
      <c r="J43" s="68">
        <f t="shared" si="10"/>
        <v>0</v>
      </c>
      <c r="K43" s="68">
        <f t="shared" si="10"/>
        <v>0</v>
      </c>
      <c r="L43" s="68">
        <f t="shared" si="10"/>
        <v>0</v>
      </c>
      <c r="M43" s="68">
        <f t="shared" si="10"/>
        <v>0</v>
      </c>
      <c r="N43" s="68">
        <f t="shared" si="10"/>
        <v>0</v>
      </c>
      <c r="O43" s="68">
        <f t="shared" si="10"/>
        <v>0</v>
      </c>
      <c r="P43" s="68">
        <f t="shared" si="10"/>
        <v>0</v>
      </c>
      <c r="Q43" s="68">
        <f t="shared" si="11"/>
        <v>0</v>
      </c>
      <c r="R43" s="68">
        <f t="shared" si="12"/>
        <v>0</v>
      </c>
      <c r="S43" s="68">
        <f t="shared" si="12"/>
        <v>0</v>
      </c>
      <c r="T43" s="68">
        <f t="shared" si="12"/>
        <v>0</v>
      </c>
      <c r="U43" s="68">
        <f t="shared" si="12"/>
        <v>0</v>
      </c>
    </row>
    <row r="44" spans="1:21" s="51" customFormat="1" ht="13" x14ac:dyDescent="0.35">
      <c r="A44" s="10">
        <f>P8</f>
        <v>0</v>
      </c>
      <c r="B44" s="12"/>
      <c r="C44" s="68">
        <f t="shared" si="6"/>
        <v>0</v>
      </c>
      <c r="D44" s="68">
        <f t="shared" si="7"/>
        <v>0</v>
      </c>
      <c r="E44" s="68">
        <f t="shared" si="8"/>
        <v>0</v>
      </c>
      <c r="F44" s="68">
        <f t="shared" si="9"/>
        <v>0</v>
      </c>
      <c r="G44" s="68">
        <f t="shared" si="10"/>
        <v>0</v>
      </c>
      <c r="H44" s="68">
        <f t="shared" si="10"/>
        <v>0</v>
      </c>
      <c r="I44" s="68">
        <f t="shared" si="10"/>
        <v>0</v>
      </c>
      <c r="J44" s="68">
        <f t="shared" si="10"/>
        <v>0</v>
      </c>
      <c r="K44" s="68">
        <f t="shared" si="10"/>
        <v>0</v>
      </c>
      <c r="L44" s="68">
        <f t="shared" si="10"/>
        <v>0</v>
      </c>
      <c r="M44" s="68">
        <f t="shared" si="10"/>
        <v>0</v>
      </c>
      <c r="N44" s="68">
        <f t="shared" si="10"/>
        <v>0</v>
      </c>
      <c r="O44" s="68">
        <f t="shared" si="10"/>
        <v>0</v>
      </c>
      <c r="P44" s="68">
        <f t="shared" si="10"/>
        <v>0</v>
      </c>
      <c r="Q44" s="68">
        <f t="shared" si="11"/>
        <v>0</v>
      </c>
      <c r="R44" s="68">
        <f t="shared" si="12"/>
        <v>0</v>
      </c>
      <c r="S44" s="68">
        <f t="shared" si="12"/>
        <v>0</v>
      </c>
      <c r="T44" s="68">
        <f t="shared" si="12"/>
        <v>0</v>
      </c>
      <c r="U44" s="68">
        <f t="shared" si="12"/>
        <v>0</v>
      </c>
    </row>
    <row r="45" spans="1:21" s="51" customFormat="1" ht="13" x14ac:dyDescent="0.35">
      <c r="A45" s="10">
        <f>Q8</f>
        <v>0</v>
      </c>
      <c r="B45" s="12"/>
      <c r="C45" s="68">
        <f t="shared" si="6"/>
        <v>0</v>
      </c>
      <c r="D45" s="68">
        <f t="shared" si="7"/>
        <v>0</v>
      </c>
      <c r="E45" s="68">
        <f t="shared" si="8"/>
        <v>0</v>
      </c>
      <c r="F45" s="68">
        <f t="shared" si="9"/>
        <v>0</v>
      </c>
      <c r="G45" s="68">
        <f t="shared" si="10"/>
        <v>0</v>
      </c>
      <c r="H45" s="68">
        <f t="shared" si="10"/>
        <v>0</v>
      </c>
      <c r="I45" s="68">
        <f t="shared" si="10"/>
        <v>0</v>
      </c>
      <c r="J45" s="68">
        <f t="shared" si="10"/>
        <v>0</v>
      </c>
      <c r="K45" s="68">
        <f t="shared" si="10"/>
        <v>0</v>
      </c>
      <c r="L45" s="68">
        <f t="shared" si="10"/>
        <v>0</v>
      </c>
      <c r="M45" s="68">
        <f t="shared" si="10"/>
        <v>0</v>
      </c>
      <c r="N45" s="68">
        <f t="shared" si="10"/>
        <v>0</v>
      </c>
      <c r="O45" s="68">
        <f t="shared" si="10"/>
        <v>0</v>
      </c>
      <c r="P45" s="68">
        <f t="shared" si="10"/>
        <v>0</v>
      </c>
      <c r="Q45" s="68">
        <f t="shared" si="11"/>
        <v>0</v>
      </c>
      <c r="R45" s="68">
        <f t="shared" si="12"/>
        <v>0</v>
      </c>
      <c r="S45" s="68">
        <f t="shared" si="12"/>
        <v>0</v>
      </c>
      <c r="T45" s="68">
        <f t="shared" si="12"/>
        <v>0</v>
      </c>
      <c r="U45" s="68">
        <f t="shared" si="12"/>
        <v>0</v>
      </c>
    </row>
    <row r="46" spans="1:21" s="51" customFormat="1" ht="13" x14ac:dyDescent="0.35">
      <c r="A46" s="10">
        <f>R8</f>
        <v>0</v>
      </c>
      <c r="B46" s="12"/>
      <c r="C46" s="68">
        <f t="shared" si="6"/>
        <v>0</v>
      </c>
      <c r="D46" s="68">
        <f t="shared" si="7"/>
        <v>0</v>
      </c>
      <c r="E46" s="68">
        <f t="shared" si="8"/>
        <v>0</v>
      </c>
      <c r="F46" s="68">
        <f t="shared" si="9"/>
        <v>0</v>
      </c>
      <c r="G46" s="68">
        <f t="shared" si="10"/>
        <v>0</v>
      </c>
      <c r="H46" s="68">
        <f t="shared" si="10"/>
        <v>0</v>
      </c>
      <c r="I46" s="68">
        <f t="shared" si="10"/>
        <v>0</v>
      </c>
      <c r="J46" s="68">
        <f t="shared" si="10"/>
        <v>0</v>
      </c>
      <c r="K46" s="68">
        <f t="shared" si="10"/>
        <v>0</v>
      </c>
      <c r="L46" s="68">
        <f t="shared" si="10"/>
        <v>0</v>
      </c>
      <c r="M46" s="68">
        <f t="shared" si="10"/>
        <v>0</v>
      </c>
      <c r="N46" s="68">
        <f t="shared" si="10"/>
        <v>0</v>
      </c>
      <c r="O46" s="68">
        <f t="shared" si="10"/>
        <v>0</v>
      </c>
      <c r="P46" s="68">
        <f t="shared" si="10"/>
        <v>0</v>
      </c>
      <c r="Q46" s="68">
        <f t="shared" si="11"/>
        <v>0</v>
      </c>
      <c r="R46" s="68">
        <f t="shared" si="12"/>
        <v>0</v>
      </c>
      <c r="S46" s="68">
        <f t="shared" si="12"/>
        <v>0</v>
      </c>
      <c r="T46" s="68">
        <f t="shared" si="12"/>
        <v>0</v>
      </c>
      <c r="U46" s="68">
        <f t="shared" si="12"/>
        <v>0</v>
      </c>
    </row>
    <row r="47" spans="1:21" s="51" customFormat="1" ht="13" x14ac:dyDescent="0.35">
      <c r="A47" s="10">
        <f>S8</f>
        <v>0</v>
      </c>
      <c r="B47" s="12"/>
      <c r="C47" s="68">
        <f t="shared" si="6"/>
        <v>0</v>
      </c>
      <c r="D47" s="68">
        <f t="shared" si="7"/>
        <v>0</v>
      </c>
      <c r="E47" s="68">
        <f t="shared" si="8"/>
        <v>0</v>
      </c>
      <c r="F47" s="68">
        <f t="shared" si="9"/>
        <v>0</v>
      </c>
      <c r="G47" s="68">
        <f t="shared" si="10"/>
        <v>0</v>
      </c>
      <c r="H47" s="68">
        <f t="shared" si="10"/>
        <v>0</v>
      </c>
      <c r="I47" s="68">
        <f t="shared" si="10"/>
        <v>0</v>
      </c>
      <c r="J47" s="68">
        <f t="shared" si="10"/>
        <v>0</v>
      </c>
      <c r="K47" s="68">
        <f t="shared" si="10"/>
        <v>0</v>
      </c>
      <c r="L47" s="68">
        <f t="shared" si="10"/>
        <v>0</v>
      </c>
      <c r="M47" s="68">
        <f t="shared" si="10"/>
        <v>0</v>
      </c>
      <c r="N47" s="68">
        <f t="shared" si="10"/>
        <v>0</v>
      </c>
      <c r="O47" s="68">
        <f t="shared" si="10"/>
        <v>0</v>
      </c>
      <c r="P47" s="68">
        <f t="shared" si="10"/>
        <v>0</v>
      </c>
      <c r="Q47" s="68">
        <f t="shared" si="11"/>
        <v>0</v>
      </c>
      <c r="R47" s="68">
        <f t="shared" si="12"/>
        <v>0</v>
      </c>
      <c r="S47" s="68">
        <f t="shared" si="12"/>
        <v>0</v>
      </c>
      <c r="T47" s="68">
        <f t="shared" si="12"/>
        <v>0</v>
      </c>
      <c r="U47" s="68">
        <f t="shared" si="12"/>
        <v>0</v>
      </c>
    </row>
    <row r="48" spans="1:21" s="51" customFormat="1" ht="13" x14ac:dyDescent="0.35">
      <c r="A48" s="10">
        <f>T8</f>
        <v>0</v>
      </c>
      <c r="B48" s="12"/>
      <c r="C48" s="68">
        <f t="shared" si="6"/>
        <v>0</v>
      </c>
      <c r="D48" s="68">
        <f t="shared" si="7"/>
        <v>0</v>
      </c>
      <c r="E48" s="68">
        <f t="shared" si="8"/>
        <v>0</v>
      </c>
      <c r="F48" s="68">
        <f t="shared" si="9"/>
        <v>0</v>
      </c>
      <c r="G48" s="68">
        <f t="shared" si="10"/>
        <v>0</v>
      </c>
      <c r="H48" s="68">
        <f t="shared" si="10"/>
        <v>0</v>
      </c>
      <c r="I48" s="68">
        <f t="shared" si="10"/>
        <v>0</v>
      </c>
      <c r="J48" s="68">
        <f t="shared" si="10"/>
        <v>0</v>
      </c>
      <c r="K48" s="68">
        <f t="shared" si="10"/>
        <v>0</v>
      </c>
      <c r="L48" s="68">
        <f t="shared" si="10"/>
        <v>0</v>
      </c>
      <c r="M48" s="68">
        <f t="shared" si="10"/>
        <v>0</v>
      </c>
      <c r="N48" s="68">
        <f t="shared" si="10"/>
        <v>0</v>
      </c>
      <c r="O48" s="68">
        <f t="shared" si="10"/>
        <v>0</v>
      </c>
      <c r="P48" s="68">
        <f t="shared" si="10"/>
        <v>0</v>
      </c>
      <c r="Q48" s="68">
        <f t="shared" si="11"/>
        <v>0</v>
      </c>
      <c r="R48" s="68">
        <f t="shared" si="12"/>
        <v>0</v>
      </c>
      <c r="S48" s="68">
        <f t="shared" si="12"/>
        <v>0</v>
      </c>
      <c r="T48" s="68">
        <f t="shared" si="12"/>
        <v>0</v>
      </c>
      <c r="U48" s="68">
        <f t="shared" si="12"/>
        <v>0</v>
      </c>
    </row>
    <row r="49" spans="1:21" s="51" customFormat="1" ht="13" x14ac:dyDescent="0.35">
      <c r="A49" s="10">
        <f>U8</f>
        <v>0</v>
      </c>
      <c r="B49" s="12"/>
      <c r="C49" s="68">
        <f t="shared" si="6"/>
        <v>0</v>
      </c>
      <c r="D49" s="68">
        <f t="shared" si="7"/>
        <v>0</v>
      </c>
      <c r="E49" s="68">
        <f t="shared" si="8"/>
        <v>0</v>
      </c>
      <c r="F49" s="68">
        <f t="shared" si="9"/>
        <v>0</v>
      </c>
      <c r="G49" s="68">
        <f t="shared" si="10"/>
        <v>0</v>
      </c>
      <c r="H49" s="68">
        <f t="shared" si="10"/>
        <v>0</v>
      </c>
      <c r="I49" s="68">
        <f t="shared" si="10"/>
        <v>0</v>
      </c>
      <c r="J49" s="68">
        <f t="shared" si="10"/>
        <v>0</v>
      </c>
      <c r="K49" s="68">
        <f t="shared" si="10"/>
        <v>0</v>
      </c>
      <c r="L49" s="68">
        <f t="shared" si="10"/>
        <v>0</v>
      </c>
      <c r="M49" s="68">
        <f t="shared" si="10"/>
        <v>0</v>
      </c>
      <c r="N49" s="68">
        <f t="shared" si="10"/>
        <v>0</v>
      </c>
      <c r="O49" s="68">
        <f t="shared" si="10"/>
        <v>0</v>
      </c>
      <c r="P49" s="68">
        <f t="shared" si="10"/>
        <v>0</v>
      </c>
      <c r="Q49" s="68">
        <f t="shared" si="11"/>
        <v>0</v>
      </c>
      <c r="R49" s="68">
        <f t="shared" si="12"/>
        <v>0</v>
      </c>
      <c r="S49" s="68">
        <f t="shared" si="12"/>
        <v>0</v>
      </c>
      <c r="T49" s="68">
        <f t="shared" si="12"/>
        <v>0</v>
      </c>
      <c r="U49" s="68">
        <f t="shared" si="12"/>
        <v>0</v>
      </c>
    </row>
    <row r="50" spans="1:21" s="51" customFormat="1" ht="13.5" thickBot="1" x14ac:dyDescent="0.4">
      <c r="A50" s="11">
        <f>V8</f>
        <v>0</v>
      </c>
      <c r="B50" s="12"/>
      <c r="C50" s="87">
        <f t="shared" si="6"/>
        <v>0</v>
      </c>
      <c r="D50" s="87">
        <f t="shared" si="7"/>
        <v>0</v>
      </c>
      <c r="E50" s="87">
        <f t="shared" si="8"/>
        <v>0</v>
      </c>
      <c r="F50" s="87">
        <f t="shared" si="9"/>
        <v>0</v>
      </c>
      <c r="G50" s="87">
        <f t="shared" si="10"/>
        <v>0</v>
      </c>
      <c r="H50" s="87">
        <f t="shared" si="10"/>
        <v>0</v>
      </c>
      <c r="I50" s="87">
        <f t="shared" si="10"/>
        <v>0</v>
      </c>
      <c r="J50" s="87">
        <f t="shared" si="10"/>
        <v>0</v>
      </c>
      <c r="K50" s="87">
        <f t="shared" si="10"/>
        <v>0</v>
      </c>
      <c r="L50" s="87">
        <f t="shared" si="10"/>
        <v>0</v>
      </c>
      <c r="M50" s="87">
        <f t="shared" si="10"/>
        <v>0</v>
      </c>
      <c r="N50" s="87">
        <f t="shared" si="10"/>
        <v>0</v>
      </c>
      <c r="O50" s="87">
        <f t="shared" si="10"/>
        <v>0</v>
      </c>
      <c r="P50" s="87">
        <f t="shared" si="10"/>
        <v>0</v>
      </c>
      <c r="Q50" s="87">
        <f t="shared" si="11"/>
        <v>0</v>
      </c>
      <c r="R50" s="87">
        <f t="shared" si="12"/>
        <v>0</v>
      </c>
      <c r="S50" s="87">
        <f t="shared" si="12"/>
        <v>0</v>
      </c>
      <c r="T50" s="87">
        <f t="shared" si="12"/>
        <v>0</v>
      </c>
      <c r="U50" s="87">
        <f t="shared" si="12"/>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5">
        <v>20</v>
      </c>
    </row>
    <row r="53" spans="1:21" ht="13" x14ac:dyDescent="0.35">
      <c r="A53" s="7" t="s">
        <v>130</v>
      </c>
    </row>
    <row r="54" spans="1:21" ht="26" x14ac:dyDescent="0.3">
      <c r="A54" s="98"/>
      <c r="B54" s="102" t="s">
        <v>149</v>
      </c>
      <c r="C54" s="102" t="s">
        <v>150</v>
      </c>
      <c r="D54" s="102" t="s">
        <v>127</v>
      </c>
      <c r="E54" s="102" t="s">
        <v>128</v>
      </c>
      <c r="F54" s="102" t="s">
        <v>151</v>
      </c>
      <c r="G54" s="102" t="s">
        <v>129</v>
      </c>
      <c r="H54" s="51"/>
      <c r="I54" s="51"/>
      <c r="J54" s="51"/>
      <c r="K54" s="51"/>
      <c r="L54" s="51"/>
      <c r="M54" s="51"/>
      <c r="N54" s="51"/>
      <c r="O54" s="51"/>
      <c r="P54" s="51"/>
      <c r="Q54" s="51"/>
      <c r="R54" s="51"/>
      <c r="S54" s="51"/>
      <c r="T54" s="51"/>
      <c r="U54" s="51"/>
    </row>
    <row r="55" spans="1:21" x14ac:dyDescent="0.25">
      <c r="A55" s="99"/>
      <c r="B55" s="103"/>
      <c r="C55" s="104"/>
      <c r="D55" s="105">
        <f>(B55/100)*C55</f>
        <v>0</v>
      </c>
      <c r="E55" s="105">
        <f>G55</f>
        <v>0</v>
      </c>
      <c r="F55" s="104"/>
      <c r="G55" s="105">
        <f>(B55/100)*F55</f>
        <v>0</v>
      </c>
      <c r="H55" s="51"/>
      <c r="I55" s="51"/>
      <c r="J55" s="51"/>
      <c r="K55" s="51"/>
      <c r="L55" s="51"/>
      <c r="M55" s="51"/>
      <c r="N55" s="51"/>
      <c r="O55" s="51"/>
      <c r="P55" s="51"/>
      <c r="Q55" s="51"/>
      <c r="R55" s="51"/>
      <c r="S55" s="51"/>
      <c r="T55" s="51"/>
      <c r="U55" s="51"/>
    </row>
    <row r="56" spans="1:21" ht="13" x14ac:dyDescent="0.3">
      <c r="A56" s="82" t="s">
        <v>63</v>
      </c>
      <c r="B56" s="8">
        <v>1</v>
      </c>
      <c r="C56" s="64">
        <v>2</v>
      </c>
      <c r="D56" s="65">
        <v>3</v>
      </c>
      <c r="E56" s="65">
        <v>4</v>
      </c>
      <c r="F56" s="64">
        <v>5</v>
      </c>
      <c r="G56" s="65">
        <v>6</v>
      </c>
      <c r="H56" s="66">
        <v>7</v>
      </c>
      <c r="I56" s="66">
        <v>8</v>
      </c>
      <c r="J56" s="66">
        <v>9</v>
      </c>
      <c r="K56" s="64">
        <v>10</v>
      </c>
      <c r="L56" s="64">
        <v>11</v>
      </c>
      <c r="M56" s="65">
        <v>12</v>
      </c>
      <c r="N56" s="65">
        <v>13</v>
      </c>
      <c r="O56" s="64">
        <v>14</v>
      </c>
      <c r="P56" s="65">
        <v>15</v>
      </c>
      <c r="Q56" s="66">
        <v>16</v>
      </c>
      <c r="R56" s="66">
        <v>17</v>
      </c>
      <c r="S56" s="66">
        <v>18</v>
      </c>
      <c r="T56" s="64">
        <v>19</v>
      </c>
      <c r="U56" s="64">
        <v>20</v>
      </c>
    </row>
    <row r="57" spans="1:21" ht="13" x14ac:dyDescent="0.35">
      <c r="A57" s="82" t="s">
        <v>2</v>
      </c>
      <c r="B57" s="8" t="str">
        <f>C8</f>
        <v>Nant Y Croi 9</v>
      </c>
      <c r="C57" s="8" t="str">
        <f t="shared" ref="C57:U57" si="13">D8</f>
        <v>Hafod 4315</v>
      </c>
      <c r="D57" s="8" t="str">
        <f t="shared" si="13"/>
        <v>Hafod 4734</v>
      </c>
      <c r="E57" s="8" t="str">
        <f t="shared" si="13"/>
        <v>Hafod 5761</v>
      </c>
      <c r="F57" s="8" t="str">
        <f t="shared" si="13"/>
        <v>Hafod 4067</v>
      </c>
      <c r="G57" s="8" t="str">
        <f t="shared" si="13"/>
        <v>Hafod 2455</v>
      </c>
      <c r="H57" s="8" t="str">
        <f t="shared" si="13"/>
        <v>Hafod 1741</v>
      </c>
      <c r="I57" s="8" t="str">
        <f t="shared" si="13"/>
        <v>Hafod 0720</v>
      </c>
      <c r="J57" s="8" t="str">
        <f t="shared" si="13"/>
        <v>Solafron 2893</v>
      </c>
      <c r="K57" s="8" t="str">
        <f t="shared" si="13"/>
        <v>Solafron 2611</v>
      </c>
      <c r="L57" s="8" t="str">
        <f t="shared" si="13"/>
        <v>Solafron 1404</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82" t="s">
        <v>136</v>
      </c>
      <c r="B58" s="10" t="str">
        <f>C16&amp;" I "&amp;(VLOOKUP(C14,Table24[],6,FALSE))</f>
        <v>Medium/Clay I Grass</v>
      </c>
      <c r="C58" s="10" t="str">
        <f>D16&amp;" I "&amp;(VLOOKUP(D14,Table24[],6,FALSE))</f>
        <v>Medium/Clay I Grass</v>
      </c>
      <c r="D58" s="10" t="str">
        <f>E16&amp;" I "&amp;(VLOOKUP(E14,Table24[],6,FALSE))</f>
        <v>Medium/Clay I Grass</v>
      </c>
      <c r="E58" s="10" t="str">
        <f>F16&amp;" I "&amp;(VLOOKUP(F14,Table24[],6,FALSE))</f>
        <v>Medium/Clay I Grass</v>
      </c>
      <c r="F58" s="10" t="str">
        <f>G16&amp;" I "&amp;(VLOOKUP(G14,Table24[],6,FALSE))</f>
        <v>Medium/Clay I Grass</v>
      </c>
      <c r="G58" s="10" t="str">
        <f>H16&amp;" I "&amp;(VLOOKUP(H14,Table24[],6,FALSE))</f>
        <v>Medium/Clay I Grass</v>
      </c>
      <c r="H58" s="10" t="str">
        <f>I16&amp;" I "&amp;(VLOOKUP(I14,Table24[],6,FALSE))</f>
        <v>Medium/Clay I Grass</v>
      </c>
      <c r="I58" s="10" t="str">
        <f>J16&amp;" I "&amp;(VLOOKUP(J14,Table24[],6,FALSE))</f>
        <v>Medium/Clay I Grass</v>
      </c>
      <c r="J58" s="10" t="str">
        <f>K16&amp;" I "&amp;(VLOOKUP(K14,Table24[],6,FALSE))</f>
        <v>Medium/Clay I Grass</v>
      </c>
      <c r="K58" s="10" t="str">
        <f>L16&amp;" I "&amp;(VLOOKUP(L14,Table24[],6,FALSE))</f>
        <v>Medium/Clay I Grass</v>
      </c>
      <c r="L58" s="10" t="str">
        <f>M16&amp;" I "&amp;(VLOOKUP(M14,Table24[],6,FALSE))</f>
        <v>Medium/Clay I Grass</v>
      </c>
      <c r="M58" s="10" t="e">
        <f>N16&amp;" I "&amp;(VLOOKUP(N14,Table24[],6,FALSE))</f>
        <v>#N/A</v>
      </c>
      <c r="N58" s="10" t="e">
        <f>O16&amp;" I "&amp;(VLOOKUP(O14,Table24[],6,FALSE))</f>
        <v>#N/A</v>
      </c>
      <c r="O58" s="10" t="e">
        <f>P16&amp;" I "&amp;(VLOOKUP(P14,Table24[],6,FALSE))</f>
        <v>#N/A</v>
      </c>
      <c r="P58" s="10" t="e">
        <f>Q16&amp;" I "&amp;(VLOOKUP(Q14,Table24[],6,FALSE))</f>
        <v>#N/A</v>
      </c>
      <c r="Q58" s="10" t="e">
        <f>R16&amp;" I "&amp;(VLOOKUP(R14,Table24[],6,FALSE))</f>
        <v>#N/A</v>
      </c>
      <c r="R58" s="10" t="e">
        <f>S16&amp;" I "&amp;(VLOOKUP(S14,Table24[],6,FALSE))</f>
        <v>#N/A</v>
      </c>
      <c r="S58" s="10" t="e">
        <f>T16&amp;" I "&amp;(VLOOKUP(T14,Table24[],6,FALSE))</f>
        <v>#N/A</v>
      </c>
      <c r="T58" s="10" t="e">
        <f>U16&amp;" I "&amp;(VLOOKUP(U14,Table24[],6,FALSE))</f>
        <v>#N/A</v>
      </c>
      <c r="U58" s="10" t="e">
        <f>V16&amp;" I "&amp;(VLOOKUP(V14,Table24[],6,FALSE))</f>
        <v>#N/A</v>
      </c>
    </row>
    <row r="59" spans="1:21" ht="13" x14ac:dyDescent="0.3">
      <c r="A59" s="100" t="s">
        <v>132</v>
      </c>
      <c r="B59" s="67">
        <f>VLOOKUP(C$14,Table24[],5,FALSE)</f>
        <v>6.2</v>
      </c>
      <c r="C59" s="67">
        <f>VLOOKUP(D$14,Table24[],5,FALSE)</f>
        <v>6.2</v>
      </c>
      <c r="D59" s="67">
        <f>VLOOKUP(E$14,Table24[],5,FALSE)</f>
        <v>6.2</v>
      </c>
      <c r="E59" s="67">
        <f>VLOOKUP(F$14,Table24[],5,FALSE)</f>
        <v>6.2</v>
      </c>
      <c r="F59" s="67">
        <f>VLOOKUP(G$14,Table24[],5,FALSE)</f>
        <v>6.2</v>
      </c>
      <c r="G59" s="67">
        <f>VLOOKUP(H$14,Table24[],5,FALSE)</f>
        <v>6.2</v>
      </c>
      <c r="H59" s="67">
        <f>VLOOKUP(I$14,Table24[],5,FALSE)</f>
        <v>6.2</v>
      </c>
      <c r="I59" s="67">
        <f>VLOOKUP(J$14,Table24[],5,FALSE)</f>
        <v>6.2</v>
      </c>
      <c r="J59" s="67">
        <f>VLOOKUP(K$14,Table24[],5,FALSE)</f>
        <v>6.2</v>
      </c>
      <c r="K59" s="67">
        <f>VLOOKUP(L$14,Table24[],5,FALSE)</f>
        <v>6.2</v>
      </c>
      <c r="L59" s="67">
        <f>VLOOKUP(M$14,Table24[],5,FALSE)</f>
        <v>6.2</v>
      </c>
      <c r="M59" s="67" t="e">
        <f>VLOOKUP(N$14,Table24[],5,FALSE)</f>
        <v>#N/A</v>
      </c>
      <c r="N59" s="67" t="e">
        <f>VLOOKUP(O$14,Table24[],5,FALSE)</f>
        <v>#N/A</v>
      </c>
      <c r="O59" s="67" t="e">
        <f>VLOOKUP(P$14,Table24[],5,FALSE)</f>
        <v>#N/A</v>
      </c>
      <c r="P59" s="67" t="e">
        <f>VLOOKUP(Q$14,Table24[],5,FALSE)</f>
        <v>#N/A</v>
      </c>
      <c r="Q59" s="67" t="e">
        <f>VLOOKUP(R$14,Table24[],5,FALSE)</f>
        <v>#N/A</v>
      </c>
      <c r="R59" s="67" t="e">
        <f>VLOOKUP(S$14,Table24[],5,FALSE)</f>
        <v>#N/A</v>
      </c>
      <c r="S59" s="67" t="e">
        <f>VLOOKUP(T$14,Table24[],5,FALSE)</f>
        <v>#N/A</v>
      </c>
      <c r="T59" s="67" t="e">
        <f>VLOOKUP(U$14,Table24[],5,FALSE)</f>
        <v>#N/A</v>
      </c>
      <c r="U59" s="67" t="e">
        <f>VLOOKUP(V$14,Table24[],5,FALSE)</f>
        <v>#N/A</v>
      </c>
    </row>
    <row r="60" spans="1:21" ht="13" x14ac:dyDescent="0.3">
      <c r="A60" s="100" t="s">
        <v>4</v>
      </c>
      <c r="B60" s="67">
        <f>C10</f>
        <v>5.4</v>
      </c>
      <c r="C60" s="67">
        <f t="shared" ref="C60:U60" si="14">D10</f>
        <v>6.3</v>
      </c>
      <c r="D60" s="67">
        <f t="shared" si="14"/>
        <v>6.3</v>
      </c>
      <c r="E60" s="67">
        <f t="shared" si="14"/>
        <v>6.2</v>
      </c>
      <c r="F60" s="67">
        <f t="shared" si="14"/>
        <v>6.2</v>
      </c>
      <c r="G60" s="67">
        <f t="shared" si="14"/>
        <v>6.3</v>
      </c>
      <c r="H60" s="67">
        <f t="shared" si="14"/>
        <v>6.3</v>
      </c>
      <c r="I60" s="67">
        <f t="shared" si="14"/>
        <v>6.2</v>
      </c>
      <c r="J60" s="67">
        <f t="shared" si="14"/>
        <v>6.3</v>
      </c>
      <c r="K60" s="67">
        <f t="shared" si="14"/>
        <v>6.3</v>
      </c>
      <c r="L60" s="67">
        <f t="shared" si="14"/>
        <v>6.3</v>
      </c>
      <c r="M60" s="67">
        <f t="shared" si="14"/>
        <v>0</v>
      </c>
      <c r="N60" s="67">
        <f t="shared" si="14"/>
        <v>0</v>
      </c>
      <c r="O60" s="67">
        <f t="shared" si="14"/>
        <v>0</v>
      </c>
      <c r="P60" s="67">
        <f t="shared" si="14"/>
        <v>0</v>
      </c>
      <c r="Q60" s="67">
        <f t="shared" si="14"/>
        <v>0</v>
      </c>
      <c r="R60" s="67">
        <f t="shared" si="14"/>
        <v>0</v>
      </c>
      <c r="S60" s="67">
        <f t="shared" si="14"/>
        <v>0</v>
      </c>
      <c r="T60" s="67">
        <f t="shared" si="14"/>
        <v>0</v>
      </c>
      <c r="U60" s="67">
        <f t="shared" si="14"/>
        <v>0</v>
      </c>
    </row>
    <row r="61" spans="1:21" ht="13" x14ac:dyDescent="0.3">
      <c r="A61" s="100" t="s">
        <v>133</v>
      </c>
      <c r="B61" s="67">
        <f t="shared" ref="B61:U61" si="15">VLOOKUP(B58,$AD9:$AE18,2,FALSE)</f>
        <v>6</v>
      </c>
      <c r="C61" s="67">
        <f t="shared" si="15"/>
        <v>6</v>
      </c>
      <c r="D61" s="67">
        <f t="shared" si="15"/>
        <v>6</v>
      </c>
      <c r="E61" s="67">
        <f t="shared" si="15"/>
        <v>6</v>
      </c>
      <c r="F61" s="67">
        <f t="shared" si="15"/>
        <v>6</v>
      </c>
      <c r="G61" s="67">
        <f t="shared" si="15"/>
        <v>6</v>
      </c>
      <c r="H61" s="67">
        <f t="shared" si="15"/>
        <v>6</v>
      </c>
      <c r="I61" s="67">
        <f t="shared" si="15"/>
        <v>6</v>
      </c>
      <c r="J61" s="67">
        <f t="shared" si="15"/>
        <v>6</v>
      </c>
      <c r="K61" s="67">
        <f t="shared" si="15"/>
        <v>6</v>
      </c>
      <c r="L61" s="67">
        <f t="shared" si="15"/>
        <v>6</v>
      </c>
      <c r="M61" s="67" t="e">
        <f t="shared" si="15"/>
        <v>#N/A</v>
      </c>
      <c r="N61" s="67" t="e">
        <f t="shared" si="15"/>
        <v>#N/A</v>
      </c>
      <c r="O61" s="67" t="e">
        <f t="shared" si="15"/>
        <v>#N/A</v>
      </c>
      <c r="P61" s="67" t="e">
        <f t="shared" si="15"/>
        <v>#N/A</v>
      </c>
      <c r="Q61" s="67" t="e">
        <f t="shared" si="15"/>
        <v>#N/A</v>
      </c>
      <c r="R61" s="67" t="e">
        <f t="shared" si="15"/>
        <v>#N/A</v>
      </c>
      <c r="S61" s="67" t="e">
        <f t="shared" si="15"/>
        <v>#N/A</v>
      </c>
      <c r="T61" s="67" t="e">
        <f t="shared" si="15"/>
        <v>#N/A</v>
      </c>
      <c r="U61" s="67" t="e">
        <f t="shared" si="15"/>
        <v>#N/A</v>
      </c>
    </row>
    <row r="62" spans="1:21" ht="13" x14ac:dyDescent="0.3">
      <c r="A62" s="100" t="s">
        <v>134</v>
      </c>
      <c r="B62" s="68">
        <f>B31</f>
        <v>106</v>
      </c>
      <c r="C62" s="68">
        <f>B32</f>
        <v>106</v>
      </c>
      <c r="D62" s="68">
        <f>B33</f>
        <v>106</v>
      </c>
      <c r="E62" s="68">
        <f>B34</f>
        <v>190</v>
      </c>
      <c r="F62" s="68">
        <f>B35</f>
        <v>106</v>
      </c>
      <c r="G62" s="68">
        <f>B36</f>
        <v>106</v>
      </c>
      <c r="H62" s="68">
        <f>B37</f>
        <v>106</v>
      </c>
      <c r="I62" s="68">
        <f>B38</f>
        <v>106</v>
      </c>
      <c r="J62" s="68">
        <f>B39</f>
        <v>106</v>
      </c>
      <c r="K62" s="68">
        <f>B40</f>
        <v>106</v>
      </c>
      <c r="L62" s="68">
        <f>B41</f>
        <v>106</v>
      </c>
      <c r="M62" s="68">
        <f>B42</f>
        <v>0</v>
      </c>
      <c r="N62" s="68">
        <f>B43</f>
        <v>0</v>
      </c>
      <c r="O62" s="68">
        <f>B44</f>
        <v>0</v>
      </c>
      <c r="P62" s="68">
        <f>B45</f>
        <v>0</v>
      </c>
      <c r="Q62" s="68">
        <f>B46</f>
        <v>0</v>
      </c>
      <c r="R62" s="68">
        <f>B47</f>
        <v>0</v>
      </c>
      <c r="S62" s="68">
        <f>B48</f>
        <v>0</v>
      </c>
      <c r="T62" s="68">
        <f>B49</f>
        <v>0</v>
      </c>
      <c r="U62" s="68">
        <f>B50</f>
        <v>0</v>
      </c>
    </row>
    <row r="63" spans="1:21" ht="39" x14ac:dyDescent="0.3">
      <c r="A63" s="101" t="s">
        <v>155</v>
      </c>
      <c r="B63" s="68">
        <f>$E55*(B62/100)</f>
        <v>0</v>
      </c>
      <c r="C63" s="68">
        <f t="shared" ref="C63:U63" si="16">$E55*(C62/100)</f>
        <v>0</v>
      </c>
      <c r="D63" s="68">
        <f t="shared" si="16"/>
        <v>0</v>
      </c>
      <c r="E63" s="68">
        <f t="shared" si="16"/>
        <v>0</v>
      </c>
      <c r="F63" s="68">
        <f>$E55*(F62/100)</f>
        <v>0</v>
      </c>
      <c r="G63" s="68">
        <f t="shared" si="16"/>
        <v>0</v>
      </c>
      <c r="H63" s="68">
        <f t="shared" si="16"/>
        <v>0</v>
      </c>
      <c r="I63" s="68">
        <f t="shared" si="16"/>
        <v>0</v>
      </c>
      <c r="J63" s="68">
        <f t="shared" si="16"/>
        <v>0</v>
      </c>
      <c r="K63" s="68">
        <f t="shared" si="16"/>
        <v>0</v>
      </c>
      <c r="L63" s="68">
        <f t="shared" si="16"/>
        <v>0</v>
      </c>
      <c r="M63" s="68">
        <f t="shared" si="16"/>
        <v>0</v>
      </c>
      <c r="N63" s="68">
        <f t="shared" si="16"/>
        <v>0</v>
      </c>
      <c r="O63" s="68">
        <f t="shared" si="16"/>
        <v>0</v>
      </c>
      <c r="P63" s="68">
        <f t="shared" si="16"/>
        <v>0</v>
      </c>
      <c r="Q63" s="68">
        <f t="shared" si="16"/>
        <v>0</v>
      </c>
      <c r="R63" s="68">
        <f t="shared" si="16"/>
        <v>0</v>
      </c>
      <c r="S63" s="68">
        <f t="shared" si="16"/>
        <v>0</v>
      </c>
      <c r="T63" s="68">
        <f t="shared" si="16"/>
        <v>0</v>
      </c>
      <c r="U63" s="68">
        <f t="shared" si="16"/>
        <v>0</v>
      </c>
    </row>
    <row r="64" spans="1:21" ht="52" x14ac:dyDescent="0.3">
      <c r="A64" s="101" t="s">
        <v>156</v>
      </c>
      <c r="B64" s="68">
        <f>(B59-B60)*B61</f>
        <v>4.7999999999999989</v>
      </c>
      <c r="C64" s="68">
        <f t="shared" ref="C64:U64" si="17">(C59-C60)*C61</f>
        <v>-0.59999999999999787</v>
      </c>
      <c r="D64" s="68">
        <f t="shared" si="17"/>
        <v>-0.59999999999999787</v>
      </c>
      <c r="E64" s="68">
        <f t="shared" si="17"/>
        <v>0</v>
      </c>
      <c r="F64" s="68">
        <f t="shared" si="17"/>
        <v>0</v>
      </c>
      <c r="G64" s="68">
        <f t="shared" si="17"/>
        <v>-0.59999999999999787</v>
      </c>
      <c r="H64" s="68">
        <f t="shared" si="17"/>
        <v>-0.59999999999999787</v>
      </c>
      <c r="I64" s="68">
        <f t="shared" si="17"/>
        <v>0</v>
      </c>
      <c r="J64" s="68">
        <f t="shared" si="17"/>
        <v>-0.59999999999999787</v>
      </c>
      <c r="K64" s="68">
        <f t="shared" si="17"/>
        <v>-0.59999999999999787</v>
      </c>
      <c r="L64" s="68">
        <f t="shared" si="17"/>
        <v>-0.59999999999999787</v>
      </c>
      <c r="M64" s="68" t="e">
        <f t="shared" si="17"/>
        <v>#N/A</v>
      </c>
      <c r="N64" s="68" t="e">
        <f t="shared" si="17"/>
        <v>#N/A</v>
      </c>
      <c r="O64" s="68" t="e">
        <f t="shared" si="17"/>
        <v>#N/A</v>
      </c>
      <c r="P64" s="68" t="e">
        <f t="shared" si="17"/>
        <v>#N/A</v>
      </c>
      <c r="Q64" s="68" t="e">
        <f t="shared" si="17"/>
        <v>#N/A</v>
      </c>
      <c r="R64" s="68" t="e">
        <f t="shared" si="17"/>
        <v>#N/A</v>
      </c>
      <c r="S64" s="68" t="e">
        <f t="shared" si="17"/>
        <v>#N/A</v>
      </c>
      <c r="T64" s="68" t="e">
        <f t="shared" si="17"/>
        <v>#N/A</v>
      </c>
      <c r="U64" s="68" t="e">
        <f t="shared" si="17"/>
        <v>#N/A</v>
      </c>
    </row>
    <row r="65" spans="1:21" ht="52" x14ac:dyDescent="0.3">
      <c r="A65" s="101" t="s">
        <v>157</v>
      </c>
      <c r="B65" s="68">
        <f>B63-B64</f>
        <v>-4.7999999999999989</v>
      </c>
      <c r="C65" s="68">
        <f t="shared" ref="C65:U65" si="18">C63-C64</f>
        <v>0.59999999999999787</v>
      </c>
      <c r="D65" s="68">
        <f t="shared" si="18"/>
        <v>0.59999999999999787</v>
      </c>
      <c r="E65" s="68">
        <f t="shared" si="18"/>
        <v>0</v>
      </c>
      <c r="F65" s="68">
        <f t="shared" si="18"/>
        <v>0</v>
      </c>
      <c r="G65" s="68">
        <f t="shared" si="18"/>
        <v>0.59999999999999787</v>
      </c>
      <c r="H65" s="68">
        <f t="shared" si="18"/>
        <v>0.59999999999999787</v>
      </c>
      <c r="I65" s="68">
        <f t="shared" si="18"/>
        <v>0</v>
      </c>
      <c r="J65" s="68">
        <f t="shared" si="18"/>
        <v>0.59999999999999787</v>
      </c>
      <c r="K65" s="68">
        <f t="shared" si="18"/>
        <v>0.59999999999999787</v>
      </c>
      <c r="L65" s="68">
        <f t="shared" si="18"/>
        <v>0.59999999999999787</v>
      </c>
      <c r="M65" s="68" t="e">
        <f t="shared" si="18"/>
        <v>#N/A</v>
      </c>
      <c r="N65" s="68" t="e">
        <f t="shared" si="18"/>
        <v>#N/A</v>
      </c>
      <c r="O65" s="68" t="e">
        <f t="shared" si="18"/>
        <v>#N/A</v>
      </c>
      <c r="P65" s="68" t="e">
        <f t="shared" si="18"/>
        <v>#N/A</v>
      </c>
      <c r="Q65" s="68" t="e">
        <f t="shared" si="18"/>
        <v>#N/A</v>
      </c>
      <c r="R65" s="68" t="e">
        <f t="shared" si="18"/>
        <v>#N/A</v>
      </c>
      <c r="S65" s="68" t="e">
        <f t="shared" si="18"/>
        <v>#N/A</v>
      </c>
      <c r="T65" s="68" t="e">
        <f t="shared" si="18"/>
        <v>#N/A</v>
      </c>
      <c r="U65" s="68" t="e">
        <f t="shared" si="18"/>
        <v>#N/A</v>
      </c>
    </row>
    <row r="66" spans="1:21" ht="26" x14ac:dyDescent="0.3">
      <c r="A66" s="101" t="s">
        <v>148</v>
      </c>
      <c r="B66" s="69" t="str">
        <f>IF(B64&lt;=B63,"OVER","UNDER")</f>
        <v>UNDER</v>
      </c>
      <c r="C66" s="69" t="str">
        <f t="shared" ref="C66:U66" si="19">IF(C64&lt;=C63,"OVER","UNDER")</f>
        <v>OVER</v>
      </c>
      <c r="D66" s="69" t="str">
        <f t="shared" si="19"/>
        <v>OVER</v>
      </c>
      <c r="E66" s="69" t="str">
        <f t="shared" si="19"/>
        <v>OVER</v>
      </c>
      <c r="F66" s="69" t="str">
        <f t="shared" si="19"/>
        <v>OVER</v>
      </c>
      <c r="G66" s="69" t="str">
        <f t="shared" si="19"/>
        <v>OVER</v>
      </c>
      <c r="H66" s="69" t="str">
        <f t="shared" si="19"/>
        <v>OVER</v>
      </c>
      <c r="I66" s="69" t="str">
        <f t="shared" si="19"/>
        <v>OVER</v>
      </c>
      <c r="J66" s="69" t="str">
        <f t="shared" si="19"/>
        <v>OVER</v>
      </c>
      <c r="K66" s="69" t="str">
        <f t="shared" si="19"/>
        <v>OVER</v>
      </c>
      <c r="L66" s="69" t="str">
        <f t="shared" si="19"/>
        <v>OVER</v>
      </c>
      <c r="M66" s="69" t="e">
        <f t="shared" si="19"/>
        <v>#N/A</v>
      </c>
      <c r="N66" s="69" t="e">
        <f t="shared" si="19"/>
        <v>#N/A</v>
      </c>
      <c r="O66" s="69" t="e">
        <f t="shared" si="19"/>
        <v>#N/A</v>
      </c>
      <c r="P66" s="69" t="e">
        <f t="shared" si="19"/>
        <v>#N/A</v>
      </c>
      <c r="Q66" s="69" t="e">
        <f t="shared" si="19"/>
        <v>#N/A</v>
      </c>
      <c r="R66" s="69" t="e">
        <f t="shared" si="19"/>
        <v>#N/A</v>
      </c>
      <c r="S66" s="69" t="e">
        <f t="shared" si="19"/>
        <v>#N/A</v>
      </c>
      <c r="T66" s="69" t="e">
        <f t="shared" si="19"/>
        <v>#N/A</v>
      </c>
      <c r="U66" s="69" t="e">
        <f t="shared" si="19"/>
        <v>#N/A</v>
      </c>
    </row>
  </sheetData>
  <sheetProtection algorithmName="SHA-512" hashValue="NTkWD5haagd9YWB5vytpvACwMXYHWrLnDsXapNy1zaX2Zzd3TfxZMiIdaEguAAPPlCQsAigfMSqHw85NqpDgKQ==" saltValue="C8/wxB6LErWWhrUTuWhjPQ==" spinCount="100000" sheet="1" objects="1" scenarios="1"/>
  <dataConsolidate/>
  <mergeCells count="39">
    <mergeCell ref="C2:D2"/>
    <mergeCell ref="C1:D1"/>
    <mergeCell ref="G1:H1"/>
    <mergeCell ref="G2:H2"/>
    <mergeCell ref="G3:H3"/>
    <mergeCell ref="G5:H5"/>
    <mergeCell ref="C3:D3"/>
    <mergeCell ref="C4:D4"/>
    <mergeCell ref="C5:D5"/>
    <mergeCell ref="G4:H4"/>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A1:B1"/>
    <mergeCell ref="A2:B2"/>
    <mergeCell ref="A4:B4"/>
    <mergeCell ref="A3:B3"/>
    <mergeCell ref="A5:B5"/>
    <mergeCell ref="A21:B21"/>
    <mergeCell ref="A22:B22"/>
    <mergeCell ref="A23:B23"/>
    <mergeCell ref="A24:B24"/>
    <mergeCell ref="A29:A30"/>
    <mergeCell ref="J1:K1"/>
    <mergeCell ref="J2:K2"/>
    <mergeCell ref="J3:K3"/>
    <mergeCell ref="J4:K4"/>
    <mergeCell ref="J5:K5"/>
  </mergeCells>
  <conditionalFormatting sqref="B62:U66 B31:B50">
    <cfRule type="cellIs" dxfId="251" priority="42" operator="greaterThan">
      <formula>$B$51</formula>
    </cfRule>
  </conditionalFormatting>
  <conditionalFormatting sqref="B66:U66">
    <cfRule type="cellIs" dxfId="250" priority="4" operator="equal">
      <formula>"UNDER"</formula>
    </cfRule>
    <cfRule type="cellIs" dxfId="249" priority="5" operator="equal">
      <formula>"OVER"</formula>
    </cfRule>
  </conditionalFormatting>
  <conditionalFormatting sqref="C31:C50">
    <cfRule type="cellIs" dxfId="248" priority="41" operator="greaterThan">
      <formula>$C$51</formula>
    </cfRule>
  </conditionalFormatting>
  <conditionalFormatting sqref="C17:V19">
    <cfRule type="cellIs" dxfId="247" priority="34" operator="equal">
      <formula>0</formula>
    </cfRule>
  </conditionalFormatting>
  <conditionalFormatting sqref="C20:V21">
    <cfRule type="cellIs" dxfId="246" priority="43" operator="equal">
      <formula>"DECREASE"</formula>
    </cfRule>
    <cfRule type="cellIs" dxfId="245" priority="44" operator="equal">
      <formula>"INCREASE"</formula>
    </cfRule>
  </conditionalFormatting>
  <conditionalFormatting sqref="C21:V21">
    <cfRule type="cellIs" dxfId="244" priority="8" operator="equal">
      <formula>0</formula>
    </cfRule>
  </conditionalFormatting>
  <conditionalFormatting sqref="C22:V23">
    <cfRule type="cellIs" dxfId="243" priority="15" operator="equal">
      <formula>0</formula>
    </cfRule>
  </conditionalFormatting>
  <conditionalFormatting sqref="C24:V24">
    <cfRule type="cellIs" dxfId="242" priority="16" operator="equal">
      <formula>"DECREASE"</formula>
    </cfRule>
    <cfRule type="cellIs" dxfId="241" priority="17" operator="equal">
      <formula>"INCREASE"</formula>
    </cfRule>
  </conditionalFormatting>
  <conditionalFormatting sqref="G31:G50">
    <cfRule type="cellIs" dxfId="240" priority="31" operator="greaterThan">
      <formula>$G$51</formula>
    </cfRule>
  </conditionalFormatting>
  <conditionalFormatting sqref="H31:H50">
    <cfRule type="cellIs" dxfId="239" priority="30" operator="greaterThan">
      <formula>$H$51</formula>
    </cfRule>
  </conditionalFormatting>
  <conditionalFormatting sqref="I1">
    <cfRule type="cellIs" dxfId="238" priority="11" operator="between">
      <formula>0.1</formula>
      <formula>5</formula>
    </cfRule>
  </conditionalFormatting>
  <conditionalFormatting sqref="I2">
    <cfRule type="cellIs" dxfId="237" priority="10" operator="greaterThan">
      <formula>5000.1</formula>
    </cfRule>
  </conditionalFormatting>
  <conditionalFormatting sqref="I3">
    <cfRule type="cellIs" dxfId="236" priority="9" operator="greaterThan">
      <formula>40000.01</formula>
    </cfRule>
  </conditionalFormatting>
  <conditionalFormatting sqref="I31:I50">
    <cfRule type="cellIs" dxfId="235" priority="29" operator="greaterThan">
      <formula>$I$51</formula>
    </cfRule>
  </conditionalFormatting>
  <conditionalFormatting sqref="J31:J50">
    <cfRule type="cellIs" dxfId="234" priority="3" operator="greaterThan">
      <formula>$J$51</formula>
    </cfRule>
  </conditionalFormatting>
  <conditionalFormatting sqref="K31:K50">
    <cfRule type="cellIs" dxfId="233" priority="27" operator="greaterThan">
      <formula>$K$51</formula>
    </cfRule>
  </conditionalFormatting>
  <conditionalFormatting sqref="L3">
    <cfRule type="cellIs" dxfId="232" priority="1" operator="lessThan">
      <formula>30</formula>
    </cfRule>
    <cfRule type="cellIs" dxfId="231" priority="2" operator="greaterThanOrEqual">
      <formula>30</formula>
    </cfRule>
  </conditionalFormatting>
  <conditionalFormatting sqref="L31:L50">
    <cfRule type="cellIs" dxfId="230" priority="26" operator="greaterThan">
      <formula>$L$51</formula>
    </cfRule>
  </conditionalFormatting>
  <conditionalFormatting sqref="M31:M50">
    <cfRule type="cellIs" dxfId="229" priority="25" operator="greaterThan">
      <formula>$M$51</formula>
    </cfRule>
  </conditionalFormatting>
  <conditionalFormatting sqref="P31:P50">
    <cfRule type="cellIs" dxfId="228" priority="24" operator="greaterThan">
      <formula>$P$51</formula>
    </cfRule>
  </conditionalFormatting>
  <conditionalFormatting sqref="R31:R50">
    <cfRule type="cellIs" dxfId="227" priority="23" operator="greaterThan">
      <formula>$R$51</formula>
    </cfRule>
  </conditionalFormatting>
  <conditionalFormatting sqref="S31:S50">
    <cfRule type="cellIs" dxfId="226" priority="22" operator="greaterThan">
      <formula>$S$51</formula>
    </cfRule>
  </conditionalFormatting>
  <conditionalFormatting sqref="T31:T50">
    <cfRule type="cellIs" dxfId="225" priority="21" operator="greaterThan">
      <formula>$T$51</formula>
    </cfRule>
  </conditionalFormatting>
  <conditionalFormatting sqref="U31:U50">
    <cfRule type="cellIs" dxfId="224" priority="20" operator="greaterThan">
      <formula>$U$51</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topLeftCell="A4" zoomScale="90" zoomScaleNormal="90" workbookViewId="0">
      <selection activeCell="F33" sqref="F3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06" t="s">
        <v>41</v>
      </c>
      <c r="B1" s="106"/>
      <c r="C1" s="127" t="str">
        <f>Newcastle!C1:D1</f>
        <v>PAN-026945</v>
      </c>
      <c r="D1" s="128"/>
      <c r="E1" s="83" t="s">
        <v>45</v>
      </c>
      <c r="F1" s="32">
        <f>Newcastle!F1</f>
        <v>47.3</v>
      </c>
      <c r="G1" s="107" t="s">
        <v>43</v>
      </c>
      <c r="H1" s="108"/>
      <c r="I1" s="86">
        <v>5.95</v>
      </c>
      <c r="J1" s="106" t="s">
        <v>153</v>
      </c>
      <c r="K1" s="106"/>
      <c r="L1" s="86">
        <v>30.6</v>
      </c>
      <c r="AB1" s="14"/>
      <c r="AC1" s="14"/>
      <c r="AD1" s="23" t="s">
        <v>126</v>
      </c>
      <c r="AE1" s="14"/>
      <c r="AF1" s="14"/>
      <c r="AG1" s="14"/>
      <c r="AH1" s="14"/>
      <c r="AI1" s="33" t="s">
        <v>79</v>
      </c>
      <c r="AJ1" s="34" t="s">
        <v>94</v>
      </c>
      <c r="AK1" s="35" t="s">
        <v>95</v>
      </c>
      <c r="AL1" s="36" t="s">
        <v>125</v>
      </c>
      <c r="AM1" s="36" t="s">
        <v>131</v>
      </c>
      <c r="AN1" s="36" t="s">
        <v>111</v>
      </c>
    </row>
    <row r="2" spans="1:41" ht="12.75" customHeight="1" x14ac:dyDescent="0.3">
      <c r="A2" s="106" t="s">
        <v>87</v>
      </c>
      <c r="B2" s="106"/>
      <c r="C2" s="129" t="str">
        <f>Newcastle!C2:D2</f>
        <v>EPR/AB3891CX</v>
      </c>
      <c r="D2" s="130"/>
      <c r="E2" s="83" t="s">
        <v>109</v>
      </c>
      <c r="F2" s="86" t="s">
        <v>165</v>
      </c>
      <c r="G2" s="125" t="s">
        <v>110</v>
      </c>
      <c r="H2" s="126"/>
      <c r="I2" s="86">
        <v>317</v>
      </c>
      <c r="J2" s="106" t="s">
        <v>158</v>
      </c>
      <c r="K2" s="106"/>
      <c r="L2" s="86">
        <v>0.22</v>
      </c>
      <c r="AB2" s="23" t="s">
        <v>56</v>
      </c>
      <c r="AC2" s="14"/>
      <c r="AD2" s="23" t="s">
        <v>70</v>
      </c>
      <c r="AE2" s="14"/>
      <c r="AF2" s="14"/>
      <c r="AG2" s="37" t="s">
        <v>76</v>
      </c>
      <c r="AH2" s="14"/>
      <c r="AI2" s="38" t="s">
        <v>126</v>
      </c>
      <c r="AJ2" s="39">
        <v>0</v>
      </c>
      <c r="AK2" s="40">
        <v>0</v>
      </c>
      <c r="AL2" s="7">
        <v>0</v>
      </c>
      <c r="AM2" s="9">
        <v>0</v>
      </c>
      <c r="AN2" s="9">
        <v>0</v>
      </c>
    </row>
    <row r="3" spans="1:41" ht="13" x14ac:dyDescent="0.25">
      <c r="A3" s="107" t="s">
        <v>42</v>
      </c>
      <c r="B3" s="108"/>
      <c r="C3" s="129" t="str">
        <f>Newcastle!C3:D3</f>
        <v xml:space="preserve">Mr Daniel James and Mrs Carys James </v>
      </c>
      <c r="D3" s="130"/>
      <c r="E3" s="83" t="s">
        <v>108</v>
      </c>
      <c r="F3" s="24" t="s">
        <v>78</v>
      </c>
      <c r="G3" s="106" t="s">
        <v>159</v>
      </c>
      <c r="H3" s="106"/>
      <c r="I3" s="86">
        <v>4820</v>
      </c>
      <c r="J3" s="107" t="s">
        <v>154</v>
      </c>
      <c r="K3" s="108"/>
      <c r="L3" s="86">
        <f>(L1/(L2*10000))*100</f>
        <v>1.3909090909090909</v>
      </c>
      <c r="AB3" s="23" t="s">
        <v>57</v>
      </c>
      <c r="AC3" s="14"/>
      <c r="AD3" s="23" t="s">
        <v>71</v>
      </c>
      <c r="AE3" s="14"/>
      <c r="AF3" s="14"/>
      <c r="AG3" s="37" t="s">
        <v>77</v>
      </c>
      <c r="AH3" s="14"/>
      <c r="AI3" s="41" t="s">
        <v>113</v>
      </c>
      <c r="AJ3" s="42">
        <v>1.7</v>
      </c>
      <c r="AK3" s="43">
        <v>6</v>
      </c>
      <c r="AL3" s="44">
        <v>1</v>
      </c>
      <c r="AM3" s="9">
        <v>6.2</v>
      </c>
      <c r="AN3" s="9" t="s">
        <v>112</v>
      </c>
    </row>
    <row r="4" spans="1:41" ht="13" x14ac:dyDescent="0.25">
      <c r="A4" s="106" t="s">
        <v>0</v>
      </c>
      <c r="B4" s="106"/>
      <c r="C4" s="127" t="str">
        <f>Newcastle!C4:D4</f>
        <v>Hafod Fram, Ferwig, Cardigan, Ceredigion, SA43 1PU</v>
      </c>
      <c r="D4" s="128"/>
      <c r="E4" s="84" t="s">
        <v>1</v>
      </c>
      <c r="F4" s="86" t="s">
        <v>178</v>
      </c>
      <c r="G4" s="107"/>
      <c r="H4" s="108"/>
      <c r="I4" s="32"/>
      <c r="J4" s="107"/>
      <c r="K4" s="108"/>
      <c r="L4" s="86"/>
      <c r="AB4" s="23" t="s">
        <v>52</v>
      </c>
      <c r="AC4" s="14"/>
      <c r="AD4" s="45" t="s">
        <v>72</v>
      </c>
      <c r="AE4" s="14"/>
      <c r="AF4" s="14"/>
      <c r="AG4" s="37" t="s">
        <v>78</v>
      </c>
      <c r="AH4" s="14"/>
      <c r="AI4" s="46" t="s">
        <v>124</v>
      </c>
      <c r="AJ4" s="47">
        <v>7</v>
      </c>
      <c r="AK4" s="48">
        <v>10.5</v>
      </c>
      <c r="AL4" s="9">
        <v>2</v>
      </c>
      <c r="AM4" s="9">
        <v>6.7</v>
      </c>
      <c r="AN4" s="9" t="s">
        <v>135</v>
      </c>
    </row>
    <row r="5" spans="1:41" ht="13" x14ac:dyDescent="0.25">
      <c r="A5" s="106" t="s">
        <v>47</v>
      </c>
      <c r="B5" s="106"/>
      <c r="C5" s="127" t="str">
        <f>Newcastle!C5:D5</f>
        <v>Megan Tucker</v>
      </c>
      <c r="D5" s="128"/>
      <c r="E5" s="83"/>
      <c r="F5" s="32"/>
      <c r="G5" s="107"/>
      <c r="H5" s="108"/>
      <c r="I5" s="32"/>
      <c r="J5" s="107"/>
      <c r="K5" s="108"/>
      <c r="L5" s="86"/>
      <c r="AB5" s="23" t="s">
        <v>53</v>
      </c>
      <c r="AC5" s="14"/>
      <c r="AD5" s="45" t="s">
        <v>73</v>
      </c>
      <c r="AE5" s="14"/>
      <c r="AF5" s="14"/>
      <c r="AG5" s="37" t="s">
        <v>104</v>
      </c>
      <c r="AH5" s="14"/>
      <c r="AI5" s="46" t="s">
        <v>123</v>
      </c>
      <c r="AJ5" s="47">
        <v>6.5</v>
      </c>
      <c r="AK5" s="48">
        <v>5.5</v>
      </c>
      <c r="AL5" s="9">
        <v>3</v>
      </c>
      <c r="AM5" s="9">
        <v>6.7</v>
      </c>
      <c r="AN5" s="9" t="s">
        <v>135</v>
      </c>
    </row>
    <row r="6" spans="1:41" x14ac:dyDescent="0.25">
      <c r="A6" s="49"/>
      <c r="B6" s="49"/>
      <c r="F6" s="50"/>
      <c r="G6" s="50"/>
      <c r="H6" s="51"/>
      <c r="I6" s="51"/>
      <c r="J6" s="51"/>
      <c r="AB6" s="23" t="s">
        <v>54</v>
      </c>
      <c r="AC6" s="14"/>
      <c r="AD6" s="45" t="s">
        <v>74</v>
      </c>
      <c r="AE6" s="14"/>
      <c r="AF6" s="14"/>
      <c r="AG6" s="14"/>
      <c r="AH6" s="14"/>
      <c r="AI6" s="46" t="s">
        <v>68</v>
      </c>
      <c r="AJ6" s="47">
        <v>8.5</v>
      </c>
      <c r="AK6" s="48">
        <v>12</v>
      </c>
      <c r="AL6" s="9">
        <v>4</v>
      </c>
      <c r="AM6" s="9">
        <v>6.7</v>
      </c>
      <c r="AN6" s="9" t="s">
        <v>135</v>
      </c>
    </row>
    <row r="7" spans="1:41" s="7" customFormat="1" ht="13" x14ac:dyDescent="0.25">
      <c r="A7" s="112" t="s">
        <v>63</v>
      </c>
      <c r="B7" s="112"/>
      <c r="C7" s="10">
        <v>1</v>
      </c>
      <c r="D7" s="10">
        <v>2</v>
      </c>
      <c r="E7" s="10">
        <v>3</v>
      </c>
      <c r="F7" s="10">
        <v>4</v>
      </c>
      <c r="G7" s="10">
        <v>5</v>
      </c>
      <c r="H7" s="10">
        <v>6</v>
      </c>
      <c r="I7" s="10">
        <v>7</v>
      </c>
      <c r="J7" s="10">
        <v>8</v>
      </c>
      <c r="K7" s="10">
        <v>9</v>
      </c>
      <c r="L7" s="10">
        <v>10</v>
      </c>
      <c r="M7" s="10">
        <v>11</v>
      </c>
      <c r="N7" s="10">
        <v>12</v>
      </c>
      <c r="O7" s="10">
        <v>13</v>
      </c>
      <c r="P7" s="10">
        <v>14</v>
      </c>
      <c r="Q7" s="10">
        <v>15</v>
      </c>
      <c r="R7" s="10">
        <v>16</v>
      </c>
      <c r="S7" s="10">
        <v>17</v>
      </c>
      <c r="T7" s="10">
        <v>18</v>
      </c>
      <c r="U7" s="10">
        <v>19</v>
      </c>
      <c r="V7" s="10">
        <v>20</v>
      </c>
      <c r="AB7" s="23" t="s">
        <v>55</v>
      </c>
      <c r="AC7" s="14"/>
      <c r="AD7" s="14"/>
      <c r="AE7" s="14"/>
      <c r="AF7" s="14"/>
      <c r="AG7" s="14"/>
      <c r="AH7" s="14"/>
      <c r="AI7" s="46" t="s">
        <v>96</v>
      </c>
      <c r="AJ7" s="47">
        <v>8.5</v>
      </c>
      <c r="AK7" s="48">
        <v>10.5</v>
      </c>
      <c r="AL7" s="9">
        <v>5</v>
      </c>
      <c r="AM7" s="7">
        <v>6.7</v>
      </c>
      <c r="AN7" s="9" t="s">
        <v>135</v>
      </c>
      <c r="AO7" s="88"/>
    </row>
    <row r="8" spans="1:41" ht="13" x14ac:dyDescent="0.25">
      <c r="A8" s="106" t="s">
        <v>2</v>
      </c>
      <c r="B8" s="106"/>
      <c r="C8" s="52" t="str">
        <f>Newcastle!C8</f>
        <v>Nant Y Croi 9</v>
      </c>
      <c r="D8" s="52" t="str">
        <f>Newcastle!D8</f>
        <v>Hafod 4315</v>
      </c>
      <c r="E8" s="52" t="str">
        <f>Newcastle!E8</f>
        <v>Hafod 4734</v>
      </c>
      <c r="F8" s="52" t="str">
        <f>Newcastle!F8</f>
        <v>Hafod 5761</v>
      </c>
      <c r="G8" s="52" t="str">
        <f>Newcastle!G8</f>
        <v>Hafod 4067</v>
      </c>
      <c r="H8" s="52" t="str">
        <f>Newcastle!H8</f>
        <v>Hafod 2455</v>
      </c>
      <c r="I8" s="52" t="str">
        <f>Newcastle!I8</f>
        <v>Hafod 1741</v>
      </c>
      <c r="J8" s="52" t="str">
        <f>Newcastle!J8</f>
        <v>Hafod 0720</v>
      </c>
      <c r="K8" s="52" t="str">
        <f>Newcastle!K8</f>
        <v>Solafron 2893</v>
      </c>
      <c r="L8" s="52" t="str">
        <f>Newcastle!L8</f>
        <v>Solafron 2611</v>
      </c>
      <c r="M8" s="52" t="str">
        <f>Newcastle!M8</f>
        <v>Solafron 1404</v>
      </c>
      <c r="N8" s="52">
        <f>Newcastle!N8</f>
        <v>0</v>
      </c>
      <c r="O8" s="52">
        <f>Newcastle!O8</f>
        <v>0</v>
      </c>
      <c r="P8" s="52">
        <f>Newcastle!P8</f>
        <v>0</v>
      </c>
      <c r="Q8" s="52">
        <f>Newcastle!Q8</f>
        <v>0</v>
      </c>
      <c r="R8" s="52">
        <f>Newcastle!R8</f>
        <v>0</v>
      </c>
      <c r="S8" s="52">
        <f>Newcastle!S8</f>
        <v>0</v>
      </c>
      <c r="T8" s="52">
        <f>Newcastle!T8</f>
        <v>0</v>
      </c>
      <c r="U8" s="52">
        <f>Newcastle!U8</f>
        <v>0</v>
      </c>
      <c r="V8" s="52">
        <f>Newcastle!V8</f>
        <v>0</v>
      </c>
      <c r="AB8" s="53"/>
      <c r="AC8" s="53"/>
      <c r="AD8" s="14"/>
      <c r="AE8" s="14" t="s">
        <v>139</v>
      </c>
      <c r="AF8" s="14"/>
      <c r="AG8" s="14"/>
      <c r="AH8" s="14"/>
      <c r="AI8" s="46" t="s">
        <v>105</v>
      </c>
      <c r="AJ8" s="54">
        <v>1.4</v>
      </c>
      <c r="AK8" s="48">
        <v>4.4000000000000004</v>
      </c>
      <c r="AL8" s="9">
        <v>6</v>
      </c>
      <c r="AM8" s="9">
        <v>6.7</v>
      </c>
      <c r="AN8" s="9" t="s">
        <v>135</v>
      </c>
      <c r="AO8" s="14"/>
    </row>
    <row r="9" spans="1:41" ht="13" x14ac:dyDescent="0.25">
      <c r="A9" s="106" t="s">
        <v>3</v>
      </c>
      <c r="B9" s="106"/>
      <c r="C9" s="52" t="str">
        <f>Newcastle!C9</f>
        <v xml:space="preserve">Moderate </v>
      </c>
      <c r="D9" s="52" t="str">
        <f>Newcastle!D9</f>
        <v xml:space="preserve">Moderate </v>
      </c>
      <c r="E9" s="52" t="str">
        <f>Newcastle!E9</f>
        <v xml:space="preserve">Moderate </v>
      </c>
      <c r="F9" s="52" t="str">
        <f>Newcastle!F9</f>
        <v xml:space="preserve">Moderate </v>
      </c>
      <c r="G9" s="52" t="str">
        <f>Newcastle!G9</f>
        <v xml:space="preserve">Moderate </v>
      </c>
      <c r="H9" s="52" t="str">
        <f>Newcastle!H9</f>
        <v xml:space="preserve">Moderate </v>
      </c>
      <c r="I9" s="52" t="str">
        <f>Newcastle!I9</f>
        <v xml:space="preserve">Moderate </v>
      </c>
      <c r="J9" s="52" t="str">
        <f>Newcastle!J9</f>
        <v xml:space="preserve">Moderate </v>
      </c>
      <c r="K9" s="52" t="str">
        <f>Newcastle!K9</f>
        <v xml:space="preserve">Moderate </v>
      </c>
      <c r="L9" s="52" t="str">
        <f>Newcastle!L9</f>
        <v xml:space="preserve">Moderate </v>
      </c>
      <c r="M9" s="52" t="str">
        <f>Newcastle!M9</f>
        <v xml:space="preserve">Moderate </v>
      </c>
      <c r="N9" s="52">
        <f>Newcastle!N9</f>
        <v>0</v>
      </c>
      <c r="O9" s="52">
        <f>Newcastle!O9</f>
        <v>0</v>
      </c>
      <c r="P9" s="52">
        <f>Newcastle!P9</f>
        <v>0</v>
      </c>
      <c r="Q9" s="52">
        <f>Newcastle!Q9</f>
        <v>0</v>
      </c>
      <c r="R9" s="52">
        <f>Newcastle!R9</f>
        <v>0</v>
      </c>
      <c r="S9" s="52">
        <f>Newcastle!S9</f>
        <v>0</v>
      </c>
      <c r="T9" s="52">
        <f>Newcastle!T9</f>
        <v>0</v>
      </c>
      <c r="U9" s="52">
        <f>Newcastle!U9</f>
        <v>0</v>
      </c>
      <c r="V9" s="52">
        <f>Newcastle!V9</f>
        <v>0</v>
      </c>
      <c r="AB9" s="14"/>
      <c r="AC9" s="14"/>
      <c r="AD9" s="23" t="s">
        <v>137</v>
      </c>
      <c r="AE9" s="23">
        <v>4.5</v>
      </c>
      <c r="AF9" s="14"/>
      <c r="AG9" s="14"/>
      <c r="AH9" s="14"/>
      <c r="AI9" s="55" t="s">
        <v>103</v>
      </c>
      <c r="AJ9" s="56">
        <v>0.7</v>
      </c>
      <c r="AK9" s="57">
        <v>4</v>
      </c>
      <c r="AL9" s="22">
        <v>7</v>
      </c>
      <c r="AM9" s="9">
        <v>6.7</v>
      </c>
      <c r="AN9" s="9" t="s">
        <v>135</v>
      </c>
      <c r="AO9" s="88"/>
    </row>
    <row r="10" spans="1:41" ht="13" x14ac:dyDescent="0.25">
      <c r="A10" s="106" t="s">
        <v>4</v>
      </c>
      <c r="B10" s="106"/>
      <c r="C10" s="52">
        <f>Newcastle!C10</f>
        <v>5.4</v>
      </c>
      <c r="D10" s="52">
        <f>Newcastle!D10</f>
        <v>6.3</v>
      </c>
      <c r="E10" s="52">
        <f>Newcastle!E10</f>
        <v>6.3</v>
      </c>
      <c r="F10" s="52">
        <f>Newcastle!F10</f>
        <v>6.2</v>
      </c>
      <c r="G10" s="52">
        <f>Newcastle!G10</f>
        <v>6.2</v>
      </c>
      <c r="H10" s="52">
        <f>Newcastle!H10</f>
        <v>6.3</v>
      </c>
      <c r="I10" s="52">
        <f>Newcastle!I10</f>
        <v>6.3</v>
      </c>
      <c r="J10" s="52">
        <f>Newcastle!J10</f>
        <v>6.2</v>
      </c>
      <c r="K10" s="52">
        <f>Newcastle!K10</f>
        <v>6.3</v>
      </c>
      <c r="L10" s="52">
        <f>Newcastle!L10</f>
        <v>6.3</v>
      </c>
      <c r="M10" s="52">
        <f>Newcastle!M10</f>
        <v>6.3</v>
      </c>
      <c r="N10" s="52">
        <f>Newcastle!N10</f>
        <v>0</v>
      </c>
      <c r="O10" s="52">
        <f>Newcastle!O10</f>
        <v>0</v>
      </c>
      <c r="P10" s="52">
        <f>Newcastle!P10</f>
        <v>0</v>
      </c>
      <c r="Q10" s="52">
        <f>Newcastle!Q10</f>
        <v>0</v>
      </c>
      <c r="R10" s="52">
        <f>Newcastle!R10</f>
        <v>0</v>
      </c>
      <c r="S10" s="52">
        <f>Newcastle!S10</f>
        <v>0</v>
      </c>
      <c r="T10" s="52">
        <f>Newcastle!T10</f>
        <v>0</v>
      </c>
      <c r="U10" s="52">
        <f>Newcastle!U10</f>
        <v>0</v>
      </c>
      <c r="V10" s="52">
        <f>Newcastle!V10</f>
        <v>0</v>
      </c>
      <c r="AB10" s="14"/>
      <c r="AC10" s="14"/>
      <c r="AD10" s="23" t="s">
        <v>140</v>
      </c>
      <c r="AE10" s="23">
        <v>5</v>
      </c>
      <c r="AF10" s="14"/>
      <c r="AG10" s="14"/>
      <c r="AH10" s="14"/>
      <c r="AI10" s="46" t="s">
        <v>97</v>
      </c>
      <c r="AJ10" s="47">
        <v>9</v>
      </c>
      <c r="AK10" s="48">
        <v>16.5</v>
      </c>
      <c r="AL10" s="9">
        <v>8</v>
      </c>
      <c r="AM10" s="9">
        <v>6.7</v>
      </c>
      <c r="AN10" s="9" t="s">
        <v>135</v>
      </c>
    </row>
    <row r="11" spans="1:41" ht="13" x14ac:dyDescent="0.25">
      <c r="A11" s="106" t="s">
        <v>5</v>
      </c>
      <c r="B11" s="106"/>
      <c r="C11" s="52">
        <f>Newcastle!C11</f>
        <v>2</v>
      </c>
      <c r="D11" s="52">
        <f>Newcastle!D11</f>
        <v>2</v>
      </c>
      <c r="E11" s="52">
        <f>Newcastle!E11</f>
        <v>2</v>
      </c>
      <c r="F11" s="52">
        <f>Newcastle!F11</f>
        <v>1</v>
      </c>
      <c r="G11" s="52">
        <f>Newcastle!G11</f>
        <v>2</v>
      </c>
      <c r="H11" s="52">
        <f>Newcastle!H11</f>
        <v>2</v>
      </c>
      <c r="I11" s="52">
        <f>Newcastle!I11</f>
        <v>2</v>
      </c>
      <c r="J11" s="52">
        <f>Newcastle!J11</f>
        <v>2</v>
      </c>
      <c r="K11" s="52">
        <f>Newcastle!K11</f>
        <v>2</v>
      </c>
      <c r="L11" s="52">
        <f>Newcastle!L11</f>
        <v>2</v>
      </c>
      <c r="M11" s="52">
        <f>Newcastle!M11</f>
        <v>2</v>
      </c>
      <c r="N11" s="52">
        <f>Newcastle!N11</f>
        <v>0</v>
      </c>
      <c r="O11" s="52">
        <f>Newcastle!O11</f>
        <v>0</v>
      </c>
      <c r="P11" s="52">
        <f>Newcastle!P11</f>
        <v>0</v>
      </c>
      <c r="Q11" s="52">
        <f>Newcastle!Q11</f>
        <v>0</v>
      </c>
      <c r="R11" s="52">
        <f>Newcastle!R11</f>
        <v>0</v>
      </c>
      <c r="S11" s="52">
        <f>Newcastle!S11</f>
        <v>0</v>
      </c>
      <c r="T11" s="52">
        <f>Newcastle!T11</f>
        <v>0</v>
      </c>
      <c r="U11" s="52">
        <f>Newcastle!U11</f>
        <v>0</v>
      </c>
      <c r="V11" s="52">
        <f>Newcastle!V11</f>
        <v>0</v>
      </c>
      <c r="AB11" s="14"/>
      <c r="AC11" s="14"/>
      <c r="AD11" s="45" t="s">
        <v>141</v>
      </c>
      <c r="AE11" s="23">
        <v>6</v>
      </c>
      <c r="AF11" s="14"/>
      <c r="AG11" s="14"/>
      <c r="AH11" s="14"/>
      <c r="AI11" s="46" t="s">
        <v>122</v>
      </c>
      <c r="AJ11" s="47">
        <v>15</v>
      </c>
      <c r="AK11" s="48">
        <v>17.5</v>
      </c>
      <c r="AL11" s="9">
        <v>9</v>
      </c>
      <c r="AM11" s="9">
        <v>7</v>
      </c>
      <c r="AN11" s="9" t="s">
        <v>135</v>
      </c>
    </row>
    <row r="12" spans="1:41" ht="13" x14ac:dyDescent="0.25">
      <c r="A12" s="106" t="s">
        <v>6</v>
      </c>
      <c r="B12" s="106"/>
      <c r="C12" s="52">
        <f>Newcastle!C12</f>
        <v>1</v>
      </c>
      <c r="D12" s="52">
        <f>Newcastle!D12</f>
        <v>2</v>
      </c>
      <c r="E12" s="52">
        <f>Newcastle!E12</f>
        <v>1</v>
      </c>
      <c r="F12" s="52">
        <f>Newcastle!F12</f>
        <v>2</v>
      </c>
      <c r="G12" s="52">
        <f>Newcastle!G12</f>
        <v>2</v>
      </c>
      <c r="H12" s="52">
        <f>Newcastle!H12</f>
        <v>1</v>
      </c>
      <c r="I12" s="52">
        <f>Newcastle!I12</f>
        <v>2</v>
      </c>
      <c r="J12" s="52">
        <f>Newcastle!J12</f>
        <v>1</v>
      </c>
      <c r="K12" s="52">
        <f>Newcastle!K12</f>
        <v>2</v>
      </c>
      <c r="L12" s="52">
        <f>Newcastle!L12</f>
        <v>2</v>
      </c>
      <c r="M12" s="52">
        <f>Newcastle!M12</f>
        <v>1</v>
      </c>
      <c r="N12" s="52">
        <f>Newcastle!N12</f>
        <v>0</v>
      </c>
      <c r="O12" s="52">
        <f>Newcastle!O12</f>
        <v>0</v>
      </c>
      <c r="P12" s="52">
        <f>Newcastle!P12</f>
        <v>0</v>
      </c>
      <c r="Q12" s="52">
        <f>Newcastle!Q12</f>
        <v>0</v>
      </c>
      <c r="R12" s="52">
        <f>Newcastle!R12</f>
        <v>0</v>
      </c>
      <c r="S12" s="52">
        <f>Newcastle!S12</f>
        <v>0</v>
      </c>
      <c r="T12" s="52">
        <f>Newcastle!T12</f>
        <v>0</v>
      </c>
      <c r="U12" s="52">
        <f>Newcastle!U12</f>
        <v>0</v>
      </c>
      <c r="V12" s="52">
        <f>Newcastle!V12</f>
        <v>0</v>
      </c>
      <c r="AB12" s="14"/>
      <c r="AC12" s="14"/>
      <c r="AD12" s="45" t="s">
        <v>142</v>
      </c>
      <c r="AE12" s="23">
        <v>7.5</v>
      </c>
      <c r="AF12" s="14"/>
      <c r="AG12" s="14"/>
      <c r="AH12" s="14"/>
      <c r="AI12" s="46" t="s">
        <v>121</v>
      </c>
      <c r="AJ12" s="47">
        <v>14</v>
      </c>
      <c r="AK12" s="48">
        <v>11</v>
      </c>
      <c r="AL12" s="9">
        <v>10</v>
      </c>
      <c r="AM12" s="9">
        <v>7</v>
      </c>
      <c r="AN12" s="9" t="s">
        <v>135</v>
      </c>
    </row>
    <row r="13" spans="1:41" ht="13" x14ac:dyDescent="0.25">
      <c r="A13" s="106" t="s">
        <v>7</v>
      </c>
      <c r="B13" s="106"/>
      <c r="C13" s="52">
        <f>Newcastle!C13</f>
        <v>3</v>
      </c>
      <c r="D13" s="52">
        <f>Newcastle!D13</f>
        <v>5</v>
      </c>
      <c r="E13" s="52">
        <f>Newcastle!E13</f>
        <v>5</v>
      </c>
      <c r="F13" s="52">
        <f>Newcastle!F13</f>
        <v>5</v>
      </c>
      <c r="G13" s="52">
        <f>Newcastle!G13</f>
        <v>5</v>
      </c>
      <c r="H13" s="52">
        <f>Newcastle!H13</f>
        <v>5</v>
      </c>
      <c r="I13" s="52">
        <f>Newcastle!I13</f>
        <v>5</v>
      </c>
      <c r="J13" s="52">
        <f>Newcastle!J13</f>
        <v>5</v>
      </c>
      <c r="K13" s="52">
        <f>Newcastle!K13</f>
        <v>5</v>
      </c>
      <c r="L13" s="52">
        <f>Newcastle!L13</f>
        <v>5</v>
      </c>
      <c r="M13" s="52">
        <f>Newcastle!M13</f>
        <v>5</v>
      </c>
      <c r="N13" s="52">
        <f>Newcastle!N13</f>
        <v>0</v>
      </c>
      <c r="O13" s="52">
        <f>Newcastle!O13</f>
        <v>0</v>
      </c>
      <c r="P13" s="52">
        <f>Newcastle!P13</f>
        <v>0</v>
      </c>
      <c r="Q13" s="52">
        <f>Newcastle!Q13</f>
        <v>0</v>
      </c>
      <c r="R13" s="52">
        <f>Newcastle!R13</f>
        <v>0</v>
      </c>
      <c r="S13" s="52">
        <f>Newcastle!S13</f>
        <v>0</v>
      </c>
      <c r="T13" s="52">
        <f>Newcastle!T13</f>
        <v>0</v>
      </c>
      <c r="U13" s="52">
        <f>Newcastle!U13</f>
        <v>0</v>
      </c>
      <c r="V13" s="52">
        <f>Newcastle!V13</f>
        <v>0</v>
      </c>
      <c r="AB13" s="14"/>
      <c r="AC13" s="14"/>
      <c r="AD13" s="45" t="s">
        <v>143</v>
      </c>
      <c r="AE13" s="23">
        <v>12</v>
      </c>
      <c r="AF13" s="14"/>
      <c r="AG13" s="14"/>
      <c r="AH13" s="14"/>
      <c r="AI13" s="46" t="s">
        <v>120</v>
      </c>
      <c r="AJ13" s="47">
        <v>1.9</v>
      </c>
      <c r="AK13" s="48">
        <v>7.5</v>
      </c>
      <c r="AL13" s="9">
        <v>11</v>
      </c>
      <c r="AM13" s="9">
        <v>6.7</v>
      </c>
      <c r="AN13" s="9" t="s">
        <v>135</v>
      </c>
    </row>
    <row r="14" spans="1:41" ht="13" x14ac:dyDescent="0.25">
      <c r="A14" s="118" t="s">
        <v>8</v>
      </c>
      <c r="B14" s="118"/>
      <c r="C14" s="91" t="str">
        <f>Newcastle!C14</f>
        <v xml:space="preserve">Grass Silage (25% DM) </v>
      </c>
      <c r="D14" s="91" t="str">
        <f>Newcastle!D14</f>
        <v xml:space="preserve">Grass Silage (25% DM) </v>
      </c>
      <c r="E14" s="91" t="str">
        <f>Newcastle!E14</f>
        <v xml:space="preserve">Grass Silage (25% DM) </v>
      </c>
      <c r="F14" s="91" t="str">
        <f>Newcastle!F14</f>
        <v xml:space="preserve">Grass Silage (25% DM) </v>
      </c>
      <c r="G14" s="91" t="str">
        <f>Newcastle!G14</f>
        <v xml:space="preserve">Grass Silage (25% DM) </v>
      </c>
      <c r="H14" s="91" t="str">
        <f>Newcastle!H14</f>
        <v xml:space="preserve">Grass Silage (25% DM) </v>
      </c>
      <c r="I14" s="91" t="str">
        <f>Newcastle!I14</f>
        <v xml:space="preserve">Grass Silage (25% DM) </v>
      </c>
      <c r="J14" s="91" t="str">
        <f>Newcastle!J14</f>
        <v xml:space="preserve">Grass Silage (25% DM) </v>
      </c>
      <c r="K14" s="91" t="str">
        <f>Newcastle!K14</f>
        <v xml:space="preserve">Grass Silage (25% DM) </v>
      </c>
      <c r="L14" s="91" t="str">
        <f>Newcastle!L14</f>
        <v xml:space="preserve">Grass Silage (25% DM) </v>
      </c>
      <c r="M14" s="91" t="str">
        <f>Newcastle!M14</f>
        <v xml:space="preserve">Grass Silage (25% DM) </v>
      </c>
      <c r="N14" s="91">
        <f>Newcastle!N14</f>
        <v>0</v>
      </c>
      <c r="O14" s="91">
        <f>Newcastle!O14</f>
        <v>0</v>
      </c>
      <c r="P14" s="91">
        <f>Newcastle!P14</f>
        <v>0</v>
      </c>
      <c r="Q14" s="91">
        <f>Newcastle!Q14</f>
        <v>0</v>
      </c>
      <c r="R14" s="91">
        <f>Newcastle!R14</f>
        <v>0</v>
      </c>
      <c r="S14" s="91">
        <f>Newcastle!S14</f>
        <v>0</v>
      </c>
      <c r="T14" s="91">
        <f>Newcastle!T14</f>
        <v>0</v>
      </c>
      <c r="U14" s="91">
        <f>Newcastle!U14</f>
        <v>0</v>
      </c>
      <c r="V14" s="91">
        <f>Newcastle!V14</f>
        <v>0</v>
      </c>
      <c r="AD14" s="23" t="s">
        <v>138</v>
      </c>
      <c r="AE14" s="23">
        <v>6</v>
      </c>
      <c r="AI14" s="46" t="s">
        <v>119</v>
      </c>
      <c r="AJ14" s="47">
        <v>0.8</v>
      </c>
      <c r="AK14" s="48">
        <v>1.7</v>
      </c>
      <c r="AL14" s="9">
        <v>12</v>
      </c>
      <c r="AM14" s="9">
        <v>6.7</v>
      </c>
      <c r="AN14" s="9" t="s">
        <v>135</v>
      </c>
    </row>
    <row r="15" spans="1:41" ht="13" x14ac:dyDescent="0.25">
      <c r="A15" s="117" t="s">
        <v>9</v>
      </c>
      <c r="B15" s="117"/>
      <c r="C15" s="52">
        <f>Newcastle!C15</f>
        <v>47</v>
      </c>
      <c r="D15" s="52">
        <f>Newcastle!D15</f>
        <v>47</v>
      </c>
      <c r="E15" s="52">
        <f>Newcastle!E15</f>
        <v>47</v>
      </c>
      <c r="F15" s="52">
        <f>Newcastle!F15</f>
        <v>47</v>
      </c>
      <c r="G15" s="52">
        <f>Newcastle!G15</f>
        <v>47</v>
      </c>
      <c r="H15" s="52">
        <f>Newcastle!H15</f>
        <v>47</v>
      </c>
      <c r="I15" s="52">
        <f>Newcastle!I15</f>
        <v>47</v>
      </c>
      <c r="J15" s="52">
        <f>Newcastle!J15</f>
        <v>47</v>
      </c>
      <c r="K15" s="52">
        <f>Newcastle!K15</f>
        <v>47</v>
      </c>
      <c r="L15" s="52">
        <f>Newcastle!L15</f>
        <v>47</v>
      </c>
      <c r="M15" s="52">
        <f>Newcastle!M15</f>
        <v>47</v>
      </c>
      <c r="N15" s="52">
        <f>Newcastle!N15</f>
        <v>0</v>
      </c>
      <c r="O15" s="52">
        <f>Newcastle!O15</f>
        <v>0</v>
      </c>
      <c r="P15" s="52">
        <f>Newcastle!P15</f>
        <v>0</v>
      </c>
      <c r="Q15" s="52">
        <f>Newcastle!Q15</f>
        <v>0</v>
      </c>
      <c r="R15" s="52">
        <f>Newcastle!R15</f>
        <v>0</v>
      </c>
      <c r="S15" s="52">
        <f>Newcastle!S15</f>
        <v>0</v>
      </c>
      <c r="T15" s="52">
        <f>Newcastle!T15</f>
        <v>0</v>
      </c>
      <c r="U15" s="52">
        <f>Newcastle!U15</f>
        <v>0</v>
      </c>
      <c r="V15" s="52">
        <f>Newcastle!V15</f>
        <v>0</v>
      </c>
      <c r="AD15" s="23" t="s">
        <v>144</v>
      </c>
      <c r="AE15" s="23">
        <v>7</v>
      </c>
      <c r="AI15" s="46" t="s">
        <v>101</v>
      </c>
      <c r="AJ15" s="54">
        <v>1.8</v>
      </c>
      <c r="AK15" s="48">
        <v>5.4</v>
      </c>
      <c r="AL15" s="9">
        <v>13</v>
      </c>
      <c r="AM15" s="9">
        <v>6.7</v>
      </c>
      <c r="AN15" s="9" t="s">
        <v>135</v>
      </c>
    </row>
    <row r="16" spans="1:41" ht="13.5" thickBot="1" x14ac:dyDescent="0.3">
      <c r="A16" s="119" t="s">
        <v>44</v>
      </c>
      <c r="B16" s="119"/>
      <c r="C16" s="92" t="str">
        <f>Newcastle!C16</f>
        <v>Medium/Clay</v>
      </c>
      <c r="D16" s="92" t="str">
        <f>Newcastle!D16</f>
        <v>Medium/Clay</v>
      </c>
      <c r="E16" s="92" t="str">
        <f>Newcastle!E16</f>
        <v>Medium/Clay</v>
      </c>
      <c r="F16" s="92" t="str">
        <f>Newcastle!F16</f>
        <v>Medium/Clay</v>
      </c>
      <c r="G16" s="92" t="str">
        <f>Newcastle!G16</f>
        <v>Medium/Clay</v>
      </c>
      <c r="H16" s="92" t="str">
        <f>Newcastle!H16</f>
        <v>Medium/Clay</v>
      </c>
      <c r="I16" s="92" t="str">
        <f>Newcastle!I16</f>
        <v>Medium/Clay</v>
      </c>
      <c r="J16" s="92" t="str">
        <f>Newcastle!J16</f>
        <v>Medium/Clay</v>
      </c>
      <c r="K16" s="92" t="str">
        <f>Newcastle!K16</f>
        <v>Medium/Clay</v>
      </c>
      <c r="L16" s="92" t="str">
        <f>Newcastle!L16</f>
        <v>Medium/Clay</v>
      </c>
      <c r="M16" s="92" t="str">
        <f>Newcastle!M16</f>
        <v>Medium/Clay</v>
      </c>
      <c r="N16" s="92">
        <f>Newcastle!N16</f>
        <v>0</v>
      </c>
      <c r="O16" s="92">
        <f>Newcastle!O16</f>
        <v>0</v>
      </c>
      <c r="P16" s="92">
        <f>Newcastle!P16</f>
        <v>0</v>
      </c>
      <c r="Q16" s="92">
        <f>Newcastle!Q16</f>
        <v>0</v>
      </c>
      <c r="R16" s="92">
        <f>Newcastle!R16</f>
        <v>0</v>
      </c>
      <c r="S16" s="92">
        <f>Newcastle!S16</f>
        <v>0</v>
      </c>
      <c r="T16" s="92">
        <f>Newcastle!T16</f>
        <v>0</v>
      </c>
      <c r="U16" s="92">
        <f>Newcastle!U16</f>
        <v>0</v>
      </c>
      <c r="V16" s="92">
        <f>Newcastle!V16</f>
        <v>0</v>
      </c>
      <c r="AD16" s="45" t="s">
        <v>145</v>
      </c>
      <c r="AE16" s="23">
        <v>8</v>
      </c>
      <c r="AI16" s="46" t="s">
        <v>118</v>
      </c>
      <c r="AJ16" s="47">
        <v>8</v>
      </c>
      <c r="AK16" s="48">
        <v>5.5</v>
      </c>
      <c r="AL16" s="7">
        <v>14</v>
      </c>
      <c r="AM16" s="9">
        <v>6.7</v>
      </c>
      <c r="AN16" s="9" t="s">
        <v>135</v>
      </c>
    </row>
    <row r="17" spans="1:40" ht="13" x14ac:dyDescent="0.25">
      <c r="A17" s="109" t="s">
        <v>69</v>
      </c>
      <c r="B17" s="110"/>
      <c r="C17" s="21">
        <f>(VLOOKUP(C$14,$AI2:$AK26,2,FALSE))*C$15</f>
        <v>79.899999999999991</v>
      </c>
      <c r="D17" s="21">
        <f t="shared" ref="D17:V17" si="0">(VLOOKUP(D$14,$AI2:$AK26,2,FALSE))*D$15</f>
        <v>79.899999999999991</v>
      </c>
      <c r="E17" s="21">
        <f t="shared" si="0"/>
        <v>79.899999999999991</v>
      </c>
      <c r="F17" s="21">
        <f t="shared" si="0"/>
        <v>79.899999999999991</v>
      </c>
      <c r="G17" s="21">
        <f t="shared" si="0"/>
        <v>79.899999999999991</v>
      </c>
      <c r="H17" s="21">
        <f t="shared" si="0"/>
        <v>79.899999999999991</v>
      </c>
      <c r="I17" s="21">
        <f t="shared" si="0"/>
        <v>79.899999999999991</v>
      </c>
      <c r="J17" s="21">
        <f t="shared" si="0"/>
        <v>79.899999999999991</v>
      </c>
      <c r="K17" s="21">
        <f t="shared" si="0"/>
        <v>79.899999999999991</v>
      </c>
      <c r="L17" s="21">
        <f t="shared" si="0"/>
        <v>79.899999999999991</v>
      </c>
      <c r="M17" s="21">
        <f t="shared" si="0"/>
        <v>79.899999999999991</v>
      </c>
      <c r="N17" s="21" t="e">
        <f t="shared" si="0"/>
        <v>#N/A</v>
      </c>
      <c r="O17" s="21" t="e">
        <f t="shared" si="0"/>
        <v>#N/A</v>
      </c>
      <c r="P17" s="21" t="e">
        <f t="shared" si="0"/>
        <v>#N/A</v>
      </c>
      <c r="Q17" s="21" t="e">
        <f t="shared" si="0"/>
        <v>#N/A</v>
      </c>
      <c r="R17" s="21" t="e">
        <f t="shared" si="0"/>
        <v>#N/A</v>
      </c>
      <c r="S17" s="21" t="e">
        <f t="shared" si="0"/>
        <v>#N/A</v>
      </c>
      <c r="T17" s="21" t="e">
        <f t="shared" si="0"/>
        <v>#N/A</v>
      </c>
      <c r="U17" s="21" t="e">
        <f t="shared" si="0"/>
        <v>#N/A</v>
      </c>
      <c r="V17" s="21" t="e">
        <f t="shared" si="0"/>
        <v>#N/A</v>
      </c>
      <c r="AD17" s="45" t="s">
        <v>146</v>
      </c>
      <c r="AE17" s="23">
        <v>10</v>
      </c>
      <c r="AI17" s="41" t="s">
        <v>115</v>
      </c>
      <c r="AJ17" s="42">
        <v>1.4</v>
      </c>
      <c r="AK17" s="43">
        <v>4.8</v>
      </c>
      <c r="AL17" s="44">
        <v>15</v>
      </c>
      <c r="AM17" s="9">
        <v>6.2</v>
      </c>
      <c r="AN17" s="9" t="s">
        <v>112</v>
      </c>
    </row>
    <row r="18" spans="1:40" ht="13" x14ac:dyDescent="0.25">
      <c r="A18" s="111" t="s">
        <v>23</v>
      </c>
      <c r="B18" s="112"/>
      <c r="C18" s="13">
        <f>$D31</f>
        <v>79.981100999999995</v>
      </c>
      <c r="D18" s="13">
        <f>$D32</f>
        <v>79.981100999999995</v>
      </c>
      <c r="E18" s="13">
        <f>$D33</f>
        <v>79.981100999999995</v>
      </c>
      <c r="F18" s="13">
        <f>$D34</f>
        <v>110.59115199999999</v>
      </c>
      <c r="G18" s="13">
        <f>$D35</f>
        <v>79.981100999999995</v>
      </c>
      <c r="H18" s="13">
        <f>$D36</f>
        <v>79.981100999999995</v>
      </c>
      <c r="I18" s="13">
        <f>$D37</f>
        <v>79.981100999999995</v>
      </c>
      <c r="J18" s="13">
        <f>$D38</f>
        <v>79.981100999999995</v>
      </c>
      <c r="K18" s="13">
        <f>$D39</f>
        <v>79.981100999999995</v>
      </c>
      <c r="L18" s="13">
        <f>$D40</f>
        <v>79.981100999999995</v>
      </c>
      <c r="M18" s="13">
        <f>$D41</f>
        <v>79.981100999999995</v>
      </c>
      <c r="N18" s="13">
        <f>$D42</f>
        <v>0</v>
      </c>
      <c r="O18" s="13">
        <f>$D43</f>
        <v>0</v>
      </c>
      <c r="P18" s="13">
        <f>$D44</f>
        <v>0</v>
      </c>
      <c r="Q18" s="13">
        <f>$D45</f>
        <v>0</v>
      </c>
      <c r="R18" s="13">
        <f>$D46</f>
        <v>0</v>
      </c>
      <c r="S18" s="13">
        <f>$D47</f>
        <v>0</v>
      </c>
      <c r="T18" s="13">
        <f>$D48</f>
        <v>0</v>
      </c>
      <c r="U18" s="13">
        <f>$D49</f>
        <v>0</v>
      </c>
      <c r="V18" s="18">
        <f>$D50</f>
        <v>0</v>
      </c>
      <c r="AD18" s="45" t="s">
        <v>147</v>
      </c>
      <c r="AE18" s="23">
        <v>16</v>
      </c>
      <c r="AI18" s="41" t="s">
        <v>106</v>
      </c>
      <c r="AJ18" s="42">
        <v>5.9</v>
      </c>
      <c r="AK18" s="43">
        <v>18</v>
      </c>
      <c r="AL18" s="44">
        <v>16</v>
      </c>
      <c r="AM18" s="9">
        <v>6.2</v>
      </c>
      <c r="AN18" s="9" t="s">
        <v>112</v>
      </c>
    </row>
    <row r="19" spans="1:40" ht="13" x14ac:dyDescent="0.25">
      <c r="A19" s="111" t="s">
        <v>90</v>
      </c>
      <c r="B19" s="112"/>
      <c r="C19" s="13">
        <f>C18-C17</f>
        <v>8.1101000000003864E-2</v>
      </c>
      <c r="D19" s="13">
        <f t="shared" ref="D19:V19" si="1">D18-D17</f>
        <v>8.1101000000003864E-2</v>
      </c>
      <c r="E19" s="13">
        <f t="shared" si="1"/>
        <v>8.1101000000003864E-2</v>
      </c>
      <c r="F19" s="13">
        <f t="shared" si="1"/>
        <v>30.691152000000002</v>
      </c>
      <c r="G19" s="13">
        <f t="shared" si="1"/>
        <v>8.1101000000003864E-2</v>
      </c>
      <c r="H19" s="13">
        <f t="shared" si="1"/>
        <v>8.1101000000003864E-2</v>
      </c>
      <c r="I19" s="13">
        <f t="shared" si="1"/>
        <v>8.1101000000003864E-2</v>
      </c>
      <c r="J19" s="13">
        <f t="shared" si="1"/>
        <v>8.1101000000003864E-2</v>
      </c>
      <c r="K19" s="13">
        <f t="shared" si="1"/>
        <v>8.1101000000003864E-2</v>
      </c>
      <c r="L19" s="13">
        <f t="shared" si="1"/>
        <v>8.1101000000003864E-2</v>
      </c>
      <c r="M19" s="13">
        <f t="shared" si="1"/>
        <v>8.1101000000003864E-2</v>
      </c>
      <c r="N19" s="13" t="e">
        <f t="shared" si="1"/>
        <v>#N/A</v>
      </c>
      <c r="O19" s="13" t="e">
        <f t="shared" si="1"/>
        <v>#N/A</v>
      </c>
      <c r="P19" s="13" t="e">
        <f t="shared" si="1"/>
        <v>#N/A</v>
      </c>
      <c r="Q19" s="13" t="e">
        <f t="shared" si="1"/>
        <v>#N/A</v>
      </c>
      <c r="R19" s="13" t="e">
        <f t="shared" si="1"/>
        <v>#N/A</v>
      </c>
      <c r="S19" s="13" t="e">
        <f t="shared" si="1"/>
        <v>#N/A</v>
      </c>
      <c r="T19" s="13" t="e">
        <f t="shared" si="1"/>
        <v>#N/A</v>
      </c>
      <c r="U19" s="13" t="e">
        <f t="shared" si="1"/>
        <v>#N/A</v>
      </c>
      <c r="V19" s="18" t="e">
        <f t="shared" si="1"/>
        <v>#N/A</v>
      </c>
      <c r="AI19" s="41" t="s">
        <v>107</v>
      </c>
      <c r="AJ19" s="42">
        <v>3.2</v>
      </c>
      <c r="AK19" s="43">
        <v>10.5</v>
      </c>
      <c r="AL19" s="44">
        <v>17</v>
      </c>
      <c r="AM19" s="9">
        <v>6.2</v>
      </c>
      <c r="AN19" s="9" t="s">
        <v>112</v>
      </c>
    </row>
    <row r="20" spans="1:40" ht="13.5" thickBot="1" x14ac:dyDescent="0.3">
      <c r="A20" s="113" t="s">
        <v>91</v>
      </c>
      <c r="B20" s="114"/>
      <c r="C20" s="19" t="str">
        <f>IF($B31="","",IF(C$19&gt;=0,"INCREASE","DECREASE"))</f>
        <v>INCREASE</v>
      </c>
      <c r="D20" s="19" t="str">
        <f>IF($B32="","",IF(D$19&gt;=0,"INCREASE","DECREASE"))</f>
        <v>INCREASE</v>
      </c>
      <c r="E20" s="19" t="str">
        <f>IF($B33="","",IF(E$19&gt;=0,"INCREASE","DECREASE"))</f>
        <v>INCREASE</v>
      </c>
      <c r="F20" s="19" t="str">
        <f>IF($B34="","",IF(F$19&gt;=0,"INCREASE","DECREASE"))</f>
        <v>INCREASE</v>
      </c>
      <c r="G20" s="19" t="str">
        <f>IF($B35="","",IF(G$19&gt;=0,"INCREASE","DECREASE"))</f>
        <v>INCREASE</v>
      </c>
      <c r="H20" s="19" t="str">
        <f>IF($B36="","",IF(H$19&gt;=0,"INCREASE","DECREASE"))</f>
        <v>INCREASE</v>
      </c>
      <c r="I20" s="19" t="str">
        <f>IF($B37="","",IF(I$19&gt;=0,"INCREASE","DECREASE"))</f>
        <v>INCREASE</v>
      </c>
      <c r="J20" s="19" t="str">
        <f>IF($B38="","",IF(J$19&gt;=0,"INCREASE","DECREASE"))</f>
        <v>INCREASE</v>
      </c>
      <c r="K20" s="19" t="str">
        <f>IF($B39="","",IF(K$19&gt;=0,"INCREASE","DECREASE"))</f>
        <v>INCREASE</v>
      </c>
      <c r="L20" s="19" t="str">
        <f>IF($B40="","",IF(L$19&gt;=0,"INCREASE","DECREASE"))</f>
        <v>INCREASE</v>
      </c>
      <c r="M20" s="19" t="str">
        <f>IF($B41="","",IF(M$19&gt;=0,"INCREASE","DECREASE"))</f>
        <v>INCREASE</v>
      </c>
      <c r="N20" s="19" t="str">
        <f>IF($B42="","",IF(N$19&gt;=0,"INCREASE","DECREASE"))</f>
        <v/>
      </c>
      <c r="O20" s="19" t="str">
        <f>IF($B43="","",IF(O$19&gt;=0,"INCREASE","DECREASE"))</f>
        <v/>
      </c>
      <c r="P20" s="19" t="str">
        <f>IF($B44="","",IF(P$19&gt;=0,"INCREASE","DECREASE"))</f>
        <v/>
      </c>
      <c r="Q20" s="19" t="str">
        <f>IF($B45="","",IF(Q$19&gt;=0,"INCREASE","DECREASE"))</f>
        <v/>
      </c>
      <c r="R20" s="19" t="str">
        <f>IF($B46="","",IF(R$19&gt;=0,"INCREASE","DECREASE"))</f>
        <v/>
      </c>
      <c r="S20" s="19" t="str">
        <f>IF($B47="","",IF(S$19&gt;=0,"INCREASE","DECREASE"))</f>
        <v/>
      </c>
      <c r="T20" s="19" t="str">
        <f>IF($B48="","",IF(T$19&gt;=0,"INCREASE","DECREASE"))</f>
        <v/>
      </c>
      <c r="U20" s="19" t="str">
        <f>IF($B49="","",IF(U$19&gt;=0,"INCREASE","DECREASE"))</f>
        <v/>
      </c>
      <c r="V20" s="20" t="str">
        <f>IF($B50="","",IF(V$19&gt;=0,"INCREASE","DECREASE"))</f>
        <v/>
      </c>
      <c r="AI20" s="41" t="s">
        <v>114</v>
      </c>
      <c r="AJ20" s="42">
        <v>2.1</v>
      </c>
      <c r="AK20" s="43">
        <v>7.2</v>
      </c>
      <c r="AL20" s="44">
        <v>18</v>
      </c>
      <c r="AM20" s="9">
        <v>6.2</v>
      </c>
      <c r="AN20" s="9" t="s">
        <v>112</v>
      </c>
    </row>
    <row r="21" spans="1:40" ht="13" x14ac:dyDescent="0.25">
      <c r="A21" s="109" t="s">
        <v>88</v>
      </c>
      <c r="B21" s="110"/>
      <c r="C21" s="21">
        <f>(VLOOKUP(C$14,$AI2:$AK26,3,FALSE))*C$15</f>
        <v>282</v>
      </c>
      <c r="D21" s="21">
        <f t="shared" ref="D21:V21" si="2">(VLOOKUP(D$14,$AI2:$AK26,3,FALSE))*D$15</f>
        <v>282</v>
      </c>
      <c r="E21" s="21">
        <f t="shared" si="2"/>
        <v>282</v>
      </c>
      <c r="F21" s="21">
        <f t="shared" si="2"/>
        <v>282</v>
      </c>
      <c r="G21" s="21">
        <f t="shared" si="2"/>
        <v>282</v>
      </c>
      <c r="H21" s="21">
        <f t="shared" si="2"/>
        <v>282</v>
      </c>
      <c r="I21" s="21">
        <f t="shared" si="2"/>
        <v>282</v>
      </c>
      <c r="J21" s="21">
        <f t="shared" si="2"/>
        <v>282</v>
      </c>
      <c r="K21" s="21">
        <f t="shared" si="2"/>
        <v>282</v>
      </c>
      <c r="L21" s="21">
        <f t="shared" si="2"/>
        <v>282</v>
      </c>
      <c r="M21" s="21">
        <f t="shared" si="2"/>
        <v>282</v>
      </c>
      <c r="N21" s="21" t="e">
        <f t="shared" si="2"/>
        <v>#N/A</v>
      </c>
      <c r="O21" s="21" t="e">
        <f t="shared" si="2"/>
        <v>#N/A</v>
      </c>
      <c r="P21" s="21" t="e">
        <f t="shared" si="2"/>
        <v>#N/A</v>
      </c>
      <c r="Q21" s="21" t="e">
        <f t="shared" si="2"/>
        <v>#N/A</v>
      </c>
      <c r="R21" s="21" t="e">
        <f t="shared" si="2"/>
        <v>#N/A</v>
      </c>
      <c r="S21" s="21" t="e">
        <f t="shared" si="2"/>
        <v>#N/A</v>
      </c>
      <c r="T21" s="21" t="e">
        <f t="shared" si="2"/>
        <v>#N/A</v>
      </c>
      <c r="U21" s="21" t="e">
        <f t="shared" si="2"/>
        <v>#N/A</v>
      </c>
      <c r="V21" s="21" t="e">
        <f t="shared" si="2"/>
        <v>#N/A</v>
      </c>
      <c r="AI21" s="55" t="s">
        <v>100</v>
      </c>
      <c r="AJ21" s="58">
        <v>11</v>
      </c>
      <c r="AK21" s="57">
        <v>12</v>
      </c>
      <c r="AL21" s="22">
        <v>19</v>
      </c>
      <c r="AM21" s="9">
        <v>6.7</v>
      </c>
      <c r="AN21" s="9" t="s">
        <v>135</v>
      </c>
    </row>
    <row r="22" spans="1:40" ht="13" x14ac:dyDescent="0.25">
      <c r="A22" s="111" t="s">
        <v>89</v>
      </c>
      <c r="B22" s="112"/>
      <c r="C22" s="13">
        <f>$E31</f>
        <v>20.204235000000004</v>
      </c>
      <c r="D22" s="13">
        <f>$E32</f>
        <v>20.204235000000004</v>
      </c>
      <c r="E22" s="13">
        <f>$E33</f>
        <v>20.204235000000004</v>
      </c>
      <c r="F22" s="13">
        <f>$E34</f>
        <v>27.936720000000005</v>
      </c>
      <c r="G22" s="13">
        <f>$E35</f>
        <v>20.204235000000004</v>
      </c>
      <c r="H22" s="13">
        <f>$E36</f>
        <v>20.204235000000004</v>
      </c>
      <c r="I22" s="13">
        <f>$E37</f>
        <v>20.204235000000004</v>
      </c>
      <c r="J22" s="13">
        <f>$E38</f>
        <v>20.204235000000004</v>
      </c>
      <c r="K22" s="13">
        <f>$E39</f>
        <v>20.204235000000004</v>
      </c>
      <c r="L22" s="13">
        <f>$E40</f>
        <v>20.204235000000004</v>
      </c>
      <c r="M22" s="13">
        <f>$E41</f>
        <v>20.204235000000004</v>
      </c>
      <c r="N22" s="13">
        <f>$E42</f>
        <v>0</v>
      </c>
      <c r="O22" s="13">
        <f>$E43</f>
        <v>0</v>
      </c>
      <c r="P22" s="13">
        <f>$E44</f>
        <v>0</v>
      </c>
      <c r="Q22" s="13">
        <f>$E45</f>
        <v>0</v>
      </c>
      <c r="R22" s="13">
        <f>$E46</f>
        <v>0</v>
      </c>
      <c r="S22" s="13">
        <f>$E47</f>
        <v>0</v>
      </c>
      <c r="T22" s="13">
        <f>$E48</f>
        <v>0</v>
      </c>
      <c r="U22" s="13">
        <f>$E49</f>
        <v>0</v>
      </c>
      <c r="V22" s="13">
        <f>$E50</f>
        <v>0</v>
      </c>
      <c r="AI22" s="55" t="s">
        <v>102</v>
      </c>
      <c r="AJ22" s="56">
        <v>1.2</v>
      </c>
      <c r="AK22" s="57">
        <v>5</v>
      </c>
      <c r="AL22" s="22">
        <v>20</v>
      </c>
      <c r="AM22" s="9">
        <v>6.7</v>
      </c>
      <c r="AN22" s="9" t="s">
        <v>135</v>
      </c>
    </row>
    <row r="23" spans="1:40" ht="13" x14ac:dyDescent="0.25">
      <c r="A23" s="111" t="s">
        <v>92</v>
      </c>
      <c r="B23" s="112"/>
      <c r="C23" s="13">
        <f>C22-C21</f>
        <v>-261.79576500000002</v>
      </c>
      <c r="D23" s="13">
        <f t="shared" ref="D23:V23" si="3">D22-D21</f>
        <v>-261.79576500000002</v>
      </c>
      <c r="E23" s="13">
        <f t="shared" si="3"/>
        <v>-261.79576500000002</v>
      </c>
      <c r="F23" s="13">
        <f t="shared" si="3"/>
        <v>-254.06327999999999</v>
      </c>
      <c r="G23" s="13">
        <f t="shared" si="3"/>
        <v>-261.79576500000002</v>
      </c>
      <c r="H23" s="13">
        <f t="shared" si="3"/>
        <v>-261.79576500000002</v>
      </c>
      <c r="I23" s="13">
        <f t="shared" si="3"/>
        <v>-261.79576500000002</v>
      </c>
      <c r="J23" s="13">
        <f t="shared" si="3"/>
        <v>-261.79576500000002</v>
      </c>
      <c r="K23" s="13">
        <f t="shared" si="3"/>
        <v>-261.79576500000002</v>
      </c>
      <c r="L23" s="13">
        <f t="shared" si="3"/>
        <v>-261.79576500000002</v>
      </c>
      <c r="M23" s="13">
        <f t="shared" si="3"/>
        <v>-261.79576500000002</v>
      </c>
      <c r="N23" s="13" t="e">
        <f t="shared" si="3"/>
        <v>#N/A</v>
      </c>
      <c r="O23" s="13" t="e">
        <f t="shared" si="3"/>
        <v>#N/A</v>
      </c>
      <c r="P23" s="13" t="e">
        <f t="shared" si="3"/>
        <v>#N/A</v>
      </c>
      <c r="Q23" s="13" t="e">
        <f t="shared" si="3"/>
        <v>#N/A</v>
      </c>
      <c r="R23" s="13" t="e">
        <f t="shared" si="3"/>
        <v>#N/A</v>
      </c>
      <c r="S23" s="13" t="e">
        <f t="shared" si="3"/>
        <v>#N/A</v>
      </c>
      <c r="T23" s="13" t="e">
        <f t="shared" si="3"/>
        <v>#N/A</v>
      </c>
      <c r="U23" s="13" t="e">
        <f t="shared" si="3"/>
        <v>#N/A</v>
      </c>
      <c r="V23" s="13" t="e">
        <f t="shared" si="3"/>
        <v>#N/A</v>
      </c>
      <c r="AI23" s="55" t="s">
        <v>98</v>
      </c>
      <c r="AJ23" s="58">
        <v>9</v>
      </c>
      <c r="AK23" s="57">
        <v>10</v>
      </c>
      <c r="AL23" s="22">
        <v>21</v>
      </c>
      <c r="AM23" s="9">
        <v>6.7</v>
      </c>
      <c r="AN23" s="9" t="s">
        <v>135</v>
      </c>
    </row>
    <row r="24" spans="1:40" ht="13.5" thickBot="1" x14ac:dyDescent="0.3">
      <c r="A24" s="113" t="s">
        <v>93</v>
      </c>
      <c r="B24" s="114"/>
      <c r="C24" s="19" t="str">
        <f>IF($B31="","",IF(C$23&gt;=0,"INCREASE","DECREASE"))</f>
        <v>DECREASE</v>
      </c>
      <c r="D24" s="19" t="str">
        <f t="shared" ref="D24:V24" si="4">IF($B31="","",IF(D$23&gt;=0,"INCREASE","DECREASE"))</f>
        <v>DECREASE</v>
      </c>
      <c r="E24" s="19" t="str">
        <f t="shared" si="4"/>
        <v>DECREASE</v>
      </c>
      <c r="F24" s="19" t="str">
        <f t="shared" si="4"/>
        <v>DECREASE</v>
      </c>
      <c r="G24" s="19" t="str">
        <f t="shared" si="4"/>
        <v>DECREASE</v>
      </c>
      <c r="H24" s="19" t="str">
        <f t="shared" si="4"/>
        <v>DECREASE</v>
      </c>
      <c r="I24" s="19" t="str">
        <f t="shared" si="4"/>
        <v>DECREASE</v>
      </c>
      <c r="J24" s="19" t="str">
        <f t="shared" si="4"/>
        <v>DECREASE</v>
      </c>
      <c r="K24" s="19" t="str">
        <f t="shared" si="4"/>
        <v>DECREASE</v>
      </c>
      <c r="L24" s="19" t="str">
        <f t="shared" si="4"/>
        <v>DECREASE</v>
      </c>
      <c r="M24" s="19" t="str">
        <f t="shared" si="4"/>
        <v>DECREASE</v>
      </c>
      <c r="N24" s="19" t="e">
        <f t="shared" si="4"/>
        <v>#N/A</v>
      </c>
      <c r="O24" s="19" t="e">
        <f t="shared" si="4"/>
        <v>#N/A</v>
      </c>
      <c r="P24" s="19" t="e">
        <f t="shared" si="4"/>
        <v>#N/A</v>
      </c>
      <c r="Q24" s="19" t="e">
        <f t="shared" si="4"/>
        <v>#N/A</v>
      </c>
      <c r="R24" s="19" t="e">
        <f t="shared" si="4"/>
        <v>#N/A</v>
      </c>
      <c r="S24" s="19" t="e">
        <f t="shared" si="4"/>
        <v>#N/A</v>
      </c>
      <c r="T24" s="19" t="e">
        <f t="shared" si="4"/>
        <v>#N/A</v>
      </c>
      <c r="U24" s="19" t="e">
        <f t="shared" si="4"/>
        <v>#N/A</v>
      </c>
      <c r="V24" s="19" t="e">
        <f t="shared" si="4"/>
        <v>#N/A</v>
      </c>
      <c r="AI24" s="55" t="s">
        <v>99</v>
      </c>
      <c r="AJ24" s="58">
        <v>1.5</v>
      </c>
      <c r="AK24" s="57">
        <v>3</v>
      </c>
      <c r="AL24" s="22">
        <v>22</v>
      </c>
      <c r="AM24" s="9">
        <v>6.7</v>
      </c>
      <c r="AN24" s="9" t="s">
        <v>135</v>
      </c>
    </row>
    <row r="25" spans="1:40" x14ac:dyDescent="0.25">
      <c r="D25" s="59"/>
      <c r="E25" s="59"/>
      <c r="F25" s="59"/>
      <c r="AI25" s="55" t="s">
        <v>117</v>
      </c>
      <c r="AJ25" s="58">
        <v>1</v>
      </c>
      <c r="AK25" s="57">
        <v>5.8</v>
      </c>
      <c r="AL25" s="22">
        <v>23</v>
      </c>
      <c r="AM25" s="9">
        <v>6.7</v>
      </c>
      <c r="AN25" s="9" t="s">
        <v>135</v>
      </c>
    </row>
    <row r="26" spans="1:40" s="7" customFormat="1" ht="13" x14ac:dyDescent="0.25">
      <c r="A26" s="93"/>
      <c r="B26" s="3" t="s">
        <v>10</v>
      </c>
      <c r="C26" s="3" t="s">
        <v>75</v>
      </c>
      <c r="D26" s="94" t="s">
        <v>11</v>
      </c>
      <c r="E26" s="94" t="s">
        <v>12</v>
      </c>
      <c r="F26" s="94" t="s">
        <v>13</v>
      </c>
      <c r="G26" s="3" t="s">
        <v>14</v>
      </c>
      <c r="H26" s="94" t="s">
        <v>15</v>
      </c>
      <c r="I26" s="94" t="s">
        <v>16</v>
      </c>
      <c r="J26" s="3" t="s">
        <v>17</v>
      </c>
      <c r="K26" s="3" t="s">
        <v>18</v>
      </c>
      <c r="L26" s="3" t="s">
        <v>19</v>
      </c>
      <c r="M26" s="3" t="s">
        <v>20</v>
      </c>
      <c r="N26" s="3" t="s">
        <v>61</v>
      </c>
      <c r="O26" s="3" t="s">
        <v>62</v>
      </c>
      <c r="P26" s="94" t="s">
        <v>39</v>
      </c>
      <c r="Q26" s="94" t="s">
        <v>40</v>
      </c>
      <c r="R26" s="94" t="s">
        <v>35</v>
      </c>
      <c r="S26" s="94" t="s">
        <v>36</v>
      </c>
      <c r="T26" s="94" t="s">
        <v>37</v>
      </c>
      <c r="U26" s="94" t="s">
        <v>38</v>
      </c>
      <c r="AI26" s="60" t="s">
        <v>116</v>
      </c>
      <c r="AJ26" s="61">
        <v>0.7</v>
      </c>
      <c r="AK26" s="62">
        <v>2.4</v>
      </c>
      <c r="AL26" s="22">
        <v>24</v>
      </c>
      <c r="AM26" s="7">
        <v>6.7</v>
      </c>
      <c r="AN26" s="9" t="s">
        <v>135</v>
      </c>
    </row>
    <row r="27" spans="1:40" x14ac:dyDescent="0.35">
      <c r="A27" s="95"/>
      <c r="B27" s="63" t="s">
        <v>46</v>
      </c>
      <c r="C27" s="96" t="s">
        <v>56</v>
      </c>
      <c r="D27" s="96" t="s">
        <v>54</v>
      </c>
      <c r="E27" s="96" t="s">
        <v>54</v>
      </c>
      <c r="F27" s="96" t="s">
        <v>54</v>
      </c>
      <c r="G27" s="96" t="s">
        <v>54</v>
      </c>
      <c r="H27" s="96" t="s">
        <v>54</v>
      </c>
      <c r="I27" s="96" t="s">
        <v>54</v>
      </c>
      <c r="J27" s="96" t="s">
        <v>54</v>
      </c>
      <c r="K27" s="96" t="s">
        <v>54</v>
      </c>
      <c r="L27" s="96" t="s">
        <v>54</v>
      </c>
      <c r="M27" s="96" t="s">
        <v>54</v>
      </c>
      <c r="N27" s="96"/>
      <c r="O27" s="96"/>
      <c r="P27" s="96" t="s">
        <v>54</v>
      </c>
      <c r="Q27" s="96" t="s">
        <v>54</v>
      </c>
      <c r="R27" s="96"/>
      <c r="S27" s="96"/>
      <c r="T27" s="96"/>
      <c r="U27" s="96"/>
    </row>
    <row r="28" spans="1:40" x14ac:dyDescent="0.35">
      <c r="A28" s="97"/>
      <c r="B28" s="17">
        <v>2.37</v>
      </c>
      <c r="C28" s="12">
        <v>0.22</v>
      </c>
      <c r="D28" s="12">
        <v>431</v>
      </c>
      <c r="E28" s="12">
        <v>207</v>
      </c>
      <c r="F28" s="12">
        <v>28.1</v>
      </c>
      <c r="G28" s="12">
        <v>0.2</v>
      </c>
      <c r="H28" s="12">
        <v>1.08</v>
      </c>
      <c r="I28" s="12">
        <v>0.5</v>
      </c>
      <c r="J28" s="12">
        <v>0.01</v>
      </c>
      <c r="K28" s="16">
        <v>0.05</v>
      </c>
      <c r="L28" s="12">
        <v>0.2</v>
      </c>
      <c r="M28" s="12">
        <v>0.2</v>
      </c>
      <c r="N28" s="12"/>
      <c r="O28" s="12"/>
      <c r="P28" s="12">
        <v>297</v>
      </c>
      <c r="Q28" s="12">
        <v>90.5</v>
      </c>
      <c r="R28" s="12"/>
      <c r="S28" s="12"/>
      <c r="T28" s="12"/>
      <c r="U28" s="12"/>
    </row>
    <row r="29" spans="1:40" s="7" customFormat="1" ht="28" x14ac:dyDescent="0.35">
      <c r="A29" s="11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6" customFormat="1" ht="28" x14ac:dyDescent="0.35">
      <c r="A30" s="11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51" customFormat="1" ht="13" x14ac:dyDescent="0.35">
      <c r="A31" s="10" t="str">
        <f>C8</f>
        <v>Nant Y Croi 9</v>
      </c>
      <c r="B31" s="12">
        <v>81</v>
      </c>
      <c r="C31" s="68">
        <f>IF(C$27="%w/w SAR",((C$28*10)*$B31),IF(C$27="%w/w DM",(((C$28*10)*($B$28/100))*$B31),IF(C$27="kg/t SAR",(C$28*$B31),IF(C$27="kg/t DM",((C$28*($B$28/100))*$B31),IF(C$27="mg/kg SAR",((C$28*0.001)*$B31),IF(C$27="mg/kg DM",(((C$28*0.001)*($B$28/100))*$B31),0))))))</f>
        <v>178.20000000000002</v>
      </c>
      <c r="D31" s="68">
        <f>(IF(D$27="%w/w SAR",((D$28*10)*$B31),IF(D$27="%w/w DM",(((D$28*10)*($B$28/100))*$B31),IF(D$27="kg/t SAR",(D$28*$B31),IF(D$27="kg/t DM",((D$28*($B$28/100))*$B31),IF(D$27="mg/kg SAR",((D$28*0.001)*$B31),IF(D$27="mg/kg DM",(((D$28*0.001)*($B$28/100))*$B31),"0")))))))*2.291</f>
        <v>79.981100999999995</v>
      </c>
      <c r="E31" s="68">
        <f>(IF(E$27="%w/w SAR",((E$28*10)*$B31),IF(E$27="%w/w DM",(((E$28*10)*($B$28/100))*$B31),IF(E$27="kg/t SAR",(E$28*$B31),IF(E$27="kg/t DM",((E$28*($B$28/100))*$B31),IF(E$27="mg/kg SAR",((E$28*0.001)*$B31),IF(E$27="mg/kg DM",(((E$28*0.001)*($B$28/100))*$B31),"0")))))))*1.205</f>
        <v>20.204235000000004</v>
      </c>
      <c r="F31" s="68">
        <f>(IF(F$27="%w/w SAR",((F$28*10)*$B31),IF(F$27="%w/w DM",(((F$28*10)*($B$28/100))*$B31),IF(F$27="kg/t SAR",(F$28*$B31),IF(F$27="kg/t DM",((F$28*($B$28/100))*$B31),IF(F$27="mg/kg SAR",((F$28*0.001)*$B31),IF(F$27="mg/kg DM",(((F$28*0.001)*($B$28/100))*$B31),"0")))))))*1.658</f>
        <v>3.7737738000000007</v>
      </c>
      <c r="G31" s="68">
        <f t="shared" ref="G31:P46" si="5">IF(G$27="%w/w SAR",((G$28*10)*$B31),IF(G$27="%w/w DM",(((G$28*10)*($B$28/100))*$B31),IF(G$27="kg/t SAR",(G$28*$B31),IF(G$27="kg/t DM",((G$28*($B$28/100))*$B31),IF(G$27="mg/kg SAR",((G$28*0.001)*$B31),IF(G$27="mg/kg DM",(((G$28*0.001)*($B$28/100))*$B31),0))))))</f>
        <v>1.6199999999999999E-2</v>
      </c>
      <c r="H31" s="68">
        <f t="shared" si="5"/>
        <v>8.7480000000000002E-2</v>
      </c>
      <c r="I31" s="68">
        <f t="shared" si="5"/>
        <v>4.0500000000000001E-2</v>
      </c>
      <c r="J31" s="68">
        <f t="shared" si="5"/>
        <v>8.1000000000000006E-4</v>
      </c>
      <c r="K31" s="68">
        <f t="shared" si="5"/>
        <v>4.0499999999999998E-3</v>
      </c>
      <c r="L31" s="68">
        <f t="shared" si="5"/>
        <v>1.6199999999999999E-2</v>
      </c>
      <c r="M31" s="68">
        <f t="shared" si="5"/>
        <v>1.6199999999999999E-2</v>
      </c>
      <c r="N31" s="68">
        <f t="shared" si="5"/>
        <v>0</v>
      </c>
      <c r="O31" s="68">
        <f t="shared" si="5"/>
        <v>0</v>
      </c>
      <c r="P31" s="68">
        <f t="shared" si="5"/>
        <v>24.056999999999999</v>
      </c>
      <c r="Q31" s="68">
        <f>(IF(Q$27="%w/w SAR",((Q$28*10)*$B31),IF(Q$27="%w/w DM",(((Q$28*10)*($B$28/100))*$B31),IF(Q$27="kg/t SAR",(Q$28*$B31),IF(Q$27="kg/t DM",((Q$28*($B$28/100))*$B31),IF(Q$27="mg/kg SAR",((Q$28*0.001)*$B31),IF(Q$27="mg/kg DM",(((Q$28*0.001)*($B$28/100))*$B31),0)))))))*2.5</f>
        <v>18.326249999999998</v>
      </c>
      <c r="R31" s="68">
        <f>IF(R$27="%w/w SAR",((R$28*10)*$B31),IF(R$27="%w/w DM",(((R$28*10)*($B$28/100))*$B31),IF(R$27="kg/t SAR",(R$28*$B31),IF(R$27="kg/t DM",((R$28*($B$28/100))*$B31),IF(R$27="mg/kg SAR",((R$28*0.001)*$B31),IF(R$27="mg/kg DM",(((R$28*0.001)*($B$28/100))*$B31),0))))))</f>
        <v>0</v>
      </c>
      <c r="S31" s="68">
        <f>IF(S$27="%w/w SAR",((S$28*10)*$B31),IF(S$27="%w/w DM",(((S$28*10)*($B$28/100))*$B31),IF(S$27="kg/t SAR",(S$28*$B31),IF(S$27="kg/t DM",((S$28*($B$28/100))*$B31),IF(S$27="mg/kg SAR",((S$28*0.001)*$B31),IF(S$27="mg/kg DM",(((S$28*0.001)*($B$28/100))*$B31),0))))))</f>
        <v>0</v>
      </c>
      <c r="T31" s="68">
        <f>IF(T$27="%w/w SAR",((T$28*10)*$B31),IF(T$27="%w/w DM",(((T$28*10)*($B$28/100))*$B31),IF(T$27="kg/t SAR",(T$28*$B31),IF(T$27="kg/t DM",((T$28*($B$28/100))*$B31),IF(T$27="mg/kg SAR",((T$28*0.001)*$B31),IF(T$27="mg/kg DM",(((T$28*0.001)*($B$28/100))*$B31),0))))))</f>
        <v>0</v>
      </c>
      <c r="U31" s="68">
        <f>IF(U$27="%w/w SAR",((U$28*10)*$B31),IF(U$27="%w/w DM",(((U$28*10)*($B$28/100))*$B31),IF(U$27="kg/t SAR",(U$28*$B31),IF(U$27="kg/t DM",((U$28*($B$28/100))*$B31),IF(U$27="mg/kg SAR",((U$28*0.001)*$B31),IF(U$27="mg/kg DM",(((U$28*0.001)*($B$28/100))*$B31),0))))))</f>
        <v>0</v>
      </c>
    </row>
    <row r="32" spans="1:40" s="51" customFormat="1" ht="13" x14ac:dyDescent="0.35">
      <c r="A32" s="10" t="str">
        <f>D8</f>
        <v>Hafod 4315</v>
      </c>
      <c r="B32" s="12">
        <v>81</v>
      </c>
      <c r="C32" s="68">
        <f t="shared" ref="C32:C50" si="6">IF(C$27="%w/w SAR",((C$28*10)*$B32),IF(C$27="%w/w DM",(((C$28*10)*($B$28/100))*$B32),IF(C$27="kg/t SAR",(C$28*$B32),IF(C$27="kg/t DM",((C$28*($B$28/100))*$B32),IF(C$27="mg/kg SAR",((C$28*0.001)*$B32),IF(C$27="mg/kg DM",(((C$28*0.001)*($B$28/100))*$B32),0))))))</f>
        <v>178.20000000000002</v>
      </c>
      <c r="D32" s="68">
        <f t="shared" ref="D32:D50" si="7">(IF(D$27="%w/w SAR",((D$28*10)*$B32),IF(D$27="%w/w DM",(((D$28*10)*($B$28/100))*$B32),IF(D$27="kg/t SAR",(D$28*$B32),IF(D$27="kg/t DM",((D$28*($B$28/100))*$B32),IF(D$27="mg/kg SAR",((D$28*0.001)*$B32),IF(D$27="mg/kg DM",(((D$28*0.001)*($B$28/100))*$B32),"0")))))))*2.291</f>
        <v>79.981100999999995</v>
      </c>
      <c r="E32" s="68">
        <f t="shared" ref="E32:E50" si="8">(IF(E$27="%w/w SAR",((E$28*10)*$B32),IF(E$27="%w/w DM",(((E$28*10)*($B$28/100))*$B32),IF(E$27="kg/t SAR",(E$28*$B32),IF(E$27="kg/t DM",((E$28*($B$28/100))*$B32),IF(E$27="mg/kg SAR",((E$28*0.001)*$B32),IF(E$27="mg/kg DM",(((E$28*0.001)*($B$28/100))*$B32),"0")))))))*1.205</f>
        <v>20.204235000000004</v>
      </c>
      <c r="F32" s="68">
        <f t="shared" ref="F32:F50" si="9">(IF(F$27="%w/w SAR",((F$28*10)*$B32),IF(F$27="%w/w DM",(((F$28*10)*($B$28/100))*$B32),IF(F$27="kg/t SAR",(F$28*$B32),IF(F$27="kg/t DM",((F$28*($B$28/100))*$B32),IF(F$27="mg/kg SAR",((F$28*0.001)*$B32),IF(F$27="mg/kg DM",(((F$28*0.001)*($B$28/100))*$B32),"0")))))))*1.658</f>
        <v>3.7737738000000007</v>
      </c>
      <c r="G32" s="68">
        <f t="shared" si="5"/>
        <v>1.6199999999999999E-2</v>
      </c>
      <c r="H32" s="68">
        <f t="shared" si="5"/>
        <v>8.7480000000000002E-2</v>
      </c>
      <c r="I32" s="68">
        <f t="shared" si="5"/>
        <v>4.0500000000000001E-2</v>
      </c>
      <c r="J32" s="68">
        <f t="shared" si="5"/>
        <v>8.1000000000000006E-4</v>
      </c>
      <c r="K32" s="68">
        <f t="shared" si="5"/>
        <v>4.0499999999999998E-3</v>
      </c>
      <c r="L32" s="68">
        <f t="shared" si="5"/>
        <v>1.6199999999999999E-2</v>
      </c>
      <c r="M32" s="68">
        <f t="shared" si="5"/>
        <v>1.6199999999999999E-2</v>
      </c>
      <c r="N32" s="68">
        <f t="shared" si="5"/>
        <v>0</v>
      </c>
      <c r="O32" s="68">
        <f t="shared" si="5"/>
        <v>0</v>
      </c>
      <c r="P32" s="68">
        <f t="shared" si="5"/>
        <v>24.056999999999999</v>
      </c>
      <c r="Q32" s="68">
        <f t="shared" ref="Q32:Q50" si="10">(IF(Q$27="%w/w SAR",((Q$28*10)*$B32),IF(Q$27="%w/w DM",(((Q$28*10)*($B$28/100))*$B32),IF(Q$27="kg/t SAR",(Q$28*$B32),IF(Q$27="kg/t DM",((Q$28*($B$28/100))*$B32),IF(Q$27="mg/kg SAR",((Q$28*0.001)*$B32),IF(Q$27="mg/kg DM",(((Q$28*0.001)*($B$28/100))*$B32),0)))))))*2.5</f>
        <v>18.326249999999998</v>
      </c>
      <c r="R32" s="68">
        <f t="shared" ref="R32:U50" si="11">IF(R$27="%w/w SAR",((R$28*10)*$B32),IF(R$27="%w/w DM",(((R$28*10)*($B$28/100))*$B32),IF(R$27="kg/t SAR",(R$28*$B32),IF(R$27="kg/t DM",((R$28*($B$28/100))*$B32),IF(R$27="mg/kg SAR",((R$28*0.001)*$B32),IF(R$27="mg/kg DM",(((R$28*0.001)*($B$28/100))*$B32),0))))))</f>
        <v>0</v>
      </c>
      <c r="S32" s="68">
        <f t="shared" si="11"/>
        <v>0</v>
      </c>
      <c r="T32" s="68">
        <f t="shared" si="11"/>
        <v>0</v>
      </c>
      <c r="U32" s="68">
        <f t="shared" si="11"/>
        <v>0</v>
      </c>
    </row>
    <row r="33" spans="1:21" s="51" customFormat="1" ht="13" x14ac:dyDescent="0.35">
      <c r="A33" s="10" t="str">
        <f>E8</f>
        <v>Hafod 4734</v>
      </c>
      <c r="B33" s="12">
        <v>81</v>
      </c>
      <c r="C33" s="68">
        <f t="shared" si="6"/>
        <v>178.20000000000002</v>
      </c>
      <c r="D33" s="68">
        <f t="shared" si="7"/>
        <v>79.981100999999995</v>
      </c>
      <c r="E33" s="68">
        <f t="shared" si="8"/>
        <v>20.204235000000004</v>
      </c>
      <c r="F33" s="68">
        <f t="shared" si="9"/>
        <v>3.7737738000000007</v>
      </c>
      <c r="G33" s="68">
        <f t="shared" si="5"/>
        <v>1.6199999999999999E-2</v>
      </c>
      <c r="H33" s="68">
        <f t="shared" si="5"/>
        <v>8.7480000000000002E-2</v>
      </c>
      <c r="I33" s="68">
        <f t="shared" si="5"/>
        <v>4.0500000000000001E-2</v>
      </c>
      <c r="J33" s="68">
        <f t="shared" si="5"/>
        <v>8.1000000000000006E-4</v>
      </c>
      <c r="K33" s="68">
        <f t="shared" si="5"/>
        <v>4.0499999999999998E-3</v>
      </c>
      <c r="L33" s="68">
        <f t="shared" si="5"/>
        <v>1.6199999999999999E-2</v>
      </c>
      <c r="M33" s="68">
        <f t="shared" si="5"/>
        <v>1.6199999999999999E-2</v>
      </c>
      <c r="N33" s="68">
        <f t="shared" si="5"/>
        <v>0</v>
      </c>
      <c r="O33" s="68">
        <f t="shared" si="5"/>
        <v>0</v>
      </c>
      <c r="P33" s="68">
        <f t="shared" si="5"/>
        <v>24.056999999999999</v>
      </c>
      <c r="Q33" s="68">
        <f t="shared" si="10"/>
        <v>18.326249999999998</v>
      </c>
      <c r="R33" s="68">
        <f t="shared" si="11"/>
        <v>0</v>
      </c>
      <c r="S33" s="68">
        <f t="shared" si="11"/>
        <v>0</v>
      </c>
      <c r="T33" s="68">
        <f t="shared" si="11"/>
        <v>0</v>
      </c>
      <c r="U33" s="68">
        <f t="shared" si="11"/>
        <v>0</v>
      </c>
    </row>
    <row r="34" spans="1:21" s="51" customFormat="1" ht="13" x14ac:dyDescent="0.35">
      <c r="A34" s="10" t="str">
        <f>F8</f>
        <v>Hafod 5761</v>
      </c>
      <c r="B34" s="12">
        <v>112</v>
      </c>
      <c r="C34" s="68">
        <f t="shared" si="6"/>
        <v>246.40000000000003</v>
      </c>
      <c r="D34" s="68">
        <f t="shared" si="7"/>
        <v>110.59115199999999</v>
      </c>
      <c r="E34" s="68">
        <f t="shared" si="8"/>
        <v>27.936720000000005</v>
      </c>
      <c r="F34" s="68">
        <f t="shared" si="9"/>
        <v>5.2180575999999999</v>
      </c>
      <c r="G34" s="68">
        <f t="shared" si="5"/>
        <v>2.24E-2</v>
      </c>
      <c r="H34" s="68">
        <f t="shared" si="5"/>
        <v>0.12096</v>
      </c>
      <c r="I34" s="68">
        <f t="shared" si="5"/>
        <v>5.6000000000000001E-2</v>
      </c>
      <c r="J34" s="68">
        <f t="shared" si="5"/>
        <v>1.1200000000000001E-3</v>
      </c>
      <c r="K34" s="68">
        <f t="shared" si="5"/>
        <v>5.5999999999999999E-3</v>
      </c>
      <c r="L34" s="68">
        <f t="shared" si="5"/>
        <v>2.24E-2</v>
      </c>
      <c r="M34" s="68">
        <f t="shared" si="5"/>
        <v>2.24E-2</v>
      </c>
      <c r="N34" s="68">
        <f t="shared" si="5"/>
        <v>0</v>
      </c>
      <c r="O34" s="68">
        <f t="shared" si="5"/>
        <v>0</v>
      </c>
      <c r="P34" s="68">
        <f t="shared" si="5"/>
        <v>33.263999999999996</v>
      </c>
      <c r="Q34" s="68">
        <f t="shared" si="10"/>
        <v>25.339999999999996</v>
      </c>
      <c r="R34" s="68">
        <f t="shared" si="11"/>
        <v>0</v>
      </c>
      <c r="S34" s="68">
        <f t="shared" si="11"/>
        <v>0</v>
      </c>
      <c r="T34" s="68">
        <f t="shared" si="11"/>
        <v>0</v>
      </c>
      <c r="U34" s="68">
        <f t="shared" si="11"/>
        <v>0</v>
      </c>
    </row>
    <row r="35" spans="1:21" s="51" customFormat="1" ht="13" x14ac:dyDescent="0.35">
      <c r="A35" s="10" t="str">
        <f>G8</f>
        <v>Hafod 4067</v>
      </c>
      <c r="B35" s="12">
        <v>81</v>
      </c>
      <c r="C35" s="68">
        <f t="shared" si="6"/>
        <v>178.20000000000002</v>
      </c>
      <c r="D35" s="68">
        <f t="shared" si="7"/>
        <v>79.981100999999995</v>
      </c>
      <c r="E35" s="68">
        <f t="shared" si="8"/>
        <v>20.204235000000004</v>
      </c>
      <c r="F35" s="68">
        <f t="shared" si="9"/>
        <v>3.7737738000000007</v>
      </c>
      <c r="G35" s="68">
        <f t="shared" si="5"/>
        <v>1.6199999999999999E-2</v>
      </c>
      <c r="H35" s="68">
        <f t="shared" si="5"/>
        <v>8.7480000000000002E-2</v>
      </c>
      <c r="I35" s="68">
        <f t="shared" si="5"/>
        <v>4.0500000000000001E-2</v>
      </c>
      <c r="J35" s="68">
        <f t="shared" si="5"/>
        <v>8.1000000000000006E-4</v>
      </c>
      <c r="K35" s="68">
        <f t="shared" si="5"/>
        <v>4.0499999999999998E-3</v>
      </c>
      <c r="L35" s="68">
        <f t="shared" si="5"/>
        <v>1.6199999999999999E-2</v>
      </c>
      <c r="M35" s="68">
        <f t="shared" si="5"/>
        <v>1.6199999999999999E-2</v>
      </c>
      <c r="N35" s="68">
        <f t="shared" si="5"/>
        <v>0</v>
      </c>
      <c r="O35" s="68">
        <f t="shared" si="5"/>
        <v>0</v>
      </c>
      <c r="P35" s="68">
        <f t="shared" si="5"/>
        <v>24.056999999999999</v>
      </c>
      <c r="Q35" s="68">
        <f t="shared" si="10"/>
        <v>18.326249999999998</v>
      </c>
      <c r="R35" s="68">
        <f t="shared" si="11"/>
        <v>0</v>
      </c>
      <c r="S35" s="68">
        <f t="shared" si="11"/>
        <v>0</v>
      </c>
      <c r="T35" s="68">
        <f t="shared" si="11"/>
        <v>0</v>
      </c>
      <c r="U35" s="68">
        <f t="shared" si="11"/>
        <v>0</v>
      </c>
    </row>
    <row r="36" spans="1:21" s="51" customFormat="1" ht="13" x14ac:dyDescent="0.35">
      <c r="A36" s="10" t="str">
        <f>H8</f>
        <v>Hafod 2455</v>
      </c>
      <c r="B36" s="12">
        <v>81</v>
      </c>
      <c r="C36" s="68">
        <f t="shared" si="6"/>
        <v>178.20000000000002</v>
      </c>
      <c r="D36" s="68">
        <f t="shared" si="7"/>
        <v>79.981100999999995</v>
      </c>
      <c r="E36" s="68">
        <f t="shared" si="8"/>
        <v>20.204235000000004</v>
      </c>
      <c r="F36" s="68">
        <f t="shared" si="9"/>
        <v>3.7737738000000007</v>
      </c>
      <c r="G36" s="68">
        <f t="shared" si="5"/>
        <v>1.6199999999999999E-2</v>
      </c>
      <c r="H36" s="68">
        <f t="shared" si="5"/>
        <v>8.7480000000000002E-2</v>
      </c>
      <c r="I36" s="68">
        <f t="shared" si="5"/>
        <v>4.0500000000000001E-2</v>
      </c>
      <c r="J36" s="68">
        <f t="shared" si="5"/>
        <v>8.1000000000000006E-4</v>
      </c>
      <c r="K36" s="68">
        <f t="shared" si="5"/>
        <v>4.0499999999999998E-3</v>
      </c>
      <c r="L36" s="68">
        <f t="shared" si="5"/>
        <v>1.6199999999999999E-2</v>
      </c>
      <c r="M36" s="68">
        <f t="shared" si="5"/>
        <v>1.6199999999999999E-2</v>
      </c>
      <c r="N36" s="68">
        <f t="shared" si="5"/>
        <v>0</v>
      </c>
      <c r="O36" s="68">
        <f t="shared" si="5"/>
        <v>0</v>
      </c>
      <c r="P36" s="68">
        <f t="shared" si="5"/>
        <v>24.056999999999999</v>
      </c>
      <c r="Q36" s="68">
        <f t="shared" si="10"/>
        <v>18.326249999999998</v>
      </c>
      <c r="R36" s="68">
        <f t="shared" si="11"/>
        <v>0</v>
      </c>
      <c r="S36" s="68">
        <f t="shared" si="11"/>
        <v>0</v>
      </c>
      <c r="T36" s="68">
        <f t="shared" si="11"/>
        <v>0</v>
      </c>
      <c r="U36" s="68">
        <f t="shared" si="11"/>
        <v>0</v>
      </c>
    </row>
    <row r="37" spans="1:21" s="51" customFormat="1" ht="13" x14ac:dyDescent="0.35">
      <c r="A37" s="10" t="str">
        <f>I8</f>
        <v>Hafod 1741</v>
      </c>
      <c r="B37" s="12">
        <v>81</v>
      </c>
      <c r="C37" s="68">
        <f t="shared" si="6"/>
        <v>178.20000000000002</v>
      </c>
      <c r="D37" s="68">
        <f t="shared" si="7"/>
        <v>79.981100999999995</v>
      </c>
      <c r="E37" s="68">
        <f t="shared" si="8"/>
        <v>20.204235000000004</v>
      </c>
      <c r="F37" s="68">
        <f t="shared" si="9"/>
        <v>3.7737738000000007</v>
      </c>
      <c r="G37" s="68">
        <f t="shared" si="5"/>
        <v>1.6199999999999999E-2</v>
      </c>
      <c r="H37" s="68">
        <f t="shared" si="5"/>
        <v>8.7480000000000002E-2</v>
      </c>
      <c r="I37" s="68">
        <f t="shared" si="5"/>
        <v>4.0500000000000001E-2</v>
      </c>
      <c r="J37" s="68">
        <f t="shared" si="5"/>
        <v>8.1000000000000006E-4</v>
      </c>
      <c r="K37" s="68">
        <f t="shared" si="5"/>
        <v>4.0499999999999998E-3</v>
      </c>
      <c r="L37" s="68">
        <f t="shared" si="5"/>
        <v>1.6199999999999999E-2</v>
      </c>
      <c r="M37" s="68">
        <f t="shared" si="5"/>
        <v>1.6199999999999999E-2</v>
      </c>
      <c r="N37" s="68">
        <f t="shared" si="5"/>
        <v>0</v>
      </c>
      <c r="O37" s="68">
        <f t="shared" si="5"/>
        <v>0</v>
      </c>
      <c r="P37" s="68">
        <f t="shared" si="5"/>
        <v>24.056999999999999</v>
      </c>
      <c r="Q37" s="68">
        <f t="shared" si="10"/>
        <v>18.326249999999998</v>
      </c>
      <c r="R37" s="68">
        <f t="shared" si="11"/>
        <v>0</v>
      </c>
      <c r="S37" s="68">
        <f t="shared" si="11"/>
        <v>0</v>
      </c>
      <c r="T37" s="68">
        <f t="shared" si="11"/>
        <v>0</v>
      </c>
      <c r="U37" s="68">
        <f t="shared" si="11"/>
        <v>0</v>
      </c>
    </row>
    <row r="38" spans="1:21" s="51" customFormat="1" ht="13" x14ac:dyDescent="0.35">
      <c r="A38" s="10" t="str">
        <f>J8</f>
        <v>Hafod 0720</v>
      </c>
      <c r="B38" s="12">
        <v>81</v>
      </c>
      <c r="C38" s="68">
        <f t="shared" si="6"/>
        <v>178.20000000000002</v>
      </c>
      <c r="D38" s="68">
        <f t="shared" si="7"/>
        <v>79.981100999999995</v>
      </c>
      <c r="E38" s="68">
        <f t="shared" si="8"/>
        <v>20.204235000000004</v>
      </c>
      <c r="F38" s="68">
        <f t="shared" si="9"/>
        <v>3.7737738000000007</v>
      </c>
      <c r="G38" s="68">
        <f t="shared" si="5"/>
        <v>1.6199999999999999E-2</v>
      </c>
      <c r="H38" s="68">
        <f t="shared" si="5"/>
        <v>8.7480000000000002E-2</v>
      </c>
      <c r="I38" s="68">
        <f t="shared" si="5"/>
        <v>4.0500000000000001E-2</v>
      </c>
      <c r="J38" s="68">
        <f t="shared" si="5"/>
        <v>8.1000000000000006E-4</v>
      </c>
      <c r="K38" s="68">
        <f t="shared" si="5"/>
        <v>4.0499999999999998E-3</v>
      </c>
      <c r="L38" s="68">
        <f t="shared" si="5"/>
        <v>1.6199999999999999E-2</v>
      </c>
      <c r="M38" s="68">
        <f t="shared" si="5"/>
        <v>1.6199999999999999E-2</v>
      </c>
      <c r="N38" s="68">
        <f t="shared" si="5"/>
        <v>0</v>
      </c>
      <c r="O38" s="68">
        <f t="shared" si="5"/>
        <v>0</v>
      </c>
      <c r="P38" s="68">
        <f t="shared" si="5"/>
        <v>24.056999999999999</v>
      </c>
      <c r="Q38" s="68">
        <f t="shared" si="10"/>
        <v>18.326249999999998</v>
      </c>
      <c r="R38" s="68">
        <f t="shared" si="11"/>
        <v>0</v>
      </c>
      <c r="S38" s="68">
        <f t="shared" si="11"/>
        <v>0</v>
      </c>
      <c r="T38" s="68">
        <f t="shared" si="11"/>
        <v>0</v>
      </c>
      <c r="U38" s="68">
        <f t="shared" si="11"/>
        <v>0</v>
      </c>
    </row>
    <row r="39" spans="1:21" s="51" customFormat="1" ht="13" x14ac:dyDescent="0.35">
      <c r="A39" s="10" t="str">
        <f>K8</f>
        <v>Solafron 2893</v>
      </c>
      <c r="B39" s="12">
        <v>81</v>
      </c>
      <c r="C39" s="68">
        <f t="shared" si="6"/>
        <v>178.20000000000002</v>
      </c>
      <c r="D39" s="68">
        <f t="shared" si="7"/>
        <v>79.981100999999995</v>
      </c>
      <c r="E39" s="68">
        <f t="shared" si="8"/>
        <v>20.204235000000004</v>
      </c>
      <c r="F39" s="68">
        <f t="shared" si="9"/>
        <v>3.7737738000000007</v>
      </c>
      <c r="G39" s="68">
        <f t="shared" si="5"/>
        <v>1.6199999999999999E-2</v>
      </c>
      <c r="H39" s="68">
        <f t="shared" si="5"/>
        <v>8.7480000000000002E-2</v>
      </c>
      <c r="I39" s="68">
        <f t="shared" si="5"/>
        <v>4.0500000000000001E-2</v>
      </c>
      <c r="J39" s="68">
        <f t="shared" si="5"/>
        <v>8.1000000000000006E-4</v>
      </c>
      <c r="K39" s="68">
        <f t="shared" si="5"/>
        <v>4.0499999999999998E-3</v>
      </c>
      <c r="L39" s="68">
        <f t="shared" si="5"/>
        <v>1.6199999999999999E-2</v>
      </c>
      <c r="M39" s="68">
        <f t="shared" si="5"/>
        <v>1.6199999999999999E-2</v>
      </c>
      <c r="N39" s="68">
        <f t="shared" si="5"/>
        <v>0</v>
      </c>
      <c r="O39" s="68">
        <f t="shared" si="5"/>
        <v>0</v>
      </c>
      <c r="P39" s="68">
        <f t="shared" si="5"/>
        <v>24.056999999999999</v>
      </c>
      <c r="Q39" s="68">
        <f t="shared" si="10"/>
        <v>18.326249999999998</v>
      </c>
      <c r="R39" s="68">
        <f t="shared" si="11"/>
        <v>0</v>
      </c>
      <c r="S39" s="68">
        <f t="shared" si="11"/>
        <v>0</v>
      </c>
      <c r="T39" s="68">
        <f t="shared" si="11"/>
        <v>0</v>
      </c>
      <c r="U39" s="68">
        <f t="shared" si="11"/>
        <v>0</v>
      </c>
    </row>
    <row r="40" spans="1:21" s="51" customFormat="1" ht="13" x14ac:dyDescent="0.35">
      <c r="A40" s="10" t="str">
        <f>L8</f>
        <v>Solafron 2611</v>
      </c>
      <c r="B40" s="12">
        <v>81</v>
      </c>
      <c r="C40" s="68">
        <f t="shared" si="6"/>
        <v>178.20000000000002</v>
      </c>
      <c r="D40" s="68">
        <f t="shared" si="7"/>
        <v>79.981100999999995</v>
      </c>
      <c r="E40" s="68">
        <f t="shared" si="8"/>
        <v>20.204235000000004</v>
      </c>
      <c r="F40" s="68">
        <f t="shared" si="9"/>
        <v>3.7737738000000007</v>
      </c>
      <c r="G40" s="68">
        <f t="shared" si="5"/>
        <v>1.6199999999999999E-2</v>
      </c>
      <c r="H40" s="68">
        <f t="shared" si="5"/>
        <v>8.7480000000000002E-2</v>
      </c>
      <c r="I40" s="68">
        <f t="shared" si="5"/>
        <v>4.0500000000000001E-2</v>
      </c>
      <c r="J40" s="68">
        <f t="shared" si="5"/>
        <v>8.1000000000000006E-4</v>
      </c>
      <c r="K40" s="68">
        <f t="shared" si="5"/>
        <v>4.0499999999999998E-3</v>
      </c>
      <c r="L40" s="68">
        <f t="shared" si="5"/>
        <v>1.6199999999999999E-2</v>
      </c>
      <c r="M40" s="68">
        <f t="shared" si="5"/>
        <v>1.6199999999999999E-2</v>
      </c>
      <c r="N40" s="68">
        <f t="shared" si="5"/>
        <v>0</v>
      </c>
      <c r="O40" s="68">
        <f t="shared" si="5"/>
        <v>0</v>
      </c>
      <c r="P40" s="68">
        <f t="shared" si="5"/>
        <v>24.056999999999999</v>
      </c>
      <c r="Q40" s="68">
        <f t="shared" si="10"/>
        <v>18.326249999999998</v>
      </c>
      <c r="R40" s="68">
        <f t="shared" si="11"/>
        <v>0</v>
      </c>
      <c r="S40" s="68">
        <f t="shared" si="11"/>
        <v>0</v>
      </c>
      <c r="T40" s="68">
        <f t="shared" si="11"/>
        <v>0</v>
      </c>
      <c r="U40" s="68">
        <f t="shared" si="11"/>
        <v>0</v>
      </c>
    </row>
    <row r="41" spans="1:21" s="51" customFormat="1" ht="13" x14ac:dyDescent="0.35">
      <c r="A41" s="10" t="str">
        <f>M8</f>
        <v>Solafron 1404</v>
      </c>
      <c r="B41" s="12">
        <v>81</v>
      </c>
      <c r="C41" s="68">
        <f t="shared" si="6"/>
        <v>178.20000000000002</v>
      </c>
      <c r="D41" s="68">
        <f t="shared" si="7"/>
        <v>79.981100999999995</v>
      </c>
      <c r="E41" s="68">
        <f t="shared" si="8"/>
        <v>20.204235000000004</v>
      </c>
      <c r="F41" s="68">
        <f t="shared" si="9"/>
        <v>3.7737738000000007</v>
      </c>
      <c r="G41" s="68">
        <f t="shared" si="5"/>
        <v>1.6199999999999999E-2</v>
      </c>
      <c r="H41" s="68">
        <f t="shared" si="5"/>
        <v>8.7480000000000002E-2</v>
      </c>
      <c r="I41" s="68">
        <f t="shared" si="5"/>
        <v>4.0500000000000001E-2</v>
      </c>
      <c r="J41" s="68">
        <f t="shared" si="5"/>
        <v>8.1000000000000006E-4</v>
      </c>
      <c r="K41" s="68">
        <f t="shared" si="5"/>
        <v>4.0499999999999998E-3</v>
      </c>
      <c r="L41" s="68">
        <f t="shared" si="5"/>
        <v>1.6199999999999999E-2</v>
      </c>
      <c r="M41" s="68">
        <f t="shared" si="5"/>
        <v>1.6199999999999999E-2</v>
      </c>
      <c r="N41" s="68">
        <f t="shared" si="5"/>
        <v>0</v>
      </c>
      <c r="O41" s="68">
        <f t="shared" si="5"/>
        <v>0</v>
      </c>
      <c r="P41" s="68">
        <f t="shared" si="5"/>
        <v>24.056999999999999</v>
      </c>
      <c r="Q41" s="68">
        <f t="shared" si="10"/>
        <v>18.326249999999998</v>
      </c>
      <c r="R41" s="68">
        <f t="shared" si="11"/>
        <v>0</v>
      </c>
      <c r="S41" s="68">
        <f t="shared" si="11"/>
        <v>0</v>
      </c>
      <c r="T41" s="68">
        <f t="shared" si="11"/>
        <v>0</v>
      </c>
      <c r="U41" s="68">
        <f t="shared" si="11"/>
        <v>0</v>
      </c>
    </row>
    <row r="42" spans="1:21" s="51" customFormat="1" ht="13" x14ac:dyDescent="0.35">
      <c r="A42" s="10">
        <f>N8</f>
        <v>0</v>
      </c>
      <c r="B42" s="12"/>
      <c r="C42" s="68">
        <f t="shared" si="6"/>
        <v>0</v>
      </c>
      <c r="D42" s="68">
        <f t="shared" si="7"/>
        <v>0</v>
      </c>
      <c r="E42" s="68">
        <f t="shared" si="8"/>
        <v>0</v>
      </c>
      <c r="F42" s="68">
        <f t="shared" si="9"/>
        <v>0</v>
      </c>
      <c r="G42" s="68">
        <f t="shared" si="5"/>
        <v>0</v>
      </c>
      <c r="H42" s="68">
        <f t="shared" si="5"/>
        <v>0</v>
      </c>
      <c r="I42" s="68">
        <f t="shared" si="5"/>
        <v>0</v>
      </c>
      <c r="J42" s="68">
        <f t="shared" si="5"/>
        <v>0</v>
      </c>
      <c r="K42" s="68">
        <f t="shared" si="5"/>
        <v>0</v>
      </c>
      <c r="L42" s="68">
        <f t="shared" si="5"/>
        <v>0</v>
      </c>
      <c r="M42" s="68">
        <f t="shared" si="5"/>
        <v>0</v>
      </c>
      <c r="N42" s="68">
        <f t="shared" si="5"/>
        <v>0</v>
      </c>
      <c r="O42" s="68">
        <f t="shared" si="5"/>
        <v>0</v>
      </c>
      <c r="P42" s="68">
        <f t="shared" si="5"/>
        <v>0</v>
      </c>
      <c r="Q42" s="68">
        <f t="shared" si="10"/>
        <v>0</v>
      </c>
      <c r="R42" s="68">
        <f t="shared" si="11"/>
        <v>0</v>
      </c>
      <c r="S42" s="68">
        <f t="shared" si="11"/>
        <v>0</v>
      </c>
      <c r="T42" s="68">
        <f t="shared" si="11"/>
        <v>0</v>
      </c>
      <c r="U42" s="68">
        <f t="shared" si="11"/>
        <v>0</v>
      </c>
    </row>
    <row r="43" spans="1:21" s="51" customFormat="1" ht="13" x14ac:dyDescent="0.35">
      <c r="A43" s="10">
        <f>O8</f>
        <v>0</v>
      </c>
      <c r="B43" s="12"/>
      <c r="C43" s="68">
        <f t="shared" si="6"/>
        <v>0</v>
      </c>
      <c r="D43" s="68">
        <f t="shared" si="7"/>
        <v>0</v>
      </c>
      <c r="E43" s="68">
        <f t="shared" si="8"/>
        <v>0</v>
      </c>
      <c r="F43" s="68">
        <f t="shared" si="9"/>
        <v>0</v>
      </c>
      <c r="G43" s="68">
        <f t="shared" si="5"/>
        <v>0</v>
      </c>
      <c r="H43" s="68">
        <f t="shared" si="5"/>
        <v>0</v>
      </c>
      <c r="I43" s="68">
        <f t="shared" si="5"/>
        <v>0</v>
      </c>
      <c r="J43" s="68">
        <f t="shared" si="5"/>
        <v>0</v>
      </c>
      <c r="K43" s="68">
        <f t="shared" si="5"/>
        <v>0</v>
      </c>
      <c r="L43" s="68">
        <f t="shared" si="5"/>
        <v>0</v>
      </c>
      <c r="M43" s="68">
        <f t="shared" si="5"/>
        <v>0</v>
      </c>
      <c r="N43" s="68">
        <f t="shared" si="5"/>
        <v>0</v>
      </c>
      <c r="O43" s="68">
        <f t="shared" si="5"/>
        <v>0</v>
      </c>
      <c r="P43" s="68">
        <f t="shared" si="5"/>
        <v>0</v>
      </c>
      <c r="Q43" s="68">
        <f t="shared" si="10"/>
        <v>0</v>
      </c>
      <c r="R43" s="68">
        <f t="shared" si="11"/>
        <v>0</v>
      </c>
      <c r="S43" s="68">
        <f t="shared" si="11"/>
        <v>0</v>
      </c>
      <c r="T43" s="68">
        <f t="shared" si="11"/>
        <v>0</v>
      </c>
      <c r="U43" s="68">
        <f t="shared" si="11"/>
        <v>0</v>
      </c>
    </row>
    <row r="44" spans="1:21" s="51" customFormat="1" ht="13" x14ac:dyDescent="0.35">
      <c r="A44" s="10">
        <f>P8</f>
        <v>0</v>
      </c>
      <c r="B44" s="12"/>
      <c r="C44" s="68">
        <f t="shared" si="6"/>
        <v>0</v>
      </c>
      <c r="D44" s="68">
        <f t="shared" si="7"/>
        <v>0</v>
      </c>
      <c r="E44" s="68">
        <f t="shared" si="8"/>
        <v>0</v>
      </c>
      <c r="F44" s="68">
        <f t="shared" si="9"/>
        <v>0</v>
      </c>
      <c r="G44" s="68">
        <f t="shared" si="5"/>
        <v>0</v>
      </c>
      <c r="H44" s="68">
        <f t="shared" si="5"/>
        <v>0</v>
      </c>
      <c r="I44" s="68">
        <f t="shared" si="5"/>
        <v>0</v>
      </c>
      <c r="J44" s="68">
        <f t="shared" si="5"/>
        <v>0</v>
      </c>
      <c r="K44" s="68">
        <f t="shared" si="5"/>
        <v>0</v>
      </c>
      <c r="L44" s="68">
        <f t="shared" si="5"/>
        <v>0</v>
      </c>
      <c r="M44" s="68">
        <f t="shared" si="5"/>
        <v>0</v>
      </c>
      <c r="N44" s="68">
        <f t="shared" si="5"/>
        <v>0</v>
      </c>
      <c r="O44" s="68">
        <f t="shared" si="5"/>
        <v>0</v>
      </c>
      <c r="P44" s="68">
        <f t="shared" si="5"/>
        <v>0</v>
      </c>
      <c r="Q44" s="68">
        <f t="shared" si="10"/>
        <v>0</v>
      </c>
      <c r="R44" s="68">
        <f t="shared" si="11"/>
        <v>0</v>
      </c>
      <c r="S44" s="68">
        <f t="shared" si="11"/>
        <v>0</v>
      </c>
      <c r="T44" s="68">
        <f t="shared" si="11"/>
        <v>0</v>
      </c>
      <c r="U44" s="68">
        <f t="shared" si="11"/>
        <v>0</v>
      </c>
    </row>
    <row r="45" spans="1:21" s="51" customFormat="1" ht="13" x14ac:dyDescent="0.35">
      <c r="A45" s="10">
        <f>Q8</f>
        <v>0</v>
      </c>
      <c r="B45" s="12"/>
      <c r="C45" s="68">
        <f t="shared" si="6"/>
        <v>0</v>
      </c>
      <c r="D45" s="68">
        <f t="shared" si="7"/>
        <v>0</v>
      </c>
      <c r="E45" s="68">
        <f t="shared" si="8"/>
        <v>0</v>
      </c>
      <c r="F45" s="68">
        <f t="shared" si="9"/>
        <v>0</v>
      </c>
      <c r="G45" s="68">
        <f t="shared" si="5"/>
        <v>0</v>
      </c>
      <c r="H45" s="68">
        <f t="shared" si="5"/>
        <v>0</v>
      </c>
      <c r="I45" s="68">
        <f t="shared" si="5"/>
        <v>0</v>
      </c>
      <c r="J45" s="68">
        <f t="shared" si="5"/>
        <v>0</v>
      </c>
      <c r="K45" s="68">
        <f t="shared" si="5"/>
        <v>0</v>
      </c>
      <c r="L45" s="68">
        <f t="shared" si="5"/>
        <v>0</v>
      </c>
      <c r="M45" s="68">
        <f t="shared" si="5"/>
        <v>0</v>
      </c>
      <c r="N45" s="68">
        <f t="shared" si="5"/>
        <v>0</v>
      </c>
      <c r="O45" s="68">
        <f t="shared" si="5"/>
        <v>0</v>
      </c>
      <c r="P45" s="68">
        <f t="shared" si="5"/>
        <v>0</v>
      </c>
      <c r="Q45" s="68">
        <f t="shared" si="10"/>
        <v>0</v>
      </c>
      <c r="R45" s="68">
        <f t="shared" si="11"/>
        <v>0</v>
      </c>
      <c r="S45" s="68">
        <f t="shared" si="11"/>
        <v>0</v>
      </c>
      <c r="T45" s="68">
        <f t="shared" si="11"/>
        <v>0</v>
      </c>
      <c r="U45" s="68">
        <f t="shared" si="11"/>
        <v>0</v>
      </c>
    </row>
    <row r="46" spans="1:21" s="51" customFormat="1" ht="13" x14ac:dyDescent="0.35">
      <c r="A46" s="10">
        <f>R8</f>
        <v>0</v>
      </c>
      <c r="B46" s="12"/>
      <c r="C46" s="68">
        <f t="shared" si="6"/>
        <v>0</v>
      </c>
      <c r="D46" s="68">
        <f t="shared" si="7"/>
        <v>0</v>
      </c>
      <c r="E46" s="68">
        <f t="shared" si="8"/>
        <v>0</v>
      </c>
      <c r="F46" s="68">
        <f t="shared" si="9"/>
        <v>0</v>
      </c>
      <c r="G46" s="68">
        <f t="shared" si="5"/>
        <v>0</v>
      </c>
      <c r="H46" s="68">
        <f t="shared" si="5"/>
        <v>0</v>
      </c>
      <c r="I46" s="68">
        <f t="shared" si="5"/>
        <v>0</v>
      </c>
      <c r="J46" s="68">
        <f t="shared" si="5"/>
        <v>0</v>
      </c>
      <c r="K46" s="68">
        <f t="shared" si="5"/>
        <v>0</v>
      </c>
      <c r="L46" s="68">
        <f t="shared" si="5"/>
        <v>0</v>
      </c>
      <c r="M46" s="68">
        <f t="shared" si="5"/>
        <v>0</v>
      </c>
      <c r="N46" s="68">
        <f t="shared" si="5"/>
        <v>0</v>
      </c>
      <c r="O46" s="68">
        <f t="shared" si="5"/>
        <v>0</v>
      </c>
      <c r="P46" s="68">
        <f t="shared" si="5"/>
        <v>0</v>
      </c>
      <c r="Q46" s="68">
        <f t="shared" si="10"/>
        <v>0</v>
      </c>
      <c r="R46" s="68">
        <f t="shared" si="11"/>
        <v>0</v>
      </c>
      <c r="S46" s="68">
        <f t="shared" si="11"/>
        <v>0</v>
      </c>
      <c r="T46" s="68">
        <f t="shared" si="11"/>
        <v>0</v>
      </c>
      <c r="U46" s="68">
        <f t="shared" si="11"/>
        <v>0</v>
      </c>
    </row>
    <row r="47" spans="1:21" s="51" customFormat="1" ht="13" x14ac:dyDescent="0.35">
      <c r="A47" s="10">
        <f>S8</f>
        <v>0</v>
      </c>
      <c r="B47" s="12"/>
      <c r="C47" s="68">
        <f t="shared" si="6"/>
        <v>0</v>
      </c>
      <c r="D47" s="68">
        <f t="shared" si="7"/>
        <v>0</v>
      </c>
      <c r="E47" s="68">
        <f t="shared" si="8"/>
        <v>0</v>
      </c>
      <c r="F47" s="68">
        <f t="shared" si="9"/>
        <v>0</v>
      </c>
      <c r="G47" s="68">
        <f t="shared" ref="G47:P50" si="12">IF(G$27="%w/w SAR",((G$28*10)*$B47),IF(G$27="%w/w DM",(((G$28*10)*($B$28/100))*$B47),IF(G$27="kg/t SAR",(G$28*$B47),IF(G$27="kg/t DM",((G$28*($B$28/100))*$B47),IF(G$27="mg/kg SAR",((G$28*0.001)*$B47),IF(G$27="mg/kg DM",(((G$28*0.001)*($B$28/100))*$B47),0))))))</f>
        <v>0</v>
      </c>
      <c r="H47" s="68">
        <f t="shared" si="12"/>
        <v>0</v>
      </c>
      <c r="I47" s="68">
        <f t="shared" si="12"/>
        <v>0</v>
      </c>
      <c r="J47" s="68">
        <f t="shared" si="12"/>
        <v>0</v>
      </c>
      <c r="K47" s="68">
        <f t="shared" si="12"/>
        <v>0</v>
      </c>
      <c r="L47" s="68">
        <f t="shared" si="12"/>
        <v>0</v>
      </c>
      <c r="M47" s="68">
        <f t="shared" si="12"/>
        <v>0</v>
      </c>
      <c r="N47" s="68">
        <f t="shared" si="12"/>
        <v>0</v>
      </c>
      <c r="O47" s="68">
        <f t="shared" si="12"/>
        <v>0</v>
      </c>
      <c r="P47" s="68">
        <f t="shared" si="12"/>
        <v>0</v>
      </c>
      <c r="Q47" s="68">
        <f t="shared" si="10"/>
        <v>0</v>
      </c>
      <c r="R47" s="68">
        <f t="shared" si="11"/>
        <v>0</v>
      </c>
      <c r="S47" s="68">
        <f t="shared" si="11"/>
        <v>0</v>
      </c>
      <c r="T47" s="68">
        <f t="shared" si="11"/>
        <v>0</v>
      </c>
      <c r="U47" s="68">
        <f t="shared" si="11"/>
        <v>0</v>
      </c>
    </row>
    <row r="48" spans="1:21" s="51" customFormat="1" ht="13" x14ac:dyDescent="0.35">
      <c r="A48" s="10">
        <f>T8</f>
        <v>0</v>
      </c>
      <c r="B48" s="12"/>
      <c r="C48" s="68">
        <f t="shared" si="6"/>
        <v>0</v>
      </c>
      <c r="D48" s="68">
        <f t="shared" si="7"/>
        <v>0</v>
      </c>
      <c r="E48" s="68">
        <f t="shared" si="8"/>
        <v>0</v>
      </c>
      <c r="F48" s="68">
        <f t="shared" si="9"/>
        <v>0</v>
      </c>
      <c r="G48" s="68">
        <f t="shared" si="12"/>
        <v>0</v>
      </c>
      <c r="H48" s="68">
        <f t="shared" si="12"/>
        <v>0</v>
      </c>
      <c r="I48" s="68">
        <f t="shared" si="12"/>
        <v>0</v>
      </c>
      <c r="J48" s="68">
        <f t="shared" si="12"/>
        <v>0</v>
      </c>
      <c r="K48" s="68">
        <f t="shared" si="12"/>
        <v>0</v>
      </c>
      <c r="L48" s="68">
        <f t="shared" si="12"/>
        <v>0</v>
      </c>
      <c r="M48" s="68">
        <f t="shared" si="12"/>
        <v>0</v>
      </c>
      <c r="N48" s="68">
        <f t="shared" si="12"/>
        <v>0</v>
      </c>
      <c r="O48" s="68">
        <f t="shared" si="12"/>
        <v>0</v>
      </c>
      <c r="P48" s="68">
        <f t="shared" si="12"/>
        <v>0</v>
      </c>
      <c r="Q48" s="68">
        <f t="shared" si="10"/>
        <v>0</v>
      </c>
      <c r="R48" s="68">
        <f t="shared" si="11"/>
        <v>0</v>
      </c>
      <c r="S48" s="68">
        <f t="shared" si="11"/>
        <v>0</v>
      </c>
      <c r="T48" s="68">
        <f t="shared" si="11"/>
        <v>0</v>
      </c>
      <c r="U48" s="68">
        <f t="shared" si="11"/>
        <v>0</v>
      </c>
    </row>
    <row r="49" spans="1:21" s="51" customFormat="1" ht="13" x14ac:dyDescent="0.35">
      <c r="A49" s="10">
        <f>U8</f>
        <v>0</v>
      </c>
      <c r="B49" s="12"/>
      <c r="C49" s="68">
        <f t="shared" si="6"/>
        <v>0</v>
      </c>
      <c r="D49" s="68">
        <f t="shared" si="7"/>
        <v>0</v>
      </c>
      <c r="E49" s="68">
        <f t="shared" si="8"/>
        <v>0</v>
      </c>
      <c r="F49" s="68">
        <f t="shared" si="9"/>
        <v>0</v>
      </c>
      <c r="G49" s="68">
        <f t="shared" si="12"/>
        <v>0</v>
      </c>
      <c r="H49" s="68">
        <f t="shared" si="12"/>
        <v>0</v>
      </c>
      <c r="I49" s="68">
        <f t="shared" si="12"/>
        <v>0</v>
      </c>
      <c r="J49" s="68">
        <f t="shared" si="12"/>
        <v>0</v>
      </c>
      <c r="K49" s="68">
        <f t="shared" si="12"/>
        <v>0</v>
      </c>
      <c r="L49" s="68">
        <f t="shared" si="12"/>
        <v>0</v>
      </c>
      <c r="M49" s="68">
        <f t="shared" si="12"/>
        <v>0</v>
      </c>
      <c r="N49" s="68">
        <f t="shared" si="12"/>
        <v>0</v>
      </c>
      <c r="O49" s="68">
        <f t="shared" si="12"/>
        <v>0</v>
      </c>
      <c r="P49" s="68">
        <f t="shared" si="12"/>
        <v>0</v>
      </c>
      <c r="Q49" s="68">
        <f t="shared" si="10"/>
        <v>0</v>
      </c>
      <c r="R49" s="68">
        <f t="shared" si="11"/>
        <v>0</v>
      </c>
      <c r="S49" s="68">
        <f t="shared" si="11"/>
        <v>0</v>
      </c>
      <c r="T49" s="68">
        <f t="shared" si="11"/>
        <v>0</v>
      </c>
      <c r="U49" s="68">
        <f t="shared" si="11"/>
        <v>0</v>
      </c>
    </row>
    <row r="50" spans="1:21" s="51" customFormat="1" ht="13.5" thickBot="1" x14ac:dyDescent="0.4">
      <c r="A50" s="11">
        <f>V8</f>
        <v>0</v>
      </c>
      <c r="B50" s="12"/>
      <c r="C50" s="87">
        <f t="shared" si="6"/>
        <v>0</v>
      </c>
      <c r="D50" s="87">
        <f t="shared" si="7"/>
        <v>0</v>
      </c>
      <c r="E50" s="87">
        <f t="shared" si="8"/>
        <v>0</v>
      </c>
      <c r="F50" s="87">
        <f t="shared" si="9"/>
        <v>0</v>
      </c>
      <c r="G50" s="87">
        <f t="shared" si="12"/>
        <v>0</v>
      </c>
      <c r="H50" s="87">
        <f t="shared" si="12"/>
        <v>0</v>
      </c>
      <c r="I50" s="87">
        <f t="shared" si="12"/>
        <v>0</v>
      </c>
      <c r="J50" s="87">
        <f t="shared" si="12"/>
        <v>0</v>
      </c>
      <c r="K50" s="87">
        <f t="shared" si="12"/>
        <v>0</v>
      </c>
      <c r="L50" s="87">
        <f t="shared" si="12"/>
        <v>0</v>
      </c>
      <c r="M50" s="87">
        <f t="shared" si="12"/>
        <v>0</v>
      </c>
      <c r="N50" s="87">
        <f t="shared" si="12"/>
        <v>0</v>
      </c>
      <c r="O50" s="87">
        <f t="shared" si="12"/>
        <v>0</v>
      </c>
      <c r="P50" s="87">
        <f t="shared" si="12"/>
        <v>0</v>
      </c>
      <c r="Q50" s="87">
        <f t="shared" si="10"/>
        <v>0</v>
      </c>
      <c r="R50" s="87">
        <f t="shared" si="11"/>
        <v>0</v>
      </c>
      <c r="S50" s="87">
        <f t="shared" si="11"/>
        <v>0</v>
      </c>
      <c r="T50" s="87">
        <f t="shared" si="11"/>
        <v>0</v>
      </c>
      <c r="U50" s="87">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5">
        <v>20</v>
      </c>
    </row>
    <row r="53" spans="1:21" ht="13" x14ac:dyDescent="0.35">
      <c r="A53" s="7" t="s">
        <v>130</v>
      </c>
    </row>
    <row r="54" spans="1:21" ht="26" x14ac:dyDescent="0.3">
      <c r="A54" s="98"/>
      <c r="B54" s="102" t="s">
        <v>149</v>
      </c>
      <c r="C54" s="102" t="s">
        <v>150</v>
      </c>
      <c r="D54" s="102" t="s">
        <v>127</v>
      </c>
      <c r="E54" s="102" t="s">
        <v>128</v>
      </c>
      <c r="F54" s="102" t="s">
        <v>151</v>
      </c>
      <c r="G54" s="102" t="s">
        <v>129</v>
      </c>
      <c r="H54" s="51"/>
      <c r="I54" s="51"/>
      <c r="J54" s="51"/>
      <c r="K54" s="51"/>
      <c r="L54" s="51"/>
      <c r="M54" s="51"/>
      <c r="N54" s="51"/>
      <c r="O54" s="51"/>
      <c r="P54" s="51"/>
      <c r="Q54" s="51"/>
      <c r="R54" s="51"/>
      <c r="S54" s="51"/>
      <c r="T54" s="51"/>
      <c r="U54" s="51"/>
    </row>
    <row r="55" spans="1:21" x14ac:dyDescent="0.25">
      <c r="A55" s="99"/>
      <c r="B55" s="103"/>
      <c r="C55" s="104"/>
      <c r="D55" s="105">
        <f>(B55/100)*C55</f>
        <v>0</v>
      </c>
      <c r="E55" s="105">
        <f>G55</f>
        <v>0</v>
      </c>
      <c r="F55" s="104"/>
      <c r="G55" s="105">
        <f>(B55/100)*F55</f>
        <v>0</v>
      </c>
      <c r="H55" s="51"/>
      <c r="I55" s="51"/>
      <c r="J55" s="51"/>
      <c r="K55" s="51"/>
      <c r="L55" s="51"/>
      <c r="M55" s="51"/>
      <c r="N55" s="51"/>
      <c r="O55" s="51"/>
      <c r="P55" s="51"/>
      <c r="Q55" s="51"/>
      <c r="R55" s="51"/>
      <c r="S55" s="51"/>
      <c r="T55" s="51"/>
      <c r="U55" s="51"/>
    </row>
    <row r="56" spans="1:21" ht="13" x14ac:dyDescent="0.3">
      <c r="A56" s="82" t="s">
        <v>63</v>
      </c>
      <c r="B56" s="8">
        <v>1</v>
      </c>
      <c r="C56" s="64">
        <v>2</v>
      </c>
      <c r="D56" s="65">
        <v>3</v>
      </c>
      <c r="E56" s="65">
        <v>4</v>
      </c>
      <c r="F56" s="64">
        <v>5</v>
      </c>
      <c r="G56" s="65">
        <v>6</v>
      </c>
      <c r="H56" s="66">
        <v>7</v>
      </c>
      <c r="I56" s="66">
        <v>8</v>
      </c>
      <c r="J56" s="66">
        <v>9</v>
      </c>
      <c r="K56" s="64">
        <v>10</v>
      </c>
      <c r="L56" s="64">
        <v>11</v>
      </c>
      <c r="M56" s="65">
        <v>12</v>
      </c>
      <c r="N56" s="65">
        <v>13</v>
      </c>
      <c r="O56" s="64">
        <v>14</v>
      </c>
      <c r="P56" s="65">
        <v>15</v>
      </c>
      <c r="Q56" s="66">
        <v>16</v>
      </c>
      <c r="R56" s="66">
        <v>17</v>
      </c>
      <c r="S56" s="66">
        <v>18</v>
      </c>
      <c r="T56" s="64">
        <v>19</v>
      </c>
      <c r="U56" s="64">
        <v>20</v>
      </c>
    </row>
    <row r="57" spans="1:21" ht="13" x14ac:dyDescent="0.35">
      <c r="A57" s="82" t="s">
        <v>2</v>
      </c>
      <c r="B57" s="8" t="str">
        <f>C8</f>
        <v>Nant Y Croi 9</v>
      </c>
      <c r="C57" s="8" t="str">
        <f t="shared" ref="C57:U57" si="13">D8</f>
        <v>Hafod 4315</v>
      </c>
      <c r="D57" s="8" t="str">
        <f t="shared" si="13"/>
        <v>Hafod 4734</v>
      </c>
      <c r="E57" s="8" t="str">
        <f t="shared" si="13"/>
        <v>Hafod 5761</v>
      </c>
      <c r="F57" s="8" t="str">
        <f t="shared" si="13"/>
        <v>Hafod 4067</v>
      </c>
      <c r="G57" s="8" t="str">
        <f t="shared" si="13"/>
        <v>Hafod 2455</v>
      </c>
      <c r="H57" s="8" t="str">
        <f t="shared" si="13"/>
        <v>Hafod 1741</v>
      </c>
      <c r="I57" s="8" t="str">
        <f t="shared" si="13"/>
        <v>Hafod 0720</v>
      </c>
      <c r="J57" s="8" t="str">
        <f t="shared" si="13"/>
        <v>Solafron 2893</v>
      </c>
      <c r="K57" s="8" t="str">
        <f t="shared" si="13"/>
        <v>Solafron 2611</v>
      </c>
      <c r="L57" s="8" t="str">
        <f t="shared" si="13"/>
        <v>Solafron 1404</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82" t="s">
        <v>136</v>
      </c>
      <c r="B58" s="10" t="str">
        <f>C16&amp;" I "&amp;(VLOOKUP(C14,Table245[],6,FALSE))</f>
        <v>Medium/Clay I Grass</v>
      </c>
      <c r="C58" s="10" t="str">
        <f>D16&amp;" I "&amp;(VLOOKUP(D14,Table245[],6,FALSE))</f>
        <v>Medium/Clay I Grass</v>
      </c>
      <c r="D58" s="10" t="str">
        <f>E16&amp;" I "&amp;(VLOOKUP(E14,Table245[],6,FALSE))</f>
        <v>Medium/Clay I Grass</v>
      </c>
      <c r="E58" s="10" t="str">
        <f>F16&amp;" I "&amp;(VLOOKUP(F14,Table245[],6,FALSE))</f>
        <v>Medium/Clay I Grass</v>
      </c>
      <c r="F58" s="10" t="str">
        <f>G16&amp;" I "&amp;(VLOOKUP(G14,Table245[],6,FALSE))</f>
        <v>Medium/Clay I Grass</v>
      </c>
      <c r="G58" s="10" t="str">
        <f>H16&amp;" I "&amp;(VLOOKUP(H14,Table245[],6,FALSE))</f>
        <v>Medium/Clay I Grass</v>
      </c>
      <c r="H58" s="10" t="str">
        <f>I16&amp;" I "&amp;(VLOOKUP(I14,Table245[],6,FALSE))</f>
        <v>Medium/Clay I Grass</v>
      </c>
      <c r="I58" s="10" t="str">
        <f>J16&amp;" I "&amp;(VLOOKUP(J14,Table245[],6,FALSE))</f>
        <v>Medium/Clay I Grass</v>
      </c>
      <c r="J58" s="10" t="str">
        <f>K16&amp;" I "&amp;(VLOOKUP(K14,Table245[],6,FALSE))</f>
        <v>Medium/Clay I Grass</v>
      </c>
      <c r="K58" s="10" t="str">
        <f>L16&amp;" I "&amp;(VLOOKUP(L14,Table245[],6,FALSE))</f>
        <v>Medium/Clay I Grass</v>
      </c>
      <c r="L58" s="10" t="str">
        <f>M16&amp;" I "&amp;(VLOOKUP(M14,Table245[],6,FALSE))</f>
        <v>Medium/Clay I Grass</v>
      </c>
      <c r="M58" s="10" t="e">
        <f>N16&amp;" I "&amp;(VLOOKUP(N14,Table245[],6,FALSE))</f>
        <v>#N/A</v>
      </c>
      <c r="N58" s="10" t="e">
        <f>O16&amp;" I "&amp;(VLOOKUP(O14,Table245[],6,FALSE))</f>
        <v>#N/A</v>
      </c>
      <c r="O58" s="10" t="e">
        <f>P16&amp;" I "&amp;(VLOOKUP(P14,Table245[],6,FALSE))</f>
        <v>#N/A</v>
      </c>
      <c r="P58" s="10" t="e">
        <f>Q16&amp;" I "&amp;(VLOOKUP(Q14,Table245[],6,FALSE))</f>
        <v>#N/A</v>
      </c>
      <c r="Q58" s="10" t="e">
        <f>R16&amp;" I "&amp;(VLOOKUP(R14,Table245[],6,FALSE))</f>
        <v>#N/A</v>
      </c>
      <c r="R58" s="10" t="e">
        <f>S16&amp;" I "&amp;(VLOOKUP(S14,Table245[],6,FALSE))</f>
        <v>#N/A</v>
      </c>
      <c r="S58" s="10" t="e">
        <f>T16&amp;" I "&amp;(VLOOKUP(T14,Table245[],6,FALSE))</f>
        <v>#N/A</v>
      </c>
      <c r="T58" s="10" t="e">
        <f>U16&amp;" I "&amp;(VLOOKUP(U14,Table245[],6,FALSE))</f>
        <v>#N/A</v>
      </c>
      <c r="U58" s="10" t="e">
        <f>V16&amp;" I "&amp;(VLOOKUP(V14,Table245[],6,FALSE))</f>
        <v>#N/A</v>
      </c>
    </row>
    <row r="59" spans="1:21" ht="13" x14ac:dyDescent="0.3">
      <c r="A59" s="100" t="s">
        <v>132</v>
      </c>
      <c r="B59" s="67">
        <f>VLOOKUP(C$14,Table245[],5,FALSE)</f>
        <v>6.2</v>
      </c>
      <c r="C59" s="67">
        <f>VLOOKUP(D$14,Table245[],5,FALSE)</f>
        <v>6.2</v>
      </c>
      <c r="D59" s="67">
        <f>VLOOKUP(E$14,Table245[],5,FALSE)</f>
        <v>6.2</v>
      </c>
      <c r="E59" s="67">
        <f>VLOOKUP(F$14,Table245[],5,FALSE)</f>
        <v>6.2</v>
      </c>
      <c r="F59" s="67">
        <f>VLOOKUP(G$14,Table245[],5,FALSE)</f>
        <v>6.2</v>
      </c>
      <c r="G59" s="67">
        <f>VLOOKUP(H$14,Table245[],5,FALSE)</f>
        <v>6.2</v>
      </c>
      <c r="H59" s="67">
        <f>VLOOKUP(I$14,Table245[],5,FALSE)</f>
        <v>6.2</v>
      </c>
      <c r="I59" s="67">
        <f>VLOOKUP(J$14,Table245[],5,FALSE)</f>
        <v>6.2</v>
      </c>
      <c r="J59" s="67">
        <f>VLOOKUP(K$14,Table245[],5,FALSE)</f>
        <v>6.2</v>
      </c>
      <c r="K59" s="67">
        <f>VLOOKUP(L$14,Table245[],5,FALSE)</f>
        <v>6.2</v>
      </c>
      <c r="L59" s="67">
        <f>VLOOKUP(M$14,Table245[],5,FALSE)</f>
        <v>6.2</v>
      </c>
      <c r="M59" s="67" t="e">
        <f>VLOOKUP(N$14,Table245[],5,FALSE)</f>
        <v>#N/A</v>
      </c>
      <c r="N59" s="67" t="e">
        <f>VLOOKUP(O$14,Table245[],5,FALSE)</f>
        <v>#N/A</v>
      </c>
      <c r="O59" s="67" t="e">
        <f>VLOOKUP(P$14,Table245[],5,FALSE)</f>
        <v>#N/A</v>
      </c>
      <c r="P59" s="67" t="e">
        <f>VLOOKUP(Q$14,Table245[],5,FALSE)</f>
        <v>#N/A</v>
      </c>
      <c r="Q59" s="67" t="e">
        <f>VLOOKUP(R$14,Table245[],5,FALSE)</f>
        <v>#N/A</v>
      </c>
      <c r="R59" s="67" t="e">
        <f>VLOOKUP(S$14,Table245[],5,FALSE)</f>
        <v>#N/A</v>
      </c>
      <c r="S59" s="67" t="e">
        <f>VLOOKUP(T$14,Table245[],5,FALSE)</f>
        <v>#N/A</v>
      </c>
      <c r="T59" s="67" t="e">
        <f>VLOOKUP(U$14,Table245[],5,FALSE)</f>
        <v>#N/A</v>
      </c>
      <c r="U59" s="67" t="e">
        <f>VLOOKUP(V$14,Table245[],5,FALSE)</f>
        <v>#N/A</v>
      </c>
    </row>
    <row r="60" spans="1:21" ht="13" x14ac:dyDescent="0.3">
      <c r="A60" s="100" t="s">
        <v>4</v>
      </c>
      <c r="B60" s="67">
        <f>C10</f>
        <v>5.4</v>
      </c>
      <c r="C60" s="67">
        <f t="shared" ref="C60:U60" si="14">D10</f>
        <v>6.3</v>
      </c>
      <c r="D60" s="67">
        <f t="shared" si="14"/>
        <v>6.3</v>
      </c>
      <c r="E60" s="67">
        <f t="shared" si="14"/>
        <v>6.2</v>
      </c>
      <c r="F60" s="67">
        <f t="shared" si="14"/>
        <v>6.2</v>
      </c>
      <c r="G60" s="67">
        <f t="shared" si="14"/>
        <v>6.3</v>
      </c>
      <c r="H60" s="67">
        <f t="shared" si="14"/>
        <v>6.3</v>
      </c>
      <c r="I60" s="67">
        <f t="shared" si="14"/>
        <v>6.2</v>
      </c>
      <c r="J60" s="67">
        <f t="shared" si="14"/>
        <v>6.3</v>
      </c>
      <c r="K60" s="67">
        <f t="shared" si="14"/>
        <v>6.3</v>
      </c>
      <c r="L60" s="67">
        <f t="shared" si="14"/>
        <v>6.3</v>
      </c>
      <c r="M60" s="67">
        <f t="shared" si="14"/>
        <v>0</v>
      </c>
      <c r="N60" s="67">
        <f t="shared" si="14"/>
        <v>0</v>
      </c>
      <c r="O60" s="67">
        <f t="shared" si="14"/>
        <v>0</v>
      </c>
      <c r="P60" s="67">
        <f t="shared" si="14"/>
        <v>0</v>
      </c>
      <c r="Q60" s="67">
        <f t="shared" si="14"/>
        <v>0</v>
      </c>
      <c r="R60" s="67">
        <f t="shared" si="14"/>
        <v>0</v>
      </c>
      <c r="S60" s="67">
        <f t="shared" si="14"/>
        <v>0</v>
      </c>
      <c r="T60" s="67">
        <f t="shared" si="14"/>
        <v>0</v>
      </c>
      <c r="U60" s="67">
        <f t="shared" si="14"/>
        <v>0</v>
      </c>
    </row>
    <row r="61" spans="1:21" ht="13" x14ac:dyDescent="0.3">
      <c r="A61" s="100" t="s">
        <v>133</v>
      </c>
      <c r="B61" s="67">
        <f t="shared" ref="B61:U61" si="15">VLOOKUP(B58,$AD9:$AE18,2,FALSE)</f>
        <v>6</v>
      </c>
      <c r="C61" s="67">
        <f t="shared" si="15"/>
        <v>6</v>
      </c>
      <c r="D61" s="67">
        <f t="shared" si="15"/>
        <v>6</v>
      </c>
      <c r="E61" s="67">
        <f t="shared" si="15"/>
        <v>6</v>
      </c>
      <c r="F61" s="67">
        <f t="shared" si="15"/>
        <v>6</v>
      </c>
      <c r="G61" s="67">
        <f t="shared" si="15"/>
        <v>6</v>
      </c>
      <c r="H61" s="67">
        <f t="shared" si="15"/>
        <v>6</v>
      </c>
      <c r="I61" s="67">
        <f t="shared" si="15"/>
        <v>6</v>
      </c>
      <c r="J61" s="67">
        <f t="shared" si="15"/>
        <v>6</v>
      </c>
      <c r="K61" s="67">
        <f t="shared" si="15"/>
        <v>6</v>
      </c>
      <c r="L61" s="67">
        <f t="shared" si="15"/>
        <v>6</v>
      </c>
      <c r="M61" s="67" t="e">
        <f t="shared" si="15"/>
        <v>#N/A</v>
      </c>
      <c r="N61" s="67" t="e">
        <f t="shared" si="15"/>
        <v>#N/A</v>
      </c>
      <c r="O61" s="67" t="e">
        <f t="shared" si="15"/>
        <v>#N/A</v>
      </c>
      <c r="P61" s="67" t="e">
        <f t="shared" si="15"/>
        <v>#N/A</v>
      </c>
      <c r="Q61" s="67" t="e">
        <f t="shared" si="15"/>
        <v>#N/A</v>
      </c>
      <c r="R61" s="67" t="e">
        <f t="shared" si="15"/>
        <v>#N/A</v>
      </c>
      <c r="S61" s="67" t="e">
        <f t="shared" si="15"/>
        <v>#N/A</v>
      </c>
      <c r="T61" s="67" t="e">
        <f t="shared" si="15"/>
        <v>#N/A</v>
      </c>
      <c r="U61" s="67" t="e">
        <f t="shared" si="15"/>
        <v>#N/A</v>
      </c>
    </row>
    <row r="62" spans="1:21" ht="13" x14ac:dyDescent="0.3">
      <c r="A62" s="100" t="s">
        <v>134</v>
      </c>
      <c r="B62" s="68">
        <f>B31</f>
        <v>81</v>
      </c>
      <c r="C62" s="68">
        <f>B32</f>
        <v>81</v>
      </c>
      <c r="D62" s="68">
        <f>B33</f>
        <v>81</v>
      </c>
      <c r="E62" s="68">
        <f>B34</f>
        <v>112</v>
      </c>
      <c r="F62" s="68">
        <f>B35</f>
        <v>81</v>
      </c>
      <c r="G62" s="68">
        <f>B36</f>
        <v>81</v>
      </c>
      <c r="H62" s="68">
        <f>B37</f>
        <v>81</v>
      </c>
      <c r="I62" s="68">
        <f>B38</f>
        <v>81</v>
      </c>
      <c r="J62" s="68">
        <f>B39</f>
        <v>81</v>
      </c>
      <c r="K62" s="68">
        <f>B40</f>
        <v>81</v>
      </c>
      <c r="L62" s="68">
        <f>B41</f>
        <v>81</v>
      </c>
      <c r="M62" s="68">
        <f>B42</f>
        <v>0</v>
      </c>
      <c r="N62" s="68">
        <f>B43</f>
        <v>0</v>
      </c>
      <c r="O62" s="68">
        <f>B44</f>
        <v>0</v>
      </c>
      <c r="P62" s="68">
        <f>B45</f>
        <v>0</v>
      </c>
      <c r="Q62" s="68">
        <f>B46</f>
        <v>0</v>
      </c>
      <c r="R62" s="68">
        <f>B47</f>
        <v>0</v>
      </c>
      <c r="S62" s="68">
        <f>B48</f>
        <v>0</v>
      </c>
      <c r="T62" s="68">
        <f>B49</f>
        <v>0</v>
      </c>
      <c r="U62" s="68">
        <f>B50</f>
        <v>0</v>
      </c>
    </row>
    <row r="63" spans="1:21" ht="39" x14ac:dyDescent="0.3">
      <c r="A63" s="101" t="s">
        <v>155</v>
      </c>
      <c r="B63" s="68">
        <f>$E55*(B62/100)</f>
        <v>0</v>
      </c>
      <c r="C63" s="68">
        <f t="shared" ref="C63:U63" si="16">$E55*(C62/100)</f>
        <v>0</v>
      </c>
      <c r="D63" s="68">
        <f t="shared" si="16"/>
        <v>0</v>
      </c>
      <c r="E63" s="68">
        <f t="shared" si="16"/>
        <v>0</v>
      </c>
      <c r="F63" s="68">
        <f>$E55*(F62/100)</f>
        <v>0</v>
      </c>
      <c r="G63" s="68">
        <f t="shared" si="16"/>
        <v>0</v>
      </c>
      <c r="H63" s="68">
        <f t="shared" si="16"/>
        <v>0</v>
      </c>
      <c r="I63" s="68">
        <f t="shared" si="16"/>
        <v>0</v>
      </c>
      <c r="J63" s="68">
        <f t="shared" si="16"/>
        <v>0</v>
      </c>
      <c r="K63" s="68">
        <f t="shared" si="16"/>
        <v>0</v>
      </c>
      <c r="L63" s="68">
        <f t="shared" si="16"/>
        <v>0</v>
      </c>
      <c r="M63" s="68">
        <f t="shared" si="16"/>
        <v>0</v>
      </c>
      <c r="N63" s="68">
        <f t="shared" si="16"/>
        <v>0</v>
      </c>
      <c r="O63" s="68">
        <f t="shared" si="16"/>
        <v>0</v>
      </c>
      <c r="P63" s="68">
        <f t="shared" si="16"/>
        <v>0</v>
      </c>
      <c r="Q63" s="68">
        <f t="shared" si="16"/>
        <v>0</v>
      </c>
      <c r="R63" s="68">
        <f t="shared" si="16"/>
        <v>0</v>
      </c>
      <c r="S63" s="68">
        <f t="shared" si="16"/>
        <v>0</v>
      </c>
      <c r="T63" s="68">
        <f t="shared" si="16"/>
        <v>0</v>
      </c>
      <c r="U63" s="68">
        <f t="shared" si="16"/>
        <v>0</v>
      </c>
    </row>
    <row r="64" spans="1:21" ht="52" x14ac:dyDescent="0.3">
      <c r="A64" s="101" t="s">
        <v>156</v>
      </c>
      <c r="B64" s="68">
        <f>(B59-B60)*B61</f>
        <v>4.7999999999999989</v>
      </c>
      <c r="C64" s="68">
        <f t="shared" ref="C64:U64" si="17">(C59-C60)*C61</f>
        <v>-0.59999999999999787</v>
      </c>
      <c r="D64" s="68">
        <f t="shared" si="17"/>
        <v>-0.59999999999999787</v>
      </c>
      <c r="E64" s="68">
        <f t="shared" si="17"/>
        <v>0</v>
      </c>
      <c r="F64" s="68">
        <f t="shared" si="17"/>
        <v>0</v>
      </c>
      <c r="G64" s="68">
        <f t="shared" si="17"/>
        <v>-0.59999999999999787</v>
      </c>
      <c r="H64" s="68">
        <f t="shared" si="17"/>
        <v>-0.59999999999999787</v>
      </c>
      <c r="I64" s="68">
        <f t="shared" si="17"/>
        <v>0</v>
      </c>
      <c r="J64" s="68">
        <f t="shared" si="17"/>
        <v>-0.59999999999999787</v>
      </c>
      <c r="K64" s="68">
        <f t="shared" si="17"/>
        <v>-0.59999999999999787</v>
      </c>
      <c r="L64" s="68">
        <f t="shared" si="17"/>
        <v>-0.59999999999999787</v>
      </c>
      <c r="M64" s="68" t="e">
        <f t="shared" si="17"/>
        <v>#N/A</v>
      </c>
      <c r="N64" s="68" t="e">
        <f t="shared" si="17"/>
        <v>#N/A</v>
      </c>
      <c r="O64" s="68" t="e">
        <f t="shared" si="17"/>
        <v>#N/A</v>
      </c>
      <c r="P64" s="68" t="e">
        <f t="shared" si="17"/>
        <v>#N/A</v>
      </c>
      <c r="Q64" s="68" t="e">
        <f t="shared" si="17"/>
        <v>#N/A</v>
      </c>
      <c r="R64" s="68" t="e">
        <f t="shared" si="17"/>
        <v>#N/A</v>
      </c>
      <c r="S64" s="68" t="e">
        <f t="shared" si="17"/>
        <v>#N/A</v>
      </c>
      <c r="T64" s="68" t="e">
        <f t="shared" si="17"/>
        <v>#N/A</v>
      </c>
      <c r="U64" s="68" t="e">
        <f t="shared" si="17"/>
        <v>#N/A</v>
      </c>
    </row>
    <row r="65" spans="1:21" ht="52" x14ac:dyDescent="0.3">
      <c r="A65" s="101" t="s">
        <v>157</v>
      </c>
      <c r="B65" s="68">
        <f>B63-B64</f>
        <v>-4.7999999999999989</v>
      </c>
      <c r="C65" s="68">
        <f t="shared" ref="C65:U65" si="18">C63-C64</f>
        <v>0.59999999999999787</v>
      </c>
      <c r="D65" s="68">
        <f t="shared" si="18"/>
        <v>0.59999999999999787</v>
      </c>
      <c r="E65" s="68">
        <f t="shared" si="18"/>
        <v>0</v>
      </c>
      <c r="F65" s="68">
        <f t="shared" si="18"/>
        <v>0</v>
      </c>
      <c r="G65" s="68">
        <f t="shared" si="18"/>
        <v>0.59999999999999787</v>
      </c>
      <c r="H65" s="68">
        <f t="shared" si="18"/>
        <v>0.59999999999999787</v>
      </c>
      <c r="I65" s="68">
        <f t="shared" si="18"/>
        <v>0</v>
      </c>
      <c r="J65" s="68">
        <f t="shared" si="18"/>
        <v>0.59999999999999787</v>
      </c>
      <c r="K65" s="68">
        <f t="shared" si="18"/>
        <v>0.59999999999999787</v>
      </c>
      <c r="L65" s="68">
        <f t="shared" si="18"/>
        <v>0.59999999999999787</v>
      </c>
      <c r="M65" s="68" t="e">
        <f t="shared" si="18"/>
        <v>#N/A</v>
      </c>
      <c r="N65" s="68" t="e">
        <f t="shared" si="18"/>
        <v>#N/A</v>
      </c>
      <c r="O65" s="68" t="e">
        <f t="shared" si="18"/>
        <v>#N/A</v>
      </c>
      <c r="P65" s="68" t="e">
        <f t="shared" si="18"/>
        <v>#N/A</v>
      </c>
      <c r="Q65" s="68" t="e">
        <f t="shared" si="18"/>
        <v>#N/A</v>
      </c>
      <c r="R65" s="68" t="e">
        <f t="shared" si="18"/>
        <v>#N/A</v>
      </c>
      <c r="S65" s="68" t="e">
        <f t="shared" si="18"/>
        <v>#N/A</v>
      </c>
      <c r="T65" s="68" t="e">
        <f t="shared" si="18"/>
        <v>#N/A</v>
      </c>
      <c r="U65" s="68" t="e">
        <f t="shared" si="18"/>
        <v>#N/A</v>
      </c>
    </row>
    <row r="66" spans="1:21" ht="26" x14ac:dyDescent="0.3">
      <c r="A66" s="101" t="s">
        <v>148</v>
      </c>
      <c r="B66" s="69" t="str">
        <f>IF(B64&lt;=B63,"OVER","UNDER")</f>
        <v>UNDER</v>
      </c>
      <c r="C66" s="69" t="str">
        <f t="shared" ref="C66:U66" si="19">IF(C64&lt;=C63,"OVER","UNDER")</f>
        <v>OVER</v>
      </c>
      <c r="D66" s="69" t="str">
        <f t="shared" si="19"/>
        <v>OVER</v>
      </c>
      <c r="E66" s="69" t="str">
        <f t="shared" si="19"/>
        <v>OVER</v>
      </c>
      <c r="F66" s="69" t="str">
        <f t="shared" si="19"/>
        <v>OVER</v>
      </c>
      <c r="G66" s="69" t="str">
        <f t="shared" si="19"/>
        <v>OVER</v>
      </c>
      <c r="H66" s="69" t="str">
        <f t="shared" si="19"/>
        <v>OVER</v>
      </c>
      <c r="I66" s="69" t="str">
        <f t="shared" si="19"/>
        <v>OVER</v>
      </c>
      <c r="J66" s="69" t="str">
        <f t="shared" si="19"/>
        <v>OVER</v>
      </c>
      <c r="K66" s="69" t="str">
        <f t="shared" si="19"/>
        <v>OVER</v>
      </c>
      <c r="L66" s="69" t="str">
        <f t="shared" si="19"/>
        <v>OVER</v>
      </c>
      <c r="M66" s="69" t="e">
        <f t="shared" si="19"/>
        <v>#N/A</v>
      </c>
      <c r="N66" s="69" t="e">
        <f t="shared" si="19"/>
        <v>#N/A</v>
      </c>
      <c r="O66" s="69" t="e">
        <f t="shared" si="19"/>
        <v>#N/A</v>
      </c>
      <c r="P66" s="69" t="e">
        <f t="shared" si="19"/>
        <v>#N/A</v>
      </c>
      <c r="Q66" s="69" t="e">
        <f t="shared" si="19"/>
        <v>#N/A</v>
      </c>
      <c r="R66" s="69" t="e">
        <f t="shared" si="19"/>
        <v>#N/A</v>
      </c>
      <c r="S66" s="69" t="e">
        <f t="shared" si="19"/>
        <v>#N/A</v>
      </c>
      <c r="T66" s="69" t="e">
        <f t="shared" si="19"/>
        <v>#N/A</v>
      </c>
      <c r="U66" s="69" t="e">
        <f t="shared" si="19"/>
        <v>#N/A</v>
      </c>
    </row>
  </sheetData>
  <sheetProtection algorithmName="SHA-512" hashValue="B8OYqeFjvtfWWlLXmY7ErOcda7EEuhT6d09/iHWuTT95QY/OwAoVIXOygINGzb6Pmvvz4BzloOYQP6iI5nSHJw==" saltValue="HwKPoZj9JnVMXgQE+1TyS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223" priority="36" operator="greaterThan">
      <formula>$B$51</formula>
    </cfRule>
  </conditionalFormatting>
  <conditionalFormatting sqref="B66:U66">
    <cfRule type="cellIs" dxfId="222" priority="11" operator="equal">
      <formula>"UNDER"</formula>
    </cfRule>
    <cfRule type="cellIs" dxfId="221" priority="12" operator="equal">
      <formula>"OVER"</formula>
    </cfRule>
  </conditionalFormatting>
  <conditionalFormatting sqref="C31:C50">
    <cfRule type="cellIs" dxfId="220" priority="35" operator="greaterThan">
      <formula>$C$51</formula>
    </cfRule>
  </conditionalFormatting>
  <conditionalFormatting sqref="C17:V19">
    <cfRule type="cellIs" dxfId="219" priority="32" operator="equal">
      <formula>0</formula>
    </cfRule>
  </conditionalFormatting>
  <conditionalFormatting sqref="C20:V21">
    <cfRule type="cellIs" dxfId="218" priority="37" operator="equal">
      <formula>"DECREASE"</formula>
    </cfRule>
    <cfRule type="cellIs" dxfId="217" priority="38" operator="equal">
      <formula>"INCREASE"</formula>
    </cfRule>
  </conditionalFormatting>
  <conditionalFormatting sqref="C21:V21">
    <cfRule type="cellIs" dxfId="216" priority="13" operator="equal">
      <formula>0</formula>
    </cfRule>
  </conditionalFormatting>
  <conditionalFormatting sqref="C22:V23">
    <cfRule type="cellIs" dxfId="215" priority="17" operator="equal">
      <formula>0</formula>
    </cfRule>
  </conditionalFormatting>
  <conditionalFormatting sqref="C24:V24">
    <cfRule type="cellIs" dxfId="214" priority="18" operator="equal">
      <formula>"DECREASE"</formula>
    </cfRule>
    <cfRule type="cellIs" dxfId="213" priority="19" operator="equal">
      <formula>"INCREASE"</formula>
    </cfRule>
  </conditionalFormatting>
  <conditionalFormatting sqref="G31:G50">
    <cfRule type="cellIs" dxfId="212" priority="31" operator="greaterThan">
      <formula>$G$51</formula>
    </cfRule>
  </conditionalFormatting>
  <conditionalFormatting sqref="H31:H50">
    <cfRule type="cellIs" dxfId="211" priority="30" operator="greaterThan">
      <formula>$H$51</formula>
    </cfRule>
  </conditionalFormatting>
  <conditionalFormatting sqref="I1">
    <cfRule type="cellIs" dxfId="210" priority="3" operator="between">
      <formula>0.1</formula>
      <formula>5</formula>
    </cfRule>
  </conditionalFormatting>
  <conditionalFormatting sqref="I2">
    <cfRule type="cellIs" dxfId="209" priority="2" operator="greaterThan">
      <formula>5000.1</formula>
    </cfRule>
  </conditionalFormatting>
  <conditionalFormatting sqref="I3">
    <cfRule type="cellIs" dxfId="208" priority="1" operator="greaterThan">
      <formula>40000.01</formula>
    </cfRule>
  </conditionalFormatting>
  <conditionalFormatting sqref="I31:I50">
    <cfRule type="cellIs" dxfId="207" priority="29" operator="greaterThan">
      <formula>$I$51</formula>
    </cfRule>
  </conditionalFormatting>
  <conditionalFormatting sqref="J31:J50">
    <cfRule type="cellIs" dxfId="206" priority="8" operator="greaterThan">
      <formula>$J$51</formula>
    </cfRule>
  </conditionalFormatting>
  <conditionalFormatting sqref="K31:K50">
    <cfRule type="cellIs" dxfId="205" priority="28" operator="greaterThan">
      <formula>$K$51</formula>
    </cfRule>
  </conditionalFormatting>
  <conditionalFormatting sqref="L3">
    <cfRule type="cellIs" dxfId="204" priority="4" operator="lessThan">
      <formula>30</formula>
    </cfRule>
    <cfRule type="cellIs" dxfId="203" priority="5" operator="greaterThanOrEqual">
      <formula>30</formula>
    </cfRule>
  </conditionalFormatting>
  <conditionalFormatting sqref="L31:L50">
    <cfRule type="cellIs" dxfId="202" priority="27" operator="greaterThan">
      <formula>$L$51</formula>
    </cfRule>
  </conditionalFormatting>
  <conditionalFormatting sqref="M31:M50">
    <cfRule type="cellIs" dxfId="201" priority="26" operator="greaterThan">
      <formula>$M$51</formula>
    </cfRule>
  </conditionalFormatting>
  <conditionalFormatting sqref="P31:P50">
    <cfRule type="cellIs" dxfId="200" priority="25" operator="greaterThan">
      <formula>$P$51</formula>
    </cfRule>
  </conditionalFormatting>
  <conditionalFormatting sqref="R31:R50">
    <cfRule type="cellIs" dxfId="199" priority="24" operator="greaterThan">
      <formula>$R$51</formula>
    </cfRule>
  </conditionalFormatting>
  <conditionalFormatting sqref="S31:S50">
    <cfRule type="cellIs" dxfId="198" priority="23" operator="greaterThan">
      <formula>$S$51</formula>
    </cfRule>
  </conditionalFormatting>
  <conditionalFormatting sqref="T31:T50">
    <cfRule type="cellIs" dxfId="197" priority="22" operator="greaterThan">
      <formula>$T$51</formula>
    </cfRule>
  </conditionalFormatting>
  <conditionalFormatting sqref="U31:U50">
    <cfRule type="cellIs" dxfId="196" priority="21" operator="greaterThan">
      <formula>$U$51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topLeftCell="G1" zoomScale="90" zoomScaleNormal="90" workbookViewId="0">
      <selection activeCell="D45" sqref="D44:E45"/>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06" t="s">
        <v>41</v>
      </c>
      <c r="B1" s="106"/>
      <c r="C1" s="127" t="str">
        <f>Newcastle!C1:D1</f>
        <v>PAN-026945</v>
      </c>
      <c r="D1" s="128"/>
      <c r="E1" s="83" t="s">
        <v>45</v>
      </c>
      <c r="F1" s="32">
        <f>Newcastle!F1</f>
        <v>47.3</v>
      </c>
      <c r="G1" s="107" t="s">
        <v>43</v>
      </c>
      <c r="H1" s="108"/>
      <c r="I1" s="86">
        <v>7.29</v>
      </c>
      <c r="J1" s="106" t="s">
        <v>153</v>
      </c>
      <c r="K1" s="106"/>
      <c r="L1" s="86">
        <v>25</v>
      </c>
      <c r="AB1" s="14"/>
      <c r="AC1" s="14"/>
      <c r="AD1" s="23" t="s">
        <v>126</v>
      </c>
      <c r="AE1" s="14"/>
      <c r="AF1" s="14"/>
      <c r="AG1" s="14"/>
      <c r="AH1" s="14"/>
      <c r="AI1" s="33" t="s">
        <v>79</v>
      </c>
      <c r="AJ1" s="34" t="s">
        <v>94</v>
      </c>
      <c r="AK1" s="35" t="s">
        <v>95</v>
      </c>
      <c r="AL1" s="36" t="s">
        <v>125</v>
      </c>
      <c r="AM1" s="36" t="s">
        <v>131</v>
      </c>
      <c r="AN1" s="36" t="s">
        <v>111</v>
      </c>
    </row>
    <row r="2" spans="1:41" ht="12.75" customHeight="1" x14ac:dyDescent="0.3">
      <c r="A2" s="106" t="s">
        <v>87</v>
      </c>
      <c r="B2" s="106"/>
      <c r="C2" s="129" t="str">
        <f>Newcastle!C2:D2</f>
        <v>EPR/AB3891CX</v>
      </c>
      <c r="D2" s="130"/>
      <c r="E2" s="83" t="s">
        <v>109</v>
      </c>
      <c r="F2" s="86" t="s">
        <v>165</v>
      </c>
      <c r="G2" s="125" t="s">
        <v>110</v>
      </c>
      <c r="H2" s="126"/>
      <c r="I2" s="86">
        <v>611</v>
      </c>
      <c r="J2" s="106" t="s">
        <v>158</v>
      </c>
      <c r="K2" s="106"/>
      <c r="L2" s="86">
        <v>0.01</v>
      </c>
      <c r="AB2" s="23" t="s">
        <v>56</v>
      </c>
      <c r="AC2" s="14"/>
      <c r="AD2" s="23" t="s">
        <v>70</v>
      </c>
      <c r="AE2" s="14"/>
      <c r="AF2" s="14"/>
      <c r="AG2" s="37" t="s">
        <v>76</v>
      </c>
      <c r="AH2" s="14"/>
      <c r="AI2" s="38" t="s">
        <v>126</v>
      </c>
      <c r="AJ2" s="39">
        <v>0</v>
      </c>
      <c r="AK2" s="40">
        <v>0</v>
      </c>
      <c r="AL2" s="7">
        <v>0</v>
      </c>
      <c r="AM2" s="9">
        <v>0</v>
      </c>
      <c r="AN2" s="9">
        <v>0</v>
      </c>
    </row>
    <row r="3" spans="1:41" ht="13" x14ac:dyDescent="0.25">
      <c r="A3" s="107" t="s">
        <v>42</v>
      </c>
      <c r="B3" s="108"/>
      <c r="C3" s="129" t="str">
        <f>Newcastle!C3:D3</f>
        <v xml:space="preserve">Mr Daniel James and Mrs Carys James </v>
      </c>
      <c r="D3" s="130"/>
      <c r="E3" s="83" t="s">
        <v>108</v>
      </c>
      <c r="F3" s="24" t="s">
        <v>78</v>
      </c>
      <c r="G3" s="106" t="s">
        <v>159</v>
      </c>
      <c r="H3" s="106"/>
      <c r="I3" s="86">
        <v>200</v>
      </c>
      <c r="J3" s="107" t="s">
        <v>154</v>
      </c>
      <c r="K3" s="108"/>
      <c r="L3" s="86">
        <f>(L1/(L2*10000))*100</f>
        <v>25</v>
      </c>
      <c r="AB3" s="23" t="s">
        <v>57</v>
      </c>
      <c r="AC3" s="14"/>
      <c r="AD3" s="23" t="s">
        <v>71</v>
      </c>
      <c r="AE3" s="14"/>
      <c r="AF3" s="14"/>
      <c r="AG3" s="37" t="s">
        <v>77</v>
      </c>
      <c r="AH3" s="14"/>
      <c r="AI3" s="41" t="s">
        <v>113</v>
      </c>
      <c r="AJ3" s="42">
        <v>1.7</v>
      </c>
      <c r="AK3" s="43">
        <v>6</v>
      </c>
      <c r="AL3" s="44">
        <v>1</v>
      </c>
      <c r="AM3" s="9">
        <v>6.2</v>
      </c>
      <c r="AN3" s="9" t="s">
        <v>112</v>
      </c>
    </row>
    <row r="4" spans="1:41" ht="13" x14ac:dyDescent="0.25">
      <c r="A4" s="106" t="s">
        <v>0</v>
      </c>
      <c r="B4" s="106"/>
      <c r="C4" s="127" t="str">
        <f>Newcastle!C4:D4</f>
        <v>Hafod Fram, Ferwig, Cardigan, Ceredigion, SA43 1PU</v>
      </c>
      <c r="D4" s="128"/>
      <c r="E4" s="84" t="s">
        <v>1</v>
      </c>
      <c r="F4" s="86" t="s">
        <v>179</v>
      </c>
      <c r="G4" s="107"/>
      <c r="H4" s="108"/>
      <c r="I4" s="32"/>
      <c r="J4" s="107"/>
      <c r="K4" s="108"/>
      <c r="L4" s="86"/>
      <c r="AB4" s="23" t="s">
        <v>52</v>
      </c>
      <c r="AC4" s="14"/>
      <c r="AD4" s="45" t="s">
        <v>72</v>
      </c>
      <c r="AE4" s="14"/>
      <c r="AF4" s="14"/>
      <c r="AG4" s="37" t="s">
        <v>78</v>
      </c>
      <c r="AH4" s="14"/>
      <c r="AI4" s="46" t="s">
        <v>124</v>
      </c>
      <c r="AJ4" s="47">
        <v>7</v>
      </c>
      <c r="AK4" s="48">
        <v>10.5</v>
      </c>
      <c r="AL4" s="9">
        <v>2</v>
      </c>
      <c r="AM4" s="9">
        <v>6.7</v>
      </c>
      <c r="AN4" s="9" t="s">
        <v>135</v>
      </c>
    </row>
    <row r="5" spans="1:41" ht="13" x14ac:dyDescent="0.25">
      <c r="A5" s="106" t="s">
        <v>47</v>
      </c>
      <c r="B5" s="106"/>
      <c r="C5" s="127" t="str">
        <f>Newcastle!C5:D5</f>
        <v>Megan Tucker</v>
      </c>
      <c r="D5" s="128"/>
      <c r="E5" s="83"/>
      <c r="F5" s="32"/>
      <c r="G5" s="107"/>
      <c r="H5" s="108"/>
      <c r="I5" s="32"/>
      <c r="J5" s="107"/>
      <c r="K5" s="108"/>
      <c r="L5" s="86"/>
      <c r="AB5" s="23" t="s">
        <v>53</v>
      </c>
      <c r="AC5" s="14"/>
      <c r="AD5" s="45" t="s">
        <v>73</v>
      </c>
      <c r="AE5" s="14"/>
      <c r="AF5" s="14"/>
      <c r="AG5" s="37" t="s">
        <v>104</v>
      </c>
      <c r="AH5" s="14"/>
      <c r="AI5" s="46" t="s">
        <v>123</v>
      </c>
      <c r="AJ5" s="47">
        <v>6.5</v>
      </c>
      <c r="AK5" s="48">
        <v>5.5</v>
      </c>
      <c r="AL5" s="9">
        <v>3</v>
      </c>
      <c r="AM5" s="9">
        <v>6.7</v>
      </c>
      <c r="AN5" s="9" t="s">
        <v>135</v>
      </c>
    </row>
    <row r="6" spans="1:41" x14ac:dyDescent="0.25">
      <c r="A6" s="49"/>
      <c r="B6" s="49"/>
      <c r="F6" s="50"/>
      <c r="G6" s="50"/>
      <c r="H6" s="51"/>
      <c r="I6" s="51"/>
      <c r="J6" s="51"/>
      <c r="AB6" s="23" t="s">
        <v>54</v>
      </c>
      <c r="AC6" s="14"/>
      <c r="AD6" s="45" t="s">
        <v>74</v>
      </c>
      <c r="AE6" s="14"/>
      <c r="AF6" s="14"/>
      <c r="AG6" s="14"/>
      <c r="AH6" s="14"/>
      <c r="AI6" s="46" t="s">
        <v>68</v>
      </c>
      <c r="AJ6" s="47">
        <v>8.5</v>
      </c>
      <c r="AK6" s="48">
        <v>12</v>
      </c>
      <c r="AL6" s="9">
        <v>4</v>
      </c>
      <c r="AM6" s="9">
        <v>6.7</v>
      </c>
      <c r="AN6" s="9" t="s">
        <v>135</v>
      </c>
    </row>
    <row r="7" spans="1:41" s="7" customFormat="1" ht="13" x14ac:dyDescent="0.25">
      <c r="A7" s="112" t="s">
        <v>63</v>
      </c>
      <c r="B7" s="112"/>
      <c r="C7" s="10">
        <v>1</v>
      </c>
      <c r="D7" s="10">
        <v>2</v>
      </c>
      <c r="E7" s="10">
        <v>3</v>
      </c>
      <c r="F7" s="10">
        <v>4</v>
      </c>
      <c r="G7" s="10">
        <v>5</v>
      </c>
      <c r="H7" s="10">
        <v>6</v>
      </c>
      <c r="I7" s="10">
        <v>7</v>
      </c>
      <c r="J7" s="10">
        <v>8</v>
      </c>
      <c r="K7" s="10">
        <v>9</v>
      </c>
      <c r="L7" s="10">
        <v>10</v>
      </c>
      <c r="M7" s="10">
        <v>11</v>
      </c>
      <c r="N7" s="10">
        <v>12</v>
      </c>
      <c r="O7" s="10">
        <v>13</v>
      </c>
      <c r="P7" s="10">
        <v>14</v>
      </c>
      <c r="Q7" s="10">
        <v>15</v>
      </c>
      <c r="R7" s="10">
        <v>16</v>
      </c>
      <c r="S7" s="10">
        <v>17</v>
      </c>
      <c r="T7" s="10">
        <v>18</v>
      </c>
      <c r="U7" s="10">
        <v>19</v>
      </c>
      <c r="V7" s="10">
        <v>20</v>
      </c>
      <c r="AB7" s="23" t="s">
        <v>55</v>
      </c>
      <c r="AC7" s="14"/>
      <c r="AD7" s="14"/>
      <c r="AE7" s="14"/>
      <c r="AF7" s="14"/>
      <c r="AG7" s="14"/>
      <c r="AH7" s="14"/>
      <c r="AI7" s="46" t="s">
        <v>96</v>
      </c>
      <c r="AJ7" s="47">
        <v>8.5</v>
      </c>
      <c r="AK7" s="48">
        <v>10.5</v>
      </c>
      <c r="AL7" s="9">
        <v>5</v>
      </c>
      <c r="AM7" s="7">
        <v>6.7</v>
      </c>
      <c r="AN7" s="9" t="s">
        <v>135</v>
      </c>
      <c r="AO7" s="88"/>
    </row>
    <row r="8" spans="1:41" ht="13" x14ac:dyDescent="0.25">
      <c r="A8" s="106" t="s">
        <v>2</v>
      </c>
      <c r="B8" s="106"/>
      <c r="C8" s="52" t="str">
        <f>Newcastle!C8</f>
        <v>Nant Y Croi 9</v>
      </c>
      <c r="D8" s="52" t="str">
        <f>Newcastle!D8</f>
        <v>Hafod 4315</v>
      </c>
      <c r="E8" s="52" t="str">
        <f>Newcastle!E8</f>
        <v>Hafod 4734</v>
      </c>
      <c r="F8" s="52" t="str">
        <f>Newcastle!F8</f>
        <v>Hafod 5761</v>
      </c>
      <c r="G8" s="52" t="str">
        <f>Newcastle!G8</f>
        <v>Hafod 4067</v>
      </c>
      <c r="H8" s="52" t="str">
        <f>Newcastle!H8</f>
        <v>Hafod 2455</v>
      </c>
      <c r="I8" s="52" t="str">
        <f>Newcastle!I8</f>
        <v>Hafod 1741</v>
      </c>
      <c r="J8" s="52" t="str">
        <f>Newcastle!J8</f>
        <v>Hafod 0720</v>
      </c>
      <c r="K8" s="52" t="str">
        <f>Newcastle!K8</f>
        <v>Solafron 2893</v>
      </c>
      <c r="L8" s="52" t="str">
        <f>Newcastle!L8</f>
        <v>Solafron 2611</v>
      </c>
      <c r="M8" s="52" t="str">
        <f>Newcastle!M8</f>
        <v>Solafron 1404</v>
      </c>
      <c r="N8" s="52">
        <f>Newcastle!N8</f>
        <v>0</v>
      </c>
      <c r="O8" s="52">
        <f>Newcastle!O8</f>
        <v>0</v>
      </c>
      <c r="P8" s="52">
        <f>Newcastle!P8</f>
        <v>0</v>
      </c>
      <c r="Q8" s="52">
        <f>Newcastle!Q8</f>
        <v>0</v>
      </c>
      <c r="R8" s="52">
        <f>Newcastle!R8</f>
        <v>0</v>
      </c>
      <c r="S8" s="52">
        <f>Newcastle!S8</f>
        <v>0</v>
      </c>
      <c r="T8" s="52">
        <f>Newcastle!T8</f>
        <v>0</v>
      </c>
      <c r="U8" s="52">
        <f>Newcastle!U8</f>
        <v>0</v>
      </c>
      <c r="V8" s="52">
        <f>Newcastle!V8</f>
        <v>0</v>
      </c>
      <c r="AB8" s="53"/>
      <c r="AC8" s="53"/>
      <c r="AD8" s="14"/>
      <c r="AE8" s="14" t="s">
        <v>139</v>
      </c>
      <c r="AF8" s="14"/>
      <c r="AG8" s="14"/>
      <c r="AH8" s="14"/>
      <c r="AI8" s="46" t="s">
        <v>105</v>
      </c>
      <c r="AJ8" s="54">
        <v>1.4</v>
      </c>
      <c r="AK8" s="48">
        <v>4.4000000000000004</v>
      </c>
      <c r="AL8" s="9">
        <v>6</v>
      </c>
      <c r="AM8" s="9">
        <v>6.7</v>
      </c>
      <c r="AN8" s="9" t="s">
        <v>135</v>
      </c>
      <c r="AO8" s="14"/>
    </row>
    <row r="9" spans="1:41" ht="13" x14ac:dyDescent="0.25">
      <c r="A9" s="106" t="s">
        <v>3</v>
      </c>
      <c r="B9" s="106"/>
      <c r="C9" s="52" t="str">
        <f>Newcastle!C9</f>
        <v xml:space="preserve">Moderate </v>
      </c>
      <c r="D9" s="52" t="str">
        <f>Newcastle!D9</f>
        <v xml:space="preserve">Moderate </v>
      </c>
      <c r="E9" s="52" t="str">
        <f>Newcastle!E9</f>
        <v xml:space="preserve">Moderate </v>
      </c>
      <c r="F9" s="52" t="str">
        <f>Newcastle!F9</f>
        <v xml:space="preserve">Moderate </v>
      </c>
      <c r="G9" s="52" t="str">
        <f>Newcastle!G9</f>
        <v xml:space="preserve">Moderate </v>
      </c>
      <c r="H9" s="52" t="str">
        <f>Newcastle!H9</f>
        <v xml:space="preserve">Moderate </v>
      </c>
      <c r="I9" s="52" t="str">
        <f>Newcastle!I9</f>
        <v xml:space="preserve">Moderate </v>
      </c>
      <c r="J9" s="52" t="str">
        <f>Newcastle!J9</f>
        <v xml:space="preserve">Moderate </v>
      </c>
      <c r="K9" s="52" t="str">
        <f>Newcastle!K9</f>
        <v xml:space="preserve">Moderate </v>
      </c>
      <c r="L9" s="52" t="str">
        <f>Newcastle!L9</f>
        <v xml:space="preserve">Moderate </v>
      </c>
      <c r="M9" s="52" t="str">
        <f>Newcastle!M9</f>
        <v xml:space="preserve">Moderate </v>
      </c>
      <c r="N9" s="52">
        <f>Newcastle!N9</f>
        <v>0</v>
      </c>
      <c r="O9" s="52">
        <f>Newcastle!O9</f>
        <v>0</v>
      </c>
      <c r="P9" s="52">
        <f>Newcastle!P9</f>
        <v>0</v>
      </c>
      <c r="Q9" s="52">
        <f>Newcastle!Q9</f>
        <v>0</v>
      </c>
      <c r="R9" s="52">
        <f>Newcastle!R9</f>
        <v>0</v>
      </c>
      <c r="S9" s="52">
        <f>Newcastle!S9</f>
        <v>0</v>
      </c>
      <c r="T9" s="52">
        <f>Newcastle!T9</f>
        <v>0</v>
      </c>
      <c r="U9" s="52">
        <f>Newcastle!U9</f>
        <v>0</v>
      </c>
      <c r="V9" s="52">
        <f>Newcastle!V9</f>
        <v>0</v>
      </c>
      <c r="AB9" s="14"/>
      <c r="AC9" s="14"/>
      <c r="AD9" s="23" t="s">
        <v>137</v>
      </c>
      <c r="AE9" s="23">
        <v>4.5</v>
      </c>
      <c r="AF9" s="14"/>
      <c r="AG9" s="14"/>
      <c r="AH9" s="14"/>
      <c r="AI9" s="55" t="s">
        <v>103</v>
      </c>
      <c r="AJ9" s="56">
        <v>0.7</v>
      </c>
      <c r="AK9" s="57">
        <v>4</v>
      </c>
      <c r="AL9" s="22">
        <v>7</v>
      </c>
      <c r="AM9" s="9">
        <v>6.7</v>
      </c>
      <c r="AN9" s="9" t="s">
        <v>135</v>
      </c>
      <c r="AO9" s="88"/>
    </row>
    <row r="10" spans="1:41" ht="13" x14ac:dyDescent="0.25">
      <c r="A10" s="106" t="s">
        <v>4</v>
      </c>
      <c r="B10" s="106"/>
      <c r="C10" s="52">
        <f>Newcastle!C10</f>
        <v>5.4</v>
      </c>
      <c r="D10" s="52">
        <f>Newcastle!D10</f>
        <v>6.3</v>
      </c>
      <c r="E10" s="52">
        <f>Newcastle!E10</f>
        <v>6.3</v>
      </c>
      <c r="F10" s="52">
        <f>Newcastle!F10</f>
        <v>6.2</v>
      </c>
      <c r="G10" s="52">
        <f>Newcastle!G10</f>
        <v>6.2</v>
      </c>
      <c r="H10" s="52">
        <f>Newcastle!H10</f>
        <v>6.3</v>
      </c>
      <c r="I10" s="52">
        <f>Newcastle!I10</f>
        <v>6.3</v>
      </c>
      <c r="J10" s="52">
        <f>Newcastle!J10</f>
        <v>6.2</v>
      </c>
      <c r="K10" s="52">
        <f>Newcastle!K10</f>
        <v>6.3</v>
      </c>
      <c r="L10" s="52">
        <f>Newcastle!L10</f>
        <v>6.3</v>
      </c>
      <c r="M10" s="52">
        <f>Newcastle!M10</f>
        <v>6.3</v>
      </c>
      <c r="N10" s="52">
        <f>Newcastle!N10</f>
        <v>0</v>
      </c>
      <c r="O10" s="52">
        <f>Newcastle!O10</f>
        <v>0</v>
      </c>
      <c r="P10" s="52">
        <f>Newcastle!P10</f>
        <v>0</v>
      </c>
      <c r="Q10" s="52">
        <f>Newcastle!Q10</f>
        <v>0</v>
      </c>
      <c r="R10" s="52">
        <f>Newcastle!R10</f>
        <v>0</v>
      </c>
      <c r="S10" s="52">
        <f>Newcastle!S10</f>
        <v>0</v>
      </c>
      <c r="T10" s="52">
        <f>Newcastle!T10</f>
        <v>0</v>
      </c>
      <c r="U10" s="52">
        <f>Newcastle!U10</f>
        <v>0</v>
      </c>
      <c r="V10" s="52">
        <f>Newcastle!V10</f>
        <v>0</v>
      </c>
      <c r="AB10" s="14"/>
      <c r="AC10" s="14"/>
      <c r="AD10" s="23" t="s">
        <v>140</v>
      </c>
      <c r="AE10" s="23">
        <v>5</v>
      </c>
      <c r="AF10" s="14"/>
      <c r="AG10" s="14"/>
      <c r="AH10" s="14"/>
      <c r="AI10" s="46" t="s">
        <v>97</v>
      </c>
      <c r="AJ10" s="47">
        <v>9</v>
      </c>
      <c r="AK10" s="48">
        <v>16.5</v>
      </c>
      <c r="AL10" s="9">
        <v>8</v>
      </c>
      <c r="AM10" s="9">
        <v>6.7</v>
      </c>
      <c r="AN10" s="9" t="s">
        <v>135</v>
      </c>
    </row>
    <row r="11" spans="1:41" ht="13" x14ac:dyDescent="0.25">
      <c r="A11" s="106" t="s">
        <v>5</v>
      </c>
      <c r="B11" s="106"/>
      <c r="C11" s="52">
        <f>Newcastle!C11</f>
        <v>2</v>
      </c>
      <c r="D11" s="52">
        <f>Newcastle!D11</f>
        <v>2</v>
      </c>
      <c r="E11" s="52">
        <f>Newcastle!E11</f>
        <v>2</v>
      </c>
      <c r="F11" s="52">
        <f>Newcastle!F11</f>
        <v>1</v>
      </c>
      <c r="G11" s="52">
        <f>Newcastle!G11</f>
        <v>2</v>
      </c>
      <c r="H11" s="52">
        <f>Newcastle!H11</f>
        <v>2</v>
      </c>
      <c r="I11" s="52">
        <f>Newcastle!I11</f>
        <v>2</v>
      </c>
      <c r="J11" s="52">
        <f>Newcastle!J11</f>
        <v>2</v>
      </c>
      <c r="K11" s="52">
        <f>Newcastle!K11</f>
        <v>2</v>
      </c>
      <c r="L11" s="52">
        <f>Newcastle!L11</f>
        <v>2</v>
      </c>
      <c r="M11" s="52">
        <f>Newcastle!M11</f>
        <v>2</v>
      </c>
      <c r="N11" s="52">
        <f>Newcastle!N11</f>
        <v>0</v>
      </c>
      <c r="O11" s="52">
        <f>Newcastle!O11</f>
        <v>0</v>
      </c>
      <c r="P11" s="52">
        <f>Newcastle!P11</f>
        <v>0</v>
      </c>
      <c r="Q11" s="52">
        <f>Newcastle!Q11</f>
        <v>0</v>
      </c>
      <c r="R11" s="52">
        <f>Newcastle!R11</f>
        <v>0</v>
      </c>
      <c r="S11" s="52">
        <f>Newcastle!S11</f>
        <v>0</v>
      </c>
      <c r="T11" s="52">
        <f>Newcastle!T11</f>
        <v>0</v>
      </c>
      <c r="U11" s="52">
        <f>Newcastle!U11</f>
        <v>0</v>
      </c>
      <c r="V11" s="52">
        <f>Newcastle!V11</f>
        <v>0</v>
      </c>
      <c r="AB11" s="14"/>
      <c r="AC11" s="14"/>
      <c r="AD11" s="45" t="s">
        <v>141</v>
      </c>
      <c r="AE11" s="23">
        <v>6</v>
      </c>
      <c r="AF11" s="14"/>
      <c r="AG11" s="14"/>
      <c r="AH11" s="14"/>
      <c r="AI11" s="46" t="s">
        <v>122</v>
      </c>
      <c r="AJ11" s="47">
        <v>15</v>
      </c>
      <c r="AK11" s="48">
        <v>17.5</v>
      </c>
      <c r="AL11" s="9">
        <v>9</v>
      </c>
      <c r="AM11" s="9">
        <v>7</v>
      </c>
      <c r="AN11" s="9" t="s">
        <v>135</v>
      </c>
    </row>
    <row r="12" spans="1:41" ht="13" x14ac:dyDescent="0.25">
      <c r="A12" s="106" t="s">
        <v>6</v>
      </c>
      <c r="B12" s="106"/>
      <c r="C12" s="52">
        <f>Newcastle!C12</f>
        <v>1</v>
      </c>
      <c r="D12" s="52">
        <f>Newcastle!D12</f>
        <v>2</v>
      </c>
      <c r="E12" s="52">
        <f>Newcastle!E12</f>
        <v>1</v>
      </c>
      <c r="F12" s="52">
        <f>Newcastle!F12</f>
        <v>2</v>
      </c>
      <c r="G12" s="52">
        <f>Newcastle!G12</f>
        <v>2</v>
      </c>
      <c r="H12" s="52">
        <f>Newcastle!H12</f>
        <v>1</v>
      </c>
      <c r="I12" s="52">
        <f>Newcastle!I12</f>
        <v>2</v>
      </c>
      <c r="J12" s="52">
        <f>Newcastle!J12</f>
        <v>1</v>
      </c>
      <c r="K12" s="52">
        <f>Newcastle!K12</f>
        <v>2</v>
      </c>
      <c r="L12" s="52">
        <f>Newcastle!L12</f>
        <v>2</v>
      </c>
      <c r="M12" s="52">
        <f>Newcastle!M12</f>
        <v>1</v>
      </c>
      <c r="N12" s="52">
        <f>Newcastle!N12</f>
        <v>0</v>
      </c>
      <c r="O12" s="52">
        <f>Newcastle!O12</f>
        <v>0</v>
      </c>
      <c r="P12" s="52">
        <f>Newcastle!P12</f>
        <v>0</v>
      </c>
      <c r="Q12" s="52">
        <f>Newcastle!Q12</f>
        <v>0</v>
      </c>
      <c r="R12" s="52">
        <f>Newcastle!R12</f>
        <v>0</v>
      </c>
      <c r="S12" s="52">
        <f>Newcastle!S12</f>
        <v>0</v>
      </c>
      <c r="T12" s="52">
        <f>Newcastle!T12</f>
        <v>0</v>
      </c>
      <c r="U12" s="52">
        <f>Newcastle!U12</f>
        <v>0</v>
      </c>
      <c r="V12" s="52">
        <f>Newcastle!V12</f>
        <v>0</v>
      </c>
      <c r="AB12" s="14"/>
      <c r="AC12" s="14"/>
      <c r="AD12" s="45" t="s">
        <v>142</v>
      </c>
      <c r="AE12" s="23">
        <v>7.5</v>
      </c>
      <c r="AF12" s="14"/>
      <c r="AG12" s="14"/>
      <c r="AH12" s="14"/>
      <c r="AI12" s="46" t="s">
        <v>121</v>
      </c>
      <c r="AJ12" s="47">
        <v>14</v>
      </c>
      <c r="AK12" s="48">
        <v>11</v>
      </c>
      <c r="AL12" s="9">
        <v>10</v>
      </c>
      <c r="AM12" s="9">
        <v>7</v>
      </c>
      <c r="AN12" s="9" t="s">
        <v>135</v>
      </c>
    </row>
    <row r="13" spans="1:41" ht="13" x14ac:dyDescent="0.25">
      <c r="A13" s="106" t="s">
        <v>7</v>
      </c>
      <c r="B13" s="106"/>
      <c r="C13" s="52">
        <f>Newcastle!C13</f>
        <v>3</v>
      </c>
      <c r="D13" s="52">
        <f>Newcastle!D13</f>
        <v>5</v>
      </c>
      <c r="E13" s="52">
        <f>Newcastle!E13</f>
        <v>5</v>
      </c>
      <c r="F13" s="52">
        <f>Newcastle!F13</f>
        <v>5</v>
      </c>
      <c r="G13" s="52">
        <f>Newcastle!G13</f>
        <v>5</v>
      </c>
      <c r="H13" s="52">
        <f>Newcastle!H13</f>
        <v>5</v>
      </c>
      <c r="I13" s="52">
        <f>Newcastle!I13</f>
        <v>5</v>
      </c>
      <c r="J13" s="52">
        <f>Newcastle!J13</f>
        <v>5</v>
      </c>
      <c r="K13" s="52">
        <f>Newcastle!K13</f>
        <v>5</v>
      </c>
      <c r="L13" s="52">
        <f>Newcastle!L13</f>
        <v>5</v>
      </c>
      <c r="M13" s="52">
        <f>Newcastle!M13</f>
        <v>5</v>
      </c>
      <c r="N13" s="52">
        <f>Newcastle!N13</f>
        <v>0</v>
      </c>
      <c r="O13" s="52">
        <f>Newcastle!O13</f>
        <v>0</v>
      </c>
      <c r="P13" s="52">
        <f>Newcastle!P13</f>
        <v>0</v>
      </c>
      <c r="Q13" s="52">
        <f>Newcastle!Q13</f>
        <v>0</v>
      </c>
      <c r="R13" s="52">
        <f>Newcastle!R13</f>
        <v>0</v>
      </c>
      <c r="S13" s="52">
        <f>Newcastle!S13</f>
        <v>0</v>
      </c>
      <c r="T13" s="52">
        <f>Newcastle!T13</f>
        <v>0</v>
      </c>
      <c r="U13" s="52">
        <f>Newcastle!U13</f>
        <v>0</v>
      </c>
      <c r="V13" s="52">
        <f>Newcastle!V13</f>
        <v>0</v>
      </c>
      <c r="AB13" s="14"/>
      <c r="AC13" s="14"/>
      <c r="AD13" s="45" t="s">
        <v>143</v>
      </c>
      <c r="AE13" s="23">
        <v>12</v>
      </c>
      <c r="AF13" s="14"/>
      <c r="AG13" s="14"/>
      <c r="AH13" s="14"/>
      <c r="AI13" s="46" t="s">
        <v>120</v>
      </c>
      <c r="AJ13" s="47">
        <v>1.9</v>
      </c>
      <c r="AK13" s="48">
        <v>7.5</v>
      </c>
      <c r="AL13" s="9">
        <v>11</v>
      </c>
      <c r="AM13" s="9">
        <v>6.7</v>
      </c>
      <c r="AN13" s="9" t="s">
        <v>135</v>
      </c>
    </row>
    <row r="14" spans="1:41" ht="13" x14ac:dyDescent="0.25">
      <c r="A14" s="118" t="s">
        <v>8</v>
      </c>
      <c r="B14" s="118"/>
      <c r="C14" s="91" t="str">
        <f>Newcastle!C14</f>
        <v xml:space="preserve">Grass Silage (25% DM) </v>
      </c>
      <c r="D14" s="91" t="str">
        <f>Newcastle!D14</f>
        <v xml:space="preserve">Grass Silage (25% DM) </v>
      </c>
      <c r="E14" s="91" t="str">
        <f>Newcastle!E14</f>
        <v xml:space="preserve">Grass Silage (25% DM) </v>
      </c>
      <c r="F14" s="91" t="str">
        <f>Newcastle!F14</f>
        <v xml:space="preserve">Grass Silage (25% DM) </v>
      </c>
      <c r="G14" s="91" t="str">
        <f>Newcastle!G14</f>
        <v xml:space="preserve">Grass Silage (25% DM) </v>
      </c>
      <c r="H14" s="91" t="str">
        <f>Newcastle!H14</f>
        <v xml:space="preserve">Grass Silage (25% DM) </v>
      </c>
      <c r="I14" s="91" t="str">
        <f>Newcastle!I14</f>
        <v xml:space="preserve">Grass Silage (25% DM) </v>
      </c>
      <c r="J14" s="91" t="str">
        <f>Newcastle!J14</f>
        <v xml:space="preserve">Grass Silage (25% DM) </v>
      </c>
      <c r="K14" s="91" t="str">
        <f>Newcastle!K14</f>
        <v xml:space="preserve">Grass Silage (25% DM) </v>
      </c>
      <c r="L14" s="91" t="str">
        <f>Newcastle!L14</f>
        <v xml:space="preserve">Grass Silage (25% DM) </v>
      </c>
      <c r="M14" s="91" t="str">
        <f>Newcastle!M14</f>
        <v xml:space="preserve">Grass Silage (25% DM) </v>
      </c>
      <c r="N14" s="91">
        <f>Newcastle!N14</f>
        <v>0</v>
      </c>
      <c r="O14" s="91">
        <f>Newcastle!O14</f>
        <v>0</v>
      </c>
      <c r="P14" s="91">
        <f>Newcastle!P14</f>
        <v>0</v>
      </c>
      <c r="Q14" s="91">
        <f>Newcastle!Q14</f>
        <v>0</v>
      </c>
      <c r="R14" s="91">
        <f>Newcastle!R14</f>
        <v>0</v>
      </c>
      <c r="S14" s="91">
        <f>Newcastle!S14</f>
        <v>0</v>
      </c>
      <c r="T14" s="91">
        <f>Newcastle!T14</f>
        <v>0</v>
      </c>
      <c r="U14" s="91">
        <f>Newcastle!U14</f>
        <v>0</v>
      </c>
      <c r="V14" s="91">
        <f>Newcastle!V14</f>
        <v>0</v>
      </c>
      <c r="AD14" s="23" t="s">
        <v>138</v>
      </c>
      <c r="AE14" s="23">
        <v>6</v>
      </c>
      <c r="AI14" s="46" t="s">
        <v>119</v>
      </c>
      <c r="AJ14" s="47">
        <v>0.8</v>
      </c>
      <c r="AK14" s="48">
        <v>1.7</v>
      </c>
      <c r="AL14" s="9">
        <v>12</v>
      </c>
      <c r="AM14" s="9">
        <v>6.7</v>
      </c>
      <c r="AN14" s="9" t="s">
        <v>135</v>
      </c>
    </row>
    <row r="15" spans="1:41" ht="13" x14ac:dyDescent="0.25">
      <c r="A15" s="117" t="s">
        <v>9</v>
      </c>
      <c r="B15" s="117"/>
      <c r="C15" s="52">
        <f>Newcastle!C15</f>
        <v>47</v>
      </c>
      <c r="D15" s="52">
        <f>Newcastle!D15</f>
        <v>47</v>
      </c>
      <c r="E15" s="52">
        <f>Newcastle!E15</f>
        <v>47</v>
      </c>
      <c r="F15" s="52">
        <f>Newcastle!F15</f>
        <v>47</v>
      </c>
      <c r="G15" s="52">
        <f>Newcastle!G15</f>
        <v>47</v>
      </c>
      <c r="H15" s="52">
        <f>Newcastle!H15</f>
        <v>47</v>
      </c>
      <c r="I15" s="52">
        <f>Newcastle!I15</f>
        <v>47</v>
      </c>
      <c r="J15" s="52">
        <f>Newcastle!J15</f>
        <v>47</v>
      </c>
      <c r="K15" s="52">
        <f>Newcastle!K15</f>
        <v>47</v>
      </c>
      <c r="L15" s="52">
        <f>Newcastle!L15</f>
        <v>47</v>
      </c>
      <c r="M15" s="52">
        <f>Newcastle!M15</f>
        <v>47</v>
      </c>
      <c r="N15" s="52">
        <f>Newcastle!N15</f>
        <v>0</v>
      </c>
      <c r="O15" s="52">
        <f>Newcastle!O15</f>
        <v>0</v>
      </c>
      <c r="P15" s="52">
        <f>Newcastle!P15</f>
        <v>0</v>
      </c>
      <c r="Q15" s="52">
        <f>Newcastle!Q15</f>
        <v>0</v>
      </c>
      <c r="R15" s="52">
        <f>Newcastle!R15</f>
        <v>0</v>
      </c>
      <c r="S15" s="52">
        <f>Newcastle!S15</f>
        <v>0</v>
      </c>
      <c r="T15" s="52">
        <f>Newcastle!T15</f>
        <v>0</v>
      </c>
      <c r="U15" s="52">
        <f>Newcastle!U15</f>
        <v>0</v>
      </c>
      <c r="V15" s="52">
        <f>Newcastle!V15</f>
        <v>0</v>
      </c>
      <c r="AD15" s="23" t="s">
        <v>144</v>
      </c>
      <c r="AE15" s="23">
        <v>7</v>
      </c>
      <c r="AI15" s="46" t="s">
        <v>101</v>
      </c>
      <c r="AJ15" s="54">
        <v>1.8</v>
      </c>
      <c r="AK15" s="48">
        <v>5.4</v>
      </c>
      <c r="AL15" s="9">
        <v>13</v>
      </c>
      <c r="AM15" s="9">
        <v>6.7</v>
      </c>
      <c r="AN15" s="9" t="s">
        <v>135</v>
      </c>
    </row>
    <row r="16" spans="1:41" ht="13.5" thickBot="1" x14ac:dyDescent="0.3">
      <c r="A16" s="119" t="s">
        <v>44</v>
      </c>
      <c r="B16" s="119"/>
      <c r="C16" s="92" t="str">
        <f>Newcastle!C16</f>
        <v>Medium/Clay</v>
      </c>
      <c r="D16" s="92" t="str">
        <f>Newcastle!D16</f>
        <v>Medium/Clay</v>
      </c>
      <c r="E16" s="92" t="str">
        <f>Newcastle!E16</f>
        <v>Medium/Clay</v>
      </c>
      <c r="F16" s="92" t="str">
        <f>Newcastle!F16</f>
        <v>Medium/Clay</v>
      </c>
      <c r="G16" s="92" t="str">
        <f>Newcastle!G16</f>
        <v>Medium/Clay</v>
      </c>
      <c r="H16" s="92" t="str">
        <f>Newcastle!H16</f>
        <v>Medium/Clay</v>
      </c>
      <c r="I16" s="92" t="str">
        <f>Newcastle!I16</f>
        <v>Medium/Clay</v>
      </c>
      <c r="J16" s="92" t="str">
        <f>Newcastle!J16</f>
        <v>Medium/Clay</v>
      </c>
      <c r="K16" s="92" t="str">
        <f>Newcastle!K16</f>
        <v>Medium/Clay</v>
      </c>
      <c r="L16" s="92" t="str">
        <f>Newcastle!L16</f>
        <v>Medium/Clay</v>
      </c>
      <c r="M16" s="92" t="str">
        <f>Newcastle!M16</f>
        <v>Medium/Clay</v>
      </c>
      <c r="N16" s="92">
        <f>Newcastle!N16</f>
        <v>0</v>
      </c>
      <c r="O16" s="92">
        <f>Newcastle!O16</f>
        <v>0</v>
      </c>
      <c r="P16" s="92">
        <f>Newcastle!P16</f>
        <v>0</v>
      </c>
      <c r="Q16" s="92">
        <f>Newcastle!Q16</f>
        <v>0</v>
      </c>
      <c r="R16" s="92">
        <f>Newcastle!R16</f>
        <v>0</v>
      </c>
      <c r="S16" s="92">
        <f>Newcastle!S16</f>
        <v>0</v>
      </c>
      <c r="T16" s="92">
        <f>Newcastle!T16</f>
        <v>0</v>
      </c>
      <c r="U16" s="92">
        <f>Newcastle!U16</f>
        <v>0</v>
      </c>
      <c r="V16" s="92">
        <f>Newcastle!V16</f>
        <v>0</v>
      </c>
      <c r="AD16" s="45" t="s">
        <v>145</v>
      </c>
      <c r="AE16" s="23">
        <v>8</v>
      </c>
      <c r="AI16" s="46" t="s">
        <v>118</v>
      </c>
      <c r="AJ16" s="47">
        <v>8</v>
      </c>
      <c r="AK16" s="48">
        <v>5.5</v>
      </c>
      <c r="AL16" s="7">
        <v>14</v>
      </c>
      <c r="AM16" s="9">
        <v>6.7</v>
      </c>
      <c r="AN16" s="9" t="s">
        <v>135</v>
      </c>
    </row>
    <row r="17" spans="1:40" ht="13" x14ac:dyDescent="0.25">
      <c r="A17" s="109" t="s">
        <v>69</v>
      </c>
      <c r="B17" s="110"/>
      <c r="C17" s="21">
        <f>(VLOOKUP(C$14,$AI2:$AK26,2,FALSE))*C$15</f>
        <v>79.899999999999991</v>
      </c>
      <c r="D17" s="21">
        <f t="shared" ref="D17:V17" si="0">(VLOOKUP(D$14,$AI2:$AK26,2,FALSE))*D$15</f>
        <v>79.899999999999991</v>
      </c>
      <c r="E17" s="21">
        <f t="shared" si="0"/>
        <v>79.899999999999991</v>
      </c>
      <c r="F17" s="21">
        <f t="shared" si="0"/>
        <v>79.899999999999991</v>
      </c>
      <c r="G17" s="21">
        <f t="shared" si="0"/>
        <v>79.899999999999991</v>
      </c>
      <c r="H17" s="21">
        <f t="shared" si="0"/>
        <v>79.899999999999991</v>
      </c>
      <c r="I17" s="21">
        <f t="shared" si="0"/>
        <v>79.899999999999991</v>
      </c>
      <c r="J17" s="21">
        <f t="shared" si="0"/>
        <v>79.899999999999991</v>
      </c>
      <c r="K17" s="21">
        <f t="shared" si="0"/>
        <v>79.899999999999991</v>
      </c>
      <c r="L17" s="21">
        <f t="shared" si="0"/>
        <v>79.899999999999991</v>
      </c>
      <c r="M17" s="21">
        <f t="shared" si="0"/>
        <v>79.899999999999991</v>
      </c>
      <c r="N17" s="21" t="e">
        <f t="shared" si="0"/>
        <v>#N/A</v>
      </c>
      <c r="O17" s="21" t="e">
        <f t="shared" si="0"/>
        <v>#N/A</v>
      </c>
      <c r="P17" s="21" t="e">
        <f t="shared" si="0"/>
        <v>#N/A</v>
      </c>
      <c r="Q17" s="21" t="e">
        <f t="shared" si="0"/>
        <v>#N/A</v>
      </c>
      <c r="R17" s="21" t="e">
        <f t="shared" si="0"/>
        <v>#N/A</v>
      </c>
      <c r="S17" s="21" t="e">
        <f t="shared" si="0"/>
        <v>#N/A</v>
      </c>
      <c r="T17" s="21" t="e">
        <f t="shared" si="0"/>
        <v>#N/A</v>
      </c>
      <c r="U17" s="21" t="e">
        <f t="shared" si="0"/>
        <v>#N/A</v>
      </c>
      <c r="V17" s="21" t="e">
        <f t="shared" si="0"/>
        <v>#N/A</v>
      </c>
      <c r="AD17" s="45" t="s">
        <v>146</v>
      </c>
      <c r="AE17" s="23">
        <v>10</v>
      </c>
      <c r="AI17" s="41" t="s">
        <v>115</v>
      </c>
      <c r="AJ17" s="42">
        <v>1.4</v>
      </c>
      <c r="AK17" s="43">
        <v>4.8</v>
      </c>
      <c r="AL17" s="44">
        <v>15</v>
      </c>
      <c r="AM17" s="9">
        <v>6.2</v>
      </c>
      <c r="AN17" s="9" t="s">
        <v>112</v>
      </c>
    </row>
    <row r="18" spans="1:40" ht="13" x14ac:dyDescent="0.25">
      <c r="A18" s="111" t="s">
        <v>23</v>
      </c>
      <c r="B18" s="112"/>
      <c r="C18" s="13">
        <f>$D31</f>
        <v>8.934899999999999</v>
      </c>
      <c r="D18" s="13">
        <f>$D32</f>
        <v>8.934899999999999</v>
      </c>
      <c r="E18" s="13">
        <f>$D33</f>
        <v>8.934899999999999</v>
      </c>
      <c r="F18" s="13">
        <f>$D34</f>
        <v>8.934899999999999</v>
      </c>
      <c r="G18" s="13">
        <f>$D35</f>
        <v>8.934899999999999</v>
      </c>
      <c r="H18" s="13">
        <f>$D36</f>
        <v>8.934899999999999</v>
      </c>
      <c r="I18" s="13">
        <f>$D37</f>
        <v>8.934899999999999</v>
      </c>
      <c r="J18" s="13">
        <f>$D38</f>
        <v>8.934899999999999</v>
      </c>
      <c r="K18" s="13">
        <f>$D39</f>
        <v>8.934899999999999</v>
      </c>
      <c r="L18" s="13">
        <f>$D40</f>
        <v>8.934899999999999</v>
      </c>
      <c r="M18" s="13">
        <f>$D41</f>
        <v>8.934899999999999</v>
      </c>
      <c r="N18" s="13">
        <f>$D42</f>
        <v>0</v>
      </c>
      <c r="O18" s="13">
        <f>$D43</f>
        <v>0</v>
      </c>
      <c r="P18" s="13">
        <f>$D44</f>
        <v>0</v>
      </c>
      <c r="Q18" s="13">
        <f>$D45</f>
        <v>0</v>
      </c>
      <c r="R18" s="13">
        <f>$D46</f>
        <v>0</v>
      </c>
      <c r="S18" s="13">
        <f>$D47</f>
        <v>0</v>
      </c>
      <c r="T18" s="13">
        <f>$D48</f>
        <v>0</v>
      </c>
      <c r="U18" s="13">
        <f>$D49</f>
        <v>0</v>
      </c>
      <c r="V18" s="18">
        <f>$D50</f>
        <v>0</v>
      </c>
      <c r="AD18" s="45" t="s">
        <v>147</v>
      </c>
      <c r="AE18" s="23">
        <v>16</v>
      </c>
      <c r="AI18" s="41" t="s">
        <v>106</v>
      </c>
      <c r="AJ18" s="42">
        <v>5.9</v>
      </c>
      <c r="AK18" s="43">
        <v>18</v>
      </c>
      <c r="AL18" s="44">
        <v>16</v>
      </c>
      <c r="AM18" s="9">
        <v>6.2</v>
      </c>
      <c r="AN18" s="9" t="s">
        <v>112</v>
      </c>
    </row>
    <row r="19" spans="1:40" ht="13" x14ac:dyDescent="0.25">
      <c r="A19" s="111" t="s">
        <v>90</v>
      </c>
      <c r="B19" s="112"/>
      <c r="C19" s="13">
        <f>C18-C17</f>
        <v>-70.965099999999993</v>
      </c>
      <c r="D19" s="13">
        <f t="shared" ref="D19:V19" si="1">D18-D17</f>
        <v>-70.965099999999993</v>
      </c>
      <c r="E19" s="13">
        <f t="shared" si="1"/>
        <v>-70.965099999999993</v>
      </c>
      <c r="F19" s="13">
        <f t="shared" si="1"/>
        <v>-70.965099999999993</v>
      </c>
      <c r="G19" s="13">
        <f t="shared" si="1"/>
        <v>-70.965099999999993</v>
      </c>
      <c r="H19" s="13">
        <f t="shared" si="1"/>
        <v>-70.965099999999993</v>
      </c>
      <c r="I19" s="13">
        <f t="shared" si="1"/>
        <v>-70.965099999999993</v>
      </c>
      <c r="J19" s="13">
        <f t="shared" si="1"/>
        <v>-70.965099999999993</v>
      </c>
      <c r="K19" s="13">
        <f t="shared" si="1"/>
        <v>-70.965099999999993</v>
      </c>
      <c r="L19" s="13">
        <f t="shared" si="1"/>
        <v>-70.965099999999993</v>
      </c>
      <c r="M19" s="13">
        <f t="shared" si="1"/>
        <v>-70.965099999999993</v>
      </c>
      <c r="N19" s="13" t="e">
        <f t="shared" si="1"/>
        <v>#N/A</v>
      </c>
      <c r="O19" s="13" t="e">
        <f t="shared" si="1"/>
        <v>#N/A</v>
      </c>
      <c r="P19" s="13" t="e">
        <f t="shared" si="1"/>
        <v>#N/A</v>
      </c>
      <c r="Q19" s="13" t="e">
        <f t="shared" si="1"/>
        <v>#N/A</v>
      </c>
      <c r="R19" s="13" t="e">
        <f t="shared" si="1"/>
        <v>#N/A</v>
      </c>
      <c r="S19" s="13" t="e">
        <f t="shared" si="1"/>
        <v>#N/A</v>
      </c>
      <c r="T19" s="13" t="e">
        <f t="shared" si="1"/>
        <v>#N/A</v>
      </c>
      <c r="U19" s="13" t="e">
        <f t="shared" si="1"/>
        <v>#N/A</v>
      </c>
      <c r="V19" s="18" t="e">
        <f t="shared" si="1"/>
        <v>#N/A</v>
      </c>
      <c r="AI19" s="41" t="s">
        <v>107</v>
      </c>
      <c r="AJ19" s="42">
        <v>3.2</v>
      </c>
      <c r="AK19" s="43">
        <v>10.5</v>
      </c>
      <c r="AL19" s="44">
        <v>17</v>
      </c>
      <c r="AM19" s="9">
        <v>6.2</v>
      </c>
      <c r="AN19" s="9" t="s">
        <v>112</v>
      </c>
    </row>
    <row r="20" spans="1:40" ht="13.5" thickBot="1" x14ac:dyDescent="0.3">
      <c r="A20" s="113" t="s">
        <v>91</v>
      </c>
      <c r="B20" s="114"/>
      <c r="C20" s="19" t="str">
        <f>IF($B31="","",IF(C$19&gt;=0,"INCREASE","DECREASE"))</f>
        <v>DECREASE</v>
      </c>
      <c r="D20" s="19" t="str">
        <f>IF($B32="","",IF(D$19&gt;=0,"INCREASE","DECREASE"))</f>
        <v>DECREASE</v>
      </c>
      <c r="E20" s="19" t="str">
        <f>IF($B33="","",IF(E$19&gt;=0,"INCREASE","DECREASE"))</f>
        <v>DECREASE</v>
      </c>
      <c r="F20" s="19" t="str">
        <f>IF($B34="","",IF(F$19&gt;=0,"INCREASE","DECREASE"))</f>
        <v>DECREASE</v>
      </c>
      <c r="G20" s="19" t="str">
        <f>IF($B35="","",IF(G$19&gt;=0,"INCREASE","DECREASE"))</f>
        <v>DECREASE</v>
      </c>
      <c r="H20" s="19" t="str">
        <f>IF($B36="","",IF(H$19&gt;=0,"INCREASE","DECREASE"))</f>
        <v>DECREASE</v>
      </c>
      <c r="I20" s="19" t="str">
        <f>IF($B37="","",IF(I$19&gt;=0,"INCREASE","DECREASE"))</f>
        <v>DECREASE</v>
      </c>
      <c r="J20" s="19" t="str">
        <f>IF($B38="","",IF(J$19&gt;=0,"INCREASE","DECREASE"))</f>
        <v>DECREASE</v>
      </c>
      <c r="K20" s="19" t="str">
        <f>IF($B39="","",IF(K$19&gt;=0,"INCREASE","DECREASE"))</f>
        <v>DECREASE</v>
      </c>
      <c r="L20" s="19" t="str">
        <f>IF($B40="","",IF(L$19&gt;=0,"INCREASE","DECREASE"))</f>
        <v>DECREASE</v>
      </c>
      <c r="M20" s="19" t="str">
        <f>IF($B41="","",IF(M$19&gt;=0,"INCREASE","DECREASE"))</f>
        <v>DECREASE</v>
      </c>
      <c r="N20" s="19" t="str">
        <f>IF($B42="","",IF(N$19&gt;=0,"INCREASE","DECREASE"))</f>
        <v/>
      </c>
      <c r="O20" s="19" t="str">
        <f>IF($B43="","",IF(O$19&gt;=0,"INCREASE","DECREASE"))</f>
        <v/>
      </c>
      <c r="P20" s="19" t="str">
        <f>IF($B44="","",IF(P$19&gt;=0,"INCREASE","DECREASE"))</f>
        <v/>
      </c>
      <c r="Q20" s="19" t="str">
        <f>IF($B45="","",IF(Q$19&gt;=0,"INCREASE","DECREASE"))</f>
        <v/>
      </c>
      <c r="R20" s="19" t="str">
        <f>IF($B46="","",IF(R$19&gt;=0,"INCREASE","DECREASE"))</f>
        <v/>
      </c>
      <c r="S20" s="19" t="str">
        <f>IF($B47="","",IF(S$19&gt;=0,"INCREASE","DECREASE"))</f>
        <v/>
      </c>
      <c r="T20" s="19" t="str">
        <f>IF($B48="","",IF(T$19&gt;=0,"INCREASE","DECREASE"))</f>
        <v/>
      </c>
      <c r="U20" s="19" t="str">
        <f>IF($B49="","",IF(U$19&gt;=0,"INCREASE","DECREASE"))</f>
        <v/>
      </c>
      <c r="V20" s="20" t="str">
        <f>IF($B50="","",IF(V$19&gt;=0,"INCREASE","DECREASE"))</f>
        <v/>
      </c>
      <c r="AI20" s="41" t="s">
        <v>114</v>
      </c>
      <c r="AJ20" s="42">
        <v>2.1</v>
      </c>
      <c r="AK20" s="43">
        <v>7.2</v>
      </c>
      <c r="AL20" s="44">
        <v>18</v>
      </c>
      <c r="AM20" s="9">
        <v>6.2</v>
      </c>
      <c r="AN20" s="9" t="s">
        <v>112</v>
      </c>
    </row>
    <row r="21" spans="1:40" ht="13" x14ac:dyDescent="0.25">
      <c r="A21" s="109" t="s">
        <v>88</v>
      </c>
      <c r="B21" s="110"/>
      <c r="C21" s="21">
        <f>(VLOOKUP(C$14,$AI2:$AK26,3,FALSE))*C$15</f>
        <v>282</v>
      </c>
      <c r="D21" s="21">
        <f t="shared" ref="D21:V21" si="2">(VLOOKUP(D$14,$AI2:$AK24,3,FALSE))*D$15</f>
        <v>282</v>
      </c>
      <c r="E21" s="21">
        <f t="shared" si="2"/>
        <v>282</v>
      </c>
      <c r="F21" s="21">
        <f t="shared" si="2"/>
        <v>282</v>
      </c>
      <c r="G21" s="21">
        <f t="shared" si="2"/>
        <v>282</v>
      </c>
      <c r="H21" s="21">
        <f t="shared" si="2"/>
        <v>282</v>
      </c>
      <c r="I21" s="21">
        <f t="shared" si="2"/>
        <v>282</v>
      </c>
      <c r="J21" s="21">
        <f t="shared" si="2"/>
        <v>282</v>
      </c>
      <c r="K21" s="21">
        <f t="shared" si="2"/>
        <v>282</v>
      </c>
      <c r="L21" s="21">
        <f t="shared" si="2"/>
        <v>282</v>
      </c>
      <c r="M21" s="21">
        <f t="shared" si="2"/>
        <v>282</v>
      </c>
      <c r="N21" s="21" t="e">
        <f t="shared" si="2"/>
        <v>#N/A</v>
      </c>
      <c r="O21" s="21" t="e">
        <f t="shared" si="2"/>
        <v>#N/A</v>
      </c>
      <c r="P21" s="21" t="e">
        <f t="shared" si="2"/>
        <v>#N/A</v>
      </c>
      <c r="Q21" s="21" t="e">
        <f t="shared" si="2"/>
        <v>#N/A</v>
      </c>
      <c r="R21" s="21" t="e">
        <f t="shared" si="2"/>
        <v>#N/A</v>
      </c>
      <c r="S21" s="21" t="e">
        <f t="shared" si="2"/>
        <v>#N/A</v>
      </c>
      <c r="T21" s="21" t="e">
        <f t="shared" si="2"/>
        <v>#N/A</v>
      </c>
      <c r="U21" s="21" t="e">
        <f t="shared" si="2"/>
        <v>#N/A</v>
      </c>
      <c r="V21" s="21" t="e">
        <f t="shared" si="2"/>
        <v>#N/A</v>
      </c>
      <c r="AI21" s="55" t="s">
        <v>100</v>
      </c>
      <c r="AJ21" s="58">
        <v>11</v>
      </c>
      <c r="AK21" s="57">
        <v>12</v>
      </c>
      <c r="AL21" s="22">
        <v>19</v>
      </c>
      <c r="AM21" s="9">
        <v>6.7</v>
      </c>
      <c r="AN21" s="9" t="s">
        <v>135</v>
      </c>
    </row>
    <row r="22" spans="1:40" ht="13" x14ac:dyDescent="0.25">
      <c r="A22" s="111" t="s">
        <v>89</v>
      </c>
      <c r="B22" s="112"/>
      <c r="C22" s="13">
        <f>$E31</f>
        <v>31.631250000000001</v>
      </c>
      <c r="D22" s="13">
        <f>$E32</f>
        <v>31.631250000000001</v>
      </c>
      <c r="E22" s="13">
        <f>$E33</f>
        <v>31.631250000000001</v>
      </c>
      <c r="F22" s="13">
        <f>$E34</f>
        <v>31.631250000000001</v>
      </c>
      <c r="G22" s="13">
        <f>$E35</f>
        <v>31.631250000000001</v>
      </c>
      <c r="H22" s="13">
        <f>$E36</f>
        <v>31.631250000000001</v>
      </c>
      <c r="I22" s="13">
        <f>$E37</f>
        <v>31.631250000000001</v>
      </c>
      <c r="J22" s="13">
        <f>$E38</f>
        <v>31.631250000000001</v>
      </c>
      <c r="K22" s="13">
        <f>$E39</f>
        <v>31.631250000000001</v>
      </c>
      <c r="L22" s="13">
        <f>$E40</f>
        <v>31.631250000000001</v>
      </c>
      <c r="M22" s="13">
        <f>$E41</f>
        <v>31.631250000000001</v>
      </c>
      <c r="N22" s="13">
        <f>$E42</f>
        <v>0</v>
      </c>
      <c r="O22" s="13">
        <f>$E43</f>
        <v>0</v>
      </c>
      <c r="P22" s="13">
        <f>$E44</f>
        <v>0</v>
      </c>
      <c r="Q22" s="13">
        <f>$E45</f>
        <v>0</v>
      </c>
      <c r="R22" s="13">
        <f>$E46</f>
        <v>0</v>
      </c>
      <c r="S22" s="13">
        <f>$E47</f>
        <v>0</v>
      </c>
      <c r="T22" s="13">
        <f>$E48</f>
        <v>0</v>
      </c>
      <c r="U22" s="13">
        <f>$E49</f>
        <v>0</v>
      </c>
      <c r="V22" s="13">
        <f>$E50</f>
        <v>0</v>
      </c>
      <c r="AI22" s="55" t="s">
        <v>102</v>
      </c>
      <c r="AJ22" s="56">
        <v>1.2</v>
      </c>
      <c r="AK22" s="57">
        <v>5</v>
      </c>
      <c r="AL22" s="22">
        <v>20</v>
      </c>
      <c r="AM22" s="9">
        <v>6.7</v>
      </c>
      <c r="AN22" s="9" t="s">
        <v>135</v>
      </c>
    </row>
    <row r="23" spans="1:40" ht="13" x14ac:dyDescent="0.25">
      <c r="A23" s="111" t="s">
        <v>92</v>
      </c>
      <c r="B23" s="112"/>
      <c r="C23" s="13">
        <f>C22-C21</f>
        <v>-250.36875000000001</v>
      </c>
      <c r="D23" s="13">
        <f t="shared" ref="D23:V23" si="3">D22-D21</f>
        <v>-250.36875000000001</v>
      </c>
      <c r="E23" s="13">
        <f t="shared" si="3"/>
        <v>-250.36875000000001</v>
      </c>
      <c r="F23" s="13">
        <f t="shared" si="3"/>
        <v>-250.36875000000001</v>
      </c>
      <c r="G23" s="13">
        <f t="shared" si="3"/>
        <v>-250.36875000000001</v>
      </c>
      <c r="H23" s="13">
        <f t="shared" si="3"/>
        <v>-250.36875000000001</v>
      </c>
      <c r="I23" s="13">
        <f t="shared" si="3"/>
        <v>-250.36875000000001</v>
      </c>
      <c r="J23" s="13">
        <f t="shared" si="3"/>
        <v>-250.36875000000001</v>
      </c>
      <c r="K23" s="13">
        <f t="shared" si="3"/>
        <v>-250.36875000000001</v>
      </c>
      <c r="L23" s="13">
        <f t="shared" si="3"/>
        <v>-250.36875000000001</v>
      </c>
      <c r="M23" s="13">
        <f t="shared" si="3"/>
        <v>-250.36875000000001</v>
      </c>
      <c r="N23" s="13" t="e">
        <f t="shared" si="3"/>
        <v>#N/A</v>
      </c>
      <c r="O23" s="13" t="e">
        <f t="shared" si="3"/>
        <v>#N/A</v>
      </c>
      <c r="P23" s="13" t="e">
        <f t="shared" si="3"/>
        <v>#N/A</v>
      </c>
      <c r="Q23" s="13" t="e">
        <f t="shared" si="3"/>
        <v>#N/A</v>
      </c>
      <c r="R23" s="13" t="e">
        <f t="shared" si="3"/>
        <v>#N/A</v>
      </c>
      <c r="S23" s="13" t="e">
        <f t="shared" si="3"/>
        <v>#N/A</v>
      </c>
      <c r="T23" s="13" t="e">
        <f t="shared" si="3"/>
        <v>#N/A</v>
      </c>
      <c r="U23" s="13" t="e">
        <f t="shared" si="3"/>
        <v>#N/A</v>
      </c>
      <c r="V23" s="13" t="e">
        <f t="shared" si="3"/>
        <v>#N/A</v>
      </c>
      <c r="AI23" s="55" t="s">
        <v>98</v>
      </c>
      <c r="AJ23" s="58">
        <v>9</v>
      </c>
      <c r="AK23" s="57">
        <v>10</v>
      </c>
      <c r="AL23" s="22">
        <v>21</v>
      </c>
      <c r="AM23" s="9">
        <v>6.7</v>
      </c>
      <c r="AN23" s="9" t="s">
        <v>135</v>
      </c>
    </row>
    <row r="24" spans="1:40" ht="13.5" thickBot="1" x14ac:dyDescent="0.3">
      <c r="A24" s="113" t="s">
        <v>93</v>
      </c>
      <c r="B24" s="114"/>
      <c r="C24" s="19" t="str">
        <f>IF($B31="","",IF(C$23&gt;=0,"INCREASE","DECREASE"))</f>
        <v>DECREASE</v>
      </c>
      <c r="D24" s="19" t="str">
        <f t="shared" ref="D24:V24" si="4">IF($B31="","",IF(D$23&gt;=0,"INCREASE","DECREASE"))</f>
        <v>DECREASE</v>
      </c>
      <c r="E24" s="19" t="str">
        <f t="shared" si="4"/>
        <v>DECREASE</v>
      </c>
      <c r="F24" s="19" t="str">
        <f t="shared" si="4"/>
        <v>DECREASE</v>
      </c>
      <c r="G24" s="19" t="str">
        <f t="shared" si="4"/>
        <v>DECREASE</v>
      </c>
      <c r="H24" s="19" t="str">
        <f t="shared" si="4"/>
        <v>DECREASE</v>
      </c>
      <c r="I24" s="19" t="str">
        <f t="shared" si="4"/>
        <v>DECREASE</v>
      </c>
      <c r="J24" s="19" t="str">
        <f t="shared" si="4"/>
        <v>DECREASE</v>
      </c>
      <c r="K24" s="19" t="str">
        <f t="shared" si="4"/>
        <v>DECREASE</v>
      </c>
      <c r="L24" s="19" t="str">
        <f t="shared" si="4"/>
        <v>DECREASE</v>
      </c>
      <c r="M24" s="19" t="str">
        <f t="shared" si="4"/>
        <v>DECREASE</v>
      </c>
      <c r="N24" s="19" t="e">
        <f t="shared" si="4"/>
        <v>#N/A</v>
      </c>
      <c r="O24" s="19" t="e">
        <f t="shared" si="4"/>
        <v>#N/A</v>
      </c>
      <c r="P24" s="19" t="e">
        <f t="shared" si="4"/>
        <v>#N/A</v>
      </c>
      <c r="Q24" s="19" t="e">
        <f t="shared" si="4"/>
        <v>#N/A</v>
      </c>
      <c r="R24" s="19" t="e">
        <f t="shared" si="4"/>
        <v>#N/A</v>
      </c>
      <c r="S24" s="19" t="e">
        <f t="shared" si="4"/>
        <v>#N/A</v>
      </c>
      <c r="T24" s="19" t="e">
        <f t="shared" si="4"/>
        <v>#N/A</v>
      </c>
      <c r="U24" s="19" t="e">
        <f t="shared" si="4"/>
        <v>#N/A</v>
      </c>
      <c r="V24" s="19" t="e">
        <f t="shared" si="4"/>
        <v>#N/A</v>
      </c>
      <c r="AI24" s="55" t="s">
        <v>99</v>
      </c>
      <c r="AJ24" s="58">
        <v>1.5</v>
      </c>
      <c r="AK24" s="57">
        <v>3</v>
      </c>
      <c r="AL24" s="22">
        <v>22</v>
      </c>
      <c r="AM24" s="9">
        <v>6.7</v>
      </c>
      <c r="AN24" s="9" t="s">
        <v>135</v>
      </c>
    </row>
    <row r="25" spans="1:40" x14ac:dyDescent="0.25">
      <c r="D25" s="59"/>
      <c r="E25" s="59"/>
      <c r="F25" s="59"/>
      <c r="AI25" s="55" t="s">
        <v>117</v>
      </c>
      <c r="AJ25" s="58">
        <v>1</v>
      </c>
      <c r="AK25" s="57">
        <v>5.8</v>
      </c>
      <c r="AL25" s="22">
        <v>23</v>
      </c>
      <c r="AM25" s="9">
        <v>6.7</v>
      </c>
      <c r="AN25" s="9" t="s">
        <v>135</v>
      </c>
    </row>
    <row r="26" spans="1:40" s="7" customFormat="1" ht="13" x14ac:dyDescent="0.25">
      <c r="A26" s="93"/>
      <c r="B26" s="3" t="s">
        <v>10</v>
      </c>
      <c r="C26" s="3" t="s">
        <v>75</v>
      </c>
      <c r="D26" s="94" t="s">
        <v>11</v>
      </c>
      <c r="E26" s="94" t="s">
        <v>12</v>
      </c>
      <c r="F26" s="94" t="s">
        <v>13</v>
      </c>
      <c r="G26" s="3" t="s">
        <v>14</v>
      </c>
      <c r="H26" s="94" t="s">
        <v>15</v>
      </c>
      <c r="I26" s="94" t="s">
        <v>16</v>
      </c>
      <c r="J26" s="3" t="s">
        <v>17</v>
      </c>
      <c r="K26" s="3" t="s">
        <v>18</v>
      </c>
      <c r="L26" s="3" t="s">
        <v>19</v>
      </c>
      <c r="M26" s="3" t="s">
        <v>20</v>
      </c>
      <c r="N26" s="3" t="s">
        <v>61</v>
      </c>
      <c r="O26" s="3" t="s">
        <v>62</v>
      </c>
      <c r="P26" s="94" t="s">
        <v>39</v>
      </c>
      <c r="Q26" s="94" t="s">
        <v>40</v>
      </c>
      <c r="R26" s="94" t="s">
        <v>35</v>
      </c>
      <c r="S26" s="94" t="s">
        <v>36</v>
      </c>
      <c r="T26" s="94" t="s">
        <v>37</v>
      </c>
      <c r="U26" s="94" t="s">
        <v>38</v>
      </c>
      <c r="AI26" s="60" t="s">
        <v>116</v>
      </c>
      <c r="AJ26" s="61">
        <v>0.7</v>
      </c>
      <c r="AK26" s="62">
        <v>2.4</v>
      </c>
      <c r="AL26" s="22">
        <v>24</v>
      </c>
      <c r="AM26" s="7">
        <v>6.7</v>
      </c>
      <c r="AN26" s="9" t="s">
        <v>135</v>
      </c>
    </row>
    <row r="27" spans="1:40" x14ac:dyDescent="0.35">
      <c r="A27" s="95"/>
      <c r="B27" s="63" t="s">
        <v>46</v>
      </c>
      <c r="C27" s="96" t="s">
        <v>56</v>
      </c>
      <c r="D27" s="96" t="s">
        <v>54</v>
      </c>
      <c r="E27" s="96" t="s">
        <v>54</v>
      </c>
      <c r="F27" s="96" t="s">
        <v>54</v>
      </c>
      <c r="G27" s="96" t="s">
        <v>54</v>
      </c>
      <c r="H27" s="96" t="s">
        <v>54</v>
      </c>
      <c r="I27" s="96" t="s">
        <v>54</v>
      </c>
      <c r="J27" s="96" t="s">
        <v>54</v>
      </c>
      <c r="K27" s="96" t="s">
        <v>54</v>
      </c>
      <c r="L27" s="96" t="s">
        <v>54</v>
      </c>
      <c r="M27" s="96" t="s">
        <v>54</v>
      </c>
      <c r="N27" s="96"/>
      <c r="O27" s="96"/>
      <c r="P27" s="96" t="s">
        <v>54</v>
      </c>
      <c r="Q27" s="96" t="s">
        <v>54</v>
      </c>
      <c r="R27" s="96"/>
      <c r="S27" s="96"/>
      <c r="T27" s="96"/>
      <c r="U27" s="96"/>
    </row>
    <row r="28" spans="1:40" x14ac:dyDescent="0.35">
      <c r="A28" s="97"/>
      <c r="B28" s="17">
        <v>0.38</v>
      </c>
      <c r="C28" s="12">
        <v>0.01</v>
      </c>
      <c r="D28" s="12">
        <v>15.6</v>
      </c>
      <c r="E28" s="12">
        <v>105</v>
      </c>
      <c r="F28" s="12">
        <v>10</v>
      </c>
      <c r="G28" s="12">
        <v>0.2</v>
      </c>
      <c r="H28" s="12">
        <v>2</v>
      </c>
      <c r="I28" s="12">
        <v>0.5</v>
      </c>
      <c r="J28" s="12">
        <v>0.01</v>
      </c>
      <c r="K28" s="16">
        <v>0.05</v>
      </c>
      <c r="L28" s="12">
        <v>0.2</v>
      </c>
      <c r="M28" s="12">
        <v>0.2</v>
      </c>
      <c r="N28" s="12"/>
      <c r="O28" s="12"/>
      <c r="P28" s="12">
        <v>684</v>
      </c>
      <c r="Q28" s="12">
        <v>28.6</v>
      </c>
      <c r="R28" s="12"/>
      <c r="S28" s="12"/>
      <c r="T28" s="12"/>
      <c r="U28" s="12"/>
    </row>
    <row r="29" spans="1:40" s="7" customFormat="1" ht="28" x14ac:dyDescent="0.35">
      <c r="A29" s="11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6" customFormat="1" ht="28" x14ac:dyDescent="0.35">
      <c r="A30" s="11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51" customFormat="1" ht="13" x14ac:dyDescent="0.35">
      <c r="A31" s="10" t="str">
        <f>C8</f>
        <v>Nant Y Croi 9</v>
      </c>
      <c r="B31" s="12">
        <v>250</v>
      </c>
      <c r="C31" s="68">
        <f>IF(C$27="%w/w SAR",((C$28*10)*$B31),IF(C$27="%w/w DM",(((C$28*10)*($B$28/100))*$B31),IF(C$27="kg/t SAR",(C$28*$B31),IF(C$27="kg/t DM",((C$28*($B$28/100))*$B31),IF(C$27="mg/kg SAR",((C$28*0.001)*$B31),IF(C$27="mg/kg DM",(((C$28*0.001)*($B$28/100))*$B31),0))))))</f>
        <v>25</v>
      </c>
      <c r="D31" s="68">
        <f>(IF(D$27="%w/w SAR",((D$28*10)*$B31),IF(D$27="%w/w DM",(((D$28*10)*($B$28/100))*$B31),IF(D$27="kg/t SAR",(D$28*$B31),IF(D$27="kg/t DM",((D$28*($B$28/100))*$B31),IF(D$27="mg/kg SAR",((D$28*0.001)*$B31),IF(D$27="mg/kg DM",(((D$28*0.001)*($B$28/100))*$B31),"0")))))))*2.291</f>
        <v>8.934899999999999</v>
      </c>
      <c r="E31" s="68">
        <f>(IF(E$27="%w/w SAR",((E$28*10)*$B31),IF(E$27="%w/w DM",(((E$28*10)*($B$28/100))*$B31),IF(E$27="kg/t SAR",(E$28*$B31),IF(E$27="kg/t DM",((E$28*($B$28/100))*$B31),IF(E$27="mg/kg SAR",((E$28*0.001)*$B31),IF(E$27="mg/kg DM",(((E$28*0.001)*($B$28/100))*$B31),"0")))))))*1.205</f>
        <v>31.631250000000001</v>
      </c>
      <c r="F31" s="68">
        <f>(IF(F$27="%w/w SAR",((F$28*10)*$B31),IF(F$27="%w/w DM",(((F$28*10)*($B$28/100))*$B31),IF(F$27="kg/t SAR",(F$28*$B31),IF(F$27="kg/t DM",((F$28*($B$28/100))*$B31),IF(F$27="mg/kg SAR",((F$28*0.001)*$B31),IF(F$27="mg/kg DM",(((F$28*0.001)*($B$28/100))*$B31),"0")))))))*1.658</f>
        <v>4.1449999999999996</v>
      </c>
      <c r="G31" s="68">
        <f t="shared" ref="G31:P46" si="5">IF(G$27="%w/w SAR",((G$28*10)*$B31),IF(G$27="%w/w DM",(((G$28*10)*($B$28/100))*$B31),IF(G$27="kg/t SAR",(G$28*$B31),IF(G$27="kg/t DM",((G$28*($B$28/100))*$B31),IF(G$27="mg/kg SAR",((G$28*0.001)*$B31),IF(G$27="mg/kg DM",(((G$28*0.001)*($B$28/100))*$B31),0))))))</f>
        <v>0.05</v>
      </c>
      <c r="H31" s="68">
        <f t="shared" si="5"/>
        <v>0.5</v>
      </c>
      <c r="I31" s="68">
        <f t="shared" si="5"/>
        <v>0.125</v>
      </c>
      <c r="J31" s="68">
        <f t="shared" si="5"/>
        <v>2.5000000000000001E-3</v>
      </c>
      <c r="K31" s="68">
        <f t="shared" si="5"/>
        <v>1.2500000000000001E-2</v>
      </c>
      <c r="L31" s="68">
        <f t="shared" si="5"/>
        <v>0.05</v>
      </c>
      <c r="M31" s="68">
        <f t="shared" si="5"/>
        <v>0.05</v>
      </c>
      <c r="N31" s="68">
        <f t="shared" si="5"/>
        <v>0</v>
      </c>
      <c r="O31" s="68">
        <f t="shared" si="5"/>
        <v>0</v>
      </c>
      <c r="P31" s="68">
        <f t="shared" si="5"/>
        <v>171</v>
      </c>
      <c r="Q31" s="68">
        <f>(IF(Q$27="%w/w SAR",((Q$28*10)*$B31),IF(Q$27="%w/w DM",(((Q$28*10)*($B$28/100))*$B31),IF(Q$27="kg/t SAR",(Q$28*$B31),IF(Q$27="kg/t DM",((Q$28*($B$28/100))*$B31),IF(Q$27="mg/kg SAR",((Q$28*0.001)*$B31),IF(Q$27="mg/kg DM",(((Q$28*0.001)*($B$28/100))*$B31),0)))))))*2.5</f>
        <v>17.875</v>
      </c>
      <c r="R31" s="68">
        <f>IF(R$27="%w/w SAR",((R$28*10)*$B31),IF(R$27="%w/w DM",(((R$28*10)*($B$28/100))*$B31),IF(R$27="kg/t SAR",(R$28*$B31),IF(R$27="kg/t DM",((R$28*($B$28/100))*$B31),IF(R$27="mg/kg SAR",((R$28*0.001)*$B31),IF(R$27="mg/kg DM",(((R$28*0.001)*($B$28/100))*$B31),0))))))</f>
        <v>0</v>
      </c>
      <c r="S31" s="68">
        <f>IF(S$27="%w/w SAR",((S$28*10)*$B31),IF(S$27="%w/w DM",(((S$28*10)*($B$28/100))*$B31),IF(S$27="kg/t SAR",(S$28*$B31),IF(S$27="kg/t DM",((S$28*($B$28/100))*$B31),IF(S$27="mg/kg SAR",((S$28*0.001)*$B31),IF(S$27="mg/kg DM",(((S$28*0.001)*($B$28/100))*$B31),0))))))</f>
        <v>0</v>
      </c>
      <c r="T31" s="68">
        <f>IF(T$27="%w/w SAR",((T$28*10)*$B31),IF(T$27="%w/w DM",(((T$28*10)*($B$28/100))*$B31),IF(T$27="kg/t SAR",(T$28*$B31),IF(T$27="kg/t DM",((T$28*($B$28/100))*$B31),IF(T$27="mg/kg SAR",((T$28*0.001)*$B31),IF(T$27="mg/kg DM",(((T$28*0.001)*($B$28/100))*$B31),0))))))</f>
        <v>0</v>
      </c>
      <c r="U31" s="68">
        <f>IF(U$27="%w/w SAR",((U$28*10)*$B31),IF(U$27="%w/w DM",(((U$28*10)*($B$28/100))*$B31),IF(U$27="kg/t SAR",(U$28*$B31),IF(U$27="kg/t DM",((U$28*($B$28/100))*$B31),IF(U$27="mg/kg SAR",((U$28*0.001)*$B31),IF(U$27="mg/kg DM",(((U$28*0.001)*($B$28/100))*$B31),0))))))</f>
        <v>0</v>
      </c>
    </row>
    <row r="32" spans="1:40" s="51" customFormat="1" ht="13" x14ac:dyDescent="0.35">
      <c r="A32" s="10" t="str">
        <f>D8</f>
        <v>Hafod 4315</v>
      </c>
      <c r="B32" s="12">
        <v>250</v>
      </c>
      <c r="C32" s="68">
        <f t="shared" ref="C32:C50" si="6">IF(C$27="%w/w SAR",((C$28*10)*$B32),IF(C$27="%w/w DM",(((C$28*10)*($B$28/100))*$B32),IF(C$27="kg/t SAR",(C$28*$B32),IF(C$27="kg/t DM",((C$28*($B$28/100))*$B32),IF(C$27="mg/kg SAR",((C$28*0.001)*$B32),IF(C$27="mg/kg DM",(((C$28*0.001)*($B$28/100))*$B32),0))))))</f>
        <v>25</v>
      </c>
      <c r="D32" s="68">
        <f t="shared" ref="D32:D50" si="7">(IF(D$27="%w/w SAR",((D$28*10)*$B32),IF(D$27="%w/w DM",(((D$28*10)*($B$28/100))*$B32),IF(D$27="kg/t SAR",(D$28*$B32),IF(D$27="kg/t DM",((D$28*($B$28/100))*$B32),IF(D$27="mg/kg SAR",((D$28*0.001)*$B32),IF(D$27="mg/kg DM",(((D$28*0.001)*($B$28/100))*$B32),"0")))))))*2.291</f>
        <v>8.934899999999999</v>
      </c>
      <c r="E32" s="68">
        <f t="shared" ref="E32:E50" si="8">(IF(E$27="%w/w SAR",((E$28*10)*$B32),IF(E$27="%w/w DM",(((E$28*10)*($B$28/100))*$B32),IF(E$27="kg/t SAR",(E$28*$B32),IF(E$27="kg/t DM",((E$28*($B$28/100))*$B32),IF(E$27="mg/kg SAR",((E$28*0.001)*$B32),IF(E$27="mg/kg DM",(((E$28*0.001)*($B$28/100))*$B32),"0")))))))*1.205</f>
        <v>31.631250000000001</v>
      </c>
      <c r="F32" s="68">
        <f t="shared" ref="F32:F50" si="9">(IF(F$27="%w/w SAR",((F$28*10)*$B32),IF(F$27="%w/w DM",(((F$28*10)*($B$28/100))*$B32),IF(F$27="kg/t SAR",(F$28*$B32),IF(F$27="kg/t DM",((F$28*($B$28/100))*$B32),IF(F$27="mg/kg SAR",((F$28*0.001)*$B32),IF(F$27="mg/kg DM",(((F$28*0.001)*($B$28/100))*$B32),"0")))))))*1.658</f>
        <v>4.1449999999999996</v>
      </c>
      <c r="G32" s="68">
        <f t="shared" si="5"/>
        <v>0.05</v>
      </c>
      <c r="H32" s="68">
        <f t="shared" si="5"/>
        <v>0.5</v>
      </c>
      <c r="I32" s="68">
        <f t="shared" si="5"/>
        <v>0.125</v>
      </c>
      <c r="J32" s="68">
        <f t="shared" si="5"/>
        <v>2.5000000000000001E-3</v>
      </c>
      <c r="K32" s="68">
        <f t="shared" si="5"/>
        <v>1.2500000000000001E-2</v>
      </c>
      <c r="L32" s="68">
        <f t="shared" si="5"/>
        <v>0.05</v>
      </c>
      <c r="M32" s="68">
        <f t="shared" si="5"/>
        <v>0.05</v>
      </c>
      <c r="N32" s="68">
        <f t="shared" si="5"/>
        <v>0</v>
      </c>
      <c r="O32" s="68">
        <f t="shared" si="5"/>
        <v>0</v>
      </c>
      <c r="P32" s="68">
        <f t="shared" si="5"/>
        <v>171</v>
      </c>
      <c r="Q32" s="68">
        <f t="shared" ref="Q32:Q50" si="10">(IF(Q$27="%w/w SAR",((Q$28*10)*$B32),IF(Q$27="%w/w DM",(((Q$28*10)*($B$28/100))*$B32),IF(Q$27="kg/t SAR",(Q$28*$B32),IF(Q$27="kg/t DM",((Q$28*($B$28/100))*$B32),IF(Q$27="mg/kg SAR",((Q$28*0.001)*$B32),IF(Q$27="mg/kg DM",(((Q$28*0.001)*($B$28/100))*$B32),0)))))))*2.5</f>
        <v>17.875</v>
      </c>
      <c r="R32" s="68">
        <f t="shared" ref="R32:U50" si="11">IF(R$27="%w/w SAR",((R$28*10)*$B32),IF(R$27="%w/w DM",(((R$28*10)*($B$28/100))*$B32),IF(R$27="kg/t SAR",(R$28*$B32),IF(R$27="kg/t DM",((R$28*($B$28/100))*$B32),IF(R$27="mg/kg SAR",((R$28*0.001)*$B32),IF(R$27="mg/kg DM",(((R$28*0.001)*($B$28/100))*$B32),0))))))</f>
        <v>0</v>
      </c>
      <c r="S32" s="68">
        <f t="shared" si="11"/>
        <v>0</v>
      </c>
      <c r="T32" s="68">
        <f t="shared" si="11"/>
        <v>0</v>
      </c>
      <c r="U32" s="68">
        <f t="shared" si="11"/>
        <v>0</v>
      </c>
    </row>
    <row r="33" spans="1:21" s="51" customFormat="1" ht="13" x14ac:dyDescent="0.35">
      <c r="A33" s="10" t="str">
        <f>E8</f>
        <v>Hafod 4734</v>
      </c>
      <c r="B33" s="12">
        <v>250</v>
      </c>
      <c r="C33" s="68">
        <f t="shared" si="6"/>
        <v>25</v>
      </c>
      <c r="D33" s="68">
        <f t="shared" si="7"/>
        <v>8.934899999999999</v>
      </c>
      <c r="E33" s="68">
        <f t="shared" si="8"/>
        <v>31.631250000000001</v>
      </c>
      <c r="F33" s="68">
        <f t="shared" si="9"/>
        <v>4.1449999999999996</v>
      </c>
      <c r="G33" s="68">
        <f t="shared" si="5"/>
        <v>0.05</v>
      </c>
      <c r="H33" s="68">
        <f t="shared" si="5"/>
        <v>0.5</v>
      </c>
      <c r="I33" s="68">
        <f t="shared" si="5"/>
        <v>0.125</v>
      </c>
      <c r="J33" s="68">
        <f t="shared" si="5"/>
        <v>2.5000000000000001E-3</v>
      </c>
      <c r="K33" s="68">
        <f t="shared" si="5"/>
        <v>1.2500000000000001E-2</v>
      </c>
      <c r="L33" s="68">
        <f t="shared" si="5"/>
        <v>0.05</v>
      </c>
      <c r="M33" s="68">
        <f t="shared" si="5"/>
        <v>0.05</v>
      </c>
      <c r="N33" s="68">
        <f t="shared" si="5"/>
        <v>0</v>
      </c>
      <c r="O33" s="68">
        <f t="shared" si="5"/>
        <v>0</v>
      </c>
      <c r="P33" s="68">
        <f t="shared" si="5"/>
        <v>171</v>
      </c>
      <c r="Q33" s="68">
        <f t="shared" si="10"/>
        <v>17.875</v>
      </c>
      <c r="R33" s="68">
        <f t="shared" si="11"/>
        <v>0</v>
      </c>
      <c r="S33" s="68">
        <f t="shared" si="11"/>
        <v>0</v>
      </c>
      <c r="T33" s="68">
        <f t="shared" si="11"/>
        <v>0</v>
      </c>
      <c r="U33" s="68">
        <f t="shared" si="11"/>
        <v>0</v>
      </c>
    </row>
    <row r="34" spans="1:21" s="51" customFormat="1" ht="13" x14ac:dyDescent="0.35">
      <c r="A34" s="10" t="str">
        <f>F8</f>
        <v>Hafod 5761</v>
      </c>
      <c r="B34" s="12">
        <v>250</v>
      </c>
      <c r="C34" s="68">
        <f t="shared" si="6"/>
        <v>25</v>
      </c>
      <c r="D34" s="68">
        <f t="shared" si="7"/>
        <v>8.934899999999999</v>
      </c>
      <c r="E34" s="68">
        <f t="shared" si="8"/>
        <v>31.631250000000001</v>
      </c>
      <c r="F34" s="68">
        <f t="shared" si="9"/>
        <v>4.1449999999999996</v>
      </c>
      <c r="G34" s="68">
        <f t="shared" si="5"/>
        <v>0.05</v>
      </c>
      <c r="H34" s="68">
        <f t="shared" si="5"/>
        <v>0.5</v>
      </c>
      <c r="I34" s="68">
        <f t="shared" si="5"/>
        <v>0.125</v>
      </c>
      <c r="J34" s="68">
        <f t="shared" si="5"/>
        <v>2.5000000000000001E-3</v>
      </c>
      <c r="K34" s="68">
        <f t="shared" si="5"/>
        <v>1.2500000000000001E-2</v>
      </c>
      <c r="L34" s="68">
        <f t="shared" si="5"/>
        <v>0.05</v>
      </c>
      <c r="M34" s="68">
        <f t="shared" si="5"/>
        <v>0.05</v>
      </c>
      <c r="N34" s="68">
        <f t="shared" si="5"/>
        <v>0</v>
      </c>
      <c r="O34" s="68">
        <f t="shared" si="5"/>
        <v>0</v>
      </c>
      <c r="P34" s="68">
        <f t="shared" si="5"/>
        <v>171</v>
      </c>
      <c r="Q34" s="68">
        <f t="shared" si="10"/>
        <v>17.875</v>
      </c>
      <c r="R34" s="68">
        <f t="shared" si="11"/>
        <v>0</v>
      </c>
      <c r="S34" s="68">
        <f t="shared" si="11"/>
        <v>0</v>
      </c>
      <c r="T34" s="68">
        <f t="shared" si="11"/>
        <v>0</v>
      </c>
      <c r="U34" s="68">
        <f t="shared" si="11"/>
        <v>0</v>
      </c>
    </row>
    <row r="35" spans="1:21" s="51" customFormat="1" ht="13" x14ac:dyDescent="0.35">
      <c r="A35" s="10" t="str">
        <f>G8</f>
        <v>Hafod 4067</v>
      </c>
      <c r="B35" s="12">
        <v>250</v>
      </c>
      <c r="C35" s="68">
        <f t="shared" si="6"/>
        <v>25</v>
      </c>
      <c r="D35" s="68">
        <f t="shared" si="7"/>
        <v>8.934899999999999</v>
      </c>
      <c r="E35" s="68">
        <f t="shared" si="8"/>
        <v>31.631250000000001</v>
      </c>
      <c r="F35" s="68">
        <f t="shared" si="9"/>
        <v>4.1449999999999996</v>
      </c>
      <c r="G35" s="68">
        <f t="shared" si="5"/>
        <v>0.05</v>
      </c>
      <c r="H35" s="68">
        <f t="shared" si="5"/>
        <v>0.5</v>
      </c>
      <c r="I35" s="68">
        <f t="shared" si="5"/>
        <v>0.125</v>
      </c>
      <c r="J35" s="68">
        <f t="shared" si="5"/>
        <v>2.5000000000000001E-3</v>
      </c>
      <c r="K35" s="68">
        <f t="shared" si="5"/>
        <v>1.2500000000000001E-2</v>
      </c>
      <c r="L35" s="68">
        <f t="shared" si="5"/>
        <v>0.05</v>
      </c>
      <c r="M35" s="68">
        <f t="shared" si="5"/>
        <v>0.05</v>
      </c>
      <c r="N35" s="68">
        <f t="shared" si="5"/>
        <v>0</v>
      </c>
      <c r="O35" s="68">
        <f t="shared" si="5"/>
        <v>0</v>
      </c>
      <c r="P35" s="68">
        <f t="shared" si="5"/>
        <v>171</v>
      </c>
      <c r="Q35" s="68">
        <f t="shared" si="10"/>
        <v>17.875</v>
      </c>
      <c r="R35" s="68">
        <f t="shared" si="11"/>
        <v>0</v>
      </c>
      <c r="S35" s="68">
        <f t="shared" si="11"/>
        <v>0</v>
      </c>
      <c r="T35" s="68">
        <f t="shared" si="11"/>
        <v>0</v>
      </c>
      <c r="U35" s="68">
        <f t="shared" si="11"/>
        <v>0</v>
      </c>
    </row>
    <row r="36" spans="1:21" s="51" customFormat="1" ht="13" x14ac:dyDescent="0.35">
      <c r="A36" s="10" t="str">
        <f>H8</f>
        <v>Hafod 2455</v>
      </c>
      <c r="B36" s="12">
        <v>250</v>
      </c>
      <c r="C36" s="68">
        <f t="shared" si="6"/>
        <v>25</v>
      </c>
      <c r="D36" s="68">
        <f t="shared" si="7"/>
        <v>8.934899999999999</v>
      </c>
      <c r="E36" s="68">
        <f t="shared" si="8"/>
        <v>31.631250000000001</v>
      </c>
      <c r="F36" s="68">
        <f t="shared" si="9"/>
        <v>4.1449999999999996</v>
      </c>
      <c r="G36" s="68">
        <f t="shared" si="5"/>
        <v>0.05</v>
      </c>
      <c r="H36" s="68">
        <f t="shared" si="5"/>
        <v>0.5</v>
      </c>
      <c r="I36" s="68">
        <f t="shared" si="5"/>
        <v>0.125</v>
      </c>
      <c r="J36" s="68">
        <f t="shared" si="5"/>
        <v>2.5000000000000001E-3</v>
      </c>
      <c r="K36" s="68">
        <f t="shared" si="5"/>
        <v>1.2500000000000001E-2</v>
      </c>
      <c r="L36" s="68">
        <f t="shared" si="5"/>
        <v>0.05</v>
      </c>
      <c r="M36" s="68">
        <f t="shared" si="5"/>
        <v>0.05</v>
      </c>
      <c r="N36" s="68">
        <f t="shared" si="5"/>
        <v>0</v>
      </c>
      <c r="O36" s="68">
        <f t="shared" si="5"/>
        <v>0</v>
      </c>
      <c r="P36" s="68">
        <f t="shared" si="5"/>
        <v>171</v>
      </c>
      <c r="Q36" s="68">
        <f t="shared" si="10"/>
        <v>17.875</v>
      </c>
      <c r="R36" s="68">
        <f t="shared" si="11"/>
        <v>0</v>
      </c>
      <c r="S36" s="68">
        <f t="shared" si="11"/>
        <v>0</v>
      </c>
      <c r="T36" s="68">
        <f t="shared" si="11"/>
        <v>0</v>
      </c>
      <c r="U36" s="68">
        <f t="shared" si="11"/>
        <v>0</v>
      </c>
    </row>
    <row r="37" spans="1:21" s="51" customFormat="1" ht="13" x14ac:dyDescent="0.35">
      <c r="A37" s="10" t="str">
        <f>I8</f>
        <v>Hafod 1741</v>
      </c>
      <c r="B37" s="12">
        <v>250</v>
      </c>
      <c r="C37" s="68">
        <f t="shared" si="6"/>
        <v>25</v>
      </c>
      <c r="D37" s="68">
        <f t="shared" si="7"/>
        <v>8.934899999999999</v>
      </c>
      <c r="E37" s="68">
        <f t="shared" si="8"/>
        <v>31.631250000000001</v>
      </c>
      <c r="F37" s="68">
        <f t="shared" si="9"/>
        <v>4.1449999999999996</v>
      </c>
      <c r="G37" s="68">
        <f t="shared" si="5"/>
        <v>0.05</v>
      </c>
      <c r="H37" s="68">
        <f t="shared" si="5"/>
        <v>0.5</v>
      </c>
      <c r="I37" s="68">
        <f t="shared" si="5"/>
        <v>0.125</v>
      </c>
      <c r="J37" s="68">
        <f t="shared" si="5"/>
        <v>2.5000000000000001E-3</v>
      </c>
      <c r="K37" s="68">
        <f t="shared" si="5"/>
        <v>1.2500000000000001E-2</v>
      </c>
      <c r="L37" s="68">
        <f t="shared" si="5"/>
        <v>0.05</v>
      </c>
      <c r="M37" s="68">
        <f t="shared" si="5"/>
        <v>0.05</v>
      </c>
      <c r="N37" s="68">
        <f t="shared" si="5"/>
        <v>0</v>
      </c>
      <c r="O37" s="68">
        <f t="shared" si="5"/>
        <v>0</v>
      </c>
      <c r="P37" s="68">
        <f t="shared" si="5"/>
        <v>171</v>
      </c>
      <c r="Q37" s="68">
        <f t="shared" si="10"/>
        <v>17.875</v>
      </c>
      <c r="R37" s="68">
        <f t="shared" si="11"/>
        <v>0</v>
      </c>
      <c r="S37" s="68">
        <f t="shared" si="11"/>
        <v>0</v>
      </c>
      <c r="T37" s="68">
        <f t="shared" si="11"/>
        <v>0</v>
      </c>
      <c r="U37" s="68">
        <f t="shared" si="11"/>
        <v>0</v>
      </c>
    </row>
    <row r="38" spans="1:21" s="51" customFormat="1" ht="13" x14ac:dyDescent="0.35">
      <c r="A38" s="10" t="str">
        <f>J8</f>
        <v>Hafod 0720</v>
      </c>
      <c r="B38" s="12">
        <v>250</v>
      </c>
      <c r="C38" s="68">
        <f t="shared" si="6"/>
        <v>25</v>
      </c>
      <c r="D38" s="68">
        <f t="shared" si="7"/>
        <v>8.934899999999999</v>
      </c>
      <c r="E38" s="68">
        <f t="shared" si="8"/>
        <v>31.631250000000001</v>
      </c>
      <c r="F38" s="68">
        <f t="shared" si="9"/>
        <v>4.1449999999999996</v>
      </c>
      <c r="G38" s="68">
        <f t="shared" si="5"/>
        <v>0.05</v>
      </c>
      <c r="H38" s="68">
        <f t="shared" si="5"/>
        <v>0.5</v>
      </c>
      <c r="I38" s="68">
        <f t="shared" si="5"/>
        <v>0.125</v>
      </c>
      <c r="J38" s="68">
        <f t="shared" si="5"/>
        <v>2.5000000000000001E-3</v>
      </c>
      <c r="K38" s="68">
        <f t="shared" si="5"/>
        <v>1.2500000000000001E-2</v>
      </c>
      <c r="L38" s="68">
        <f t="shared" si="5"/>
        <v>0.05</v>
      </c>
      <c r="M38" s="68">
        <f t="shared" si="5"/>
        <v>0.05</v>
      </c>
      <c r="N38" s="68">
        <f t="shared" si="5"/>
        <v>0</v>
      </c>
      <c r="O38" s="68">
        <f t="shared" si="5"/>
        <v>0</v>
      </c>
      <c r="P38" s="68">
        <f t="shared" si="5"/>
        <v>171</v>
      </c>
      <c r="Q38" s="68">
        <f t="shared" si="10"/>
        <v>17.875</v>
      </c>
      <c r="R38" s="68">
        <f t="shared" si="11"/>
        <v>0</v>
      </c>
      <c r="S38" s="68">
        <f t="shared" si="11"/>
        <v>0</v>
      </c>
      <c r="T38" s="68">
        <f t="shared" si="11"/>
        <v>0</v>
      </c>
      <c r="U38" s="68">
        <f t="shared" si="11"/>
        <v>0</v>
      </c>
    </row>
    <row r="39" spans="1:21" s="51" customFormat="1" ht="13" x14ac:dyDescent="0.35">
      <c r="A39" s="10" t="str">
        <f>K8</f>
        <v>Solafron 2893</v>
      </c>
      <c r="B39" s="12">
        <v>250</v>
      </c>
      <c r="C39" s="68">
        <f t="shared" si="6"/>
        <v>25</v>
      </c>
      <c r="D39" s="68">
        <f t="shared" si="7"/>
        <v>8.934899999999999</v>
      </c>
      <c r="E39" s="68">
        <f t="shared" si="8"/>
        <v>31.631250000000001</v>
      </c>
      <c r="F39" s="68">
        <f t="shared" si="9"/>
        <v>4.1449999999999996</v>
      </c>
      <c r="G39" s="68">
        <f t="shared" si="5"/>
        <v>0.05</v>
      </c>
      <c r="H39" s="68">
        <f t="shared" si="5"/>
        <v>0.5</v>
      </c>
      <c r="I39" s="68">
        <f t="shared" si="5"/>
        <v>0.125</v>
      </c>
      <c r="J39" s="68">
        <f t="shared" si="5"/>
        <v>2.5000000000000001E-3</v>
      </c>
      <c r="K39" s="68">
        <f t="shared" si="5"/>
        <v>1.2500000000000001E-2</v>
      </c>
      <c r="L39" s="68">
        <f t="shared" si="5"/>
        <v>0.05</v>
      </c>
      <c r="M39" s="68">
        <f t="shared" si="5"/>
        <v>0.05</v>
      </c>
      <c r="N39" s="68">
        <f t="shared" si="5"/>
        <v>0</v>
      </c>
      <c r="O39" s="68">
        <f t="shared" si="5"/>
        <v>0</v>
      </c>
      <c r="P39" s="68">
        <f t="shared" si="5"/>
        <v>171</v>
      </c>
      <c r="Q39" s="68">
        <f t="shared" si="10"/>
        <v>17.875</v>
      </c>
      <c r="R39" s="68">
        <f t="shared" si="11"/>
        <v>0</v>
      </c>
      <c r="S39" s="68">
        <f t="shared" si="11"/>
        <v>0</v>
      </c>
      <c r="T39" s="68">
        <f t="shared" si="11"/>
        <v>0</v>
      </c>
      <c r="U39" s="68">
        <f t="shared" si="11"/>
        <v>0</v>
      </c>
    </row>
    <row r="40" spans="1:21" s="51" customFormat="1" ht="13" x14ac:dyDescent="0.35">
      <c r="A40" s="10" t="str">
        <f>L8</f>
        <v>Solafron 2611</v>
      </c>
      <c r="B40" s="12">
        <v>250</v>
      </c>
      <c r="C40" s="68">
        <f t="shared" si="6"/>
        <v>25</v>
      </c>
      <c r="D40" s="68">
        <f t="shared" si="7"/>
        <v>8.934899999999999</v>
      </c>
      <c r="E40" s="68">
        <f t="shared" si="8"/>
        <v>31.631250000000001</v>
      </c>
      <c r="F40" s="68">
        <f t="shared" si="9"/>
        <v>4.1449999999999996</v>
      </c>
      <c r="G40" s="68">
        <f t="shared" si="5"/>
        <v>0.05</v>
      </c>
      <c r="H40" s="68">
        <f t="shared" si="5"/>
        <v>0.5</v>
      </c>
      <c r="I40" s="68">
        <f t="shared" si="5"/>
        <v>0.125</v>
      </c>
      <c r="J40" s="68">
        <f t="shared" si="5"/>
        <v>2.5000000000000001E-3</v>
      </c>
      <c r="K40" s="68">
        <f t="shared" si="5"/>
        <v>1.2500000000000001E-2</v>
      </c>
      <c r="L40" s="68">
        <f t="shared" si="5"/>
        <v>0.05</v>
      </c>
      <c r="M40" s="68">
        <f t="shared" si="5"/>
        <v>0.05</v>
      </c>
      <c r="N40" s="68">
        <f t="shared" si="5"/>
        <v>0</v>
      </c>
      <c r="O40" s="68">
        <f t="shared" si="5"/>
        <v>0</v>
      </c>
      <c r="P40" s="68">
        <f t="shared" si="5"/>
        <v>171</v>
      </c>
      <c r="Q40" s="68">
        <f t="shared" si="10"/>
        <v>17.875</v>
      </c>
      <c r="R40" s="68">
        <f t="shared" si="11"/>
        <v>0</v>
      </c>
      <c r="S40" s="68">
        <f t="shared" si="11"/>
        <v>0</v>
      </c>
      <c r="T40" s="68">
        <f t="shared" si="11"/>
        <v>0</v>
      </c>
      <c r="U40" s="68">
        <f t="shared" si="11"/>
        <v>0</v>
      </c>
    </row>
    <row r="41" spans="1:21" s="51" customFormat="1" ht="13" x14ac:dyDescent="0.35">
      <c r="A41" s="10" t="str">
        <f>M8</f>
        <v>Solafron 1404</v>
      </c>
      <c r="B41" s="12">
        <v>250</v>
      </c>
      <c r="C41" s="68">
        <f t="shared" si="6"/>
        <v>25</v>
      </c>
      <c r="D41" s="68">
        <f t="shared" si="7"/>
        <v>8.934899999999999</v>
      </c>
      <c r="E41" s="68">
        <f t="shared" si="8"/>
        <v>31.631250000000001</v>
      </c>
      <c r="F41" s="68">
        <f t="shared" si="9"/>
        <v>4.1449999999999996</v>
      </c>
      <c r="G41" s="68">
        <f t="shared" si="5"/>
        <v>0.05</v>
      </c>
      <c r="H41" s="68">
        <f t="shared" si="5"/>
        <v>0.5</v>
      </c>
      <c r="I41" s="68">
        <f t="shared" si="5"/>
        <v>0.125</v>
      </c>
      <c r="J41" s="68">
        <f t="shared" si="5"/>
        <v>2.5000000000000001E-3</v>
      </c>
      <c r="K41" s="68">
        <f t="shared" si="5"/>
        <v>1.2500000000000001E-2</v>
      </c>
      <c r="L41" s="68">
        <f t="shared" si="5"/>
        <v>0.05</v>
      </c>
      <c r="M41" s="68">
        <f t="shared" si="5"/>
        <v>0.05</v>
      </c>
      <c r="N41" s="68">
        <f t="shared" si="5"/>
        <v>0</v>
      </c>
      <c r="O41" s="68">
        <f t="shared" si="5"/>
        <v>0</v>
      </c>
      <c r="P41" s="68">
        <f t="shared" si="5"/>
        <v>171</v>
      </c>
      <c r="Q41" s="68">
        <f t="shared" si="10"/>
        <v>17.875</v>
      </c>
      <c r="R41" s="68">
        <f t="shared" si="11"/>
        <v>0</v>
      </c>
      <c r="S41" s="68">
        <f t="shared" si="11"/>
        <v>0</v>
      </c>
      <c r="T41" s="68">
        <f t="shared" si="11"/>
        <v>0</v>
      </c>
      <c r="U41" s="68">
        <f t="shared" si="11"/>
        <v>0</v>
      </c>
    </row>
    <row r="42" spans="1:21" s="51" customFormat="1" ht="13" x14ac:dyDescent="0.35">
      <c r="A42" s="10">
        <f>N8</f>
        <v>0</v>
      </c>
      <c r="B42" s="12"/>
      <c r="C42" s="68">
        <f t="shared" si="6"/>
        <v>0</v>
      </c>
      <c r="D42" s="68">
        <f t="shared" si="7"/>
        <v>0</v>
      </c>
      <c r="E42" s="68">
        <f t="shared" si="8"/>
        <v>0</v>
      </c>
      <c r="F42" s="68">
        <f t="shared" si="9"/>
        <v>0</v>
      </c>
      <c r="G42" s="68">
        <f t="shared" si="5"/>
        <v>0</v>
      </c>
      <c r="H42" s="68">
        <f t="shared" si="5"/>
        <v>0</v>
      </c>
      <c r="I42" s="68">
        <f t="shared" si="5"/>
        <v>0</v>
      </c>
      <c r="J42" s="68">
        <f t="shared" si="5"/>
        <v>0</v>
      </c>
      <c r="K42" s="68">
        <f t="shared" si="5"/>
        <v>0</v>
      </c>
      <c r="L42" s="68">
        <f t="shared" si="5"/>
        <v>0</v>
      </c>
      <c r="M42" s="68">
        <f t="shared" si="5"/>
        <v>0</v>
      </c>
      <c r="N42" s="68">
        <f t="shared" si="5"/>
        <v>0</v>
      </c>
      <c r="O42" s="68">
        <f t="shared" si="5"/>
        <v>0</v>
      </c>
      <c r="P42" s="68">
        <f t="shared" si="5"/>
        <v>0</v>
      </c>
      <c r="Q42" s="68">
        <f t="shared" si="10"/>
        <v>0</v>
      </c>
      <c r="R42" s="68">
        <f t="shared" si="11"/>
        <v>0</v>
      </c>
      <c r="S42" s="68">
        <f t="shared" si="11"/>
        <v>0</v>
      </c>
      <c r="T42" s="68">
        <f t="shared" si="11"/>
        <v>0</v>
      </c>
      <c r="U42" s="68">
        <f t="shared" si="11"/>
        <v>0</v>
      </c>
    </row>
    <row r="43" spans="1:21" s="51" customFormat="1" ht="13" x14ac:dyDescent="0.35">
      <c r="A43" s="10">
        <f>O8</f>
        <v>0</v>
      </c>
      <c r="B43" s="12"/>
      <c r="C43" s="68">
        <f t="shared" si="6"/>
        <v>0</v>
      </c>
      <c r="D43" s="68">
        <f t="shared" si="7"/>
        <v>0</v>
      </c>
      <c r="E43" s="68">
        <f t="shared" si="8"/>
        <v>0</v>
      </c>
      <c r="F43" s="68">
        <f t="shared" si="9"/>
        <v>0</v>
      </c>
      <c r="G43" s="68">
        <f t="shared" si="5"/>
        <v>0</v>
      </c>
      <c r="H43" s="68">
        <f t="shared" si="5"/>
        <v>0</v>
      </c>
      <c r="I43" s="68">
        <f t="shared" si="5"/>
        <v>0</v>
      </c>
      <c r="J43" s="68">
        <f t="shared" si="5"/>
        <v>0</v>
      </c>
      <c r="K43" s="68">
        <f t="shared" si="5"/>
        <v>0</v>
      </c>
      <c r="L43" s="68">
        <f t="shared" si="5"/>
        <v>0</v>
      </c>
      <c r="M43" s="68">
        <f t="shared" si="5"/>
        <v>0</v>
      </c>
      <c r="N43" s="68">
        <f t="shared" si="5"/>
        <v>0</v>
      </c>
      <c r="O43" s="68">
        <f t="shared" si="5"/>
        <v>0</v>
      </c>
      <c r="P43" s="68">
        <f t="shared" si="5"/>
        <v>0</v>
      </c>
      <c r="Q43" s="68">
        <f t="shared" si="10"/>
        <v>0</v>
      </c>
      <c r="R43" s="68">
        <f t="shared" si="11"/>
        <v>0</v>
      </c>
      <c r="S43" s="68">
        <f t="shared" si="11"/>
        <v>0</v>
      </c>
      <c r="T43" s="68">
        <f t="shared" si="11"/>
        <v>0</v>
      </c>
      <c r="U43" s="68">
        <f t="shared" si="11"/>
        <v>0</v>
      </c>
    </row>
    <row r="44" spans="1:21" s="51" customFormat="1" ht="13" x14ac:dyDescent="0.35">
      <c r="A44" s="10">
        <f>P8</f>
        <v>0</v>
      </c>
      <c r="B44" s="12"/>
      <c r="C44" s="68">
        <f t="shared" si="6"/>
        <v>0</v>
      </c>
      <c r="D44" s="68">
        <f t="shared" si="7"/>
        <v>0</v>
      </c>
      <c r="E44" s="68">
        <f t="shared" si="8"/>
        <v>0</v>
      </c>
      <c r="F44" s="68">
        <f t="shared" si="9"/>
        <v>0</v>
      </c>
      <c r="G44" s="68">
        <f t="shared" si="5"/>
        <v>0</v>
      </c>
      <c r="H44" s="68">
        <f t="shared" si="5"/>
        <v>0</v>
      </c>
      <c r="I44" s="68">
        <f t="shared" si="5"/>
        <v>0</v>
      </c>
      <c r="J44" s="68">
        <f t="shared" si="5"/>
        <v>0</v>
      </c>
      <c r="K44" s="68">
        <f t="shared" si="5"/>
        <v>0</v>
      </c>
      <c r="L44" s="68">
        <f t="shared" si="5"/>
        <v>0</v>
      </c>
      <c r="M44" s="68">
        <f t="shared" si="5"/>
        <v>0</v>
      </c>
      <c r="N44" s="68">
        <f t="shared" si="5"/>
        <v>0</v>
      </c>
      <c r="O44" s="68">
        <f t="shared" si="5"/>
        <v>0</v>
      </c>
      <c r="P44" s="68">
        <f t="shared" si="5"/>
        <v>0</v>
      </c>
      <c r="Q44" s="68">
        <f t="shared" si="10"/>
        <v>0</v>
      </c>
      <c r="R44" s="68">
        <f t="shared" si="11"/>
        <v>0</v>
      </c>
      <c r="S44" s="68">
        <f t="shared" si="11"/>
        <v>0</v>
      </c>
      <c r="T44" s="68">
        <f t="shared" si="11"/>
        <v>0</v>
      </c>
      <c r="U44" s="68">
        <f t="shared" si="11"/>
        <v>0</v>
      </c>
    </row>
    <row r="45" spans="1:21" s="51" customFormat="1" ht="13" x14ac:dyDescent="0.35">
      <c r="A45" s="10">
        <f>Q8</f>
        <v>0</v>
      </c>
      <c r="B45" s="12"/>
      <c r="C45" s="68">
        <f t="shared" si="6"/>
        <v>0</v>
      </c>
      <c r="D45" s="68">
        <f t="shared" si="7"/>
        <v>0</v>
      </c>
      <c r="E45" s="68">
        <f t="shared" si="8"/>
        <v>0</v>
      </c>
      <c r="F45" s="68">
        <f t="shared" si="9"/>
        <v>0</v>
      </c>
      <c r="G45" s="68">
        <f t="shared" si="5"/>
        <v>0</v>
      </c>
      <c r="H45" s="68">
        <f t="shared" si="5"/>
        <v>0</v>
      </c>
      <c r="I45" s="68">
        <f t="shared" si="5"/>
        <v>0</v>
      </c>
      <c r="J45" s="68">
        <f t="shared" si="5"/>
        <v>0</v>
      </c>
      <c r="K45" s="68">
        <f t="shared" si="5"/>
        <v>0</v>
      </c>
      <c r="L45" s="68">
        <f t="shared" si="5"/>
        <v>0</v>
      </c>
      <c r="M45" s="68">
        <f t="shared" si="5"/>
        <v>0</v>
      </c>
      <c r="N45" s="68">
        <f t="shared" si="5"/>
        <v>0</v>
      </c>
      <c r="O45" s="68">
        <f t="shared" si="5"/>
        <v>0</v>
      </c>
      <c r="P45" s="68">
        <f t="shared" si="5"/>
        <v>0</v>
      </c>
      <c r="Q45" s="68">
        <f t="shared" si="10"/>
        <v>0</v>
      </c>
      <c r="R45" s="68">
        <f t="shared" si="11"/>
        <v>0</v>
      </c>
      <c r="S45" s="68">
        <f t="shared" si="11"/>
        <v>0</v>
      </c>
      <c r="T45" s="68">
        <f t="shared" si="11"/>
        <v>0</v>
      </c>
      <c r="U45" s="68">
        <f t="shared" si="11"/>
        <v>0</v>
      </c>
    </row>
    <row r="46" spans="1:21" s="51" customFormat="1" ht="13" x14ac:dyDescent="0.35">
      <c r="A46" s="10">
        <f>R8</f>
        <v>0</v>
      </c>
      <c r="B46" s="12"/>
      <c r="C46" s="68">
        <f t="shared" si="6"/>
        <v>0</v>
      </c>
      <c r="D46" s="68">
        <f t="shared" si="7"/>
        <v>0</v>
      </c>
      <c r="E46" s="68">
        <f t="shared" si="8"/>
        <v>0</v>
      </c>
      <c r="F46" s="68">
        <f t="shared" si="9"/>
        <v>0</v>
      </c>
      <c r="G46" s="68">
        <f t="shared" si="5"/>
        <v>0</v>
      </c>
      <c r="H46" s="68">
        <f t="shared" si="5"/>
        <v>0</v>
      </c>
      <c r="I46" s="68">
        <f t="shared" si="5"/>
        <v>0</v>
      </c>
      <c r="J46" s="68">
        <f t="shared" si="5"/>
        <v>0</v>
      </c>
      <c r="K46" s="68">
        <f t="shared" si="5"/>
        <v>0</v>
      </c>
      <c r="L46" s="68">
        <f t="shared" si="5"/>
        <v>0</v>
      </c>
      <c r="M46" s="68">
        <f t="shared" si="5"/>
        <v>0</v>
      </c>
      <c r="N46" s="68">
        <f t="shared" si="5"/>
        <v>0</v>
      </c>
      <c r="O46" s="68">
        <f t="shared" si="5"/>
        <v>0</v>
      </c>
      <c r="P46" s="68">
        <f t="shared" si="5"/>
        <v>0</v>
      </c>
      <c r="Q46" s="68">
        <f t="shared" si="10"/>
        <v>0</v>
      </c>
      <c r="R46" s="68">
        <f t="shared" si="11"/>
        <v>0</v>
      </c>
      <c r="S46" s="68">
        <f t="shared" si="11"/>
        <v>0</v>
      </c>
      <c r="T46" s="68">
        <f t="shared" si="11"/>
        <v>0</v>
      </c>
      <c r="U46" s="68">
        <f t="shared" si="11"/>
        <v>0</v>
      </c>
    </row>
    <row r="47" spans="1:21" s="51" customFormat="1" ht="13" x14ac:dyDescent="0.35">
      <c r="A47" s="10">
        <f>S8</f>
        <v>0</v>
      </c>
      <c r="B47" s="12"/>
      <c r="C47" s="68">
        <f t="shared" si="6"/>
        <v>0</v>
      </c>
      <c r="D47" s="68">
        <f t="shared" si="7"/>
        <v>0</v>
      </c>
      <c r="E47" s="68">
        <f t="shared" si="8"/>
        <v>0</v>
      </c>
      <c r="F47" s="68">
        <f t="shared" si="9"/>
        <v>0</v>
      </c>
      <c r="G47" s="68">
        <f t="shared" ref="G47:P50" si="12">IF(G$27="%w/w SAR",((G$28*10)*$B47),IF(G$27="%w/w DM",(((G$28*10)*($B$28/100))*$B47),IF(G$27="kg/t SAR",(G$28*$B47),IF(G$27="kg/t DM",((G$28*($B$28/100))*$B47),IF(G$27="mg/kg SAR",((G$28*0.001)*$B47),IF(G$27="mg/kg DM",(((G$28*0.001)*($B$28/100))*$B47),0))))))</f>
        <v>0</v>
      </c>
      <c r="H47" s="68">
        <f t="shared" si="12"/>
        <v>0</v>
      </c>
      <c r="I47" s="68">
        <f t="shared" si="12"/>
        <v>0</v>
      </c>
      <c r="J47" s="68">
        <f t="shared" si="12"/>
        <v>0</v>
      </c>
      <c r="K47" s="68">
        <f t="shared" si="12"/>
        <v>0</v>
      </c>
      <c r="L47" s="68">
        <f t="shared" si="12"/>
        <v>0</v>
      </c>
      <c r="M47" s="68">
        <f t="shared" si="12"/>
        <v>0</v>
      </c>
      <c r="N47" s="68">
        <f t="shared" si="12"/>
        <v>0</v>
      </c>
      <c r="O47" s="68">
        <f t="shared" si="12"/>
        <v>0</v>
      </c>
      <c r="P47" s="68">
        <f t="shared" si="12"/>
        <v>0</v>
      </c>
      <c r="Q47" s="68">
        <f t="shared" si="10"/>
        <v>0</v>
      </c>
      <c r="R47" s="68">
        <f t="shared" si="11"/>
        <v>0</v>
      </c>
      <c r="S47" s="68">
        <f t="shared" si="11"/>
        <v>0</v>
      </c>
      <c r="T47" s="68">
        <f t="shared" si="11"/>
        <v>0</v>
      </c>
      <c r="U47" s="68">
        <f t="shared" si="11"/>
        <v>0</v>
      </c>
    </row>
    <row r="48" spans="1:21" s="51" customFormat="1" ht="13" x14ac:dyDescent="0.35">
      <c r="A48" s="10">
        <f>T8</f>
        <v>0</v>
      </c>
      <c r="B48" s="12"/>
      <c r="C48" s="68">
        <f t="shared" si="6"/>
        <v>0</v>
      </c>
      <c r="D48" s="68">
        <f t="shared" si="7"/>
        <v>0</v>
      </c>
      <c r="E48" s="68">
        <f t="shared" si="8"/>
        <v>0</v>
      </c>
      <c r="F48" s="68">
        <f t="shared" si="9"/>
        <v>0</v>
      </c>
      <c r="G48" s="68">
        <f t="shared" si="12"/>
        <v>0</v>
      </c>
      <c r="H48" s="68">
        <f t="shared" si="12"/>
        <v>0</v>
      </c>
      <c r="I48" s="68">
        <f t="shared" si="12"/>
        <v>0</v>
      </c>
      <c r="J48" s="68">
        <f t="shared" si="12"/>
        <v>0</v>
      </c>
      <c r="K48" s="68">
        <f t="shared" si="12"/>
        <v>0</v>
      </c>
      <c r="L48" s="68">
        <f t="shared" si="12"/>
        <v>0</v>
      </c>
      <c r="M48" s="68">
        <f t="shared" si="12"/>
        <v>0</v>
      </c>
      <c r="N48" s="68">
        <f t="shared" si="12"/>
        <v>0</v>
      </c>
      <c r="O48" s="68">
        <f t="shared" si="12"/>
        <v>0</v>
      </c>
      <c r="P48" s="68">
        <f t="shared" si="12"/>
        <v>0</v>
      </c>
      <c r="Q48" s="68">
        <f t="shared" si="10"/>
        <v>0</v>
      </c>
      <c r="R48" s="68">
        <f t="shared" si="11"/>
        <v>0</v>
      </c>
      <c r="S48" s="68">
        <f t="shared" si="11"/>
        <v>0</v>
      </c>
      <c r="T48" s="68">
        <f t="shared" si="11"/>
        <v>0</v>
      </c>
      <c r="U48" s="68">
        <f t="shared" si="11"/>
        <v>0</v>
      </c>
    </row>
    <row r="49" spans="1:21" s="51" customFormat="1" ht="13" x14ac:dyDescent="0.35">
      <c r="A49" s="10">
        <f>U8</f>
        <v>0</v>
      </c>
      <c r="B49" s="12"/>
      <c r="C49" s="68">
        <f t="shared" si="6"/>
        <v>0</v>
      </c>
      <c r="D49" s="68">
        <f t="shared" si="7"/>
        <v>0</v>
      </c>
      <c r="E49" s="68">
        <f t="shared" si="8"/>
        <v>0</v>
      </c>
      <c r="F49" s="68">
        <f t="shared" si="9"/>
        <v>0</v>
      </c>
      <c r="G49" s="68">
        <f t="shared" si="12"/>
        <v>0</v>
      </c>
      <c r="H49" s="68">
        <f t="shared" si="12"/>
        <v>0</v>
      </c>
      <c r="I49" s="68">
        <f t="shared" si="12"/>
        <v>0</v>
      </c>
      <c r="J49" s="68">
        <f t="shared" si="12"/>
        <v>0</v>
      </c>
      <c r="K49" s="68">
        <f t="shared" si="12"/>
        <v>0</v>
      </c>
      <c r="L49" s="68">
        <f t="shared" si="12"/>
        <v>0</v>
      </c>
      <c r="M49" s="68">
        <f t="shared" si="12"/>
        <v>0</v>
      </c>
      <c r="N49" s="68">
        <f t="shared" si="12"/>
        <v>0</v>
      </c>
      <c r="O49" s="68">
        <f t="shared" si="12"/>
        <v>0</v>
      </c>
      <c r="P49" s="68">
        <f t="shared" si="12"/>
        <v>0</v>
      </c>
      <c r="Q49" s="68">
        <f t="shared" si="10"/>
        <v>0</v>
      </c>
      <c r="R49" s="68">
        <f t="shared" si="11"/>
        <v>0</v>
      </c>
      <c r="S49" s="68">
        <f t="shared" si="11"/>
        <v>0</v>
      </c>
      <c r="T49" s="68">
        <f t="shared" si="11"/>
        <v>0</v>
      </c>
      <c r="U49" s="68">
        <f t="shared" si="11"/>
        <v>0</v>
      </c>
    </row>
    <row r="50" spans="1:21" s="51" customFormat="1" ht="13.5" thickBot="1" x14ac:dyDescent="0.4">
      <c r="A50" s="11">
        <f>V8</f>
        <v>0</v>
      </c>
      <c r="B50" s="12"/>
      <c r="C50" s="87">
        <f t="shared" si="6"/>
        <v>0</v>
      </c>
      <c r="D50" s="87">
        <f t="shared" si="7"/>
        <v>0</v>
      </c>
      <c r="E50" s="87">
        <f t="shared" si="8"/>
        <v>0</v>
      </c>
      <c r="F50" s="87">
        <f t="shared" si="9"/>
        <v>0</v>
      </c>
      <c r="G50" s="87">
        <f t="shared" si="12"/>
        <v>0</v>
      </c>
      <c r="H50" s="87">
        <f t="shared" si="12"/>
        <v>0</v>
      </c>
      <c r="I50" s="87">
        <f t="shared" si="12"/>
        <v>0</v>
      </c>
      <c r="J50" s="87">
        <f t="shared" si="12"/>
        <v>0</v>
      </c>
      <c r="K50" s="87">
        <f t="shared" si="12"/>
        <v>0</v>
      </c>
      <c r="L50" s="87">
        <f t="shared" si="12"/>
        <v>0</v>
      </c>
      <c r="M50" s="87">
        <f t="shared" si="12"/>
        <v>0</v>
      </c>
      <c r="N50" s="87">
        <f t="shared" si="12"/>
        <v>0</v>
      </c>
      <c r="O50" s="87">
        <f t="shared" si="12"/>
        <v>0</v>
      </c>
      <c r="P50" s="87">
        <f t="shared" si="12"/>
        <v>0</v>
      </c>
      <c r="Q50" s="87">
        <f t="shared" si="10"/>
        <v>0</v>
      </c>
      <c r="R50" s="87">
        <f t="shared" si="11"/>
        <v>0</v>
      </c>
      <c r="S50" s="87">
        <f t="shared" si="11"/>
        <v>0</v>
      </c>
      <c r="T50" s="87">
        <f t="shared" si="11"/>
        <v>0</v>
      </c>
      <c r="U50" s="87">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5">
        <v>20</v>
      </c>
    </row>
    <row r="53" spans="1:21" ht="13" x14ac:dyDescent="0.35">
      <c r="A53" s="7" t="s">
        <v>130</v>
      </c>
    </row>
    <row r="54" spans="1:21" ht="26" x14ac:dyDescent="0.3">
      <c r="A54" s="98"/>
      <c r="B54" s="102" t="s">
        <v>149</v>
      </c>
      <c r="C54" s="102" t="s">
        <v>150</v>
      </c>
      <c r="D54" s="102" t="s">
        <v>127</v>
      </c>
      <c r="E54" s="102" t="s">
        <v>128</v>
      </c>
      <c r="F54" s="102" t="s">
        <v>151</v>
      </c>
      <c r="G54" s="102" t="s">
        <v>129</v>
      </c>
      <c r="H54" s="51"/>
      <c r="I54" s="51"/>
      <c r="J54" s="51"/>
      <c r="K54" s="51"/>
      <c r="L54" s="51"/>
      <c r="M54" s="51"/>
      <c r="N54" s="51"/>
      <c r="O54" s="51"/>
      <c r="P54" s="51"/>
      <c r="Q54" s="51"/>
      <c r="R54" s="51"/>
      <c r="S54" s="51"/>
      <c r="T54" s="51"/>
      <c r="U54" s="51"/>
    </row>
    <row r="55" spans="1:21" x14ac:dyDescent="0.25">
      <c r="A55" s="99"/>
      <c r="B55" s="103"/>
      <c r="C55" s="104"/>
      <c r="D55" s="105">
        <f>(B55/100)*C55</f>
        <v>0</v>
      </c>
      <c r="E55" s="105">
        <f>G55</f>
        <v>0</v>
      </c>
      <c r="F55" s="104"/>
      <c r="G55" s="105">
        <f>(B55/100)*F55</f>
        <v>0</v>
      </c>
      <c r="H55" s="51"/>
      <c r="I55" s="51"/>
      <c r="J55" s="51"/>
      <c r="K55" s="51"/>
      <c r="L55" s="51"/>
      <c r="M55" s="51"/>
      <c r="N55" s="51"/>
      <c r="O55" s="51"/>
      <c r="P55" s="51"/>
      <c r="Q55" s="51"/>
      <c r="R55" s="51"/>
      <c r="S55" s="51"/>
      <c r="T55" s="51"/>
      <c r="U55" s="51"/>
    </row>
    <row r="56" spans="1:21" ht="13" x14ac:dyDescent="0.3">
      <c r="A56" s="82" t="s">
        <v>63</v>
      </c>
      <c r="B56" s="8">
        <v>1</v>
      </c>
      <c r="C56" s="64">
        <v>2</v>
      </c>
      <c r="D56" s="65">
        <v>3</v>
      </c>
      <c r="E56" s="65">
        <v>4</v>
      </c>
      <c r="F56" s="64">
        <v>5</v>
      </c>
      <c r="G56" s="65">
        <v>6</v>
      </c>
      <c r="H56" s="66">
        <v>7</v>
      </c>
      <c r="I56" s="66">
        <v>8</v>
      </c>
      <c r="J56" s="66">
        <v>9</v>
      </c>
      <c r="K56" s="64">
        <v>10</v>
      </c>
      <c r="L56" s="64">
        <v>11</v>
      </c>
      <c r="M56" s="65">
        <v>12</v>
      </c>
      <c r="N56" s="65">
        <v>13</v>
      </c>
      <c r="O56" s="64">
        <v>14</v>
      </c>
      <c r="P56" s="65">
        <v>15</v>
      </c>
      <c r="Q56" s="66">
        <v>16</v>
      </c>
      <c r="R56" s="66">
        <v>17</v>
      </c>
      <c r="S56" s="66">
        <v>18</v>
      </c>
      <c r="T56" s="64">
        <v>19</v>
      </c>
      <c r="U56" s="64">
        <v>20</v>
      </c>
    </row>
    <row r="57" spans="1:21" ht="13" x14ac:dyDescent="0.35">
      <c r="A57" s="82" t="s">
        <v>2</v>
      </c>
      <c r="B57" s="8" t="str">
        <f>C8</f>
        <v>Nant Y Croi 9</v>
      </c>
      <c r="C57" s="8" t="str">
        <f t="shared" ref="C57:U57" si="13">D8</f>
        <v>Hafod 4315</v>
      </c>
      <c r="D57" s="8" t="str">
        <f t="shared" si="13"/>
        <v>Hafod 4734</v>
      </c>
      <c r="E57" s="8" t="str">
        <f t="shared" si="13"/>
        <v>Hafod 5761</v>
      </c>
      <c r="F57" s="8" t="str">
        <f t="shared" si="13"/>
        <v>Hafod 4067</v>
      </c>
      <c r="G57" s="8" t="str">
        <f t="shared" si="13"/>
        <v>Hafod 2455</v>
      </c>
      <c r="H57" s="8" t="str">
        <f t="shared" si="13"/>
        <v>Hafod 1741</v>
      </c>
      <c r="I57" s="8" t="str">
        <f t="shared" si="13"/>
        <v>Hafod 0720</v>
      </c>
      <c r="J57" s="8" t="str">
        <f t="shared" si="13"/>
        <v>Solafron 2893</v>
      </c>
      <c r="K57" s="8" t="str">
        <f t="shared" si="13"/>
        <v>Solafron 2611</v>
      </c>
      <c r="L57" s="8" t="str">
        <f t="shared" si="13"/>
        <v>Solafron 1404</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82" t="s">
        <v>136</v>
      </c>
      <c r="B58" s="10" t="str">
        <f>C16&amp;" I "&amp;(VLOOKUP(C14,Table245811[],6,FALSE))</f>
        <v>Medium/Clay I Grass</v>
      </c>
      <c r="C58" s="10" t="str">
        <f>D16&amp;" I "&amp;(VLOOKUP(D14,Table245811[],6,FALSE))</f>
        <v>Medium/Clay I Grass</v>
      </c>
      <c r="D58" s="10" t="str">
        <f>E16&amp;" I "&amp;(VLOOKUP(E14,Table245811[],6,FALSE))</f>
        <v>Medium/Clay I Grass</v>
      </c>
      <c r="E58" s="10" t="str">
        <f>F16&amp;" I "&amp;(VLOOKUP(F14,Table245811[],6,FALSE))</f>
        <v>Medium/Clay I Grass</v>
      </c>
      <c r="F58" s="10" t="str">
        <f>G16&amp;" I "&amp;(VLOOKUP(G14,Table245811[],6,FALSE))</f>
        <v>Medium/Clay I Grass</v>
      </c>
      <c r="G58" s="10" t="str">
        <f>H16&amp;" I "&amp;(VLOOKUP(H14,Table245811[],6,FALSE))</f>
        <v>Medium/Clay I Grass</v>
      </c>
      <c r="H58" s="10" t="str">
        <f>I16&amp;" I "&amp;(VLOOKUP(I14,Table245811[],6,FALSE))</f>
        <v>Medium/Clay I Grass</v>
      </c>
      <c r="I58" s="10" t="str">
        <f>J16&amp;" I "&amp;(VLOOKUP(J14,Table245811[],6,FALSE))</f>
        <v>Medium/Clay I Grass</v>
      </c>
      <c r="J58" s="10" t="str">
        <f>K16&amp;" I "&amp;(VLOOKUP(K14,Table245811[],6,FALSE))</f>
        <v>Medium/Clay I Grass</v>
      </c>
      <c r="K58" s="10" t="str">
        <f>L16&amp;" I "&amp;(VLOOKUP(L14,Table245811[],6,FALSE))</f>
        <v>Medium/Clay I Grass</v>
      </c>
      <c r="L58" s="10" t="str">
        <f>M16&amp;" I "&amp;(VLOOKUP(M14,Table245811[],6,FALSE))</f>
        <v>Medium/Clay I Grass</v>
      </c>
      <c r="M58" s="10" t="e">
        <f>N16&amp;" I "&amp;(VLOOKUP(N14,Table245811[],6,FALSE))</f>
        <v>#N/A</v>
      </c>
      <c r="N58" s="10" t="e">
        <f>O16&amp;" I "&amp;(VLOOKUP(O14,Table245811[],6,FALSE))</f>
        <v>#N/A</v>
      </c>
      <c r="O58" s="10" t="e">
        <f>P16&amp;" I "&amp;(VLOOKUP(P14,Table245811[],6,FALSE))</f>
        <v>#N/A</v>
      </c>
      <c r="P58" s="10" t="e">
        <f>Q16&amp;" I "&amp;(VLOOKUP(Q14,Table245811[],6,FALSE))</f>
        <v>#N/A</v>
      </c>
      <c r="Q58" s="10" t="e">
        <f>R16&amp;" I "&amp;(VLOOKUP(R14,Table245811[],6,FALSE))</f>
        <v>#N/A</v>
      </c>
      <c r="R58" s="10" t="e">
        <f>S16&amp;" I "&amp;(VLOOKUP(S14,Table245811[],6,FALSE))</f>
        <v>#N/A</v>
      </c>
      <c r="S58" s="10" t="e">
        <f>T16&amp;" I "&amp;(VLOOKUP(T14,Table245811[],6,FALSE))</f>
        <v>#N/A</v>
      </c>
      <c r="T58" s="10" t="e">
        <f>U16&amp;" I "&amp;(VLOOKUP(U14,Table245811[],6,FALSE))</f>
        <v>#N/A</v>
      </c>
      <c r="U58" s="10" t="e">
        <f>V16&amp;" I "&amp;(VLOOKUP(V14,Table245811[],6,FALSE))</f>
        <v>#N/A</v>
      </c>
    </row>
    <row r="59" spans="1:21" ht="13" x14ac:dyDescent="0.3">
      <c r="A59" s="100" t="s">
        <v>132</v>
      </c>
      <c r="B59" s="67">
        <f>VLOOKUP(C$14,Table245811[],5,FALSE)</f>
        <v>6.2</v>
      </c>
      <c r="C59" s="67">
        <f>VLOOKUP(D$14,Table245811[],5,FALSE)</f>
        <v>6.2</v>
      </c>
      <c r="D59" s="67">
        <f>VLOOKUP(E$14,Table245811[],5,FALSE)</f>
        <v>6.2</v>
      </c>
      <c r="E59" s="67">
        <f>VLOOKUP(F$14,Table245811[],5,FALSE)</f>
        <v>6.2</v>
      </c>
      <c r="F59" s="67">
        <f>VLOOKUP(G$14,Table245811[],5,FALSE)</f>
        <v>6.2</v>
      </c>
      <c r="G59" s="67">
        <f>VLOOKUP(H$14,Table245811[],5,FALSE)</f>
        <v>6.2</v>
      </c>
      <c r="H59" s="67">
        <f>VLOOKUP(I$14,Table245811[],5,FALSE)</f>
        <v>6.2</v>
      </c>
      <c r="I59" s="67">
        <f>VLOOKUP(J$14,Table245811[],5,FALSE)</f>
        <v>6.2</v>
      </c>
      <c r="J59" s="67">
        <f>VLOOKUP(K$14,Table245811[],5,FALSE)</f>
        <v>6.2</v>
      </c>
      <c r="K59" s="67">
        <f>VLOOKUP(L$14,Table245811[],5,FALSE)</f>
        <v>6.2</v>
      </c>
      <c r="L59" s="67">
        <f>VLOOKUP(M$14,Table245811[],5,FALSE)</f>
        <v>6.2</v>
      </c>
      <c r="M59" s="67" t="e">
        <f>VLOOKUP(N$14,Table245811[],5,FALSE)</f>
        <v>#N/A</v>
      </c>
      <c r="N59" s="67" t="e">
        <f>VLOOKUP(O$14,Table245811[],5,FALSE)</f>
        <v>#N/A</v>
      </c>
      <c r="O59" s="67" t="e">
        <f>VLOOKUP(P$14,Table245811[],5,FALSE)</f>
        <v>#N/A</v>
      </c>
      <c r="P59" s="67" t="e">
        <f>VLOOKUP(Q$14,Table245811[],5,FALSE)</f>
        <v>#N/A</v>
      </c>
      <c r="Q59" s="67" t="e">
        <f>VLOOKUP(R$14,Table245811[],5,FALSE)</f>
        <v>#N/A</v>
      </c>
      <c r="R59" s="67" t="e">
        <f>VLOOKUP(S$14,Table245811[],5,FALSE)</f>
        <v>#N/A</v>
      </c>
      <c r="S59" s="67" t="e">
        <f>VLOOKUP(T$14,Table245811[],5,FALSE)</f>
        <v>#N/A</v>
      </c>
      <c r="T59" s="67" t="e">
        <f>VLOOKUP(U$14,Table245811[],5,FALSE)</f>
        <v>#N/A</v>
      </c>
      <c r="U59" s="67" t="e">
        <f>VLOOKUP(V$14,Table245811[],5,FALSE)</f>
        <v>#N/A</v>
      </c>
    </row>
    <row r="60" spans="1:21" ht="13" x14ac:dyDescent="0.3">
      <c r="A60" s="100" t="s">
        <v>4</v>
      </c>
      <c r="B60" s="67">
        <f>C10</f>
        <v>5.4</v>
      </c>
      <c r="C60" s="67">
        <f t="shared" ref="C60:U60" si="14">D10</f>
        <v>6.3</v>
      </c>
      <c r="D60" s="67">
        <f t="shared" si="14"/>
        <v>6.3</v>
      </c>
      <c r="E60" s="67">
        <f t="shared" si="14"/>
        <v>6.2</v>
      </c>
      <c r="F60" s="67">
        <f t="shared" si="14"/>
        <v>6.2</v>
      </c>
      <c r="G60" s="67">
        <f t="shared" si="14"/>
        <v>6.3</v>
      </c>
      <c r="H60" s="67">
        <f t="shared" si="14"/>
        <v>6.3</v>
      </c>
      <c r="I60" s="67">
        <f t="shared" si="14"/>
        <v>6.2</v>
      </c>
      <c r="J60" s="67">
        <f t="shared" si="14"/>
        <v>6.3</v>
      </c>
      <c r="K60" s="67">
        <f t="shared" si="14"/>
        <v>6.3</v>
      </c>
      <c r="L60" s="67">
        <f t="shared" si="14"/>
        <v>6.3</v>
      </c>
      <c r="M60" s="67">
        <f t="shared" si="14"/>
        <v>0</v>
      </c>
      <c r="N60" s="67">
        <f t="shared" si="14"/>
        <v>0</v>
      </c>
      <c r="O60" s="67">
        <f t="shared" si="14"/>
        <v>0</v>
      </c>
      <c r="P60" s="67">
        <f t="shared" si="14"/>
        <v>0</v>
      </c>
      <c r="Q60" s="67">
        <f t="shared" si="14"/>
        <v>0</v>
      </c>
      <c r="R60" s="67">
        <f t="shared" si="14"/>
        <v>0</v>
      </c>
      <c r="S60" s="67">
        <f t="shared" si="14"/>
        <v>0</v>
      </c>
      <c r="T60" s="67">
        <f t="shared" si="14"/>
        <v>0</v>
      </c>
      <c r="U60" s="67">
        <f t="shared" si="14"/>
        <v>0</v>
      </c>
    </row>
    <row r="61" spans="1:21" ht="13" x14ac:dyDescent="0.3">
      <c r="A61" s="100" t="s">
        <v>133</v>
      </c>
      <c r="B61" s="67">
        <f t="shared" ref="B61:U61" si="15">VLOOKUP(B58,$AD9:$AE18,2,FALSE)</f>
        <v>6</v>
      </c>
      <c r="C61" s="67">
        <f t="shared" si="15"/>
        <v>6</v>
      </c>
      <c r="D61" s="67">
        <f t="shared" si="15"/>
        <v>6</v>
      </c>
      <c r="E61" s="67">
        <f t="shared" si="15"/>
        <v>6</v>
      </c>
      <c r="F61" s="67">
        <f t="shared" si="15"/>
        <v>6</v>
      </c>
      <c r="G61" s="67">
        <f t="shared" si="15"/>
        <v>6</v>
      </c>
      <c r="H61" s="67">
        <f t="shared" si="15"/>
        <v>6</v>
      </c>
      <c r="I61" s="67">
        <f t="shared" si="15"/>
        <v>6</v>
      </c>
      <c r="J61" s="67">
        <f t="shared" si="15"/>
        <v>6</v>
      </c>
      <c r="K61" s="67">
        <f t="shared" si="15"/>
        <v>6</v>
      </c>
      <c r="L61" s="67">
        <f t="shared" si="15"/>
        <v>6</v>
      </c>
      <c r="M61" s="67" t="e">
        <f t="shared" si="15"/>
        <v>#N/A</v>
      </c>
      <c r="N61" s="67" t="e">
        <f t="shared" si="15"/>
        <v>#N/A</v>
      </c>
      <c r="O61" s="67" t="e">
        <f t="shared" si="15"/>
        <v>#N/A</v>
      </c>
      <c r="P61" s="67" t="e">
        <f t="shared" si="15"/>
        <v>#N/A</v>
      </c>
      <c r="Q61" s="67" t="e">
        <f t="shared" si="15"/>
        <v>#N/A</v>
      </c>
      <c r="R61" s="67" t="e">
        <f t="shared" si="15"/>
        <v>#N/A</v>
      </c>
      <c r="S61" s="67" t="e">
        <f t="shared" si="15"/>
        <v>#N/A</v>
      </c>
      <c r="T61" s="67" t="e">
        <f t="shared" si="15"/>
        <v>#N/A</v>
      </c>
      <c r="U61" s="67" t="e">
        <f t="shared" si="15"/>
        <v>#N/A</v>
      </c>
    </row>
    <row r="62" spans="1:21" ht="13" x14ac:dyDescent="0.3">
      <c r="A62" s="100" t="s">
        <v>134</v>
      </c>
      <c r="B62" s="68">
        <f>B31</f>
        <v>250</v>
      </c>
      <c r="C62" s="68">
        <f>B32</f>
        <v>250</v>
      </c>
      <c r="D62" s="68">
        <f>B33</f>
        <v>250</v>
      </c>
      <c r="E62" s="68">
        <f>B34</f>
        <v>250</v>
      </c>
      <c r="F62" s="68">
        <f>B35</f>
        <v>250</v>
      </c>
      <c r="G62" s="68">
        <f>B36</f>
        <v>250</v>
      </c>
      <c r="H62" s="68">
        <f>B37</f>
        <v>250</v>
      </c>
      <c r="I62" s="68">
        <f>B38</f>
        <v>250</v>
      </c>
      <c r="J62" s="68">
        <f>B39</f>
        <v>250</v>
      </c>
      <c r="K62" s="68">
        <f>B40</f>
        <v>250</v>
      </c>
      <c r="L62" s="68">
        <f>B41</f>
        <v>250</v>
      </c>
      <c r="M62" s="68">
        <f>B42</f>
        <v>0</v>
      </c>
      <c r="N62" s="68">
        <f>B43</f>
        <v>0</v>
      </c>
      <c r="O62" s="68">
        <f>B44</f>
        <v>0</v>
      </c>
      <c r="P62" s="68">
        <f>B45</f>
        <v>0</v>
      </c>
      <c r="Q62" s="68">
        <f>B46</f>
        <v>0</v>
      </c>
      <c r="R62" s="68">
        <f>B47</f>
        <v>0</v>
      </c>
      <c r="S62" s="68">
        <f>B48</f>
        <v>0</v>
      </c>
      <c r="T62" s="68">
        <f>B49</f>
        <v>0</v>
      </c>
      <c r="U62" s="68">
        <f>B50</f>
        <v>0</v>
      </c>
    </row>
    <row r="63" spans="1:21" ht="39" x14ac:dyDescent="0.3">
      <c r="A63" s="101" t="s">
        <v>155</v>
      </c>
      <c r="B63" s="68">
        <f>$E55*(B62/100)</f>
        <v>0</v>
      </c>
      <c r="C63" s="68">
        <f t="shared" ref="C63:U63" si="16">$E55*(C62/100)</f>
        <v>0</v>
      </c>
      <c r="D63" s="68">
        <f t="shared" si="16"/>
        <v>0</v>
      </c>
      <c r="E63" s="68">
        <f t="shared" si="16"/>
        <v>0</v>
      </c>
      <c r="F63" s="68">
        <f>$E55*(F62/100)</f>
        <v>0</v>
      </c>
      <c r="G63" s="68">
        <f t="shared" si="16"/>
        <v>0</v>
      </c>
      <c r="H63" s="68">
        <f t="shared" si="16"/>
        <v>0</v>
      </c>
      <c r="I63" s="68">
        <f t="shared" si="16"/>
        <v>0</v>
      </c>
      <c r="J63" s="68">
        <f t="shared" si="16"/>
        <v>0</v>
      </c>
      <c r="K63" s="68">
        <f t="shared" si="16"/>
        <v>0</v>
      </c>
      <c r="L63" s="68">
        <f t="shared" si="16"/>
        <v>0</v>
      </c>
      <c r="M63" s="68">
        <f t="shared" si="16"/>
        <v>0</v>
      </c>
      <c r="N63" s="68">
        <f t="shared" si="16"/>
        <v>0</v>
      </c>
      <c r="O63" s="68">
        <f t="shared" si="16"/>
        <v>0</v>
      </c>
      <c r="P63" s="68">
        <f t="shared" si="16"/>
        <v>0</v>
      </c>
      <c r="Q63" s="68">
        <f t="shared" si="16"/>
        <v>0</v>
      </c>
      <c r="R63" s="68">
        <f t="shared" si="16"/>
        <v>0</v>
      </c>
      <c r="S63" s="68">
        <f t="shared" si="16"/>
        <v>0</v>
      </c>
      <c r="T63" s="68">
        <f t="shared" si="16"/>
        <v>0</v>
      </c>
      <c r="U63" s="68">
        <f t="shared" si="16"/>
        <v>0</v>
      </c>
    </row>
    <row r="64" spans="1:21" ht="52" x14ac:dyDescent="0.3">
      <c r="A64" s="101" t="s">
        <v>156</v>
      </c>
      <c r="B64" s="68">
        <f>(B59-B60)*B61</f>
        <v>4.7999999999999989</v>
      </c>
      <c r="C64" s="68">
        <f t="shared" ref="C64:U64" si="17">(C59-C60)*C61</f>
        <v>-0.59999999999999787</v>
      </c>
      <c r="D64" s="68">
        <f t="shared" si="17"/>
        <v>-0.59999999999999787</v>
      </c>
      <c r="E64" s="68">
        <f t="shared" si="17"/>
        <v>0</v>
      </c>
      <c r="F64" s="68">
        <f t="shared" si="17"/>
        <v>0</v>
      </c>
      <c r="G64" s="68">
        <f t="shared" si="17"/>
        <v>-0.59999999999999787</v>
      </c>
      <c r="H64" s="68">
        <f t="shared" si="17"/>
        <v>-0.59999999999999787</v>
      </c>
      <c r="I64" s="68">
        <f t="shared" si="17"/>
        <v>0</v>
      </c>
      <c r="J64" s="68">
        <f t="shared" si="17"/>
        <v>-0.59999999999999787</v>
      </c>
      <c r="K64" s="68">
        <f t="shared" si="17"/>
        <v>-0.59999999999999787</v>
      </c>
      <c r="L64" s="68">
        <f t="shared" si="17"/>
        <v>-0.59999999999999787</v>
      </c>
      <c r="M64" s="68" t="e">
        <f t="shared" si="17"/>
        <v>#N/A</v>
      </c>
      <c r="N64" s="68" t="e">
        <f t="shared" si="17"/>
        <v>#N/A</v>
      </c>
      <c r="O64" s="68" t="e">
        <f t="shared" si="17"/>
        <v>#N/A</v>
      </c>
      <c r="P64" s="68" t="e">
        <f t="shared" si="17"/>
        <v>#N/A</v>
      </c>
      <c r="Q64" s="68" t="e">
        <f t="shared" si="17"/>
        <v>#N/A</v>
      </c>
      <c r="R64" s="68" t="e">
        <f t="shared" si="17"/>
        <v>#N/A</v>
      </c>
      <c r="S64" s="68" t="e">
        <f t="shared" si="17"/>
        <v>#N/A</v>
      </c>
      <c r="T64" s="68" t="e">
        <f t="shared" si="17"/>
        <v>#N/A</v>
      </c>
      <c r="U64" s="68" t="e">
        <f t="shared" si="17"/>
        <v>#N/A</v>
      </c>
    </row>
    <row r="65" spans="1:21" ht="52" x14ac:dyDescent="0.3">
      <c r="A65" s="101" t="s">
        <v>157</v>
      </c>
      <c r="B65" s="68">
        <f>B63-B64</f>
        <v>-4.7999999999999989</v>
      </c>
      <c r="C65" s="68">
        <f t="shared" ref="C65:U65" si="18">C63-C64</f>
        <v>0.59999999999999787</v>
      </c>
      <c r="D65" s="68">
        <f t="shared" si="18"/>
        <v>0.59999999999999787</v>
      </c>
      <c r="E65" s="68">
        <f t="shared" si="18"/>
        <v>0</v>
      </c>
      <c r="F65" s="68">
        <f t="shared" si="18"/>
        <v>0</v>
      </c>
      <c r="G65" s="68">
        <f t="shared" si="18"/>
        <v>0.59999999999999787</v>
      </c>
      <c r="H65" s="68">
        <f t="shared" si="18"/>
        <v>0.59999999999999787</v>
      </c>
      <c r="I65" s="68">
        <f t="shared" si="18"/>
        <v>0</v>
      </c>
      <c r="J65" s="68">
        <f t="shared" si="18"/>
        <v>0.59999999999999787</v>
      </c>
      <c r="K65" s="68">
        <f t="shared" si="18"/>
        <v>0.59999999999999787</v>
      </c>
      <c r="L65" s="68">
        <f t="shared" si="18"/>
        <v>0.59999999999999787</v>
      </c>
      <c r="M65" s="68" t="e">
        <f t="shared" si="18"/>
        <v>#N/A</v>
      </c>
      <c r="N65" s="68" t="e">
        <f t="shared" si="18"/>
        <v>#N/A</v>
      </c>
      <c r="O65" s="68" t="e">
        <f t="shared" si="18"/>
        <v>#N/A</v>
      </c>
      <c r="P65" s="68" t="e">
        <f t="shared" si="18"/>
        <v>#N/A</v>
      </c>
      <c r="Q65" s="68" t="e">
        <f t="shared" si="18"/>
        <v>#N/A</v>
      </c>
      <c r="R65" s="68" t="e">
        <f t="shared" si="18"/>
        <v>#N/A</v>
      </c>
      <c r="S65" s="68" t="e">
        <f t="shared" si="18"/>
        <v>#N/A</v>
      </c>
      <c r="T65" s="68" t="e">
        <f t="shared" si="18"/>
        <v>#N/A</v>
      </c>
      <c r="U65" s="68" t="e">
        <f t="shared" si="18"/>
        <v>#N/A</v>
      </c>
    </row>
    <row r="66" spans="1:21" ht="26" x14ac:dyDescent="0.3">
      <c r="A66" s="101" t="s">
        <v>148</v>
      </c>
      <c r="B66" s="69" t="str">
        <f>IF(B64&lt;=B63,"OVER","UNDER")</f>
        <v>UNDER</v>
      </c>
      <c r="C66" s="69" t="str">
        <f t="shared" ref="C66:U66" si="19">IF(C64&lt;=C63,"OVER","UNDER")</f>
        <v>OVER</v>
      </c>
      <c r="D66" s="69" t="str">
        <f t="shared" si="19"/>
        <v>OVER</v>
      </c>
      <c r="E66" s="69" t="str">
        <f t="shared" si="19"/>
        <v>OVER</v>
      </c>
      <c r="F66" s="69" t="str">
        <f t="shared" si="19"/>
        <v>OVER</v>
      </c>
      <c r="G66" s="69" t="str">
        <f t="shared" si="19"/>
        <v>OVER</v>
      </c>
      <c r="H66" s="69" t="str">
        <f t="shared" si="19"/>
        <v>OVER</v>
      </c>
      <c r="I66" s="69" t="str">
        <f t="shared" si="19"/>
        <v>OVER</v>
      </c>
      <c r="J66" s="69" t="str">
        <f t="shared" si="19"/>
        <v>OVER</v>
      </c>
      <c r="K66" s="69" t="str">
        <f t="shared" si="19"/>
        <v>OVER</v>
      </c>
      <c r="L66" s="69" t="str">
        <f t="shared" si="19"/>
        <v>OVER</v>
      </c>
      <c r="M66" s="69" t="e">
        <f t="shared" si="19"/>
        <v>#N/A</v>
      </c>
      <c r="N66" s="69" t="e">
        <f t="shared" si="19"/>
        <v>#N/A</v>
      </c>
      <c r="O66" s="69" t="e">
        <f t="shared" si="19"/>
        <v>#N/A</v>
      </c>
      <c r="P66" s="69" t="e">
        <f t="shared" si="19"/>
        <v>#N/A</v>
      </c>
      <c r="Q66" s="69" t="e">
        <f t="shared" si="19"/>
        <v>#N/A</v>
      </c>
      <c r="R66" s="69" t="e">
        <f t="shared" si="19"/>
        <v>#N/A</v>
      </c>
      <c r="S66" s="69" t="e">
        <f t="shared" si="19"/>
        <v>#N/A</v>
      </c>
      <c r="T66" s="69" t="e">
        <f t="shared" si="19"/>
        <v>#N/A</v>
      </c>
      <c r="U66" s="69" t="e">
        <f t="shared" si="19"/>
        <v>#N/A</v>
      </c>
    </row>
  </sheetData>
  <sheetProtection algorithmName="SHA-512" hashValue="e2/TABILz+LZ8hVlwX2lb7cZutUD32cjgQjLCjwmlXaP+AeKA6PHQnVx9RkuiXWRPw3wQ/K3Z/wqi0Zq10gNLw==" saltValue="zAaig4d4JJLgj7QPMTR15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195" priority="36" operator="greaterThan">
      <formula>$B$51</formula>
    </cfRule>
  </conditionalFormatting>
  <conditionalFormatting sqref="B66:U66">
    <cfRule type="cellIs" dxfId="194" priority="11" operator="equal">
      <formula>"UNDER"</formula>
    </cfRule>
    <cfRule type="cellIs" dxfId="193" priority="12" operator="equal">
      <formula>"OVER"</formula>
    </cfRule>
  </conditionalFormatting>
  <conditionalFormatting sqref="C31:C50">
    <cfRule type="cellIs" dxfId="192" priority="35" operator="greaterThan">
      <formula>$C$51</formula>
    </cfRule>
  </conditionalFormatting>
  <conditionalFormatting sqref="C17:V19">
    <cfRule type="cellIs" dxfId="191" priority="32" operator="equal">
      <formula>0</formula>
    </cfRule>
  </conditionalFormatting>
  <conditionalFormatting sqref="C20:V21">
    <cfRule type="cellIs" dxfId="190" priority="37" operator="equal">
      <formula>"DECREASE"</formula>
    </cfRule>
    <cfRule type="cellIs" dxfId="189" priority="38" operator="equal">
      <formula>"INCREASE"</formula>
    </cfRule>
  </conditionalFormatting>
  <conditionalFormatting sqref="C21:V21">
    <cfRule type="cellIs" dxfId="188" priority="13" operator="equal">
      <formula>0</formula>
    </cfRule>
  </conditionalFormatting>
  <conditionalFormatting sqref="C22:V23">
    <cfRule type="cellIs" dxfId="187" priority="17" operator="equal">
      <formula>0</formula>
    </cfRule>
  </conditionalFormatting>
  <conditionalFormatting sqref="C24:V24">
    <cfRule type="cellIs" dxfId="186" priority="18" operator="equal">
      <formula>"DECREASE"</formula>
    </cfRule>
    <cfRule type="cellIs" dxfId="185" priority="19" operator="equal">
      <formula>"INCREASE"</formula>
    </cfRule>
  </conditionalFormatting>
  <conditionalFormatting sqref="G31:G50">
    <cfRule type="cellIs" dxfId="184" priority="31" operator="greaterThan">
      <formula>$G$51</formula>
    </cfRule>
  </conditionalFormatting>
  <conditionalFormatting sqref="H31:H50">
    <cfRule type="cellIs" dxfId="183" priority="30" operator="greaterThan">
      <formula>$H$51</formula>
    </cfRule>
  </conditionalFormatting>
  <conditionalFormatting sqref="I1">
    <cfRule type="cellIs" dxfId="182" priority="3" operator="between">
      <formula>0.1</formula>
      <formula>5</formula>
    </cfRule>
  </conditionalFormatting>
  <conditionalFormatting sqref="I2">
    <cfRule type="cellIs" dxfId="181" priority="2" operator="greaterThan">
      <formula>5000.1</formula>
    </cfRule>
  </conditionalFormatting>
  <conditionalFormatting sqref="I3">
    <cfRule type="cellIs" dxfId="180" priority="1" operator="greaterThan">
      <formula>40000.01</formula>
    </cfRule>
  </conditionalFormatting>
  <conditionalFormatting sqref="I31:I50">
    <cfRule type="cellIs" dxfId="179" priority="29" operator="greaterThan">
      <formula>$I$51</formula>
    </cfRule>
  </conditionalFormatting>
  <conditionalFormatting sqref="J31:J50">
    <cfRule type="cellIs" dxfId="178" priority="8" operator="greaterThan">
      <formula>$J$51</formula>
    </cfRule>
  </conditionalFormatting>
  <conditionalFormatting sqref="K31:K50">
    <cfRule type="cellIs" dxfId="177" priority="28" operator="greaterThan">
      <formula>$K$51</formula>
    </cfRule>
  </conditionalFormatting>
  <conditionalFormatting sqref="L3">
    <cfRule type="cellIs" dxfId="176" priority="4" operator="lessThan">
      <formula>30</formula>
    </cfRule>
    <cfRule type="cellIs" dxfId="175" priority="5" operator="greaterThanOrEqual">
      <formula>30</formula>
    </cfRule>
  </conditionalFormatting>
  <conditionalFormatting sqref="L31:L50">
    <cfRule type="cellIs" dxfId="174" priority="27" operator="greaterThan">
      <formula>$L$51</formula>
    </cfRule>
  </conditionalFormatting>
  <conditionalFormatting sqref="M31:M50">
    <cfRule type="cellIs" dxfId="173" priority="26" operator="greaterThan">
      <formula>$M$51</formula>
    </cfRule>
  </conditionalFormatting>
  <conditionalFormatting sqref="P31:P50">
    <cfRule type="cellIs" dxfId="172" priority="25" operator="greaterThan">
      <formula>$P$51</formula>
    </cfRule>
  </conditionalFormatting>
  <conditionalFormatting sqref="R31:R50">
    <cfRule type="cellIs" dxfId="171" priority="24" operator="greaterThan">
      <formula>$R$51</formula>
    </cfRule>
  </conditionalFormatting>
  <conditionalFormatting sqref="S31:S50">
    <cfRule type="cellIs" dxfId="170" priority="23" operator="greaterThan">
      <formula>$S$51</formula>
    </cfRule>
  </conditionalFormatting>
  <conditionalFormatting sqref="T31:T50">
    <cfRule type="cellIs" dxfId="169" priority="22" operator="greaterThan">
      <formula>$T$51</formula>
    </cfRule>
  </conditionalFormatting>
  <conditionalFormatting sqref="U31:U50">
    <cfRule type="cellIs" dxfId="168" priority="21" operator="greaterThan">
      <formula>$U$51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zoomScale="90" zoomScaleNormal="90" workbookViewId="0">
      <selection activeCell="F2" sqref="F2"/>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06" t="s">
        <v>41</v>
      </c>
      <c r="B1" s="106"/>
      <c r="C1" s="127" t="str">
        <f>Newcastle!C1:D1</f>
        <v>PAN-026945</v>
      </c>
      <c r="D1" s="128"/>
      <c r="E1" s="83" t="s">
        <v>45</v>
      </c>
      <c r="F1" s="32">
        <f>Newcastle!F1</f>
        <v>47.3</v>
      </c>
      <c r="G1" s="107" t="s">
        <v>43</v>
      </c>
      <c r="H1" s="108"/>
      <c r="I1" s="86">
        <v>4.0599999999999996</v>
      </c>
      <c r="J1" s="106" t="s">
        <v>153</v>
      </c>
      <c r="K1" s="106"/>
      <c r="L1" s="86">
        <v>25</v>
      </c>
      <c r="AB1" s="14"/>
      <c r="AC1" s="14"/>
      <c r="AD1" s="23" t="s">
        <v>126</v>
      </c>
      <c r="AE1" s="14"/>
      <c r="AF1" s="14"/>
      <c r="AG1" s="14"/>
      <c r="AH1" s="14"/>
      <c r="AI1" s="33" t="s">
        <v>79</v>
      </c>
      <c r="AJ1" s="34" t="s">
        <v>94</v>
      </c>
      <c r="AK1" s="35" t="s">
        <v>95</v>
      </c>
      <c r="AL1" s="36" t="s">
        <v>125</v>
      </c>
      <c r="AM1" s="36" t="s">
        <v>131</v>
      </c>
      <c r="AN1" s="36" t="s">
        <v>111</v>
      </c>
    </row>
    <row r="2" spans="1:41" ht="12.75" customHeight="1" x14ac:dyDescent="0.3">
      <c r="A2" s="106" t="s">
        <v>87</v>
      </c>
      <c r="B2" s="106"/>
      <c r="C2" s="129" t="str">
        <f>Newcastle!C2:D2</f>
        <v>EPR/AB3891CX</v>
      </c>
      <c r="D2" s="130"/>
      <c r="E2" s="83" t="s">
        <v>109</v>
      </c>
      <c r="F2" s="86" t="s">
        <v>188</v>
      </c>
      <c r="G2" s="125" t="s">
        <v>110</v>
      </c>
      <c r="H2" s="126"/>
      <c r="I2" s="86">
        <v>737</v>
      </c>
      <c r="J2" s="106" t="s">
        <v>158</v>
      </c>
      <c r="K2" s="106"/>
      <c r="L2" s="86">
        <v>0.1</v>
      </c>
      <c r="AB2" s="23" t="s">
        <v>56</v>
      </c>
      <c r="AC2" s="14"/>
      <c r="AD2" s="23" t="s">
        <v>70</v>
      </c>
      <c r="AE2" s="14"/>
      <c r="AF2" s="14"/>
      <c r="AG2" s="37" t="s">
        <v>76</v>
      </c>
      <c r="AH2" s="14"/>
      <c r="AI2" s="38" t="s">
        <v>126</v>
      </c>
      <c r="AJ2" s="39">
        <v>0</v>
      </c>
      <c r="AK2" s="40">
        <v>0</v>
      </c>
      <c r="AL2" s="7">
        <v>0</v>
      </c>
      <c r="AM2" s="9">
        <v>0</v>
      </c>
      <c r="AN2" s="9">
        <v>0</v>
      </c>
    </row>
    <row r="3" spans="1:41" ht="13" x14ac:dyDescent="0.25">
      <c r="A3" s="107" t="s">
        <v>42</v>
      </c>
      <c r="B3" s="108"/>
      <c r="C3" s="129" t="str">
        <f>Newcastle!C3:D3</f>
        <v xml:space="preserve">Mr Daniel James and Mrs Carys James </v>
      </c>
      <c r="D3" s="130"/>
      <c r="E3" s="83" t="s">
        <v>108</v>
      </c>
      <c r="F3" s="24" t="s">
        <v>78</v>
      </c>
      <c r="G3" s="106" t="s">
        <v>159</v>
      </c>
      <c r="H3" s="106"/>
      <c r="I3" s="86"/>
      <c r="J3" s="107" t="s">
        <v>154</v>
      </c>
      <c r="K3" s="108"/>
      <c r="L3" s="86">
        <f>(L1/(L2*10000))*100</f>
        <v>2.5</v>
      </c>
      <c r="AB3" s="23" t="s">
        <v>57</v>
      </c>
      <c r="AC3" s="14"/>
      <c r="AD3" s="23" t="s">
        <v>71</v>
      </c>
      <c r="AE3" s="14"/>
      <c r="AF3" s="14"/>
      <c r="AG3" s="37" t="s">
        <v>77</v>
      </c>
      <c r="AH3" s="14"/>
      <c r="AI3" s="41" t="s">
        <v>113</v>
      </c>
      <c r="AJ3" s="42">
        <v>1.7</v>
      </c>
      <c r="AK3" s="43">
        <v>6</v>
      </c>
      <c r="AL3" s="44">
        <v>1</v>
      </c>
      <c r="AM3" s="9">
        <v>6.2</v>
      </c>
      <c r="AN3" s="9" t="s">
        <v>112</v>
      </c>
    </row>
    <row r="4" spans="1:41" ht="13" x14ac:dyDescent="0.25">
      <c r="A4" s="106" t="s">
        <v>0</v>
      </c>
      <c r="B4" s="106"/>
      <c r="C4" s="127" t="str">
        <f>Newcastle!C4:D4</f>
        <v>Hafod Fram, Ferwig, Cardigan, Ceredigion, SA43 1PU</v>
      </c>
      <c r="D4" s="128"/>
      <c r="E4" s="84" t="s">
        <v>1</v>
      </c>
      <c r="F4" s="86" t="s">
        <v>181</v>
      </c>
      <c r="G4" s="107"/>
      <c r="H4" s="108"/>
      <c r="I4" s="32"/>
      <c r="J4" s="107"/>
      <c r="K4" s="108"/>
      <c r="L4" s="86"/>
      <c r="AB4" s="23" t="s">
        <v>52</v>
      </c>
      <c r="AC4" s="14"/>
      <c r="AD4" s="45" t="s">
        <v>72</v>
      </c>
      <c r="AE4" s="14"/>
      <c r="AF4" s="14"/>
      <c r="AG4" s="37" t="s">
        <v>78</v>
      </c>
      <c r="AH4" s="14"/>
      <c r="AI4" s="46" t="s">
        <v>124</v>
      </c>
      <c r="AJ4" s="47">
        <v>7</v>
      </c>
      <c r="AK4" s="48">
        <v>10.5</v>
      </c>
      <c r="AL4" s="9">
        <v>2</v>
      </c>
      <c r="AM4" s="9">
        <v>6.7</v>
      </c>
      <c r="AN4" s="9" t="s">
        <v>135</v>
      </c>
    </row>
    <row r="5" spans="1:41" ht="13" x14ac:dyDescent="0.25">
      <c r="A5" s="106" t="s">
        <v>47</v>
      </c>
      <c r="B5" s="106"/>
      <c r="C5" s="127" t="str">
        <f>Newcastle!C5:D5</f>
        <v>Megan Tucker</v>
      </c>
      <c r="D5" s="128"/>
      <c r="E5" s="83"/>
      <c r="F5" s="32"/>
      <c r="G5" s="107"/>
      <c r="H5" s="108"/>
      <c r="I5" s="32"/>
      <c r="J5" s="107"/>
      <c r="K5" s="108"/>
      <c r="L5" s="86"/>
      <c r="AB5" s="23" t="s">
        <v>53</v>
      </c>
      <c r="AC5" s="14"/>
      <c r="AD5" s="45" t="s">
        <v>73</v>
      </c>
      <c r="AE5" s="14"/>
      <c r="AF5" s="14"/>
      <c r="AG5" s="37" t="s">
        <v>104</v>
      </c>
      <c r="AH5" s="14"/>
      <c r="AI5" s="46" t="s">
        <v>123</v>
      </c>
      <c r="AJ5" s="47">
        <v>6.5</v>
      </c>
      <c r="AK5" s="48">
        <v>5.5</v>
      </c>
      <c r="AL5" s="9">
        <v>3</v>
      </c>
      <c r="AM5" s="9">
        <v>6.7</v>
      </c>
      <c r="AN5" s="9" t="s">
        <v>135</v>
      </c>
    </row>
    <row r="6" spans="1:41" x14ac:dyDescent="0.25">
      <c r="A6" s="49"/>
      <c r="B6" s="49"/>
      <c r="F6" s="50"/>
      <c r="G6" s="50"/>
      <c r="H6" s="51"/>
      <c r="I6" s="51"/>
      <c r="J6" s="51"/>
      <c r="AB6" s="23" t="s">
        <v>54</v>
      </c>
      <c r="AC6" s="14"/>
      <c r="AD6" s="45" t="s">
        <v>74</v>
      </c>
      <c r="AE6" s="14"/>
      <c r="AF6" s="14"/>
      <c r="AG6" s="14"/>
      <c r="AH6" s="14"/>
      <c r="AI6" s="46" t="s">
        <v>68</v>
      </c>
      <c r="AJ6" s="47">
        <v>8.5</v>
      </c>
      <c r="AK6" s="48">
        <v>12</v>
      </c>
      <c r="AL6" s="9">
        <v>4</v>
      </c>
      <c r="AM6" s="9">
        <v>6.7</v>
      </c>
      <c r="AN6" s="9" t="s">
        <v>135</v>
      </c>
    </row>
    <row r="7" spans="1:41" s="7" customFormat="1" ht="13" x14ac:dyDescent="0.25">
      <c r="A7" s="112" t="s">
        <v>63</v>
      </c>
      <c r="B7" s="112"/>
      <c r="C7" s="10">
        <v>1</v>
      </c>
      <c r="D7" s="10">
        <v>2</v>
      </c>
      <c r="E7" s="10">
        <v>3</v>
      </c>
      <c r="F7" s="10">
        <v>4</v>
      </c>
      <c r="G7" s="10">
        <v>5</v>
      </c>
      <c r="H7" s="10">
        <v>6</v>
      </c>
      <c r="I7" s="10">
        <v>7</v>
      </c>
      <c r="J7" s="10">
        <v>8</v>
      </c>
      <c r="K7" s="10">
        <v>9</v>
      </c>
      <c r="L7" s="10">
        <v>10</v>
      </c>
      <c r="M7" s="10">
        <v>11</v>
      </c>
      <c r="N7" s="10">
        <v>12</v>
      </c>
      <c r="O7" s="10">
        <v>13</v>
      </c>
      <c r="P7" s="10">
        <v>14</v>
      </c>
      <c r="Q7" s="10">
        <v>15</v>
      </c>
      <c r="R7" s="10">
        <v>16</v>
      </c>
      <c r="S7" s="10">
        <v>17</v>
      </c>
      <c r="T7" s="10">
        <v>18</v>
      </c>
      <c r="U7" s="10">
        <v>19</v>
      </c>
      <c r="V7" s="10">
        <v>20</v>
      </c>
      <c r="AB7" s="23" t="s">
        <v>55</v>
      </c>
      <c r="AC7" s="14"/>
      <c r="AD7" s="14"/>
      <c r="AE7" s="14"/>
      <c r="AF7" s="14"/>
      <c r="AG7" s="14"/>
      <c r="AH7" s="14"/>
      <c r="AI7" s="46" t="s">
        <v>96</v>
      </c>
      <c r="AJ7" s="47">
        <v>8.5</v>
      </c>
      <c r="AK7" s="48">
        <v>10.5</v>
      </c>
      <c r="AL7" s="9">
        <v>5</v>
      </c>
      <c r="AM7" s="7">
        <v>6.7</v>
      </c>
      <c r="AN7" s="9" t="s">
        <v>135</v>
      </c>
      <c r="AO7" s="88"/>
    </row>
    <row r="8" spans="1:41" ht="13" x14ac:dyDescent="0.25">
      <c r="A8" s="106" t="s">
        <v>2</v>
      </c>
      <c r="B8" s="106"/>
      <c r="C8" s="52" t="str">
        <f>Newcastle!C8</f>
        <v>Nant Y Croi 9</v>
      </c>
      <c r="D8" s="52" t="str">
        <f>Newcastle!D8</f>
        <v>Hafod 4315</v>
      </c>
      <c r="E8" s="52" t="str">
        <f>Newcastle!E8</f>
        <v>Hafod 4734</v>
      </c>
      <c r="F8" s="52" t="str">
        <f>Newcastle!F8</f>
        <v>Hafod 5761</v>
      </c>
      <c r="G8" s="52" t="str">
        <f>Newcastle!G8</f>
        <v>Hafod 4067</v>
      </c>
      <c r="H8" s="52" t="str">
        <f>Newcastle!H8</f>
        <v>Hafod 2455</v>
      </c>
      <c r="I8" s="52" t="str">
        <f>Newcastle!I8</f>
        <v>Hafod 1741</v>
      </c>
      <c r="J8" s="52" t="str">
        <f>Newcastle!J8</f>
        <v>Hafod 0720</v>
      </c>
      <c r="K8" s="52" t="str">
        <f>Newcastle!K8</f>
        <v>Solafron 2893</v>
      </c>
      <c r="L8" s="52" t="str">
        <f>Newcastle!L8</f>
        <v>Solafron 2611</v>
      </c>
      <c r="M8" s="52" t="str">
        <f>Newcastle!M8</f>
        <v>Solafron 1404</v>
      </c>
      <c r="N8" s="52">
        <f>Newcastle!N8</f>
        <v>0</v>
      </c>
      <c r="O8" s="52">
        <f>Newcastle!O8</f>
        <v>0</v>
      </c>
      <c r="P8" s="52">
        <f>Newcastle!P8</f>
        <v>0</v>
      </c>
      <c r="Q8" s="52">
        <f>Newcastle!Q8</f>
        <v>0</v>
      </c>
      <c r="R8" s="52">
        <f>Newcastle!R8</f>
        <v>0</v>
      </c>
      <c r="S8" s="52">
        <f>Newcastle!S8</f>
        <v>0</v>
      </c>
      <c r="T8" s="52">
        <f>Newcastle!T8</f>
        <v>0</v>
      </c>
      <c r="U8" s="52">
        <f>Newcastle!U8</f>
        <v>0</v>
      </c>
      <c r="V8" s="52">
        <f>Newcastle!V8</f>
        <v>0</v>
      </c>
      <c r="AB8" s="53"/>
      <c r="AC8" s="53"/>
      <c r="AD8" s="14"/>
      <c r="AE8" s="14" t="s">
        <v>139</v>
      </c>
      <c r="AF8" s="14"/>
      <c r="AG8" s="14"/>
      <c r="AH8" s="14"/>
      <c r="AI8" s="46" t="s">
        <v>105</v>
      </c>
      <c r="AJ8" s="54">
        <v>1.4</v>
      </c>
      <c r="AK8" s="48">
        <v>4.4000000000000004</v>
      </c>
      <c r="AL8" s="9">
        <v>6</v>
      </c>
      <c r="AM8" s="9">
        <v>6.7</v>
      </c>
      <c r="AN8" s="9" t="s">
        <v>135</v>
      </c>
      <c r="AO8" s="14"/>
    </row>
    <row r="9" spans="1:41" ht="13" x14ac:dyDescent="0.25">
      <c r="A9" s="106" t="s">
        <v>3</v>
      </c>
      <c r="B9" s="106"/>
      <c r="C9" s="52" t="str">
        <f>Newcastle!C9</f>
        <v xml:space="preserve">Moderate </v>
      </c>
      <c r="D9" s="52" t="str">
        <f>Newcastle!D9</f>
        <v xml:space="preserve">Moderate </v>
      </c>
      <c r="E9" s="52" t="str">
        <f>Newcastle!E9</f>
        <v xml:space="preserve">Moderate </v>
      </c>
      <c r="F9" s="52" t="str">
        <f>Newcastle!F9</f>
        <v xml:space="preserve">Moderate </v>
      </c>
      <c r="G9" s="52" t="str">
        <f>Newcastle!G9</f>
        <v xml:space="preserve">Moderate </v>
      </c>
      <c r="H9" s="52" t="str">
        <f>Newcastle!H9</f>
        <v xml:space="preserve">Moderate </v>
      </c>
      <c r="I9" s="52" t="str">
        <f>Newcastle!I9</f>
        <v xml:space="preserve">Moderate </v>
      </c>
      <c r="J9" s="52" t="str">
        <f>Newcastle!J9</f>
        <v xml:space="preserve">Moderate </v>
      </c>
      <c r="K9" s="52" t="str">
        <f>Newcastle!K9</f>
        <v xml:space="preserve">Moderate </v>
      </c>
      <c r="L9" s="52" t="str">
        <f>Newcastle!L9</f>
        <v xml:space="preserve">Moderate </v>
      </c>
      <c r="M9" s="52" t="str">
        <f>Newcastle!M9</f>
        <v xml:space="preserve">Moderate </v>
      </c>
      <c r="N9" s="52">
        <f>Newcastle!N9</f>
        <v>0</v>
      </c>
      <c r="O9" s="52">
        <f>Newcastle!O9</f>
        <v>0</v>
      </c>
      <c r="P9" s="52">
        <f>Newcastle!P9</f>
        <v>0</v>
      </c>
      <c r="Q9" s="52">
        <f>Newcastle!Q9</f>
        <v>0</v>
      </c>
      <c r="R9" s="52">
        <f>Newcastle!R9</f>
        <v>0</v>
      </c>
      <c r="S9" s="52">
        <f>Newcastle!S9</f>
        <v>0</v>
      </c>
      <c r="T9" s="52">
        <f>Newcastle!T9</f>
        <v>0</v>
      </c>
      <c r="U9" s="52">
        <f>Newcastle!U9</f>
        <v>0</v>
      </c>
      <c r="V9" s="52">
        <f>Newcastle!V9</f>
        <v>0</v>
      </c>
      <c r="AB9" s="14"/>
      <c r="AC9" s="14"/>
      <c r="AD9" s="23" t="s">
        <v>137</v>
      </c>
      <c r="AE9" s="23">
        <v>4.5</v>
      </c>
      <c r="AF9" s="14"/>
      <c r="AG9" s="14"/>
      <c r="AH9" s="14"/>
      <c r="AI9" s="55" t="s">
        <v>103</v>
      </c>
      <c r="AJ9" s="56">
        <v>0.7</v>
      </c>
      <c r="AK9" s="57">
        <v>4</v>
      </c>
      <c r="AL9" s="22">
        <v>7</v>
      </c>
      <c r="AM9" s="9">
        <v>6.7</v>
      </c>
      <c r="AN9" s="9" t="s">
        <v>135</v>
      </c>
      <c r="AO9" s="88"/>
    </row>
    <row r="10" spans="1:41" ht="13" x14ac:dyDescent="0.25">
      <c r="A10" s="106" t="s">
        <v>4</v>
      </c>
      <c r="B10" s="106"/>
      <c r="C10" s="52">
        <f>Newcastle!C10</f>
        <v>5.4</v>
      </c>
      <c r="D10" s="52">
        <f>Newcastle!D10</f>
        <v>6.3</v>
      </c>
      <c r="E10" s="52">
        <f>Newcastle!E10</f>
        <v>6.3</v>
      </c>
      <c r="F10" s="52">
        <f>Newcastle!F10</f>
        <v>6.2</v>
      </c>
      <c r="G10" s="52">
        <f>Newcastle!G10</f>
        <v>6.2</v>
      </c>
      <c r="H10" s="52">
        <f>Newcastle!H10</f>
        <v>6.3</v>
      </c>
      <c r="I10" s="52">
        <f>Newcastle!I10</f>
        <v>6.3</v>
      </c>
      <c r="J10" s="52">
        <f>Newcastle!J10</f>
        <v>6.2</v>
      </c>
      <c r="K10" s="52">
        <f>Newcastle!K10</f>
        <v>6.3</v>
      </c>
      <c r="L10" s="52">
        <f>Newcastle!L10</f>
        <v>6.3</v>
      </c>
      <c r="M10" s="52">
        <f>Newcastle!M10</f>
        <v>6.3</v>
      </c>
      <c r="N10" s="52">
        <f>Newcastle!N10</f>
        <v>0</v>
      </c>
      <c r="O10" s="52">
        <f>Newcastle!O10</f>
        <v>0</v>
      </c>
      <c r="P10" s="52">
        <f>Newcastle!P10</f>
        <v>0</v>
      </c>
      <c r="Q10" s="52">
        <f>Newcastle!Q10</f>
        <v>0</v>
      </c>
      <c r="R10" s="52">
        <f>Newcastle!R10</f>
        <v>0</v>
      </c>
      <c r="S10" s="52">
        <f>Newcastle!S10</f>
        <v>0</v>
      </c>
      <c r="T10" s="52">
        <f>Newcastle!T10</f>
        <v>0</v>
      </c>
      <c r="U10" s="52">
        <f>Newcastle!U10</f>
        <v>0</v>
      </c>
      <c r="V10" s="52">
        <f>Newcastle!V10</f>
        <v>0</v>
      </c>
      <c r="AB10" s="14"/>
      <c r="AC10" s="14"/>
      <c r="AD10" s="23" t="s">
        <v>140</v>
      </c>
      <c r="AE10" s="23">
        <v>5</v>
      </c>
      <c r="AF10" s="14"/>
      <c r="AG10" s="14"/>
      <c r="AH10" s="14"/>
      <c r="AI10" s="46" t="s">
        <v>97</v>
      </c>
      <c r="AJ10" s="47">
        <v>9</v>
      </c>
      <c r="AK10" s="48">
        <v>16.5</v>
      </c>
      <c r="AL10" s="9">
        <v>8</v>
      </c>
      <c r="AM10" s="9">
        <v>6.7</v>
      </c>
      <c r="AN10" s="9" t="s">
        <v>135</v>
      </c>
    </row>
    <row r="11" spans="1:41" ht="13" x14ac:dyDescent="0.25">
      <c r="A11" s="106" t="s">
        <v>5</v>
      </c>
      <c r="B11" s="106"/>
      <c r="C11" s="52">
        <f>Newcastle!C11</f>
        <v>2</v>
      </c>
      <c r="D11" s="52">
        <f>Newcastle!D11</f>
        <v>2</v>
      </c>
      <c r="E11" s="52">
        <f>Newcastle!E11</f>
        <v>2</v>
      </c>
      <c r="F11" s="52">
        <f>Newcastle!F11</f>
        <v>1</v>
      </c>
      <c r="G11" s="52">
        <f>Newcastle!G11</f>
        <v>2</v>
      </c>
      <c r="H11" s="52">
        <f>Newcastle!H11</f>
        <v>2</v>
      </c>
      <c r="I11" s="52">
        <f>Newcastle!I11</f>
        <v>2</v>
      </c>
      <c r="J11" s="52">
        <f>Newcastle!J11</f>
        <v>2</v>
      </c>
      <c r="K11" s="52">
        <f>Newcastle!K11</f>
        <v>2</v>
      </c>
      <c r="L11" s="52">
        <f>Newcastle!L11</f>
        <v>2</v>
      </c>
      <c r="M11" s="52">
        <f>Newcastle!M11</f>
        <v>2</v>
      </c>
      <c r="N11" s="52">
        <f>Newcastle!N11</f>
        <v>0</v>
      </c>
      <c r="O11" s="52">
        <f>Newcastle!O11</f>
        <v>0</v>
      </c>
      <c r="P11" s="52">
        <f>Newcastle!P11</f>
        <v>0</v>
      </c>
      <c r="Q11" s="52">
        <f>Newcastle!Q11</f>
        <v>0</v>
      </c>
      <c r="R11" s="52">
        <f>Newcastle!R11</f>
        <v>0</v>
      </c>
      <c r="S11" s="52">
        <f>Newcastle!S11</f>
        <v>0</v>
      </c>
      <c r="T11" s="52">
        <f>Newcastle!T11</f>
        <v>0</v>
      </c>
      <c r="U11" s="52">
        <f>Newcastle!U11</f>
        <v>0</v>
      </c>
      <c r="V11" s="52">
        <f>Newcastle!V11</f>
        <v>0</v>
      </c>
      <c r="AB11" s="14"/>
      <c r="AC11" s="14"/>
      <c r="AD11" s="45" t="s">
        <v>141</v>
      </c>
      <c r="AE11" s="23">
        <v>6</v>
      </c>
      <c r="AF11" s="14"/>
      <c r="AG11" s="14"/>
      <c r="AH11" s="14"/>
      <c r="AI11" s="46" t="s">
        <v>122</v>
      </c>
      <c r="AJ11" s="47">
        <v>15</v>
      </c>
      <c r="AK11" s="48">
        <v>17.5</v>
      </c>
      <c r="AL11" s="9">
        <v>9</v>
      </c>
      <c r="AM11" s="9">
        <v>7</v>
      </c>
      <c r="AN11" s="9" t="s">
        <v>135</v>
      </c>
    </row>
    <row r="12" spans="1:41" ht="13" x14ac:dyDescent="0.25">
      <c r="A12" s="106" t="s">
        <v>6</v>
      </c>
      <c r="B12" s="106"/>
      <c r="C12" s="52">
        <f>Newcastle!C12</f>
        <v>1</v>
      </c>
      <c r="D12" s="52">
        <f>Newcastle!D12</f>
        <v>2</v>
      </c>
      <c r="E12" s="52">
        <f>Newcastle!E12</f>
        <v>1</v>
      </c>
      <c r="F12" s="52">
        <f>Newcastle!F12</f>
        <v>2</v>
      </c>
      <c r="G12" s="52">
        <f>Newcastle!G12</f>
        <v>2</v>
      </c>
      <c r="H12" s="52">
        <f>Newcastle!H12</f>
        <v>1</v>
      </c>
      <c r="I12" s="52">
        <f>Newcastle!I12</f>
        <v>2</v>
      </c>
      <c r="J12" s="52">
        <f>Newcastle!J12</f>
        <v>1</v>
      </c>
      <c r="K12" s="52">
        <f>Newcastle!K12</f>
        <v>2</v>
      </c>
      <c r="L12" s="52">
        <f>Newcastle!L12</f>
        <v>2</v>
      </c>
      <c r="M12" s="52">
        <f>Newcastle!M12</f>
        <v>1</v>
      </c>
      <c r="N12" s="52">
        <f>Newcastle!N12</f>
        <v>0</v>
      </c>
      <c r="O12" s="52">
        <f>Newcastle!O12</f>
        <v>0</v>
      </c>
      <c r="P12" s="52">
        <f>Newcastle!P12</f>
        <v>0</v>
      </c>
      <c r="Q12" s="52">
        <f>Newcastle!Q12</f>
        <v>0</v>
      </c>
      <c r="R12" s="52">
        <f>Newcastle!R12</f>
        <v>0</v>
      </c>
      <c r="S12" s="52">
        <f>Newcastle!S12</f>
        <v>0</v>
      </c>
      <c r="T12" s="52">
        <f>Newcastle!T12</f>
        <v>0</v>
      </c>
      <c r="U12" s="52">
        <f>Newcastle!U12</f>
        <v>0</v>
      </c>
      <c r="V12" s="52">
        <f>Newcastle!V12</f>
        <v>0</v>
      </c>
      <c r="AB12" s="14"/>
      <c r="AC12" s="14"/>
      <c r="AD12" s="45" t="s">
        <v>142</v>
      </c>
      <c r="AE12" s="23">
        <v>7.5</v>
      </c>
      <c r="AF12" s="14"/>
      <c r="AG12" s="14"/>
      <c r="AH12" s="14"/>
      <c r="AI12" s="46" t="s">
        <v>121</v>
      </c>
      <c r="AJ12" s="47">
        <v>14</v>
      </c>
      <c r="AK12" s="48">
        <v>11</v>
      </c>
      <c r="AL12" s="9">
        <v>10</v>
      </c>
      <c r="AM12" s="9">
        <v>7</v>
      </c>
      <c r="AN12" s="9" t="s">
        <v>135</v>
      </c>
    </row>
    <row r="13" spans="1:41" ht="13" x14ac:dyDescent="0.25">
      <c r="A13" s="106" t="s">
        <v>7</v>
      </c>
      <c r="B13" s="106"/>
      <c r="C13" s="52">
        <f>Newcastle!C13</f>
        <v>3</v>
      </c>
      <c r="D13" s="52">
        <f>Newcastle!D13</f>
        <v>5</v>
      </c>
      <c r="E13" s="52">
        <f>Newcastle!E13</f>
        <v>5</v>
      </c>
      <c r="F13" s="52">
        <f>Newcastle!F13</f>
        <v>5</v>
      </c>
      <c r="G13" s="52">
        <f>Newcastle!G13</f>
        <v>5</v>
      </c>
      <c r="H13" s="52">
        <f>Newcastle!H13</f>
        <v>5</v>
      </c>
      <c r="I13" s="52">
        <f>Newcastle!I13</f>
        <v>5</v>
      </c>
      <c r="J13" s="52">
        <f>Newcastle!J13</f>
        <v>5</v>
      </c>
      <c r="K13" s="52">
        <f>Newcastle!K13</f>
        <v>5</v>
      </c>
      <c r="L13" s="52">
        <f>Newcastle!L13</f>
        <v>5</v>
      </c>
      <c r="M13" s="52">
        <f>Newcastle!M13</f>
        <v>5</v>
      </c>
      <c r="N13" s="52">
        <f>Newcastle!N13</f>
        <v>0</v>
      </c>
      <c r="O13" s="52">
        <f>Newcastle!O13</f>
        <v>0</v>
      </c>
      <c r="P13" s="52">
        <f>Newcastle!P13</f>
        <v>0</v>
      </c>
      <c r="Q13" s="52">
        <f>Newcastle!Q13</f>
        <v>0</v>
      </c>
      <c r="R13" s="52">
        <f>Newcastle!R13</f>
        <v>0</v>
      </c>
      <c r="S13" s="52">
        <f>Newcastle!S13</f>
        <v>0</v>
      </c>
      <c r="T13" s="52">
        <f>Newcastle!T13</f>
        <v>0</v>
      </c>
      <c r="U13" s="52">
        <f>Newcastle!U13</f>
        <v>0</v>
      </c>
      <c r="V13" s="52">
        <f>Newcastle!V13</f>
        <v>0</v>
      </c>
      <c r="AB13" s="14"/>
      <c r="AC13" s="14"/>
      <c r="AD13" s="45" t="s">
        <v>143</v>
      </c>
      <c r="AE13" s="23">
        <v>12</v>
      </c>
      <c r="AF13" s="14"/>
      <c r="AG13" s="14"/>
      <c r="AH13" s="14"/>
      <c r="AI13" s="46" t="s">
        <v>120</v>
      </c>
      <c r="AJ13" s="47">
        <v>1.9</v>
      </c>
      <c r="AK13" s="48">
        <v>7.5</v>
      </c>
      <c r="AL13" s="9">
        <v>11</v>
      </c>
      <c r="AM13" s="9">
        <v>6.7</v>
      </c>
      <c r="AN13" s="9" t="s">
        <v>135</v>
      </c>
    </row>
    <row r="14" spans="1:41" ht="13" x14ac:dyDescent="0.25">
      <c r="A14" s="118" t="s">
        <v>8</v>
      </c>
      <c r="B14" s="118"/>
      <c r="C14" s="91" t="str">
        <f>Newcastle!C14</f>
        <v xml:space="preserve">Grass Silage (25% DM) </v>
      </c>
      <c r="D14" s="91" t="str">
        <f>Newcastle!D14</f>
        <v xml:space="preserve">Grass Silage (25% DM) </v>
      </c>
      <c r="E14" s="91" t="str">
        <f>Newcastle!E14</f>
        <v xml:space="preserve">Grass Silage (25% DM) </v>
      </c>
      <c r="F14" s="91" t="str">
        <f>Newcastle!F14</f>
        <v xml:space="preserve">Grass Silage (25% DM) </v>
      </c>
      <c r="G14" s="91" t="str">
        <f>Newcastle!G14</f>
        <v xml:space="preserve">Grass Silage (25% DM) </v>
      </c>
      <c r="H14" s="91" t="str">
        <f>Newcastle!H14</f>
        <v xml:space="preserve">Grass Silage (25% DM) </v>
      </c>
      <c r="I14" s="91" t="str">
        <f>Newcastle!I14</f>
        <v xml:space="preserve">Grass Silage (25% DM) </v>
      </c>
      <c r="J14" s="91" t="str">
        <f>Newcastle!J14</f>
        <v xml:space="preserve">Grass Silage (25% DM) </v>
      </c>
      <c r="K14" s="91" t="str">
        <f>Newcastle!K14</f>
        <v xml:space="preserve">Grass Silage (25% DM) </v>
      </c>
      <c r="L14" s="91" t="str">
        <f>Newcastle!L14</f>
        <v xml:space="preserve">Grass Silage (25% DM) </v>
      </c>
      <c r="M14" s="91" t="str">
        <f>Newcastle!M14</f>
        <v xml:space="preserve">Grass Silage (25% DM) </v>
      </c>
      <c r="N14" s="91">
        <f>Newcastle!N14</f>
        <v>0</v>
      </c>
      <c r="O14" s="91">
        <f>Newcastle!O14</f>
        <v>0</v>
      </c>
      <c r="P14" s="91">
        <f>Newcastle!P14</f>
        <v>0</v>
      </c>
      <c r="Q14" s="91">
        <f>Newcastle!Q14</f>
        <v>0</v>
      </c>
      <c r="R14" s="91">
        <f>Newcastle!R14</f>
        <v>0</v>
      </c>
      <c r="S14" s="91">
        <f>Newcastle!S14</f>
        <v>0</v>
      </c>
      <c r="T14" s="91">
        <f>Newcastle!T14</f>
        <v>0</v>
      </c>
      <c r="U14" s="91">
        <f>Newcastle!U14</f>
        <v>0</v>
      </c>
      <c r="V14" s="91">
        <f>Newcastle!V14</f>
        <v>0</v>
      </c>
      <c r="AD14" s="23" t="s">
        <v>138</v>
      </c>
      <c r="AE14" s="23">
        <v>6</v>
      </c>
      <c r="AI14" s="46" t="s">
        <v>119</v>
      </c>
      <c r="AJ14" s="47">
        <v>0.8</v>
      </c>
      <c r="AK14" s="48">
        <v>1.7</v>
      </c>
      <c r="AL14" s="9">
        <v>12</v>
      </c>
      <c r="AM14" s="9">
        <v>6.7</v>
      </c>
      <c r="AN14" s="9" t="s">
        <v>135</v>
      </c>
    </row>
    <row r="15" spans="1:41" ht="13" x14ac:dyDescent="0.25">
      <c r="A15" s="117" t="s">
        <v>9</v>
      </c>
      <c r="B15" s="117"/>
      <c r="C15" s="52">
        <f>Newcastle!C15</f>
        <v>47</v>
      </c>
      <c r="D15" s="52">
        <f>Newcastle!D15</f>
        <v>47</v>
      </c>
      <c r="E15" s="52">
        <f>Newcastle!E15</f>
        <v>47</v>
      </c>
      <c r="F15" s="52">
        <f>Newcastle!F15</f>
        <v>47</v>
      </c>
      <c r="G15" s="52">
        <f>Newcastle!G15</f>
        <v>47</v>
      </c>
      <c r="H15" s="52">
        <f>Newcastle!H15</f>
        <v>47</v>
      </c>
      <c r="I15" s="52">
        <f>Newcastle!I15</f>
        <v>47</v>
      </c>
      <c r="J15" s="52">
        <f>Newcastle!J15</f>
        <v>47</v>
      </c>
      <c r="K15" s="52">
        <f>Newcastle!K15</f>
        <v>47</v>
      </c>
      <c r="L15" s="52">
        <f>Newcastle!L15</f>
        <v>47</v>
      </c>
      <c r="M15" s="52">
        <f>Newcastle!M15</f>
        <v>47</v>
      </c>
      <c r="N15" s="52">
        <f>Newcastle!N15</f>
        <v>0</v>
      </c>
      <c r="O15" s="52">
        <f>Newcastle!O15</f>
        <v>0</v>
      </c>
      <c r="P15" s="52">
        <f>Newcastle!P15</f>
        <v>0</v>
      </c>
      <c r="Q15" s="52">
        <f>Newcastle!Q15</f>
        <v>0</v>
      </c>
      <c r="R15" s="52">
        <f>Newcastle!R15</f>
        <v>0</v>
      </c>
      <c r="S15" s="52">
        <f>Newcastle!S15</f>
        <v>0</v>
      </c>
      <c r="T15" s="52">
        <f>Newcastle!T15</f>
        <v>0</v>
      </c>
      <c r="U15" s="52">
        <f>Newcastle!U15</f>
        <v>0</v>
      </c>
      <c r="V15" s="52">
        <f>Newcastle!V15</f>
        <v>0</v>
      </c>
      <c r="AD15" s="23" t="s">
        <v>144</v>
      </c>
      <c r="AE15" s="23">
        <v>7</v>
      </c>
      <c r="AI15" s="46" t="s">
        <v>101</v>
      </c>
      <c r="AJ15" s="54">
        <v>1.8</v>
      </c>
      <c r="AK15" s="48">
        <v>5.4</v>
      </c>
      <c r="AL15" s="9">
        <v>13</v>
      </c>
      <c r="AM15" s="9">
        <v>6.7</v>
      </c>
      <c r="AN15" s="9" t="s">
        <v>135</v>
      </c>
    </row>
    <row r="16" spans="1:41" ht="13.5" thickBot="1" x14ac:dyDescent="0.3">
      <c r="A16" s="119" t="s">
        <v>44</v>
      </c>
      <c r="B16" s="119"/>
      <c r="C16" s="92" t="str">
        <f>Newcastle!C16</f>
        <v>Medium/Clay</v>
      </c>
      <c r="D16" s="92" t="str">
        <f>Newcastle!D16</f>
        <v>Medium/Clay</v>
      </c>
      <c r="E16" s="92" t="str">
        <f>Newcastle!E16</f>
        <v>Medium/Clay</v>
      </c>
      <c r="F16" s="92" t="str">
        <f>Newcastle!F16</f>
        <v>Medium/Clay</v>
      </c>
      <c r="G16" s="92" t="str">
        <f>Newcastle!G16</f>
        <v>Medium/Clay</v>
      </c>
      <c r="H16" s="92" t="str">
        <f>Newcastle!H16</f>
        <v>Medium/Clay</v>
      </c>
      <c r="I16" s="92" t="str">
        <f>Newcastle!I16</f>
        <v>Medium/Clay</v>
      </c>
      <c r="J16" s="92" t="str">
        <f>Newcastle!J16</f>
        <v>Medium/Clay</v>
      </c>
      <c r="K16" s="92" t="str">
        <f>Newcastle!K16</f>
        <v>Medium/Clay</v>
      </c>
      <c r="L16" s="92" t="str">
        <f>Newcastle!L16</f>
        <v>Medium/Clay</v>
      </c>
      <c r="M16" s="92" t="str">
        <f>Newcastle!M16</f>
        <v>Medium/Clay</v>
      </c>
      <c r="N16" s="92">
        <f>Newcastle!N16</f>
        <v>0</v>
      </c>
      <c r="O16" s="92">
        <f>Newcastle!O16</f>
        <v>0</v>
      </c>
      <c r="P16" s="92">
        <f>Newcastle!P16</f>
        <v>0</v>
      </c>
      <c r="Q16" s="92">
        <f>Newcastle!Q16</f>
        <v>0</v>
      </c>
      <c r="R16" s="92">
        <f>Newcastle!R16</f>
        <v>0</v>
      </c>
      <c r="S16" s="92">
        <f>Newcastle!S16</f>
        <v>0</v>
      </c>
      <c r="T16" s="92">
        <f>Newcastle!T16</f>
        <v>0</v>
      </c>
      <c r="U16" s="92">
        <f>Newcastle!U16</f>
        <v>0</v>
      </c>
      <c r="V16" s="92">
        <f>Newcastle!V16</f>
        <v>0</v>
      </c>
      <c r="AD16" s="45" t="s">
        <v>145</v>
      </c>
      <c r="AE16" s="23">
        <v>8</v>
      </c>
      <c r="AI16" s="46" t="s">
        <v>118</v>
      </c>
      <c r="AJ16" s="47">
        <v>8</v>
      </c>
      <c r="AK16" s="48">
        <v>5.5</v>
      </c>
      <c r="AL16" s="7">
        <v>14</v>
      </c>
      <c r="AM16" s="9">
        <v>6.7</v>
      </c>
      <c r="AN16" s="9" t="s">
        <v>135</v>
      </c>
    </row>
    <row r="17" spans="1:40" ht="13" x14ac:dyDescent="0.25">
      <c r="A17" s="109" t="s">
        <v>69</v>
      </c>
      <c r="B17" s="110"/>
      <c r="C17" s="21">
        <f>(VLOOKUP(C$14,$AI2:$AK26,2,FALSE))*C$15</f>
        <v>79.899999999999991</v>
      </c>
      <c r="D17" s="21">
        <f t="shared" ref="D17:V17" si="0">(VLOOKUP(D$14,$AI2:$AK26,2,FALSE))*D$15</f>
        <v>79.899999999999991</v>
      </c>
      <c r="E17" s="21">
        <f t="shared" si="0"/>
        <v>79.899999999999991</v>
      </c>
      <c r="F17" s="21">
        <f t="shared" si="0"/>
        <v>79.899999999999991</v>
      </c>
      <c r="G17" s="21">
        <f t="shared" si="0"/>
        <v>79.899999999999991</v>
      </c>
      <c r="H17" s="21">
        <f t="shared" si="0"/>
        <v>79.899999999999991</v>
      </c>
      <c r="I17" s="21">
        <f t="shared" si="0"/>
        <v>79.899999999999991</v>
      </c>
      <c r="J17" s="21">
        <f t="shared" si="0"/>
        <v>79.899999999999991</v>
      </c>
      <c r="K17" s="21">
        <f t="shared" si="0"/>
        <v>79.899999999999991</v>
      </c>
      <c r="L17" s="21">
        <f t="shared" si="0"/>
        <v>79.899999999999991</v>
      </c>
      <c r="M17" s="21">
        <f t="shared" si="0"/>
        <v>79.899999999999991</v>
      </c>
      <c r="N17" s="21" t="e">
        <f t="shared" si="0"/>
        <v>#N/A</v>
      </c>
      <c r="O17" s="21" t="e">
        <f t="shared" si="0"/>
        <v>#N/A</v>
      </c>
      <c r="P17" s="21" t="e">
        <f t="shared" si="0"/>
        <v>#N/A</v>
      </c>
      <c r="Q17" s="21" t="e">
        <f t="shared" si="0"/>
        <v>#N/A</v>
      </c>
      <c r="R17" s="21" t="e">
        <f t="shared" si="0"/>
        <v>#N/A</v>
      </c>
      <c r="S17" s="21" t="e">
        <f t="shared" si="0"/>
        <v>#N/A</v>
      </c>
      <c r="T17" s="21" t="e">
        <f t="shared" si="0"/>
        <v>#N/A</v>
      </c>
      <c r="U17" s="21" t="e">
        <f t="shared" si="0"/>
        <v>#N/A</v>
      </c>
      <c r="V17" s="21" t="e">
        <f t="shared" si="0"/>
        <v>#N/A</v>
      </c>
      <c r="AD17" s="45" t="s">
        <v>146</v>
      </c>
      <c r="AE17" s="23">
        <v>10</v>
      </c>
      <c r="AI17" s="41" t="s">
        <v>115</v>
      </c>
      <c r="AJ17" s="42">
        <v>1.4</v>
      </c>
      <c r="AK17" s="43">
        <v>4.8</v>
      </c>
      <c r="AL17" s="44">
        <v>15</v>
      </c>
      <c r="AM17" s="9">
        <v>6.2</v>
      </c>
      <c r="AN17" s="9" t="s">
        <v>112</v>
      </c>
    </row>
    <row r="18" spans="1:40" ht="13" x14ac:dyDescent="0.25">
      <c r="A18" s="111" t="s">
        <v>23</v>
      </c>
      <c r="B18" s="112"/>
      <c r="C18" s="13">
        <f>$D31</f>
        <v>74.915700000000001</v>
      </c>
      <c r="D18" s="13">
        <f>$D32</f>
        <v>74.915700000000001</v>
      </c>
      <c r="E18" s="13">
        <f>$D33</f>
        <v>74.915700000000001</v>
      </c>
      <c r="F18" s="13">
        <f>$D34</f>
        <v>74.915700000000001</v>
      </c>
      <c r="G18" s="13">
        <f>$D35</f>
        <v>74.915700000000001</v>
      </c>
      <c r="H18" s="13">
        <f>$D36</f>
        <v>74.915700000000001</v>
      </c>
      <c r="I18" s="13">
        <f>$D37</f>
        <v>74.915700000000001</v>
      </c>
      <c r="J18" s="13">
        <f>$D38</f>
        <v>74.915700000000001</v>
      </c>
      <c r="K18" s="13">
        <f>$D39</f>
        <v>74.915700000000001</v>
      </c>
      <c r="L18" s="13">
        <f>$D40</f>
        <v>74.915700000000001</v>
      </c>
      <c r="M18" s="13">
        <f>$D41</f>
        <v>74.915700000000001</v>
      </c>
      <c r="N18" s="13">
        <f>$D42</f>
        <v>0</v>
      </c>
      <c r="O18" s="13">
        <f>$D43</f>
        <v>0</v>
      </c>
      <c r="P18" s="13">
        <f>$D44</f>
        <v>0</v>
      </c>
      <c r="Q18" s="13">
        <f>$D45</f>
        <v>0</v>
      </c>
      <c r="R18" s="13">
        <f>$D46</f>
        <v>0</v>
      </c>
      <c r="S18" s="13">
        <f>$D47</f>
        <v>0</v>
      </c>
      <c r="T18" s="13">
        <f>$D48</f>
        <v>0</v>
      </c>
      <c r="U18" s="13">
        <f>$D49</f>
        <v>0</v>
      </c>
      <c r="V18" s="18">
        <f>$D50</f>
        <v>0</v>
      </c>
      <c r="AD18" s="45" t="s">
        <v>147</v>
      </c>
      <c r="AE18" s="23">
        <v>16</v>
      </c>
      <c r="AI18" s="41" t="s">
        <v>106</v>
      </c>
      <c r="AJ18" s="42">
        <v>5.9</v>
      </c>
      <c r="AK18" s="43">
        <v>18</v>
      </c>
      <c r="AL18" s="44">
        <v>16</v>
      </c>
      <c r="AM18" s="9">
        <v>6.2</v>
      </c>
      <c r="AN18" s="9" t="s">
        <v>112</v>
      </c>
    </row>
    <row r="19" spans="1:40" ht="13" x14ac:dyDescent="0.25">
      <c r="A19" s="111" t="s">
        <v>90</v>
      </c>
      <c r="B19" s="112"/>
      <c r="C19" s="13">
        <f>C18-C17</f>
        <v>-4.9842999999999904</v>
      </c>
      <c r="D19" s="13">
        <f t="shared" ref="D19:V19" si="1">D18-D17</f>
        <v>-4.9842999999999904</v>
      </c>
      <c r="E19" s="13">
        <f t="shared" si="1"/>
        <v>-4.9842999999999904</v>
      </c>
      <c r="F19" s="13">
        <f t="shared" si="1"/>
        <v>-4.9842999999999904</v>
      </c>
      <c r="G19" s="13">
        <f t="shared" si="1"/>
        <v>-4.9842999999999904</v>
      </c>
      <c r="H19" s="13">
        <f t="shared" si="1"/>
        <v>-4.9842999999999904</v>
      </c>
      <c r="I19" s="13">
        <f t="shared" si="1"/>
        <v>-4.9842999999999904</v>
      </c>
      <c r="J19" s="13">
        <f t="shared" si="1"/>
        <v>-4.9842999999999904</v>
      </c>
      <c r="K19" s="13">
        <f t="shared" si="1"/>
        <v>-4.9842999999999904</v>
      </c>
      <c r="L19" s="13">
        <f t="shared" si="1"/>
        <v>-4.9842999999999904</v>
      </c>
      <c r="M19" s="13">
        <f t="shared" si="1"/>
        <v>-4.9842999999999904</v>
      </c>
      <c r="N19" s="13" t="e">
        <f t="shared" si="1"/>
        <v>#N/A</v>
      </c>
      <c r="O19" s="13" t="e">
        <f t="shared" si="1"/>
        <v>#N/A</v>
      </c>
      <c r="P19" s="13" t="e">
        <f t="shared" si="1"/>
        <v>#N/A</v>
      </c>
      <c r="Q19" s="13" t="e">
        <f t="shared" si="1"/>
        <v>#N/A</v>
      </c>
      <c r="R19" s="13" t="e">
        <f t="shared" si="1"/>
        <v>#N/A</v>
      </c>
      <c r="S19" s="13" t="e">
        <f t="shared" si="1"/>
        <v>#N/A</v>
      </c>
      <c r="T19" s="13" t="e">
        <f t="shared" si="1"/>
        <v>#N/A</v>
      </c>
      <c r="U19" s="13" t="e">
        <f t="shared" si="1"/>
        <v>#N/A</v>
      </c>
      <c r="V19" s="18" t="e">
        <f t="shared" si="1"/>
        <v>#N/A</v>
      </c>
      <c r="AI19" s="41" t="s">
        <v>107</v>
      </c>
      <c r="AJ19" s="42">
        <v>3.2</v>
      </c>
      <c r="AK19" s="43">
        <v>10.5</v>
      </c>
      <c r="AL19" s="44">
        <v>17</v>
      </c>
      <c r="AM19" s="9">
        <v>6.2</v>
      </c>
      <c r="AN19" s="9" t="s">
        <v>112</v>
      </c>
    </row>
    <row r="20" spans="1:40" ht="13.5" thickBot="1" x14ac:dyDescent="0.3">
      <c r="A20" s="113" t="s">
        <v>91</v>
      </c>
      <c r="B20" s="114"/>
      <c r="C20" s="19" t="str">
        <f>IF($B31="","",IF(C$19&gt;=0,"INCREASE","DECREASE"))</f>
        <v>DECREASE</v>
      </c>
      <c r="D20" s="19" t="str">
        <f>IF($B32="","",IF(D$19&gt;=0,"INCREASE","DECREASE"))</f>
        <v>DECREASE</v>
      </c>
      <c r="E20" s="19" t="str">
        <f>IF($B33="","",IF(E$19&gt;=0,"INCREASE","DECREASE"))</f>
        <v>DECREASE</v>
      </c>
      <c r="F20" s="19" t="str">
        <f>IF($B34="","",IF(F$19&gt;=0,"INCREASE","DECREASE"))</f>
        <v>DECREASE</v>
      </c>
      <c r="G20" s="19" t="str">
        <f>IF($B35="","",IF(G$19&gt;=0,"INCREASE","DECREASE"))</f>
        <v>DECREASE</v>
      </c>
      <c r="H20" s="19" t="str">
        <f>IF($B36="","",IF(H$19&gt;=0,"INCREASE","DECREASE"))</f>
        <v>DECREASE</v>
      </c>
      <c r="I20" s="19" t="str">
        <f>IF($B37="","",IF(I$19&gt;=0,"INCREASE","DECREASE"))</f>
        <v>DECREASE</v>
      </c>
      <c r="J20" s="19" t="str">
        <f>IF($B38="","",IF(J$19&gt;=0,"INCREASE","DECREASE"))</f>
        <v>DECREASE</v>
      </c>
      <c r="K20" s="19" t="str">
        <f>IF($B39="","",IF(K$19&gt;=0,"INCREASE","DECREASE"))</f>
        <v>DECREASE</v>
      </c>
      <c r="L20" s="19" t="str">
        <f>IF($B40="","",IF(L$19&gt;=0,"INCREASE","DECREASE"))</f>
        <v>DECREASE</v>
      </c>
      <c r="M20" s="19" t="str">
        <f>IF($B41="","",IF(M$19&gt;=0,"INCREASE","DECREASE"))</f>
        <v>DECREASE</v>
      </c>
      <c r="N20" s="19" t="str">
        <f>IF($B42="","",IF(N$19&gt;=0,"INCREASE","DECREASE"))</f>
        <v/>
      </c>
      <c r="O20" s="19" t="str">
        <f>IF($B43="","",IF(O$19&gt;=0,"INCREASE","DECREASE"))</f>
        <v/>
      </c>
      <c r="P20" s="19" t="str">
        <f>IF($B44="","",IF(P$19&gt;=0,"INCREASE","DECREASE"))</f>
        <v/>
      </c>
      <c r="Q20" s="19" t="str">
        <f>IF($B45="","",IF(Q$19&gt;=0,"INCREASE","DECREASE"))</f>
        <v/>
      </c>
      <c r="R20" s="19" t="str">
        <f>IF($B46="","",IF(R$19&gt;=0,"INCREASE","DECREASE"))</f>
        <v/>
      </c>
      <c r="S20" s="19" t="str">
        <f>IF($B47="","",IF(S$19&gt;=0,"INCREASE","DECREASE"))</f>
        <v/>
      </c>
      <c r="T20" s="19" t="str">
        <f>IF($B48="","",IF(T$19&gt;=0,"INCREASE","DECREASE"))</f>
        <v/>
      </c>
      <c r="U20" s="19" t="str">
        <f>IF($B49="","",IF(U$19&gt;=0,"INCREASE","DECREASE"))</f>
        <v/>
      </c>
      <c r="V20" s="20" t="str">
        <f>IF($B50="","",IF(V$19&gt;=0,"INCREASE","DECREASE"))</f>
        <v/>
      </c>
      <c r="AI20" s="41" t="s">
        <v>114</v>
      </c>
      <c r="AJ20" s="42">
        <v>2.1</v>
      </c>
      <c r="AK20" s="43">
        <v>7.2</v>
      </c>
      <c r="AL20" s="44">
        <v>18</v>
      </c>
      <c r="AM20" s="9">
        <v>6.2</v>
      </c>
      <c r="AN20" s="9" t="s">
        <v>112</v>
      </c>
    </row>
    <row r="21" spans="1:40" ht="13" x14ac:dyDescent="0.25">
      <c r="A21" s="109" t="s">
        <v>88</v>
      </c>
      <c r="B21" s="110"/>
      <c r="C21" s="21">
        <f>(VLOOKUP(C$14,$AI2:$AK26,3,FALSE))*C$15</f>
        <v>282</v>
      </c>
      <c r="D21" s="21">
        <f t="shared" ref="D21:V21" si="2">(VLOOKUP(D$14,$AI2:$AK26,3,FALSE))*D$15</f>
        <v>282</v>
      </c>
      <c r="E21" s="21">
        <f t="shared" si="2"/>
        <v>282</v>
      </c>
      <c r="F21" s="21">
        <f t="shared" si="2"/>
        <v>282</v>
      </c>
      <c r="G21" s="21">
        <f t="shared" si="2"/>
        <v>282</v>
      </c>
      <c r="H21" s="21">
        <f t="shared" si="2"/>
        <v>282</v>
      </c>
      <c r="I21" s="21">
        <f t="shared" si="2"/>
        <v>282</v>
      </c>
      <c r="J21" s="21">
        <f t="shared" si="2"/>
        <v>282</v>
      </c>
      <c r="K21" s="21">
        <f t="shared" si="2"/>
        <v>282</v>
      </c>
      <c r="L21" s="21">
        <f t="shared" si="2"/>
        <v>282</v>
      </c>
      <c r="M21" s="21">
        <f t="shared" si="2"/>
        <v>282</v>
      </c>
      <c r="N21" s="21" t="e">
        <f t="shared" si="2"/>
        <v>#N/A</v>
      </c>
      <c r="O21" s="21" t="e">
        <f t="shared" si="2"/>
        <v>#N/A</v>
      </c>
      <c r="P21" s="21" t="e">
        <f t="shared" si="2"/>
        <v>#N/A</v>
      </c>
      <c r="Q21" s="21" t="e">
        <f t="shared" si="2"/>
        <v>#N/A</v>
      </c>
      <c r="R21" s="21" t="e">
        <f t="shared" si="2"/>
        <v>#N/A</v>
      </c>
      <c r="S21" s="21" t="e">
        <f t="shared" si="2"/>
        <v>#N/A</v>
      </c>
      <c r="T21" s="21" t="e">
        <f t="shared" si="2"/>
        <v>#N/A</v>
      </c>
      <c r="U21" s="21" t="e">
        <f t="shared" si="2"/>
        <v>#N/A</v>
      </c>
      <c r="V21" s="21" t="e">
        <f t="shared" si="2"/>
        <v>#N/A</v>
      </c>
      <c r="AI21" s="55" t="s">
        <v>100</v>
      </c>
      <c r="AJ21" s="58">
        <v>11</v>
      </c>
      <c r="AK21" s="57">
        <v>12</v>
      </c>
      <c r="AL21" s="22">
        <v>19</v>
      </c>
      <c r="AM21" s="9">
        <v>6.7</v>
      </c>
      <c r="AN21" s="9" t="s">
        <v>135</v>
      </c>
    </row>
    <row r="22" spans="1:40" ht="13" x14ac:dyDescent="0.25">
      <c r="A22" s="111" t="s">
        <v>89</v>
      </c>
      <c r="B22" s="112"/>
      <c r="C22" s="13">
        <f>$E31</f>
        <v>86.519000000000005</v>
      </c>
      <c r="D22" s="13">
        <f>$E32</f>
        <v>86.519000000000005</v>
      </c>
      <c r="E22" s="13">
        <f>$E33</f>
        <v>86.519000000000005</v>
      </c>
      <c r="F22" s="13">
        <f>$E34</f>
        <v>86.519000000000005</v>
      </c>
      <c r="G22" s="13">
        <f>$E35</f>
        <v>86.519000000000005</v>
      </c>
      <c r="H22" s="13">
        <f>$E36</f>
        <v>86.519000000000005</v>
      </c>
      <c r="I22" s="13">
        <f>$E37</f>
        <v>86.519000000000005</v>
      </c>
      <c r="J22" s="13">
        <f>$E38</f>
        <v>86.519000000000005</v>
      </c>
      <c r="K22" s="13">
        <f>$E39</f>
        <v>86.519000000000005</v>
      </c>
      <c r="L22" s="13">
        <f>$E40</f>
        <v>86.519000000000005</v>
      </c>
      <c r="M22" s="13">
        <f>$E41</f>
        <v>86.519000000000005</v>
      </c>
      <c r="N22" s="13">
        <f>$E42</f>
        <v>0</v>
      </c>
      <c r="O22" s="13">
        <f>$E43</f>
        <v>0</v>
      </c>
      <c r="P22" s="13">
        <f>$E44</f>
        <v>0</v>
      </c>
      <c r="Q22" s="13">
        <f>$E45</f>
        <v>0</v>
      </c>
      <c r="R22" s="13">
        <f>$E46</f>
        <v>0</v>
      </c>
      <c r="S22" s="13">
        <f>$E47</f>
        <v>0</v>
      </c>
      <c r="T22" s="13">
        <f>$E48</f>
        <v>0</v>
      </c>
      <c r="U22" s="13">
        <f>$E49</f>
        <v>0</v>
      </c>
      <c r="V22" s="13">
        <f>$E50</f>
        <v>0</v>
      </c>
      <c r="AI22" s="55" t="s">
        <v>102</v>
      </c>
      <c r="AJ22" s="56">
        <v>1.2</v>
      </c>
      <c r="AK22" s="57">
        <v>5</v>
      </c>
      <c r="AL22" s="22">
        <v>20</v>
      </c>
      <c r="AM22" s="9">
        <v>6.7</v>
      </c>
      <c r="AN22" s="9" t="s">
        <v>135</v>
      </c>
    </row>
    <row r="23" spans="1:40" ht="13" x14ac:dyDescent="0.25">
      <c r="A23" s="111" t="s">
        <v>92</v>
      </c>
      <c r="B23" s="112"/>
      <c r="C23" s="13">
        <f>C22-C21</f>
        <v>-195.48099999999999</v>
      </c>
      <c r="D23" s="13">
        <f t="shared" ref="D23:V23" si="3">D22-D21</f>
        <v>-195.48099999999999</v>
      </c>
      <c r="E23" s="13">
        <f t="shared" si="3"/>
        <v>-195.48099999999999</v>
      </c>
      <c r="F23" s="13">
        <f t="shared" si="3"/>
        <v>-195.48099999999999</v>
      </c>
      <c r="G23" s="13">
        <f t="shared" si="3"/>
        <v>-195.48099999999999</v>
      </c>
      <c r="H23" s="13">
        <f t="shared" si="3"/>
        <v>-195.48099999999999</v>
      </c>
      <c r="I23" s="13">
        <f t="shared" si="3"/>
        <v>-195.48099999999999</v>
      </c>
      <c r="J23" s="13">
        <f t="shared" si="3"/>
        <v>-195.48099999999999</v>
      </c>
      <c r="K23" s="13">
        <f t="shared" si="3"/>
        <v>-195.48099999999999</v>
      </c>
      <c r="L23" s="13">
        <f t="shared" si="3"/>
        <v>-195.48099999999999</v>
      </c>
      <c r="M23" s="13">
        <f t="shared" si="3"/>
        <v>-195.48099999999999</v>
      </c>
      <c r="N23" s="13" t="e">
        <f t="shared" si="3"/>
        <v>#N/A</v>
      </c>
      <c r="O23" s="13" t="e">
        <f t="shared" si="3"/>
        <v>#N/A</v>
      </c>
      <c r="P23" s="13" t="e">
        <f t="shared" si="3"/>
        <v>#N/A</v>
      </c>
      <c r="Q23" s="13" t="e">
        <f t="shared" si="3"/>
        <v>#N/A</v>
      </c>
      <c r="R23" s="13" t="e">
        <f t="shared" si="3"/>
        <v>#N/A</v>
      </c>
      <c r="S23" s="13" t="e">
        <f t="shared" si="3"/>
        <v>#N/A</v>
      </c>
      <c r="T23" s="13" t="e">
        <f t="shared" si="3"/>
        <v>#N/A</v>
      </c>
      <c r="U23" s="13" t="e">
        <f t="shared" si="3"/>
        <v>#N/A</v>
      </c>
      <c r="V23" s="13" t="e">
        <f t="shared" si="3"/>
        <v>#N/A</v>
      </c>
      <c r="AI23" s="55" t="s">
        <v>98</v>
      </c>
      <c r="AJ23" s="58">
        <v>9</v>
      </c>
      <c r="AK23" s="57">
        <v>10</v>
      </c>
      <c r="AL23" s="22">
        <v>21</v>
      </c>
      <c r="AM23" s="9">
        <v>6.7</v>
      </c>
      <c r="AN23" s="9" t="s">
        <v>135</v>
      </c>
    </row>
    <row r="24" spans="1:40" ht="13.5" thickBot="1" x14ac:dyDescent="0.3">
      <c r="A24" s="113" t="s">
        <v>93</v>
      </c>
      <c r="B24" s="114"/>
      <c r="C24" s="19" t="str">
        <f>IF($B31="","",IF(C$23&gt;=0,"INCREASE","DECREASE"))</f>
        <v>DECREASE</v>
      </c>
      <c r="D24" s="19" t="str">
        <f t="shared" ref="D24:V24" si="4">IF($B31="","",IF(D$23&gt;=0,"INCREASE","DECREASE"))</f>
        <v>DECREASE</v>
      </c>
      <c r="E24" s="19" t="str">
        <f t="shared" si="4"/>
        <v>DECREASE</v>
      </c>
      <c r="F24" s="19" t="str">
        <f t="shared" si="4"/>
        <v>DECREASE</v>
      </c>
      <c r="G24" s="19" t="str">
        <f t="shared" si="4"/>
        <v>DECREASE</v>
      </c>
      <c r="H24" s="19" t="str">
        <f t="shared" si="4"/>
        <v>DECREASE</v>
      </c>
      <c r="I24" s="19" t="str">
        <f t="shared" si="4"/>
        <v>DECREASE</v>
      </c>
      <c r="J24" s="19" t="str">
        <f t="shared" si="4"/>
        <v>DECREASE</v>
      </c>
      <c r="K24" s="19" t="str">
        <f t="shared" si="4"/>
        <v>DECREASE</v>
      </c>
      <c r="L24" s="19" t="str">
        <f t="shared" si="4"/>
        <v>DECREASE</v>
      </c>
      <c r="M24" s="19" t="str">
        <f t="shared" si="4"/>
        <v>DECREASE</v>
      </c>
      <c r="N24" s="19" t="e">
        <f t="shared" si="4"/>
        <v>#N/A</v>
      </c>
      <c r="O24" s="19" t="e">
        <f t="shared" si="4"/>
        <v>#N/A</v>
      </c>
      <c r="P24" s="19" t="e">
        <f t="shared" si="4"/>
        <v>#N/A</v>
      </c>
      <c r="Q24" s="19" t="e">
        <f t="shared" si="4"/>
        <v>#N/A</v>
      </c>
      <c r="R24" s="19" t="e">
        <f t="shared" si="4"/>
        <v>#N/A</v>
      </c>
      <c r="S24" s="19" t="e">
        <f t="shared" si="4"/>
        <v>#N/A</v>
      </c>
      <c r="T24" s="19" t="e">
        <f t="shared" si="4"/>
        <v>#N/A</v>
      </c>
      <c r="U24" s="19" t="e">
        <f t="shared" si="4"/>
        <v>#N/A</v>
      </c>
      <c r="V24" s="19" t="e">
        <f t="shared" si="4"/>
        <v>#N/A</v>
      </c>
      <c r="AI24" s="55" t="s">
        <v>99</v>
      </c>
      <c r="AJ24" s="58">
        <v>1.5</v>
      </c>
      <c r="AK24" s="57">
        <v>3</v>
      </c>
      <c r="AL24" s="22">
        <v>22</v>
      </c>
      <c r="AM24" s="9">
        <v>6.7</v>
      </c>
      <c r="AN24" s="9" t="s">
        <v>135</v>
      </c>
    </row>
    <row r="25" spans="1:40" x14ac:dyDescent="0.25">
      <c r="D25" s="59"/>
      <c r="E25" s="59"/>
      <c r="F25" s="59"/>
      <c r="AI25" s="55" t="s">
        <v>117</v>
      </c>
      <c r="AJ25" s="58">
        <v>1</v>
      </c>
      <c r="AK25" s="57">
        <v>5.8</v>
      </c>
      <c r="AL25" s="22">
        <v>23</v>
      </c>
      <c r="AM25" s="9">
        <v>6.7</v>
      </c>
      <c r="AN25" s="9" t="s">
        <v>135</v>
      </c>
    </row>
    <row r="26" spans="1:40" s="7" customFormat="1" ht="13" x14ac:dyDescent="0.25">
      <c r="A26" s="93"/>
      <c r="B26" s="3" t="s">
        <v>10</v>
      </c>
      <c r="C26" s="3" t="s">
        <v>75</v>
      </c>
      <c r="D26" s="94" t="s">
        <v>11</v>
      </c>
      <c r="E26" s="94" t="s">
        <v>12</v>
      </c>
      <c r="F26" s="94" t="s">
        <v>13</v>
      </c>
      <c r="G26" s="3" t="s">
        <v>14</v>
      </c>
      <c r="H26" s="94" t="s">
        <v>15</v>
      </c>
      <c r="I26" s="94" t="s">
        <v>16</v>
      </c>
      <c r="J26" s="3" t="s">
        <v>17</v>
      </c>
      <c r="K26" s="3" t="s">
        <v>18</v>
      </c>
      <c r="L26" s="3" t="s">
        <v>19</v>
      </c>
      <c r="M26" s="3" t="s">
        <v>20</v>
      </c>
      <c r="N26" s="3" t="s">
        <v>61</v>
      </c>
      <c r="O26" s="3" t="s">
        <v>62</v>
      </c>
      <c r="P26" s="94" t="s">
        <v>39</v>
      </c>
      <c r="Q26" s="94" t="s">
        <v>40</v>
      </c>
      <c r="R26" s="94" t="s">
        <v>35</v>
      </c>
      <c r="S26" s="94" t="s">
        <v>36</v>
      </c>
      <c r="T26" s="94" t="s">
        <v>37</v>
      </c>
      <c r="U26" s="94" t="s">
        <v>38</v>
      </c>
      <c r="AI26" s="60" t="s">
        <v>116</v>
      </c>
      <c r="AJ26" s="61">
        <v>0.7</v>
      </c>
      <c r="AK26" s="62">
        <v>2.4</v>
      </c>
      <c r="AL26" s="22">
        <v>24</v>
      </c>
      <c r="AM26" s="7">
        <v>6.7</v>
      </c>
      <c r="AN26" s="9" t="s">
        <v>135</v>
      </c>
    </row>
    <row r="27" spans="1:40" x14ac:dyDescent="0.35">
      <c r="A27" s="95"/>
      <c r="B27" s="63" t="s">
        <v>46</v>
      </c>
      <c r="C27" s="96" t="s">
        <v>56</v>
      </c>
      <c r="D27" s="96" t="s">
        <v>54</v>
      </c>
      <c r="E27" s="96" t="s">
        <v>54</v>
      </c>
      <c r="F27" s="96" t="s">
        <v>54</v>
      </c>
      <c r="G27" s="96" t="s">
        <v>54</v>
      </c>
      <c r="H27" s="96" t="s">
        <v>54</v>
      </c>
      <c r="I27" s="96" t="s">
        <v>54</v>
      </c>
      <c r="J27" s="96" t="s">
        <v>54</v>
      </c>
      <c r="K27" s="96" t="s">
        <v>54</v>
      </c>
      <c r="L27" s="96" t="s">
        <v>54</v>
      </c>
      <c r="M27" s="96" t="s">
        <v>54</v>
      </c>
      <c r="N27" s="96"/>
      <c r="O27" s="96"/>
      <c r="P27" s="96" t="s">
        <v>54</v>
      </c>
      <c r="Q27" s="96" t="s">
        <v>54</v>
      </c>
      <c r="R27" s="96"/>
      <c r="S27" s="96"/>
      <c r="T27" s="96"/>
      <c r="U27" s="96"/>
    </row>
    <row r="28" spans="1:40" x14ac:dyDescent="0.35">
      <c r="A28" s="97"/>
      <c r="B28" s="17">
        <v>2.95</v>
      </c>
      <c r="C28" s="12">
        <v>0.1</v>
      </c>
      <c r="D28" s="12">
        <v>327</v>
      </c>
      <c r="E28" s="12">
        <v>718</v>
      </c>
      <c r="F28" s="12">
        <v>128</v>
      </c>
      <c r="G28" s="12">
        <v>0.5</v>
      </c>
      <c r="H28" s="12">
        <v>1</v>
      </c>
      <c r="I28" s="12">
        <v>0.5</v>
      </c>
      <c r="J28" s="12">
        <v>0.01</v>
      </c>
      <c r="K28" s="16">
        <v>0.05</v>
      </c>
      <c r="L28" s="12">
        <v>0.2</v>
      </c>
      <c r="M28" s="12">
        <v>0.2</v>
      </c>
      <c r="N28" s="12"/>
      <c r="O28" s="12"/>
      <c r="P28" s="12">
        <v>308</v>
      </c>
      <c r="Q28" s="12">
        <v>114</v>
      </c>
      <c r="R28" s="12"/>
      <c r="S28" s="12"/>
      <c r="T28" s="12"/>
      <c r="U28" s="12"/>
    </row>
    <row r="29" spans="1:40" s="7" customFormat="1" ht="28" x14ac:dyDescent="0.35">
      <c r="A29" s="11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6" customFormat="1" ht="28" x14ac:dyDescent="0.35">
      <c r="A30" s="11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51" customFormat="1" ht="13" x14ac:dyDescent="0.35">
      <c r="A31" s="10" t="str">
        <f>C8</f>
        <v>Nant Y Croi 9</v>
      </c>
      <c r="B31" s="12">
        <v>100</v>
      </c>
      <c r="C31" s="68">
        <f>IF(C$27="%w/w SAR",((C$28*10)*$B31),IF(C$27="%w/w DM",(((C$28*10)*($B$28/100))*$B31),IF(C$27="kg/t SAR",(C$28*$B31),IF(C$27="kg/t DM",((C$28*($B$28/100))*$B31),IF(C$27="mg/kg SAR",((C$28*0.001)*$B31),IF(C$27="mg/kg DM",(((C$28*0.001)*($B$28/100))*$B31),0))))))</f>
        <v>100</v>
      </c>
      <c r="D31" s="68">
        <f>(IF(D$27="%w/w SAR",((D$28*10)*$B31),IF(D$27="%w/w DM",(((D$28*10)*($B$28/100))*$B31),IF(D$27="kg/t SAR",(D$28*$B31),IF(D$27="kg/t DM",((D$28*($B$28/100))*$B31),IF(D$27="mg/kg SAR",((D$28*0.001)*$B31),IF(D$27="mg/kg DM",(((D$28*0.001)*($B$28/100))*$B31),"0")))))))*2.291</f>
        <v>74.915700000000001</v>
      </c>
      <c r="E31" s="68">
        <f>(IF(E$27="%w/w SAR",((E$28*10)*$B31),IF(E$27="%w/w DM",(((E$28*10)*($B$28/100))*$B31),IF(E$27="kg/t SAR",(E$28*$B31),IF(E$27="kg/t DM",((E$28*($B$28/100))*$B31),IF(E$27="mg/kg SAR",((E$28*0.001)*$B31),IF(E$27="mg/kg DM",(((E$28*0.001)*($B$28/100))*$B31),"0")))))))*1.205</f>
        <v>86.519000000000005</v>
      </c>
      <c r="F31" s="68">
        <f>(IF(F$27="%w/w SAR",((F$28*10)*$B31),IF(F$27="%w/w DM",(((F$28*10)*($B$28/100))*$B31),IF(F$27="kg/t SAR",(F$28*$B31),IF(F$27="kg/t DM",((F$28*($B$28/100))*$B31),IF(F$27="mg/kg SAR",((F$28*0.001)*$B31),IF(F$27="mg/kg DM",(((F$28*0.001)*($B$28/100))*$B31),"0")))))))*1.658</f>
        <v>21.2224</v>
      </c>
      <c r="G31" s="68">
        <f t="shared" ref="G31:P46" si="5">IF(G$27="%w/w SAR",((G$28*10)*$B31),IF(G$27="%w/w DM",(((G$28*10)*($B$28/100))*$B31),IF(G$27="kg/t SAR",(G$28*$B31),IF(G$27="kg/t DM",((G$28*($B$28/100))*$B31),IF(G$27="mg/kg SAR",((G$28*0.001)*$B31),IF(G$27="mg/kg DM",(((G$28*0.001)*($B$28/100))*$B31),0))))))</f>
        <v>0.05</v>
      </c>
      <c r="H31" s="68">
        <f t="shared" si="5"/>
        <v>0.1</v>
      </c>
      <c r="I31" s="68">
        <f t="shared" si="5"/>
        <v>0.05</v>
      </c>
      <c r="J31" s="68">
        <f t="shared" si="5"/>
        <v>1E-3</v>
      </c>
      <c r="K31" s="68">
        <f t="shared" si="5"/>
        <v>5.0000000000000001E-3</v>
      </c>
      <c r="L31" s="68">
        <f t="shared" si="5"/>
        <v>0.02</v>
      </c>
      <c r="M31" s="68">
        <f t="shared" si="5"/>
        <v>0.02</v>
      </c>
      <c r="N31" s="68">
        <f t="shared" si="5"/>
        <v>0</v>
      </c>
      <c r="O31" s="68">
        <f t="shared" si="5"/>
        <v>0</v>
      </c>
      <c r="P31" s="68">
        <f t="shared" si="5"/>
        <v>30.8</v>
      </c>
      <c r="Q31" s="68">
        <f>(IF(Q$27="%w/w SAR",((Q$28*10)*$B31),IF(Q$27="%w/w DM",(((Q$28*10)*($B$28/100))*$B31),IF(Q$27="kg/t SAR",(Q$28*$B31),IF(Q$27="kg/t DM",((Q$28*($B$28/100))*$B31),IF(Q$27="mg/kg SAR",((Q$28*0.001)*$B31),IF(Q$27="mg/kg DM",(((Q$28*0.001)*($B$28/100))*$B31),0)))))))*2.5</f>
        <v>28.5</v>
      </c>
      <c r="R31" s="68">
        <f>IF(R$27="%w/w SAR",((R$28*10)*$B31),IF(R$27="%w/w DM",(((R$28*10)*($B$28/100))*$B31),IF(R$27="kg/t SAR",(R$28*$B31),IF(R$27="kg/t DM",((R$28*($B$28/100))*$B31),IF(R$27="mg/kg SAR",((R$28*0.001)*$B31),IF(R$27="mg/kg DM",(((R$28*0.001)*($B$28/100))*$B31),0))))))</f>
        <v>0</v>
      </c>
      <c r="S31" s="68">
        <f>IF(S$27="%w/w SAR",((S$28*10)*$B31),IF(S$27="%w/w DM",(((S$28*10)*($B$28/100))*$B31),IF(S$27="kg/t SAR",(S$28*$B31),IF(S$27="kg/t DM",((S$28*($B$28/100))*$B31),IF(S$27="mg/kg SAR",((S$28*0.001)*$B31),IF(S$27="mg/kg DM",(((S$28*0.001)*($B$28/100))*$B31),0))))))</f>
        <v>0</v>
      </c>
      <c r="T31" s="68">
        <f>IF(T$27="%w/w SAR",((T$28*10)*$B31),IF(T$27="%w/w DM",(((T$28*10)*($B$28/100))*$B31),IF(T$27="kg/t SAR",(T$28*$B31),IF(T$27="kg/t DM",((T$28*($B$28/100))*$B31),IF(T$27="mg/kg SAR",((T$28*0.001)*$B31),IF(T$27="mg/kg DM",(((T$28*0.001)*($B$28/100))*$B31),0))))))</f>
        <v>0</v>
      </c>
      <c r="U31" s="68">
        <f>IF(U$27="%w/w SAR",((U$28*10)*$B31),IF(U$27="%w/w DM",(((U$28*10)*($B$28/100))*$B31),IF(U$27="kg/t SAR",(U$28*$B31),IF(U$27="kg/t DM",((U$28*($B$28/100))*$B31),IF(U$27="mg/kg SAR",((U$28*0.001)*$B31),IF(U$27="mg/kg DM",(((U$28*0.001)*($B$28/100))*$B31),0))))))</f>
        <v>0</v>
      </c>
    </row>
    <row r="32" spans="1:40" s="51" customFormat="1" ht="13" x14ac:dyDescent="0.35">
      <c r="A32" s="10" t="str">
        <f>D8</f>
        <v>Hafod 4315</v>
      </c>
      <c r="B32" s="12">
        <v>100</v>
      </c>
      <c r="C32" s="68">
        <f t="shared" ref="C32:C50" si="6">IF(C$27="%w/w SAR",((C$28*10)*$B32),IF(C$27="%w/w DM",(((C$28*10)*($B$28/100))*$B32),IF(C$27="kg/t SAR",(C$28*$B32),IF(C$27="kg/t DM",((C$28*($B$28/100))*$B32),IF(C$27="mg/kg SAR",((C$28*0.001)*$B32),IF(C$27="mg/kg DM",(((C$28*0.001)*($B$28/100))*$B32),0))))))</f>
        <v>100</v>
      </c>
      <c r="D32" s="68">
        <f t="shared" ref="D32:D50" si="7">(IF(D$27="%w/w SAR",((D$28*10)*$B32),IF(D$27="%w/w DM",(((D$28*10)*($B$28/100))*$B32),IF(D$27="kg/t SAR",(D$28*$B32),IF(D$27="kg/t DM",((D$28*($B$28/100))*$B32),IF(D$27="mg/kg SAR",((D$28*0.001)*$B32),IF(D$27="mg/kg DM",(((D$28*0.001)*($B$28/100))*$B32),"0")))))))*2.291</f>
        <v>74.915700000000001</v>
      </c>
      <c r="E32" s="68">
        <f t="shared" ref="E32:E50" si="8">(IF(E$27="%w/w SAR",((E$28*10)*$B32),IF(E$27="%w/w DM",(((E$28*10)*($B$28/100))*$B32),IF(E$27="kg/t SAR",(E$28*$B32),IF(E$27="kg/t DM",((E$28*($B$28/100))*$B32),IF(E$27="mg/kg SAR",((E$28*0.001)*$B32),IF(E$27="mg/kg DM",(((E$28*0.001)*($B$28/100))*$B32),"0")))))))*1.205</f>
        <v>86.519000000000005</v>
      </c>
      <c r="F32" s="68">
        <f t="shared" ref="F32:F50" si="9">(IF(F$27="%w/w SAR",((F$28*10)*$B32),IF(F$27="%w/w DM",(((F$28*10)*($B$28/100))*$B32),IF(F$27="kg/t SAR",(F$28*$B32),IF(F$27="kg/t DM",((F$28*($B$28/100))*$B32),IF(F$27="mg/kg SAR",((F$28*0.001)*$B32),IF(F$27="mg/kg DM",(((F$28*0.001)*($B$28/100))*$B32),"0")))))))*1.658</f>
        <v>21.2224</v>
      </c>
      <c r="G32" s="68">
        <f t="shared" si="5"/>
        <v>0.05</v>
      </c>
      <c r="H32" s="68">
        <f t="shared" si="5"/>
        <v>0.1</v>
      </c>
      <c r="I32" s="68">
        <f t="shared" si="5"/>
        <v>0.05</v>
      </c>
      <c r="J32" s="68">
        <f t="shared" si="5"/>
        <v>1E-3</v>
      </c>
      <c r="K32" s="68">
        <f t="shared" si="5"/>
        <v>5.0000000000000001E-3</v>
      </c>
      <c r="L32" s="68">
        <f t="shared" si="5"/>
        <v>0.02</v>
      </c>
      <c r="M32" s="68">
        <f t="shared" si="5"/>
        <v>0.02</v>
      </c>
      <c r="N32" s="68">
        <f t="shared" si="5"/>
        <v>0</v>
      </c>
      <c r="O32" s="68">
        <f t="shared" si="5"/>
        <v>0</v>
      </c>
      <c r="P32" s="68">
        <f t="shared" si="5"/>
        <v>30.8</v>
      </c>
      <c r="Q32" s="68">
        <f t="shared" ref="Q32:Q50" si="10">(IF(Q$27="%w/w SAR",((Q$28*10)*$B32),IF(Q$27="%w/w DM",(((Q$28*10)*($B$28/100))*$B32),IF(Q$27="kg/t SAR",(Q$28*$B32),IF(Q$27="kg/t DM",((Q$28*($B$28/100))*$B32),IF(Q$27="mg/kg SAR",((Q$28*0.001)*$B32),IF(Q$27="mg/kg DM",(((Q$28*0.001)*($B$28/100))*$B32),0)))))))*2.5</f>
        <v>28.5</v>
      </c>
      <c r="R32" s="68">
        <f t="shared" ref="R32:U50" si="11">IF(R$27="%w/w SAR",((R$28*10)*$B32),IF(R$27="%w/w DM",(((R$28*10)*($B$28/100))*$B32),IF(R$27="kg/t SAR",(R$28*$B32),IF(R$27="kg/t DM",((R$28*($B$28/100))*$B32),IF(R$27="mg/kg SAR",((R$28*0.001)*$B32),IF(R$27="mg/kg DM",(((R$28*0.001)*($B$28/100))*$B32),0))))))</f>
        <v>0</v>
      </c>
      <c r="S32" s="68">
        <f t="shared" si="11"/>
        <v>0</v>
      </c>
      <c r="T32" s="68">
        <f t="shared" si="11"/>
        <v>0</v>
      </c>
      <c r="U32" s="68">
        <f t="shared" si="11"/>
        <v>0</v>
      </c>
    </row>
    <row r="33" spans="1:21" s="51" customFormat="1" ht="13" x14ac:dyDescent="0.35">
      <c r="A33" s="10" t="str">
        <f>E8</f>
        <v>Hafod 4734</v>
      </c>
      <c r="B33" s="12">
        <v>100</v>
      </c>
      <c r="C33" s="68">
        <f t="shared" si="6"/>
        <v>100</v>
      </c>
      <c r="D33" s="68">
        <f t="shared" si="7"/>
        <v>74.915700000000001</v>
      </c>
      <c r="E33" s="68">
        <f t="shared" si="8"/>
        <v>86.519000000000005</v>
      </c>
      <c r="F33" s="68">
        <f t="shared" si="9"/>
        <v>21.2224</v>
      </c>
      <c r="G33" s="68">
        <f t="shared" si="5"/>
        <v>0.05</v>
      </c>
      <c r="H33" s="68">
        <f t="shared" si="5"/>
        <v>0.1</v>
      </c>
      <c r="I33" s="68">
        <f t="shared" si="5"/>
        <v>0.05</v>
      </c>
      <c r="J33" s="68">
        <f t="shared" si="5"/>
        <v>1E-3</v>
      </c>
      <c r="K33" s="68">
        <f t="shared" si="5"/>
        <v>5.0000000000000001E-3</v>
      </c>
      <c r="L33" s="68">
        <f t="shared" si="5"/>
        <v>0.02</v>
      </c>
      <c r="M33" s="68">
        <f t="shared" si="5"/>
        <v>0.02</v>
      </c>
      <c r="N33" s="68">
        <f t="shared" si="5"/>
        <v>0</v>
      </c>
      <c r="O33" s="68">
        <f t="shared" si="5"/>
        <v>0</v>
      </c>
      <c r="P33" s="68">
        <f t="shared" si="5"/>
        <v>30.8</v>
      </c>
      <c r="Q33" s="68">
        <f t="shared" si="10"/>
        <v>28.5</v>
      </c>
      <c r="R33" s="68">
        <f t="shared" si="11"/>
        <v>0</v>
      </c>
      <c r="S33" s="68">
        <f t="shared" si="11"/>
        <v>0</v>
      </c>
      <c r="T33" s="68">
        <f t="shared" si="11"/>
        <v>0</v>
      </c>
      <c r="U33" s="68">
        <f t="shared" si="11"/>
        <v>0</v>
      </c>
    </row>
    <row r="34" spans="1:21" s="51" customFormat="1" ht="13" x14ac:dyDescent="0.35">
      <c r="A34" s="10" t="str">
        <f>F8</f>
        <v>Hafod 5761</v>
      </c>
      <c r="B34" s="12">
        <v>100</v>
      </c>
      <c r="C34" s="68">
        <f t="shared" si="6"/>
        <v>100</v>
      </c>
      <c r="D34" s="68">
        <f t="shared" si="7"/>
        <v>74.915700000000001</v>
      </c>
      <c r="E34" s="68">
        <f t="shared" si="8"/>
        <v>86.519000000000005</v>
      </c>
      <c r="F34" s="68">
        <f t="shared" si="9"/>
        <v>21.2224</v>
      </c>
      <c r="G34" s="68">
        <f t="shared" si="5"/>
        <v>0.05</v>
      </c>
      <c r="H34" s="68">
        <f t="shared" si="5"/>
        <v>0.1</v>
      </c>
      <c r="I34" s="68">
        <f t="shared" si="5"/>
        <v>0.05</v>
      </c>
      <c r="J34" s="68">
        <f t="shared" si="5"/>
        <v>1E-3</v>
      </c>
      <c r="K34" s="68">
        <f t="shared" si="5"/>
        <v>5.0000000000000001E-3</v>
      </c>
      <c r="L34" s="68">
        <f t="shared" si="5"/>
        <v>0.02</v>
      </c>
      <c r="M34" s="68">
        <f t="shared" si="5"/>
        <v>0.02</v>
      </c>
      <c r="N34" s="68">
        <f t="shared" si="5"/>
        <v>0</v>
      </c>
      <c r="O34" s="68">
        <f t="shared" si="5"/>
        <v>0</v>
      </c>
      <c r="P34" s="68">
        <f t="shared" si="5"/>
        <v>30.8</v>
      </c>
      <c r="Q34" s="68">
        <f t="shared" si="10"/>
        <v>28.5</v>
      </c>
      <c r="R34" s="68">
        <f t="shared" si="11"/>
        <v>0</v>
      </c>
      <c r="S34" s="68">
        <f t="shared" si="11"/>
        <v>0</v>
      </c>
      <c r="T34" s="68">
        <f t="shared" si="11"/>
        <v>0</v>
      </c>
      <c r="U34" s="68">
        <f t="shared" si="11"/>
        <v>0</v>
      </c>
    </row>
    <row r="35" spans="1:21" s="51" customFormat="1" ht="13" x14ac:dyDescent="0.35">
      <c r="A35" s="10" t="str">
        <f>G8</f>
        <v>Hafod 4067</v>
      </c>
      <c r="B35" s="12">
        <v>100</v>
      </c>
      <c r="C35" s="68">
        <f t="shared" si="6"/>
        <v>100</v>
      </c>
      <c r="D35" s="68">
        <f t="shared" si="7"/>
        <v>74.915700000000001</v>
      </c>
      <c r="E35" s="68">
        <f t="shared" si="8"/>
        <v>86.519000000000005</v>
      </c>
      <c r="F35" s="68">
        <f t="shared" si="9"/>
        <v>21.2224</v>
      </c>
      <c r="G35" s="68">
        <f t="shared" si="5"/>
        <v>0.05</v>
      </c>
      <c r="H35" s="68">
        <f t="shared" si="5"/>
        <v>0.1</v>
      </c>
      <c r="I35" s="68">
        <f t="shared" si="5"/>
        <v>0.05</v>
      </c>
      <c r="J35" s="68">
        <f t="shared" si="5"/>
        <v>1E-3</v>
      </c>
      <c r="K35" s="68">
        <f t="shared" si="5"/>
        <v>5.0000000000000001E-3</v>
      </c>
      <c r="L35" s="68">
        <f t="shared" si="5"/>
        <v>0.02</v>
      </c>
      <c r="M35" s="68">
        <f t="shared" si="5"/>
        <v>0.02</v>
      </c>
      <c r="N35" s="68">
        <f t="shared" si="5"/>
        <v>0</v>
      </c>
      <c r="O35" s="68">
        <f t="shared" si="5"/>
        <v>0</v>
      </c>
      <c r="P35" s="68">
        <f t="shared" si="5"/>
        <v>30.8</v>
      </c>
      <c r="Q35" s="68">
        <f t="shared" si="10"/>
        <v>28.5</v>
      </c>
      <c r="R35" s="68">
        <f t="shared" si="11"/>
        <v>0</v>
      </c>
      <c r="S35" s="68">
        <f t="shared" si="11"/>
        <v>0</v>
      </c>
      <c r="T35" s="68">
        <f t="shared" si="11"/>
        <v>0</v>
      </c>
      <c r="U35" s="68">
        <f t="shared" si="11"/>
        <v>0</v>
      </c>
    </row>
    <row r="36" spans="1:21" s="51" customFormat="1" ht="13" x14ac:dyDescent="0.35">
      <c r="A36" s="10" t="str">
        <f>H8</f>
        <v>Hafod 2455</v>
      </c>
      <c r="B36" s="12">
        <v>100</v>
      </c>
      <c r="C36" s="68">
        <f t="shared" si="6"/>
        <v>100</v>
      </c>
      <c r="D36" s="68">
        <f t="shared" si="7"/>
        <v>74.915700000000001</v>
      </c>
      <c r="E36" s="68">
        <f t="shared" si="8"/>
        <v>86.519000000000005</v>
      </c>
      <c r="F36" s="68">
        <f t="shared" si="9"/>
        <v>21.2224</v>
      </c>
      <c r="G36" s="68">
        <f t="shared" si="5"/>
        <v>0.05</v>
      </c>
      <c r="H36" s="68">
        <f t="shared" si="5"/>
        <v>0.1</v>
      </c>
      <c r="I36" s="68">
        <f t="shared" si="5"/>
        <v>0.05</v>
      </c>
      <c r="J36" s="68">
        <f t="shared" si="5"/>
        <v>1E-3</v>
      </c>
      <c r="K36" s="68">
        <f t="shared" si="5"/>
        <v>5.0000000000000001E-3</v>
      </c>
      <c r="L36" s="68">
        <f t="shared" si="5"/>
        <v>0.02</v>
      </c>
      <c r="M36" s="68">
        <f t="shared" si="5"/>
        <v>0.02</v>
      </c>
      <c r="N36" s="68">
        <f t="shared" si="5"/>
        <v>0</v>
      </c>
      <c r="O36" s="68">
        <f t="shared" si="5"/>
        <v>0</v>
      </c>
      <c r="P36" s="68">
        <f t="shared" si="5"/>
        <v>30.8</v>
      </c>
      <c r="Q36" s="68">
        <f t="shared" si="10"/>
        <v>28.5</v>
      </c>
      <c r="R36" s="68">
        <f t="shared" si="11"/>
        <v>0</v>
      </c>
      <c r="S36" s="68">
        <f t="shared" si="11"/>
        <v>0</v>
      </c>
      <c r="T36" s="68">
        <f t="shared" si="11"/>
        <v>0</v>
      </c>
      <c r="U36" s="68">
        <f t="shared" si="11"/>
        <v>0</v>
      </c>
    </row>
    <row r="37" spans="1:21" s="51" customFormat="1" ht="13" x14ac:dyDescent="0.35">
      <c r="A37" s="10" t="str">
        <f>I8</f>
        <v>Hafod 1741</v>
      </c>
      <c r="B37" s="12">
        <v>100</v>
      </c>
      <c r="C37" s="68">
        <f t="shared" si="6"/>
        <v>100</v>
      </c>
      <c r="D37" s="68">
        <f t="shared" si="7"/>
        <v>74.915700000000001</v>
      </c>
      <c r="E37" s="68">
        <f t="shared" si="8"/>
        <v>86.519000000000005</v>
      </c>
      <c r="F37" s="68">
        <f t="shared" si="9"/>
        <v>21.2224</v>
      </c>
      <c r="G37" s="68">
        <f t="shared" si="5"/>
        <v>0.05</v>
      </c>
      <c r="H37" s="68">
        <f t="shared" si="5"/>
        <v>0.1</v>
      </c>
      <c r="I37" s="68">
        <f t="shared" si="5"/>
        <v>0.05</v>
      </c>
      <c r="J37" s="68">
        <f t="shared" si="5"/>
        <v>1E-3</v>
      </c>
      <c r="K37" s="68">
        <f t="shared" si="5"/>
        <v>5.0000000000000001E-3</v>
      </c>
      <c r="L37" s="68">
        <f t="shared" si="5"/>
        <v>0.02</v>
      </c>
      <c r="M37" s="68">
        <f t="shared" si="5"/>
        <v>0.02</v>
      </c>
      <c r="N37" s="68">
        <f t="shared" si="5"/>
        <v>0</v>
      </c>
      <c r="O37" s="68">
        <f t="shared" si="5"/>
        <v>0</v>
      </c>
      <c r="P37" s="68">
        <f t="shared" si="5"/>
        <v>30.8</v>
      </c>
      <c r="Q37" s="68">
        <f t="shared" si="10"/>
        <v>28.5</v>
      </c>
      <c r="R37" s="68">
        <f t="shared" si="11"/>
        <v>0</v>
      </c>
      <c r="S37" s="68">
        <f t="shared" si="11"/>
        <v>0</v>
      </c>
      <c r="T37" s="68">
        <f t="shared" si="11"/>
        <v>0</v>
      </c>
      <c r="U37" s="68">
        <f t="shared" si="11"/>
        <v>0</v>
      </c>
    </row>
    <row r="38" spans="1:21" s="51" customFormat="1" ht="13" x14ac:dyDescent="0.35">
      <c r="A38" s="10" t="str">
        <f>J8</f>
        <v>Hafod 0720</v>
      </c>
      <c r="B38" s="12">
        <v>100</v>
      </c>
      <c r="C38" s="68">
        <f t="shared" si="6"/>
        <v>100</v>
      </c>
      <c r="D38" s="68">
        <f t="shared" si="7"/>
        <v>74.915700000000001</v>
      </c>
      <c r="E38" s="68">
        <f t="shared" si="8"/>
        <v>86.519000000000005</v>
      </c>
      <c r="F38" s="68">
        <f t="shared" si="9"/>
        <v>21.2224</v>
      </c>
      <c r="G38" s="68">
        <f t="shared" si="5"/>
        <v>0.05</v>
      </c>
      <c r="H38" s="68">
        <f t="shared" si="5"/>
        <v>0.1</v>
      </c>
      <c r="I38" s="68">
        <f t="shared" si="5"/>
        <v>0.05</v>
      </c>
      <c r="J38" s="68">
        <f t="shared" si="5"/>
        <v>1E-3</v>
      </c>
      <c r="K38" s="68">
        <f t="shared" si="5"/>
        <v>5.0000000000000001E-3</v>
      </c>
      <c r="L38" s="68">
        <f t="shared" si="5"/>
        <v>0.02</v>
      </c>
      <c r="M38" s="68">
        <f t="shared" si="5"/>
        <v>0.02</v>
      </c>
      <c r="N38" s="68">
        <f t="shared" si="5"/>
        <v>0</v>
      </c>
      <c r="O38" s="68">
        <f t="shared" si="5"/>
        <v>0</v>
      </c>
      <c r="P38" s="68">
        <f t="shared" si="5"/>
        <v>30.8</v>
      </c>
      <c r="Q38" s="68">
        <f t="shared" si="10"/>
        <v>28.5</v>
      </c>
      <c r="R38" s="68">
        <f t="shared" si="11"/>
        <v>0</v>
      </c>
      <c r="S38" s="68">
        <f t="shared" si="11"/>
        <v>0</v>
      </c>
      <c r="T38" s="68">
        <f t="shared" si="11"/>
        <v>0</v>
      </c>
      <c r="U38" s="68">
        <f t="shared" si="11"/>
        <v>0</v>
      </c>
    </row>
    <row r="39" spans="1:21" s="51" customFormat="1" ht="13" x14ac:dyDescent="0.35">
      <c r="A39" s="10" t="str">
        <f>K8</f>
        <v>Solafron 2893</v>
      </c>
      <c r="B39" s="12">
        <v>100</v>
      </c>
      <c r="C39" s="68">
        <f t="shared" si="6"/>
        <v>100</v>
      </c>
      <c r="D39" s="68">
        <f t="shared" si="7"/>
        <v>74.915700000000001</v>
      </c>
      <c r="E39" s="68">
        <f t="shared" si="8"/>
        <v>86.519000000000005</v>
      </c>
      <c r="F39" s="68">
        <f t="shared" si="9"/>
        <v>21.2224</v>
      </c>
      <c r="G39" s="68">
        <f t="shared" si="5"/>
        <v>0.05</v>
      </c>
      <c r="H39" s="68">
        <f t="shared" si="5"/>
        <v>0.1</v>
      </c>
      <c r="I39" s="68">
        <f t="shared" si="5"/>
        <v>0.05</v>
      </c>
      <c r="J39" s="68">
        <f t="shared" si="5"/>
        <v>1E-3</v>
      </c>
      <c r="K39" s="68">
        <f t="shared" si="5"/>
        <v>5.0000000000000001E-3</v>
      </c>
      <c r="L39" s="68">
        <f t="shared" si="5"/>
        <v>0.02</v>
      </c>
      <c r="M39" s="68">
        <f t="shared" si="5"/>
        <v>0.02</v>
      </c>
      <c r="N39" s="68">
        <f t="shared" si="5"/>
        <v>0</v>
      </c>
      <c r="O39" s="68">
        <f t="shared" si="5"/>
        <v>0</v>
      </c>
      <c r="P39" s="68">
        <f t="shared" si="5"/>
        <v>30.8</v>
      </c>
      <c r="Q39" s="68">
        <f t="shared" si="10"/>
        <v>28.5</v>
      </c>
      <c r="R39" s="68">
        <f t="shared" si="11"/>
        <v>0</v>
      </c>
      <c r="S39" s="68">
        <f t="shared" si="11"/>
        <v>0</v>
      </c>
      <c r="T39" s="68">
        <f t="shared" si="11"/>
        <v>0</v>
      </c>
      <c r="U39" s="68">
        <f t="shared" si="11"/>
        <v>0</v>
      </c>
    </row>
    <row r="40" spans="1:21" s="51" customFormat="1" ht="13" x14ac:dyDescent="0.35">
      <c r="A40" s="10" t="str">
        <f>L8</f>
        <v>Solafron 2611</v>
      </c>
      <c r="B40" s="12">
        <v>100</v>
      </c>
      <c r="C40" s="68">
        <f t="shared" si="6"/>
        <v>100</v>
      </c>
      <c r="D40" s="68">
        <f t="shared" si="7"/>
        <v>74.915700000000001</v>
      </c>
      <c r="E40" s="68">
        <f t="shared" si="8"/>
        <v>86.519000000000005</v>
      </c>
      <c r="F40" s="68">
        <f t="shared" si="9"/>
        <v>21.2224</v>
      </c>
      <c r="G40" s="68">
        <f t="shared" si="5"/>
        <v>0.05</v>
      </c>
      <c r="H40" s="68">
        <f t="shared" si="5"/>
        <v>0.1</v>
      </c>
      <c r="I40" s="68">
        <f t="shared" si="5"/>
        <v>0.05</v>
      </c>
      <c r="J40" s="68">
        <f t="shared" si="5"/>
        <v>1E-3</v>
      </c>
      <c r="K40" s="68">
        <f t="shared" si="5"/>
        <v>5.0000000000000001E-3</v>
      </c>
      <c r="L40" s="68">
        <f t="shared" si="5"/>
        <v>0.02</v>
      </c>
      <c r="M40" s="68">
        <f t="shared" si="5"/>
        <v>0.02</v>
      </c>
      <c r="N40" s="68">
        <f t="shared" si="5"/>
        <v>0</v>
      </c>
      <c r="O40" s="68">
        <f t="shared" si="5"/>
        <v>0</v>
      </c>
      <c r="P40" s="68">
        <f t="shared" si="5"/>
        <v>30.8</v>
      </c>
      <c r="Q40" s="68">
        <f t="shared" si="10"/>
        <v>28.5</v>
      </c>
      <c r="R40" s="68">
        <f t="shared" si="11"/>
        <v>0</v>
      </c>
      <c r="S40" s="68">
        <f t="shared" si="11"/>
        <v>0</v>
      </c>
      <c r="T40" s="68">
        <f t="shared" si="11"/>
        <v>0</v>
      </c>
      <c r="U40" s="68">
        <f t="shared" si="11"/>
        <v>0</v>
      </c>
    </row>
    <row r="41" spans="1:21" s="51" customFormat="1" ht="13" x14ac:dyDescent="0.35">
      <c r="A41" s="10" t="str">
        <f>M8</f>
        <v>Solafron 1404</v>
      </c>
      <c r="B41" s="12">
        <v>100</v>
      </c>
      <c r="C41" s="68">
        <f t="shared" si="6"/>
        <v>100</v>
      </c>
      <c r="D41" s="68">
        <f t="shared" si="7"/>
        <v>74.915700000000001</v>
      </c>
      <c r="E41" s="68">
        <f t="shared" si="8"/>
        <v>86.519000000000005</v>
      </c>
      <c r="F41" s="68">
        <f t="shared" si="9"/>
        <v>21.2224</v>
      </c>
      <c r="G41" s="68">
        <f t="shared" si="5"/>
        <v>0.05</v>
      </c>
      <c r="H41" s="68">
        <f t="shared" si="5"/>
        <v>0.1</v>
      </c>
      <c r="I41" s="68">
        <f t="shared" si="5"/>
        <v>0.05</v>
      </c>
      <c r="J41" s="68">
        <f t="shared" si="5"/>
        <v>1E-3</v>
      </c>
      <c r="K41" s="68">
        <f t="shared" si="5"/>
        <v>5.0000000000000001E-3</v>
      </c>
      <c r="L41" s="68">
        <f t="shared" si="5"/>
        <v>0.02</v>
      </c>
      <c r="M41" s="68">
        <f t="shared" si="5"/>
        <v>0.02</v>
      </c>
      <c r="N41" s="68">
        <f t="shared" si="5"/>
        <v>0</v>
      </c>
      <c r="O41" s="68">
        <f t="shared" si="5"/>
        <v>0</v>
      </c>
      <c r="P41" s="68">
        <f t="shared" si="5"/>
        <v>30.8</v>
      </c>
      <c r="Q41" s="68">
        <f t="shared" si="10"/>
        <v>28.5</v>
      </c>
      <c r="R41" s="68">
        <f t="shared" si="11"/>
        <v>0</v>
      </c>
      <c r="S41" s="68">
        <f t="shared" si="11"/>
        <v>0</v>
      </c>
      <c r="T41" s="68">
        <f t="shared" si="11"/>
        <v>0</v>
      </c>
      <c r="U41" s="68">
        <f t="shared" si="11"/>
        <v>0</v>
      </c>
    </row>
    <row r="42" spans="1:21" s="51" customFormat="1" ht="13" x14ac:dyDescent="0.35">
      <c r="A42" s="10">
        <f>N8</f>
        <v>0</v>
      </c>
      <c r="B42" s="12"/>
      <c r="C42" s="68">
        <f t="shared" si="6"/>
        <v>0</v>
      </c>
      <c r="D42" s="68">
        <f t="shared" si="7"/>
        <v>0</v>
      </c>
      <c r="E42" s="68">
        <f t="shared" si="8"/>
        <v>0</v>
      </c>
      <c r="F42" s="68">
        <f t="shared" si="9"/>
        <v>0</v>
      </c>
      <c r="G42" s="68">
        <f t="shared" si="5"/>
        <v>0</v>
      </c>
      <c r="H42" s="68">
        <f t="shared" si="5"/>
        <v>0</v>
      </c>
      <c r="I42" s="68">
        <f t="shared" si="5"/>
        <v>0</v>
      </c>
      <c r="J42" s="68">
        <f t="shared" si="5"/>
        <v>0</v>
      </c>
      <c r="K42" s="68">
        <f t="shared" si="5"/>
        <v>0</v>
      </c>
      <c r="L42" s="68">
        <f t="shared" si="5"/>
        <v>0</v>
      </c>
      <c r="M42" s="68">
        <f t="shared" si="5"/>
        <v>0</v>
      </c>
      <c r="N42" s="68">
        <f t="shared" si="5"/>
        <v>0</v>
      </c>
      <c r="O42" s="68">
        <f t="shared" si="5"/>
        <v>0</v>
      </c>
      <c r="P42" s="68">
        <f t="shared" si="5"/>
        <v>0</v>
      </c>
      <c r="Q42" s="68">
        <f t="shared" si="10"/>
        <v>0</v>
      </c>
      <c r="R42" s="68">
        <f t="shared" si="11"/>
        <v>0</v>
      </c>
      <c r="S42" s="68">
        <f t="shared" si="11"/>
        <v>0</v>
      </c>
      <c r="T42" s="68">
        <f t="shared" si="11"/>
        <v>0</v>
      </c>
      <c r="U42" s="68">
        <f t="shared" si="11"/>
        <v>0</v>
      </c>
    </row>
    <row r="43" spans="1:21" s="51" customFormat="1" ht="13" x14ac:dyDescent="0.35">
      <c r="A43" s="10">
        <f>O8</f>
        <v>0</v>
      </c>
      <c r="B43" s="12"/>
      <c r="C43" s="68">
        <f t="shared" si="6"/>
        <v>0</v>
      </c>
      <c r="D43" s="68">
        <f t="shared" si="7"/>
        <v>0</v>
      </c>
      <c r="E43" s="68">
        <f t="shared" si="8"/>
        <v>0</v>
      </c>
      <c r="F43" s="68">
        <f t="shared" si="9"/>
        <v>0</v>
      </c>
      <c r="G43" s="68">
        <f t="shared" si="5"/>
        <v>0</v>
      </c>
      <c r="H43" s="68">
        <f t="shared" si="5"/>
        <v>0</v>
      </c>
      <c r="I43" s="68">
        <f t="shared" si="5"/>
        <v>0</v>
      </c>
      <c r="J43" s="68">
        <f t="shared" si="5"/>
        <v>0</v>
      </c>
      <c r="K43" s="68">
        <f t="shared" si="5"/>
        <v>0</v>
      </c>
      <c r="L43" s="68">
        <f t="shared" si="5"/>
        <v>0</v>
      </c>
      <c r="M43" s="68">
        <f t="shared" si="5"/>
        <v>0</v>
      </c>
      <c r="N43" s="68">
        <f t="shared" si="5"/>
        <v>0</v>
      </c>
      <c r="O43" s="68">
        <f t="shared" si="5"/>
        <v>0</v>
      </c>
      <c r="P43" s="68">
        <f t="shared" si="5"/>
        <v>0</v>
      </c>
      <c r="Q43" s="68">
        <f t="shared" si="10"/>
        <v>0</v>
      </c>
      <c r="R43" s="68">
        <f t="shared" si="11"/>
        <v>0</v>
      </c>
      <c r="S43" s="68">
        <f t="shared" si="11"/>
        <v>0</v>
      </c>
      <c r="T43" s="68">
        <f t="shared" si="11"/>
        <v>0</v>
      </c>
      <c r="U43" s="68">
        <f t="shared" si="11"/>
        <v>0</v>
      </c>
    </row>
    <row r="44" spans="1:21" s="51" customFormat="1" ht="13" x14ac:dyDescent="0.35">
      <c r="A44" s="10">
        <f>P8</f>
        <v>0</v>
      </c>
      <c r="B44" s="12"/>
      <c r="C44" s="68">
        <f t="shared" si="6"/>
        <v>0</v>
      </c>
      <c r="D44" s="68">
        <f t="shared" si="7"/>
        <v>0</v>
      </c>
      <c r="E44" s="68">
        <f t="shared" si="8"/>
        <v>0</v>
      </c>
      <c r="F44" s="68">
        <f t="shared" si="9"/>
        <v>0</v>
      </c>
      <c r="G44" s="68">
        <f t="shared" si="5"/>
        <v>0</v>
      </c>
      <c r="H44" s="68">
        <f t="shared" si="5"/>
        <v>0</v>
      </c>
      <c r="I44" s="68">
        <f t="shared" si="5"/>
        <v>0</v>
      </c>
      <c r="J44" s="68">
        <f t="shared" si="5"/>
        <v>0</v>
      </c>
      <c r="K44" s="68">
        <f t="shared" si="5"/>
        <v>0</v>
      </c>
      <c r="L44" s="68">
        <f t="shared" si="5"/>
        <v>0</v>
      </c>
      <c r="M44" s="68">
        <f t="shared" si="5"/>
        <v>0</v>
      </c>
      <c r="N44" s="68">
        <f t="shared" si="5"/>
        <v>0</v>
      </c>
      <c r="O44" s="68">
        <f t="shared" si="5"/>
        <v>0</v>
      </c>
      <c r="P44" s="68">
        <f t="shared" si="5"/>
        <v>0</v>
      </c>
      <c r="Q44" s="68">
        <f t="shared" si="10"/>
        <v>0</v>
      </c>
      <c r="R44" s="68">
        <f t="shared" si="11"/>
        <v>0</v>
      </c>
      <c r="S44" s="68">
        <f t="shared" si="11"/>
        <v>0</v>
      </c>
      <c r="T44" s="68">
        <f t="shared" si="11"/>
        <v>0</v>
      </c>
      <c r="U44" s="68">
        <f t="shared" si="11"/>
        <v>0</v>
      </c>
    </row>
    <row r="45" spans="1:21" s="51" customFormat="1" ht="13" x14ac:dyDescent="0.35">
      <c r="A45" s="10">
        <f>Q8</f>
        <v>0</v>
      </c>
      <c r="B45" s="12"/>
      <c r="C45" s="68">
        <f t="shared" si="6"/>
        <v>0</v>
      </c>
      <c r="D45" s="68">
        <f t="shared" si="7"/>
        <v>0</v>
      </c>
      <c r="E45" s="68">
        <f t="shared" si="8"/>
        <v>0</v>
      </c>
      <c r="F45" s="68">
        <f t="shared" si="9"/>
        <v>0</v>
      </c>
      <c r="G45" s="68">
        <f t="shared" si="5"/>
        <v>0</v>
      </c>
      <c r="H45" s="68">
        <f t="shared" si="5"/>
        <v>0</v>
      </c>
      <c r="I45" s="68">
        <f t="shared" si="5"/>
        <v>0</v>
      </c>
      <c r="J45" s="68">
        <f t="shared" si="5"/>
        <v>0</v>
      </c>
      <c r="K45" s="68">
        <f t="shared" si="5"/>
        <v>0</v>
      </c>
      <c r="L45" s="68">
        <f t="shared" si="5"/>
        <v>0</v>
      </c>
      <c r="M45" s="68">
        <f t="shared" si="5"/>
        <v>0</v>
      </c>
      <c r="N45" s="68">
        <f t="shared" si="5"/>
        <v>0</v>
      </c>
      <c r="O45" s="68">
        <f t="shared" si="5"/>
        <v>0</v>
      </c>
      <c r="P45" s="68">
        <f t="shared" si="5"/>
        <v>0</v>
      </c>
      <c r="Q45" s="68">
        <f t="shared" si="10"/>
        <v>0</v>
      </c>
      <c r="R45" s="68">
        <f t="shared" si="11"/>
        <v>0</v>
      </c>
      <c r="S45" s="68">
        <f t="shared" si="11"/>
        <v>0</v>
      </c>
      <c r="T45" s="68">
        <f t="shared" si="11"/>
        <v>0</v>
      </c>
      <c r="U45" s="68">
        <f t="shared" si="11"/>
        <v>0</v>
      </c>
    </row>
    <row r="46" spans="1:21" s="51" customFormat="1" ht="13" x14ac:dyDescent="0.35">
      <c r="A46" s="10">
        <f>R8</f>
        <v>0</v>
      </c>
      <c r="B46" s="12"/>
      <c r="C46" s="68">
        <f t="shared" si="6"/>
        <v>0</v>
      </c>
      <c r="D46" s="68">
        <f t="shared" si="7"/>
        <v>0</v>
      </c>
      <c r="E46" s="68">
        <f t="shared" si="8"/>
        <v>0</v>
      </c>
      <c r="F46" s="68">
        <f t="shared" si="9"/>
        <v>0</v>
      </c>
      <c r="G46" s="68">
        <f t="shared" si="5"/>
        <v>0</v>
      </c>
      <c r="H46" s="68">
        <f t="shared" si="5"/>
        <v>0</v>
      </c>
      <c r="I46" s="68">
        <f t="shared" si="5"/>
        <v>0</v>
      </c>
      <c r="J46" s="68">
        <f t="shared" si="5"/>
        <v>0</v>
      </c>
      <c r="K46" s="68">
        <f t="shared" si="5"/>
        <v>0</v>
      </c>
      <c r="L46" s="68">
        <f t="shared" si="5"/>
        <v>0</v>
      </c>
      <c r="M46" s="68">
        <f t="shared" si="5"/>
        <v>0</v>
      </c>
      <c r="N46" s="68">
        <f t="shared" si="5"/>
        <v>0</v>
      </c>
      <c r="O46" s="68">
        <f t="shared" si="5"/>
        <v>0</v>
      </c>
      <c r="P46" s="68">
        <f t="shared" si="5"/>
        <v>0</v>
      </c>
      <c r="Q46" s="68">
        <f t="shared" si="10"/>
        <v>0</v>
      </c>
      <c r="R46" s="68">
        <f t="shared" si="11"/>
        <v>0</v>
      </c>
      <c r="S46" s="68">
        <f t="shared" si="11"/>
        <v>0</v>
      </c>
      <c r="T46" s="68">
        <f t="shared" si="11"/>
        <v>0</v>
      </c>
      <c r="U46" s="68">
        <f t="shared" si="11"/>
        <v>0</v>
      </c>
    </row>
    <row r="47" spans="1:21" s="51" customFormat="1" ht="13" x14ac:dyDescent="0.35">
      <c r="A47" s="10">
        <f>S8</f>
        <v>0</v>
      </c>
      <c r="B47" s="12"/>
      <c r="C47" s="68">
        <f t="shared" si="6"/>
        <v>0</v>
      </c>
      <c r="D47" s="68">
        <f t="shared" si="7"/>
        <v>0</v>
      </c>
      <c r="E47" s="68">
        <f t="shared" si="8"/>
        <v>0</v>
      </c>
      <c r="F47" s="68">
        <f t="shared" si="9"/>
        <v>0</v>
      </c>
      <c r="G47" s="68">
        <f t="shared" ref="G47:P50" si="12">IF(G$27="%w/w SAR",((G$28*10)*$B47),IF(G$27="%w/w DM",(((G$28*10)*($B$28/100))*$B47),IF(G$27="kg/t SAR",(G$28*$B47),IF(G$27="kg/t DM",((G$28*($B$28/100))*$B47),IF(G$27="mg/kg SAR",((G$28*0.001)*$B47),IF(G$27="mg/kg DM",(((G$28*0.001)*($B$28/100))*$B47),0))))))</f>
        <v>0</v>
      </c>
      <c r="H47" s="68">
        <f t="shared" si="12"/>
        <v>0</v>
      </c>
      <c r="I47" s="68">
        <f t="shared" si="12"/>
        <v>0</v>
      </c>
      <c r="J47" s="68">
        <f t="shared" si="12"/>
        <v>0</v>
      </c>
      <c r="K47" s="68">
        <f t="shared" si="12"/>
        <v>0</v>
      </c>
      <c r="L47" s="68">
        <f t="shared" si="12"/>
        <v>0</v>
      </c>
      <c r="M47" s="68">
        <f t="shared" si="12"/>
        <v>0</v>
      </c>
      <c r="N47" s="68">
        <f t="shared" si="12"/>
        <v>0</v>
      </c>
      <c r="O47" s="68">
        <f t="shared" si="12"/>
        <v>0</v>
      </c>
      <c r="P47" s="68">
        <f t="shared" si="12"/>
        <v>0</v>
      </c>
      <c r="Q47" s="68">
        <f t="shared" si="10"/>
        <v>0</v>
      </c>
      <c r="R47" s="68">
        <f t="shared" si="11"/>
        <v>0</v>
      </c>
      <c r="S47" s="68">
        <f t="shared" si="11"/>
        <v>0</v>
      </c>
      <c r="T47" s="68">
        <f t="shared" si="11"/>
        <v>0</v>
      </c>
      <c r="U47" s="68">
        <f t="shared" si="11"/>
        <v>0</v>
      </c>
    </row>
    <row r="48" spans="1:21" s="51" customFormat="1" ht="13" x14ac:dyDescent="0.35">
      <c r="A48" s="10">
        <f>T8</f>
        <v>0</v>
      </c>
      <c r="B48" s="12"/>
      <c r="C48" s="68">
        <f t="shared" si="6"/>
        <v>0</v>
      </c>
      <c r="D48" s="68">
        <f t="shared" si="7"/>
        <v>0</v>
      </c>
      <c r="E48" s="68">
        <f t="shared" si="8"/>
        <v>0</v>
      </c>
      <c r="F48" s="68">
        <f t="shared" si="9"/>
        <v>0</v>
      </c>
      <c r="G48" s="68">
        <f t="shared" si="12"/>
        <v>0</v>
      </c>
      <c r="H48" s="68">
        <f t="shared" si="12"/>
        <v>0</v>
      </c>
      <c r="I48" s="68">
        <f t="shared" si="12"/>
        <v>0</v>
      </c>
      <c r="J48" s="68">
        <f t="shared" si="12"/>
        <v>0</v>
      </c>
      <c r="K48" s="68">
        <f t="shared" si="12"/>
        <v>0</v>
      </c>
      <c r="L48" s="68">
        <f t="shared" si="12"/>
        <v>0</v>
      </c>
      <c r="M48" s="68">
        <f t="shared" si="12"/>
        <v>0</v>
      </c>
      <c r="N48" s="68">
        <f t="shared" si="12"/>
        <v>0</v>
      </c>
      <c r="O48" s="68">
        <f t="shared" si="12"/>
        <v>0</v>
      </c>
      <c r="P48" s="68">
        <f t="shared" si="12"/>
        <v>0</v>
      </c>
      <c r="Q48" s="68">
        <f t="shared" si="10"/>
        <v>0</v>
      </c>
      <c r="R48" s="68">
        <f t="shared" si="11"/>
        <v>0</v>
      </c>
      <c r="S48" s="68">
        <f t="shared" si="11"/>
        <v>0</v>
      </c>
      <c r="T48" s="68">
        <f t="shared" si="11"/>
        <v>0</v>
      </c>
      <c r="U48" s="68">
        <f t="shared" si="11"/>
        <v>0</v>
      </c>
    </row>
    <row r="49" spans="1:21" s="51" customFormat="1" ht="13" x14ac:dyDescent="0.35">
      <c r="A49" s="10">
        <f>U8</f>
        <v>0</v>
      </c>
      <c r="B49" s="12"/>
      <c r="C49" s="68">
        <f t="shared" si="6"/>
        <v>0</v>
      </c>
      <c r="D49" s="68">
        <f t="shared" si="7"/>
        <v>0</v>
      </c>
      <c r="E49" s="68">
        <f t="shared" si="8"/>
        <v>0</v>
      </c>
      <c r="F49" s="68">
        <f t="shared" si="9"/>
        <v>0</v>
      </c>
      <c r="G49" s="68">
        <f t="shared" si="12"/>
        <v>0</v>
      </c>
      <c r="H49" s="68">
        <f t="shared" si="12"/>
        <v>0</v>
      </c>
      <c r="I49" s="68">
        <f t="shared" si="12"/>
        <v>0</v>
      </c>
      <c r="J49" s="68">
        <f t="shared" si="12"/>
        <v>0</v>
      </c>
      <c r="K49" s="68">
        <f t="shared" si="12"/>
        <v>0</v>
      </c>
      <c r="L49" s="68">
        <f t="shared" si="12"/>
        <v>0</v>
      </c>
      <c r="M49" s="68">
        <f t="shared" si="12"/>
        <v>0</v>
      </c>
      <c r="N49" s="68">
        <f t="shared" si="12"/>
        <v>0</v>
      </c>
      <c r="O49" s="68">
        <f t="shared" si="12"/>
        <v>0</v>
      </c>
      <c r="P49" s="68">
        <f t="shared" si="12"/>
        <v>0</v>
      </c>
      <c r="Q49" s="68">
        <f t="shared" si="10"/>
        <v>0</v>
      </c>
      <c r="R49" s="68">
        <f t="shared" si="11"/>
        <v>0</v>
      </c>
      <c r="S49" s="68">
        <f t="shared" si="11"/>
        <v>0</v>
      </c>
      <c r="T49" s="68">
        <f t="shared" si="11"/>
        <v>0</v>
      </c>
      <c r="U49" s="68">
        <f t="shared" si="11"/>
        <v>0</v>
      </c>
    </row>
    <row r="50" spans="1:21" s="51" customFormat="1" ht="13.5" thickBot="1" x14ac:dyDescent="0.4">
      <c r="A50" s="11">
        <f>V8</f>
        <v>0</v>
      </c>
      <c r="B50" s="12"/>
      <c r="C50" s="87">
        <f t="shared" si="6"/>
        <v>0</v>
      </c>
      <c r="D50" s="87">
        <f t="shared" si="7"/>
        <v>0</v>
      </c>
      <c r="E50" s="87">
        <f t="shared" si="8"/>
        <v>0</v>
      </c>
      <c r="F50" s="87">
        <f t="shared" si="9"/>
        <v>0</v>
      </c>
      <c r="G50" s="87">
        <f t="shared" si="12"/>
        <v>0</v>
      </c>
      <c r="H50" s="87">
        <f t="shared" si="12"/>
        <v>0</v>
      </c>
      <c r="I50" s="87">
        <f t="shared" si="12"/>
        <v>0</v>
      </c>
      <c r="J50" s="87">
        <f t="shared" si="12"/>
        <v>0</v>
      </c>
      <c r="K50" s="87">
        <f t="shared" si="12"/>
        <v>0</v>
      </c>
      <c r="L50" s="87">
        <f t="shared" si="12"/>
        <v>0</v>
      </c>
      <c r="M50" s="87">
        <f t="shared" si="12"/>
        <v>0</v>
      </c>
      <c r="N50" s="87">
        <f t="shared" si="12"/>
        <v>0</v>
      </c>
      <c r="O50" s="87">
        <f t="shared" si="12"/>
        <v>0</v>
      </c>
      <c r="P50" s="87">
        <f t="shared" si="12"/>
        <v>0</v>
      </c>
      <c r="Q50" s="87">
        <f t="shared" si="10"/>
        <v>0</v>
      </c>
      <c r="R50" s="87">
        <f t="shared" si="11"/>
        <v>0</v>
      </c>
      <c r="S50" s="87">
        <f t="shared" si="11"/>
        <v>0</v>
      </c>
      <c r="T50" s="87">
        <f t="shared" si="11"/>
        <v>0</v>
      </c>
      <c r="U50" s="87">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5">
        <v>20</v>
      </c>
    </row>
    <row r="53" spans="1:21" ht="13" x14ac:dyDescent="0.35">
      <c r="A53" s="7" t="s">
        <v>130</v>
      </c>
    </row>
    <row r="54" spans="1:21" ht="26" x14ac:dyDescent="0.3">
      <c r="A54" s="98"/>
      <c r="B54" s="102" t="s">
        <v>149</v>
      </c>
      <c r="C54" s="102" t="s">
        <v>150</v>
      </c>
      <c r="D54" s="102" t="s">
        <v>127</v>
      </c>
      <c r="E54" s="102" t="s">
        <v>128</v>
      </c>
      <c r="F54" s="102" t="s">
        <v>151</v>
      </c>
      <c r="G54" s="102" t="s">
        <v>129</v>
      </c>
      <c r="H54" s="51"/>
      <c r="I54" s="51"/>
      <c r="J54" s="51"/>
      <c r="K54" s="51"/>
      <c r="L54" s="51"/>
      <c r="M54" s="51"/>
      <c r="N54" s="51"/>
      <c r="O54" s="51"/>
      <c r="P54" s="51"/>
      <c r="Q54" s="51"/>
      <c r="R54" s="51"/>
      <c r="S54" s="51"/>
      <c r="T54" s="51"/>
      <c r="U54" s="51"/>
    </row>
    <row r="55" spans="1:21" x14ac:dyDescent="0.25">
      <c r="A55" s="99"/>
      <c r="B55" s="103"/>
      <c r="C55" s="104"/>
      <c r="D55" s="105">
        <f>(B55/100)*C55</f>
        <v>0</v>
      </c>
      <c r="E55" s="105">
        <f>G55</f>
        <v>0</v>
      </c>
      <c r="F55" s="104"/>
      <c r="G55" s="105">
        <f>(B55/100)*F55</f>
        <v>0</v>
      </c>
      <c r="H55" s="51"/>
      <c r="I55" s="51"/>
      <c r="J55" s="51"/>
      <c r="K55" s="51"/>
      <c r="L55" s="51"/>
      <c r="M55" s="51"/>
      <c r="N55" s="51"/>
      <c r="O55" s="51"/>
      <c r="P55" s="51"/>
      <c r="Q55" s="51"/>
      <c r="R55" s="51"/>
      <c r="S55" s="51"/>
      <c r="T55" s="51"/>
      <c r="U55" s="51"/>
    </row>
    <row r="56" spans="1:21" ht="13" x14ac:dyDescent="0.3">
      <c r="A56" s="82" t="s">
        <v>63</v>
      </c>
      <c r="B56" s="8">
        <v>1</v>
      </c>
      <c r="C56" s="64">
        <v>2</v>
      </c>
      <c r="D56" s="65">
        <v>3</v>
      </c>
      <c r="E56" s="65">
        <v>4</v>
      </c>
      <c r="F56" s="64">
        <v>5</v>
      </c>
      <c r="G56" s="65">
        <v>6</v>
      </c>
      <c r="H56" s="66">
        <v>7</v>
      </c>
      <c r="I56" s="66">
        <v>8</v>
      </c>
      <c r="J56" s="66">
        <v>9</v>
      </c>
      <c r="K56" s="64">
        <v>10</v>
      </c>
      <c r="L56" s="64">
        <v>11</v>
      </c>
      <c r="M56" s="65">
        <v>12</v>
      </c>
      <c r="N56" s="65">
        <v>13</v>
      </c>
      <c r="O56" s="64">
        <v>14</v>
      </c>
      <c r="P56" s="65">
        <v>15</v>
      </c>
      <c r="Q56" s="66">
        <v>16</v>
      </c>
      <c r="R56" s="66">
        <v>17</v>
      </c>
      <c r="S56" s="66">
        <v>18</v>
      </c>
      <c r="T56" s="64">
        <v>19</v>
      </c>
      <c r="U56" s="64">
        <v>20</v>
      </c>
    </row>
    <row r="57" spans="1:21" ht="13" x14ac:dyDescent="0.35">
      <c r="A57" s="82" t="s">
        <v>2</v>
      </c>
      <c r="B57" s="8" t="str">
        <f>C8</f>
        <v>Nant Y Croi 9</v>
      </c>
      <c r="C57" s="8" t="str">
        <f t="shared" ref="C57:U57" si="13">D8</f>
        <v>Hafod 4315</v>
      </c>
      <c r="D57" s="8" t="str">
        <f t="shared" si="13"/>
        <v>Hafod 4734</v>
      </c>
      <c r="E57" s="8" t="str">
        <f t="shared" si="13"/>
        <v>Hafod 5761</v>
      </c>
      <c r="F57" s="8" t="str">
        <f t="shared" si="13"/>
        <v>Hafod 4067</v>
      </c>
      <c r="G57" s="8" t="str">
        <f t="shared" si="13"/>
        <v>Hafod 2455</v>
      </c>
      <c r="H57" s="8" t="str">
        <f t="shared" si="13"/>
        <v>Hafod 1741</v>
      </c>
      <c r="I57" s="8" t="str">
        <f t="shared" si="13"/>
        <v>Hafod 0720</v>
      </c>
      <c r="J57" s="8" t="str">
        <f t="shared" si="13"/>
        <v>Solafron 2893</v>
      </c>
      <c r="K57" s="8" t="str">
        <f t="shared" si="13"/>
        <v>Solafron 2611</v>
      </c>
      <c r="L57" s="8" t="str">
        <f t="shared" si="13"/>
        <v>Solafron 1404</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82" t="s">
        <v>136</v>
      </c>
      <c r="B58" s="10" t="str">
        <f>C16&amp;" I "&amp;(VLOOKUP(C14,Table24581112[],6,FALSE))</f>
        <v>Medium/Clay I Grass</v>
      </c>
      <c r="C58" s="10" t="str">
        <f>D16&amp;" I "&amp;(VLOOKUP(D14,Table24581112[],6,FALSE))</f>
        <v>Medium/Clay I Grass</v>
      </c>
      <c r="D58" s="10" t="str">
        <f>E16&amp;" I "&amp;(VLOOKUP(E14,Table24581112[],6,FALSE))</f>
        <v>Medium/Clay I Grass</v>
      </c>
      <c r="E58" s="10" t="str">
        <f>F16&amp;" I "&amp;(VLOOKUP(F14,Table24581112[],6,FALSE))</f>
        <v>Medium/Clay I Grass</v>
      </c>
      <c r="F58" s="10" t="str">
        <f>G16&amp;" I "&amp;(VLOOKUP(G14,Table24581112[],6,FALSE))</f>
        <v>Medium/Clay I Grass</v>
      </c>
      <c r="G58" s="10" t="str">
        <f>H16&amp;" I "&amp;(VLOOKUP(H14,Table24581112[],6,FALSE))</f>
        <v>Medium/Clay I Grass</v>
      </c>
      <c r="H58" s="10" t="str">
        <f>I16&amp;" I "&amp;(VLOOKUP(I14,Table24581112[],6,FALSE))</f>
        <v>Medium/Clay I Grass</v>
      </c>
      <c r="I58" s="10" t="str">
        <f>J16&amp;" I "&amp;(VLOOKUP(J14,Table24581112[],6,FALSE))</f>
        <v>Medium/Clay I Grass</v>
      </c>
      <c r="J58" s="10" t="str">
        <f>K16&amp;" I "&amp;(VLOOKUP(K14,Table24581112[],6,FALSE))</f>
        <v>Medium/Clay I Grass</v>
      </c>
      <c r="K58" s="10" t="str">
        <f>L16&amp;" I "&amp;(VLOOKUP(L14,Table24581112[],6,FALSE))</f>
        <v>Medium/Clay I Grass</v>
      </c>
      <c r="L58" s="10" t="str">
        <f>M16&amp;" I "&amp;(VLOOKUP(M14,Table24581112[],6,FALSE))</f>
        <v>Medium/Clay I Grass</v>
      </c>
      <c r="M58" s="10" t="e">
        <f>N16&amp;" I "&amp;(VLOOKUP(N14,Table24581112[],6,FALSE))</f>
        <v>#N/A</v>
      </c>
      <c r="N58" s="10" t="e">
        <f>O16&amp;" I "&amp;(VLOOKUP(O14,Table24581112[],6,FALSE))</f>
        <v>#N/A</v>
      </c>
      <c r="O58" s="10" t="e">
        <f>P16&amp;" I "&amp;(VLOOKUP(P14,Table24581112[],6,FALSE))</f>
        <v>#N/A</v>
      </c>
      <c r="P58" s="10" t="e">
        <f>Q16&amp;" I "&amp;(VLOOKUP(Q14,Table24581112[],6,FALSE))</f>
        <v>#N/A</v>
      </c>
      <c r="Q58" s="10" t="e">
        <f>R16&amp;" I "&amp;(VLOOKUP(R14,Table24581112[],6,FALSE))</f>
        <v>#N/A</v>
      </c>
      <c r="R58" s="10" t="e">
        <f>S16&amp;" I "&amp;(VLOOKUP(S14,Table24581112[],6,FALSE))</f>
        <v>#N/A</v>
      </c>
      <c r="S58" s="10" t="e">
        <f>T16&amp;" I "&amp;(VLOOKUP(T14,Table24581112[],6,FALSE))</f>
        <v>#N/A</v>
      </c>
      <c r="T58" s="10" t="e">
        <f>U16&amp;" I "&amp;(VLOOKUP(U14,Table24581112[],6,FALSE))</f>
        <v>#N/A</v>
      </c>
      <c r="U58" s="10" t="e">
        <f>V16&amp;" I "&amp;(VLOOKUP(V14,Table24581112[],6,FALSE))</f>
        <v>#N/A</v>
      </c>
    </row>
    <row r="59" spans="1:21" ht="13" x14ac:dyDescent="0.3">
      <c r="A59" s="100" t="s">
        <v>132</v>
      </c>
      <c r="B59" s="67">
        <f>VLOOKUP(C$14,Table24581112[],5,FALSE)</f>
        <v>6.2</v>
      </c>
      <c r="C59" s="67">
        <f>VLOOKUP(D$14,Table24581112[],5,FALSE)</f>
        <v>6.2</v>
      </c>
      <c r="D59" s="67">
        <f>VLOOKUP(E$14,Table24581112[],5,FALSE)</f>
        <v>6.2</v>
      </c>
      <c r="E59" s="67">
        <f>VLOOKUP(F$14,Table24581112[],5,FALSE)</f>
        <v>6.2</v>
      </c>
      <c r="F59" s="67">
        <f>VLOOKUP(G$14,Table24581112[],5,FALSE)</f>
        <v>6.2</v>
      </c>
      <c r="G59" s="67">
        <f>VLOOKUP(H$14,Table24581112[],5,FALSE)</f>
        <v>6.2</v>
      </c>
      <c r="H59" s="67">
        <f>VLOOKUP(I$14,Table24581112[],5,FALSE)</f>
        <v>6.2</v>
      </c>
      <c r="I59" s="67">
        <f>VLOOKUP(J$14,Table24581112[],5,FALSE)</f>
        <v>6.2</v>
      </c>
      <c r="J59" s="67">
        <f>VLOOKUP(K$14,Table24581112[],5,FALSE)</f>
        <v>6.2</v>
      </c>
      <c r="K59" s="67">
        <f>VLOOKUP(L$14,Table24581112[],5,FALSE)</f>
        <v>6.2</v>
      </c>
      <c r="L59" s="67">
        <f>VLOOKUP(M$14,Table24581112[],5,FALSE)</f>
        <v>6.2</v>
      </c>
      <c r="M59" s="67" t="e">
        <f>VLOOKUP(N$14,Table24581112[],5,FALSE)</f>
        <v>#N/A</v>
      </c>
      <c r="N59" s="67" t="e">
        <f>VLOOKUP(O$14,Table24581112[],5,FALSE)</f>
        <v>#N/A</v>
      </c>
      <c r="O59" s="67" t="e">
        <f>VLOOKUP(P$14,Table24581112[],5,FALSE)</f>
        <v>#N/A</v>
      </c>
      <c r="P59" s="67" t="e">
        <f>VLOOKUP(Q$14,Table24581112[],5,FALSE)</f>
        <v>#N/A</v>
      </c>
      <c r="Q59" s="67" t="e">
        <f>VLOOKUP(R$14,Table24581112[],5,FALSE)</f>
        <v>#N/A</v>
      </c>
      <c r="R59" s="67" t="e">
        <f>VLOOKUP(S$14,Table24581112[],5,FALSE)</f>
        <v>#N/A</v>
      </c>
      <c r="S59" s="67" t="e">
        <f>VLOOKUP(T$14,Table24581112[],5,FALSE)</f>
        <v>#N/A</v>
      </c>
      <c r="T59" s="67" t="e">
        <f>VLOOKUP(U$14,Table24581112[],5,FALSE)</f>
        <v>#N/A</v>
      </c>
      <c r="U59" s="67" t="e">
        <f>VLOOKUP(V$14,Table24581112[],5,FALSE)</f>
        <v>#N/A</v>
      </c>
    </row>
    <row r="60" spans="1:21" ht="13" x14ac:dyDescent="0.3">
      <c r="A60" s="100" t="s">
        <v>4</v>
      </c>
      <c r="B60" s="67">
        <f>C10</f>
        <v>5.4</v>
      </c>
      <c r="C60" s="67">
        <f t="shared" ref="C60:U60" si="14">D10</f>
        <v>6.3</v>
      </c>
      <c r="D60" s="67">
        <f t="shared" si="14"/>
        <v>6.3</v>
      </c>
      <c r="E60" s="67">
        <f t="shared" si="14"/>
        <v>6.2</v>
      </c>
      <c r="F60" s="67">
        <f t="shared" si="14"/>
        <v>6.2</v>
      </c>
      <c r="G60" s="67">
        <f t="shared" si="14"/>
        <v>6.3</v>
      </c>
      <c r="H60" s="67">
        <f t="shared" si="14"/>
        <v>6.3</v>
      </c>
      <c r="I60" s="67">
        <f t="shared" si="14"/>
        <v>6.2</v>
      </c>
      <c r="J60" s="67">
        <f t="shared" si="14"/>
        <v>6.3</v>
      </c>
      <c r="K60" s="67">
        <f t="shared" si="14"/>
        <v>6.3</v>
      </c>
      <c r="L60" s="67">
        <f t="shared" si="14"/>
        <v>6.3</v>
      </c>
      <c r="M60" s="67">
        <f t="shared" si="14"/>
        <v>0</v>
      </c>
      <c r="N60" s="67">
        <f t="shared" si="14"/>
        <v>0</v>
      </c>
      <c r="O60" s="67">
        <f t="shared" si="14"/>
        <v>0</v>
      </c>
      <c r="P60" s="67">
        <f t="shared" si="14"/>
        <v>0</v>
      </c>
      <c r="Q60" s="67">
        <f t="shared" si="14"/>
        <v>0</v>
      </c>
      <c r="R60" s="67">
        <f t="shared" si="14"/>
        <v>0</v>
      </c>
      <c r="S60" s="67">
        <f t="shared" si="14"/>
        <v>0</v>
      </c>
      <c r="T60" s="67">
        <f t="shared" si="14"/>
        <v>0</v>
      </c>
      <c r="U60" s="67">
        <f t="shared" si="14"/>
        <v>0</v>
      </c>
    </row>
    <row r="61" spans="1:21" ht="13" x14ac:dyDescent="0.3">
      <c r="A61" s="100" t="s">
        <v>133</v>
      </c>
      <c r="B61" s="67">
        <f t="shared" ref="B61:U61" si="15">VLOOKUP(B58,$AD9:$AE18,2,FALSE)</f>
        <v>6</v>
      </c>
      <c r="C61" s="67">
        <f t="shared" si="15"/>
        <v>6</v>
      </c>
      <c r="D61" s="67">
        <f t="shared" si="15"/>
        <v>6</v>
      </c>
      <c r="E61" s="67">
        <f t="shared" si="15"/>
        <v>6</v>
      </c>
      <c r="F61" s="67">
        <f t="shared" si="15"/>
        <v>6</v>
      </c>
      <c r="G61" s="67">
        <f t="shared" si="15"/>
        <v>6</v>
      </c>
      <c r="H61" s="67">
        <f t="shared" si="15"/>
        <v>6</v>
      </c>
      <c r="I61" s="67">
        <f t="shared" si="15"/>
        <v>6</v>
      </c>
      <c r="J61" s="67">
        <f t="shared" si="15"/>
        <v>6</v>
      </c>
      <c r="K61" s="67">
        <f t="shared" si="15"/>
        <v>6</v>
      </c>
      <c r="L61" s="67">
        <f t="shared" si="15"/>
        <v>6</v>
      </c>
      <c r="M61" s="67" t="e">
        <f t="shared" si="15"/>
        <v>#N/A</v>
      </c>
      <c r="N61" s="67" t="e">
        <f t="shared" si="15"/>
        <v>#N/A</v>
      </c>
      <c r="O61" s="67" t="e">
        <f t="shared" si="15"/>
        <v>#N/A</v>
      </c>
      <c r="P61" s="67" t="e">
        <f t="shared" si="15"/>
        <v>#N/A</v>
      </c>
      <c r="Q61" s="67" t="e">
        <f t="shared" si="15"/>
        <v>#N/A</v>
      </c>
      <c r="R61" s="67" t="e">
        <f t="shared" si="15"/>
        <v>#N/A</v>
      </c>
      <c r="S61" s="67" t="e">
        <f t="shared" si="15"/>
        <v>#N/A</v>
      </c>
      <c r="T61" s="67" t="e">
        <f t="shared" si="15"/>
        <v>#N/A</v>
      </c>
      <c r="U61" s="67" t="e">
        <f t="shared" si="15"/>
        <v>#N/A</v>
      </c>
    </row>
    <row r="62" spans="1:21" ht="13" x14ac:dyDescent="0.3">
      <c r="A62" s="100" t="s">
        <v>134</v>
      </c>
      <c r="B62" s="68">
        <f>B31</f>
        <v>100</v>
      </c>
      <c r="C62" s="68">
        <f>B32</f>
        <v>100</v>
      </c>
      <c r="D62" s="68">
        <f>B33</f>
        <v>100</v>
      </c>
      <c r="E62" s="68">
        <f>B34</f>
        <v>100</v>
      </c>
      <c r="F62" s="68">
        <f>B35</f>
        <v>100</v>
      </c>
      <c r="G62" s="68">
        <f>B36</f>
        <v>100</v>
      </c>
      <c r="H62" s="68">
        <f>B37</f>
        <v>100</v>
      </c>
      <c r="I62" s="68">
        <f>B38</f>
        <v>100</v>
      </c>
      <c r="J62" s="68">
        <f>B39</f>
        <v>100</v>
      </c>
      <c r="K62" s="68">
        <f>B40</f>
        <v>100</v>
      </c>
      <c r="L62" s="68">
        <f>B41</f>
        <v>100</v>
      </c>
      <c r="M62" s="68">
        <f>B42</f>
        <v>0</v>
      </c>
      <c r="N62" s="68">
        <f>B43</f>
        <v>0</v>
      </c>
      <c r="O62" s="68">
        <f>B44</f>
        <v>0</v>
      </c>
      <c r="P62" s="68">
        <f>B45</f>
        <v>0</v>
      </c>
      <c r="Q62" s="68">
        <f>B46</f>
        <v>0</v>
      </c>
      <c r="R62" s="68">
        <f>B47</f>
        <v>0</v>
      </c>
      <c r="S62" s="68">
        <f>B48</f>
        <v>0</v>
      </c>
      <c r="T62" s="68">
        <f>B49</f>
        <v>0</v>
      </c>
      <c r="U62" s="68">
        <f>B50</f>
        <v>0</v>
      </c>
    </row>
    <row r="63" spans="1:21" ht="39" x14ac:dyDescent="0.3">
      <c r="A63" s="101" t="s">
        <v>155</v>
      </c>
      <c r="B63" s="68">
        <f>$E55*(B62/100)</f>
        <v>0</v>
      </c>
      <c r="C63" s="68">
        <f t="shared" ref="C63:U63" si="16">$E55*(C62/100)</f>
        <v>0</v>
      </c>
      <c r="D63" s="68">
        <f t="shared" si="16"/>
        <v>0</v>
      </c>
      <c r="E63" s="68">
        <f t="shared" si="16"/>
        <v>0</v>
      </c>
      <c r="F63" s="68">
        <f>$E55*(F62/100)</f>
        <v>0</v>
      </c>
      <c r="G63" s="68">
        <f t="shared" si="16"/>
        <v>0</v>
      </c>
      <c r="H63" s="68">
        <f t="shared" si="16"/>
        <v>0</v>
      </c>
      <c r="I63" s="68">
        <f t="shared" si="16"/>
        <v>0</v>
      </c>
      <c r="J63" s="68">
        <f t="shared" si="16"/>
        <v>0</v>
      </c>
      <c r="K63" s="68">
        <f t="shared" si="16"/>
        <v>0</v>
      </c>
      <c r="L63" s="68">
        <f t="shared" si="16"/>
        <v>0</v>
      </c>
      <c r="M63" s="68">
        <f t="shared" si="16"/>
        <v>0</v>
      </c>
      <c r="N63" s="68">
        <f t="shared" si="16"/>
        <v>0</v>
      </c>
      <c r="O63" s="68">
        <f t="shared" si="16"/>
        <v>0</v>
      </c>
      <c r="P63" s="68">
        <f t="shared" si="16"/>
        <v>0</v>
      </c>
      <c r="Q63" s="68">
        <f t="shared" si="16"/>
        <v>0</v>
      </c>
      <c r="R63" s="68">
        <f t="shared" si="16"/>
        <v>0</v>
      </c>
      <c r="S63" s="68">
        <f t="shared" si="16"/>
        <v>0</v>
      </c>
      <c r="T63" s="68">
        <f t="shared" si="16"/>
        <v>0</v>
      </c>
      <c r="U63" s="68">
        <f t="shared" si="16"/>
        <v>0</v>
      </c>
    </row>
    <row r="64" spans="1:21" ht="52" x14ac:dyDescent="0.3">
      <c r="A64" s="101" t="s">
        <v>156</v>
      </c>
      <c r="B64" s="68">
        <f>(B59-B60)*B61</f>
        <v>4.7999999999999989</v>
      </c>
      <c r="C64" s="68">
        <f t="shared" ref="C64:U64" si="17">(C59-C60)*C61</f>
        <v>-0.59999999999999787</v>
      </c>
      <c r="D64" s="68">
        <f t="shared" si="17"/>
        <v>-0.59999999999999787</v>
      </c>
      <c r="E64" s="68">
        <f t="shared" si="17"/>
        <v>0</v>
      </c>
      <c r="F64" s="68">
        <f t="shared" si="17"/>
        <v>0</v>
      </c>
      <c r="G64" s="68">
        <f t="shared" si="17"/>
        <v>-0.59999999999999787</v>
      </c>
      <c r="H64" s="68">
        <f t="shared" si="17"/>
        <v>-0.59999999999999787</v>
      </c>
      <c r="I64" s="68">
        <f t="shared" si="17"/>
        <v>0</v>
      </c>
      <c r="J64" s="68">
        <f t="shared" si="17"/>
        <v>-0.59999999999999787</v>
      </c>
      <c r="K64" s="68">
        <f t="shared" si="17"/>
        <v>-0.59999999999999787</v>
      </c>
      <c r="L64" s="68">
        <f t="shared" si="17"/>
        <v>-0.59999999999999787</v>
      </c>
      <c r="M64" s="68" t="e">
        <f t="shared" si="17"/>
        <v>#N/A</v>
      </c>
      <c r="N64" s="68" t="e">
        <f t="shared" si="17"/>
        <v>#N/A</v>
      </c>
      <c r="O64" s="68" t="e">
        <f t="shared" si="17"/>
        <v>#N/A</v>
      </c>
      <c r="P64" s="68" t="e">
        <f t="shared" si="17"/>
        <v>#N/A</v>
      </c>
      <c r="Q64" s="68" t="e">
        <f t="shared" si="17"/>
        <v>#N/A</v>
      </c>
      <c r="R64" s="68" t="e">
        <f t="shared" si="17"/>
        <v>#N/A</v>
      </c>
      <c r="S64" s="68" t="e">
        <f t="shared" si="17"/>
        <v>#N/A</v>
      </c>
      <c r="T64" s="68" t="e">
        <f t="shared" si="17"/>
        <v>#N/A</v>
      </c>
      <c r="U64" s="68" t="e">
        <f t="shared" si="17"/>
        <v>#N/A</v>
      </c>
    </row>
    <row r="65" spans="1:21" ht="52" x14ac:dyDescent="0.3">
      <c r="A65" s="101" t="s">
        <v>157</v>
      </c>
      <c r="B65" s="68">
        <f>B63-B64</f>
        <v>-4.7999999999999989</v>
      </c>
      <c r="C65" s="68">
        <f t="shared" ref="C65:U65" si="18">C63-C64</f>
        <v>0.59999999999999787</v>
      </c>
      <c r="D65" s="68">
        <f t="shared" si="18"/>
        <v>0.59999999999999787</v>
      </c>
      <c r="E65" s="68">
        <f t="shared" si="18"/>
        <v>0</v>
      </c>
      <c r="F65" s="68">
        <f t="shared" si="18"/>
        <v>0</v>
      </c>
      <c r="G65" s="68">
        <f t="shared" si="18"/>
        <v>0.59999999999999787</v>
      </c>
      <c r="H65" s="68">
        <f t="shared" si="18"/>
        <v>0.59999999999999787</v>
      </c>
      <c r="I65" s="68">
        <f t="shared" si="18"/>
        <v>0</v>
      </c>
      <c r="J65" s="68">
        <f t="shared" si="18"/>
        <v>0.59999999999999787</v>
      </c>
      <c r="K65" s="68">
        <f t="shared" si="18"/>
        <v>0.59999999999999787</v>
      </c>
      <c r="L65" s="68">
        <f t="shared" si="18"/>
        <v>0.59999999999999787</v>
      </c>
      <c r="M65" s="68" t="e">
        <f t="shared" si="18"/>
        <v>#N/A</v>
      </c>
      <c r="N65" s="68" t="e">
        <f t="shared" si="18"/>
        <v>#N/A</v>
      </c>
      <c r="O65" s="68" t="e">
        <f t="shared" si="18"/>
        <v>#N/A</v>
      </c>
      <c r="P65" s="68" t="e">
        <f t="shared" si="18"/>
        <v>#N/A</v>
      </c>
      <c r="Q65" s="68" t="e">
        <f t="shared" si="18"/>
        <v>#N/A</v>
      </c>
      <c r="R65" s="68" t="e">
        <f t="shared" si="18"/>
        <v>#N/A</v>
      </c>
      <c r="S65" s="68" t="e">
        <f t="shared" si="18"/>
        <v>#N/A</v>
      </c>
      <c r="T65" s="68" t="e">
        <f t="shared" si="18"/>
        <v>#N/A</v>
      </c>
      <c r="U65" s="68" t="e">
        <f t="shared" si="18"/>
        <v>#N/A</v>
      </c>
    </row>
    <row r="66" spans="1:21" ht="26" x14ac:dyDescent="0.3">
      <c r="A66" s="101" t="s">
        <v>148</v>
      </c>
      <c r="B66" s="69" t="str">
        <f>IF(B64&lt;=B63,"OVER","UNDER")</f>
        <v>UNDER</v>
      </c>
      <c r="C66" s="69" t="str">
        <f t="shared" ref="C66:U66" si="19">IF(C64&lt;=C63,"OVER","UNDER")</f>
        <v>OVER</v>
      </c>
      <c r="D66" s="69" t="str">
        <f t="shared" si="19"/>
        <v>OVER</v>
      </c>
      <c r="E66" s="69" t="str">
        <f t="shared" si="19"/>
        <v>OVER</v>
      </c>
      <c r="F66" s="69" t="str">
        <f t="shared" si="19"/>
        <v>OVER</v>
      </c>
      <c r="G66" s="69" t="str">
        <f t="shared" si="19"/>
        <v>OVER</v>
      </c>
      <c r="H66" s="69" t="str">
        <f t="shared" si="19"/>
        <v>OVER</v>
      </c>
      <c r="I66" s="69" t="str">
        <f t="shared" si="19"/>
        <v>OVER</v>
      </c>
      <c r="J66" s="69" t="str">
        <f t="shared" si="19"/>
        <v>OVER</v>
      </c>
      <c r="K66" s="69" t="str">
        <f t="shared" si="19"/>
        <v>OVER</v>
      </c>
      <c r="L66" s="69" t="str">
        <f t="shared" si="19"/>
        <v>OVER</v>
      </c>
      <c r="M66" s="69" t="e">
        <f t="shared" si="19"/>
        <v>#N/A</v>
      </c>
      <c r="N66" s="69" t="e">
        <f t="shared" si="19"/>
        <v>#N/A</v>
      </c>
      <c r="O66" s="69" t="e">
        <f t="shared" si="19"/>
        <v>#N/A</v>
      </c>
      <c r="P66" s="69" t="e">
        <f t="shared" si="19"/>
        <v>#N/A</v>
      </c>
      <c r="Q66" s="69" t="e">
        <f t="shared" si="19"/>
        <v>#N/A</v>
      </c>
      <c r="R66" s="69" t="e">
        <f t="shared" si="19"/>
        <v>#N/A</v>
      </c>
      <c r="S66" s="69" t="e">
        <f t="shared" si="19"/>
        <v>#N/A</v>
      </c>
      <c r="T66" s="69" t="e">
        <f t="shared" si="19"/>
        <v>#N/A</v>
      </c>
      <c r="U66" s="69" t="e">
        <f t="shared" si="19"/>
        <v>#N/A</v>
      </c>
    </row>
  </sheetData>
  <sheetProtection algorithmName="SHA-512" hashValue="S0wN++bb//5c22akgZqDoYc3nLbFSwofVW4PoumfyNl+ZYUyfdhz9oZA4VL4/0K1HNte7W0e2T5OJT5fKOGQ+w==" saltValue="SlixrScU6P7KX2bHf+BVc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167" priority="36" operator="greaterThan">
      <formula>$B$51</formula>
    </cfRule>
  </conditionalFormatting>
  <conditionalFormatting sqref="B66:U66">
    <cfRule type="cellIs" dxfId="166" priority="11" operator="equal">
      <formula>"UNDER"</formula>
    </cfRule>
    <cfRule type="cellIs" dxfId="165" priority="12" operator="equal">
      <formula>"OVER"</formula>
    </cfRule>
  </conditionalFormatting>
  <conditionalFormatting sqref="C31:C50">
    <cfRule type="cellIs" dxfId="164" priority="35" operator="greaterThan">
      <formula>$C$51</formula>
    </cfRule>
  </conditionalFormatting>
  <conditionalFormatting sqref="C17:V19">
    <cfRule type="cellIs" dxfId="163" priority="32" operator="equal">
      <formula>0</formula>
    </cfRule>
  </conditionalFormatting>
  <conditionalFormatting sqref="C20:V21">
    <cfRule type="cellIs" dxfId="162" priority="37" operator="equal">
      <formula>"DECREASE"</formula>
    </cfRule>
    <cfRule type="cellIs" dxfId="161" priority="38" operator="equal">
      <formula>"INCREASE"</formula>
    </cfRule>
  </conditionalFormatting>
  <conditionalFormatting sqref="C21:V21">
    <cfRule type="cellIs" dxfId="160" priority="13" operator="equal">
      <formula>0</formula>
    </cfRule>
  </conditionalFormatting>
  <conditionalFormatting sqref="C22:V23">
    <cfRule type="cellIs" dxfId="159" priority="17" operator="equal">
      <formula>0</formula>
    </cfRule>
  </conditionalFormatting>
  <conditionalFormatting sqref="C24:V24">
    <cfRule type="cellIs" dxfId="158" priority="18" operator="equal">
      <formula>"DECREASE"</formula>
    </cfRule>
    <cfRule type="cellIs" dxfId="157" priority="19" operator="equal">
      <formula>"INCREASE"</formula>
    </cfRule>
  </conditionalFormatting>
  <conditionalFormatting sqref="G31:G50">
    <cfRule type="cellIs" dxfId="156" priority="31" operator="greaterThan">
      <formula>$G$51</formula>
    </cfRule>
  </conditionalFormatting>
  <conditionalFormatting sqref="H31:H50">
    <cfRule type="cellIs" dxfId="155" priority="30" operator="greaterThan">
      <formula>$H$51</formula>
    </cfRule>
  </conditionalFormatting>
  <conditionalFormatting sqref="I1">
    <cfRule type="cellIs" dxfId="154" priority="3" operator="between">
      <formula>0.1</formula>
      <formula>5</formula>
    </cfRule>
  </conditionalFormatting>
  <conditionalFormatting sqref="I2">
    <cfRule type="cellIs" dxfId="153" priority="2" operator="greaterThan">
      <formula>5000.1</formula>
    </cfRule>
  </conditionalFormatting>
  <conditionalFormatting sqref="I3">
    <cfRule type="cellIs" dxfId="152" priority="1" operator="greaterThan">
      <formula>40000.01</formula>
    </cfRule>
  </conditionalFormatting>
  <conditionalFormatting sqref="I31:I50">
    <cfRule type="cellIs" dxfId="151" priority="29" operator="greaterThan">
      <formula>$I$51</formula>
    </cfRule>
  </conditionalFormatting>
  <conditionalFormatting sqref="J31:J50">
    <cfRule type="cellIs" dxfId="150" priority="8" operator="greaterThan">
      <formula>$J$51</formula>
    </cfRule>
  </conditionalFormatting>
  <conditionalFormatting sqref="K31:K50">
    <cfRule type="cellIs" dxfId="149" priority="28" operator="greaterThan">
      <formula>$K$51</formula>
    </cfRule>
  </conditionalFormatting>
  <conditionalFormatting sqref="L3">
    <cfRule type="cellIs" dxfId="148" priority="4" operator="lessThan">
      <formula>30</formula>
    </cfRule>
    <cfRule type="cellIs" dxfId="147" priority="5" operator="greaterThanOrEqual">
      <formula>30</formula>
    </cfRule>
  </conditionalFormatting>
  <conditionalFormatting sqref="L31:L50">
    <cfRule type="cellIs" dxfId="146" priority="27" operator="greaterThan">
      <formula>$L$51</formula>
    </cfRule>
  </conditionalFormatting>
  <conditionalFormatting sqref="M31:M50">
    <cfRule type="cellIs" dxfId="145" priority="26" operator="greaterThan">
      <formula>$M$51</formula>
    </cfRule>
  </conditionalFormatting>
  <conditionalFormatting sqref="P31:P50">
    <cfRule type="cellIs" dxfId="144" priority="25" operator="greaterThan">
      <formula>$P$51</formula>
    </cfRule>
  </conditionalFormatting>
  <conditionalFormatting sqref="R31:R50">
    <cfRule type="cellIs" dxfId="143" priority="24" operator="greaterThan">
      <formula>$R$51</formula>
    </cfRule>
  </conditionalFormatting>
  <conditionalFormatting sqref="S31:S50">
    <cfRule type="cellIs" dxfId="142" priority="23" operator="greaterThan">
      <formula>$S$51</formula>
    </cfRule>
  </conditionalFormatting>
  <conditionalFormatting sqref="T31:T50">
    <cfRule type="cellIs" dxfId="141" priority="22" operator="greaterThan">
      <formula>$T$51</formula>
    </cfRule>
  </conditionalFormatting>
  <conditionalFormatting sqref="U31:U50">
    <cfRule type="cellIs" dxfId="140" priority="21" operator="greaterThan">
      <formula>$U$51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zoomScale="90" zoomScaleNormal="90" workbookViewId="0">
      <selection activeCell="I2" sqref="I2"/>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42" width="0" style="9" hidden="1" customWidth="1"/>
    <col min="43" max="16384" width="13.1796875" style="9"/>
  </cols>
  <sheetData>
    <row r="1" spans="1:41" ht="13" x14ac:dyDescent="0.3">
      <c r="A1" s="106" t="s">
        <v>41</v>
      </c>
      <c r="B1" s="106"/>
      <c r="C1" s="127" t="str">
        <f>Newcastle!C1:D1</f>
        <v>PAN-026945</v>
      </c>
      <c r="D1" s="128"/>
      <c r="E1" s="83" t="s">
        <v>45</v>
      </c>
      <c r="F1" s="32">
        <f>Newcastle!F1</f>
        <v>47.3</v>
      </c>
      <c r="G1" s="107" t="s">
        <v>43</v>
      </c>
      <c r="H1" s="108"/>
      <c r="I1" s="86">
        <v>6.3</v>
      </c>
      <c r="J1" s="106" t="s">
        <v>153</v>
      </c>
      <c r="K1" s="106"/>
      <c r="L1" s="86">
        <v>115</v>
      </c>
      <c r="AB1" s="14"/>
      <c r="AC1" s="14"/>
      <c r="AD1" s="23" t="s">
        <v>126</v>
      </c>
      <c r="AE1" s="14"/>
      <c r="AF1" s="14"/>
      <c r="AG1" s="14"/>
      <c r="AH1" s="14"/>
      <c r="AI1" s="33" t="s">
        <v>79</v>
      </c>
      <c r="AJ1" s="34" t="s">
        <v>94</v>
      </c>
      <c r="AK1" s="35" t="s">
        <v>95</v>
      </c>
      <c r="AL1" s="36" t="s">
        <v>125</v>
      </c>
      <c r="AM1" s="36" t="s">
        <v>131</v>
      </c>
      <c r="AN1" s="36" t="s">
        <v>111</v>
      </c>
    </row>
    <row r="2" spans="1:41" ht="12.75" customHeight="1" x14ac:dyDescent="0.3">
      <c r="A2" s="106" t="s">
        <v>87</v>
      </c>
      <c r="B2" s="106"/>
      <c r="C2" s="129" t="str">
        <f>Newcastle!C2:D2</f>
        <v>EPR/AB3891CX</v>
      </c>
      <c r="D2" s="130"/>
      <c r="E2" s="83" t="s">
        <v>109</v>
      </c>
      <c r="F2" s="86" t="s">
        <v>182</v>
      </c>
      <c r="G2" s="125" t="s">
        <v>110</v>
      </c>
      <c r="H2" s="126"/>
      <c r="I2" s="86"/>
      <c r="J2" s="106" t="s">
        <v>158</v>
      </c>
      <c r="K2" s="106"/>
      <c r="L2" s="86">
        <v>1.71</v>
      </c>
      <c r="AB2" s="23" t="s">
        <v>56</v>
      </c>
      <c r="AC2" s="14"/>
      <c r="AD2" s="23" t="s">
        <v>70</v>
      </c>
      <c r="AE2" s="14"/>
      <c r="AF2" s="14"/>
      <c r="AG2" s="37" t="s">
        <v>76</v>
      </c>
      <c r="AH2" s="14"/>
      <c r="AI2" s="38" t="s">
        <v>126</v>
      </c>
      <c r="AJ2" s="39">
        <v>0</v>
      </c>
      <c r="AK2" s="40">
        <v>0</v>
      </c>
      <c r="AL2" s="7">
        <v>0</v>
      </c>
      <c r="AM2" s="9">
        <v>0</v>
      </c>
      <c r="AN2" s="9">
        <v>0</v>
      </c>
    </row>
    <row r="3" spans="1:41" ht="13" x14ac:dyDescent="0.25">
      <c r="A3" s="107" t="s">
        <v>42</v>
      </c>
      <c r="B3" s="108"/>
      <c r="C3" s="129" t="str">
        <f>Newcastle!C3:D3</f>
        <v xml:space="preserve">Mr Daniel James and Mrs Carys James </v>
      </c>
      <c r="D3" s="130"/>
      <c r="E3" s="83" t="s">
        <v>108</v>
      </c>
      <c r="F3" s="24" t="s">
        <v>78</v>
      </c>
      <c r="G3" s="106" t="s">
        <v>159</v>
      </c>
      <c r="H3" s="106"/>
      <c r="I3" s="86"/>
      <c r="J3" s="107" t="s">
        <v>154</v>
      </c>
      <c r="K3" s="108"/>
      <c r="L3" s="86">
        <f>(L1/(L2*10000))*100</f>
        <v>0.67251461988304095</v>
      </c>
      <c r="AB3" s="23" t="s">
        <v>57</v>
      </c>
      <c r="AC3" s="14"/>
      <c r="AD3" s="23" t="s">
        <v>71</v>
      </c>
      <c r="AE3" s="14"/>
      <c r="AF3" s="14"/>
      <c r="AG3" s="37" t="s">
        <v>77</v>
      </c>
      <c r="AH3" s="14"/>
      <c r="AI3" s="41" t="s">
        <v>113</v>
      </c>
      <c r="AJ3" s="42">
        <v>1.7</v>
      </c>
      <c r="AK3" s="43">
        <v>6</v>
      </c>
      <c r="AL3" s="44">
        <v>1</v>
      </c>
      <c r="AM3" s="9">
        <v>6.2</v>
      </c>
      <c r="AN3" s="9" t="s">
        <v>112</v>
      </c>
    </row>
    <row r="4" spans="1:41" ht="13" x14ac:dyDescent="0.25">
      <c r="A4" s="106" t="s">
        <v>0</v>
      </c>
      <c r="B4" s="106"/>
      <c r="C4" s="127" t="str">
        <f>Newcastle!C4:D4</f>
        <v>Hafod Fram, Ferwig, Cardigan, Ceredigion, SA43 1PU</v>
      </c>
      <c r="D4" s="128"/>
      <c r="E4" s="84" t="s">
        <v>1</v>
      </c>
      <c r="F4" s="86" t="s">
        <v>183</v>
      </c>
      <c r="G4" s="107"/>
      <c r="H4" s="108"/>
      <c r="I4" s="32"/>
      <c r="J4" s="107"/>
      <c r="K4" s="108"/>
      <c r="L4" s="86"/>
      <c r="AB4" s="23" t="s">
        <v>52</v>
      </c>
      <c r="AC4" s="14"/>
      <c r="AD4" s="45" t="s">
        <v>72</v>
      </c>
      <c r="AE4" s="14"/>
      <c r="AF4" s="14"/>
      <c r="AG4" s="37" t="s">
        <v>78</v>
      </c>
      <c r="AH4" s="14"/>
      <c r="AI4" s="46" t="s">
        <v>124</v>
      </c>
      <c r="AJ4" s="47">
        <v>7</v>
      </c>
      <c r="AK4" s="48">
        <v>10.5</v>
      </c>
      <c r="AL4" s="9">
        <v>2</v>
      </c>
      <c r="AM4" s="9">
        <v>6.7</v>
      </c>
      <c r="AN4" s="9" t="s">
        <v>135</v>
      </c>
    </row>
    <row r="5" spans="1:41" ht="13" x14ac:dyDescent="0.25">
      <c r="A5" s="106" t="s">
        <v>47</v>
      </c>
      <c r="B5" s="106"/>
      <c r="C5" s="127" t="str">
        <f>Newcastle!C5:D5</f>
        <v>Megan Tucker</v>
      </c>
      <c r="D5" s="128"/>
      <c r="E5" s="83"/>
      <c r="F5" s="32"/>
      <c r="G5" s="107"/>
      <c r="H5" s="108"/>
      <c r="I5" s="32"/>
      <c r="J5" s="107"/>
      <c r="K5" s="108"/>
      <c r="L5" s="86"/>
      <c r="AB5" s="23" t="s">
        <v>53</v>
      </c>
      <c r="AC5" s="14"/>
      <c r="AD5" s="45" t="s">
        <v>73</v>
      </c>
      <c r="AE5" s="14"/>
      <c r="AF5" s="14"/>
      <c r="AG5" s="37" t="s">
        <v>104</v>
      </c>
      <c r="AH5" s="14"/>
      <c r="AI5" s="46" t="s">
        <v>123</v>
      </c>
      <c r="AJ5" s="47">
        <v>6.5</v>
      </c>
      <c r="AK5" s="48">
        <v>5.5</v>
      </c>
      <c r="AL5" s="9">
        <v>3</v>
      </c>
      <c r="AM5" s="9">
        <v>6.7</v>
      </c>
      <c r="AN5" s="9" t="s">
        <v>135</v>
      </c>
    </row>
    <row r="6" spans="1:41" x14ac:dyDescent="0.25">
      <c r="A6" s="49"/>
      <c r="B6" s="49"/>
      <c r="F6" s="50"/>
      <c r="G6" s="50"/>
      <c r="H6" s="51"/>
      <c r="I6" s="51"/>
      <c r="J6" s="51"/>
      <c r="AB6" s="23" t="s">
        <v>54</v>
      </c>
      <c r="AC6" s="14"/>
      <c r="AD6" s="45" t="s">
        <v>74</v>
      </c>
      <c r="AE6" s="14"/>
      <c r="AF6" s="14"/>
      <c r="AG6" s="14"/>
      <c r="AH6" s="14"/>
      <c r="AI6" s="46" t="s">
        <v>68</v>
      </c>
      <c r="AJ6" s="47">
        <v>8.5</v>
      </c>
      <c r="AK6" s="48">
        <v>12</v>
      </c>
      <c r="AL6" s="9">
        <v>4</v>
      </c>
      <c r="AM6" s="9">
        <v>6.7</v>
      </c>
      <c r="AN6" s="9" t="s">
        <v>135</v>
      </c>
    </row>
    <row r="7" spans="1:41" s="7" customFormat="1" ht="13" x14ac:dyDescent="0.25">
      <c r="A7" s="112" t="s">
        <v>63</v>
      </c>
      <c r="B7" s="112"/>
      <c r="C7" s="10">
        <v>1</v>
      </c>
      <c r="D7" s="10">
        <v>2</v>
      </c>
      <c r="E7" s="10">
        <v>3</v>
      </c>
      <c r="F7" s="10">
        <v>4</v>
      </c>
      <c r="G7" s="10">
        <v>5</v>
      </c>
      <c r="H7" s="10">
        <v>6</v>
      </c>
      <c r="I7" s="10">
        <v>7</v>
      </c>
      <c r="J7" s="10">
        <v>8</v>
      </c>
      <c r="K7" s="10">
        <v>9</v>
      </c>
      <c r="L7" s="10">
        <v>10</v>
      </c>
      <c r="M7" s="10">
        <v>11</v>
      </c>
      <c r="N7" s="10">
        <v>12</v>
      </c>
      <c r="O7" s="10">
        <v>13</v>
      </c>
      <c r="P7" s="10">
        <v>14</v>
      </c>
      <c r="Q7" s="10">
        <v>15</v>
      </c>
      <c r="R7" s="10">
        <v>16</v>
      </c>
      <c r="S7" s="10">
        <v>17</v>
      </c>
      <c r="T7" s="10">
        <v>18</v>
      </c>
      <c r="U7" s="10">
        <v>19</v>
      </c>
      <c r="V7" s="10">
        <v>20</v>
      </c>
      <c r="AB7" s="23" t="s">
        <v>55</v>
      </c>
      <c r="AC7" s="14"/>
      <c r="AD7" s="14"/>
      <c r="AE7" s="14"/>
      <c r="AF7" s="14"/>
      <c r="AG7" s="14"/>
      <c r="AH7" s="14"/>
      <c r="AI7" s="46" t="s">
        <v>96</v>
      </c>
      <c r="AJ7" s="47">
        <v>8.5</v>
      </c>
      <c r="AK7" s="48">
        <v>10.5</v>
      </c>
      <c r="AL7" s="9">
        <v>5</v>
      </c>
      <c r="AM7" s="7">
        <v>6.7</v>
      </c>
      <c r="AN7" s="9" t="s">
        <v>135</v>
      </c>
      <c r="AO7" s="88"/>
    </row>
    <row r="8" spans="1:41" ht="13" x14ac:dyDescent="0.25">
      <c r="A8" s="106" t="s">
        <v>2</v>
      </c>
      <c r="B8" s="106"/>
      <c r="C8" s="52" t="str">
        <f>Newcastle!C8</f>
        <v>Nant Y Croi 9</v>
      </c>
      <c r="D8" s="52" t="str">
        <f>Newcastle!D8</f>
        <v>Hafod 4315</v>
      </c>
      <c r="E8" s="52" t="str">
        <f>Newcastle!E8</f>
        <v>Hafod 4734</v>
      </c>
      <c r="F8" s="52" t="str">
        <f>Newcastle!F8</f>
        <v>Hafod 5761</v>
      </c>
      <c r="G8" s="52" t="str">
        <f>Newcastle!G8</f>
        <v>Hafod 4067</v>
      </c>
      <c r="H8" s="52" t="str">
        <f>Newcastle!H8</f>
        <v>Hafod 2455</v>
      </c>
      <c r="I8" s="52" t="str">
        <f>Newcastle!I8</f>
        <v>Hafod 1741</v>
      </c>
      <c r="J8" s="52" t="str">
        <f>Newcastle!J8</f>
        <v>Hafod 0720</v>
      </c>
      <c r="K8" s="52" t="str">
        <f>Newcastle!K8</f>
        <v>Solafron 2893</v>
      </c>
      <c r="L8" s="52" t="str">
        <f>Newcastle!L8</f>
        <v>Solafron 2611</v>
      </c>
      <c r="M8" s="52" t="str">
        <f>Newcastle!M8</f>
        <v>Solafron 1404</v>
      </c>
      <c r="N8" s="52">
        <f>Newcastle!N8</f>
        <v>0</v>
      </c>
      <c r="O8" s="52">
        <f>Newcastle!O8</f>
        <v>0</v>
      </c>
      <c r="P8" s="52">
        <f>Newcastle!P8</f>
        <v>0</v>
      </c>
      <c r="Q8" s="52">
        <f>Newcastle!Q8</f>
        <v>0</v>
      </c>
      <c r="R8" s="52">
        <f>Newcastle!R8</f>
        <v>0</v>
      </c>
      <c r="S8" s="52">
        <f>Newcastle!S8</f>
        <v>0</v>
      </c>
      <c r="T8" s="52">
        <f>Newcastle!T8</f>
        <v>0</v>
      </c>
      <c r="U8" s="52">
        <f>Newcastle!U8</f>
        <v>0</v>
      </c>
      <c r="V8" s="52">
        <f>Newcastle!V8</f>
        <v>0</v>
      </c>
      <c r="AB8" s="53"/>
      <c r="AC8" s="53"/>
      <c r="AD8" s="14"/>
      <c r="AE8" s="14" t="s">
        <v>139</v>
      </c>
      <c r="AF8" s="14"/>
      <c r="AG8" s="14"/>
      <c r="AH8" s="14"/>
      <c r="AI8" s="46" t="s">
        <v>105</v>
      </c>
      <c r="AJ8" s="54">
        <v>1.4</v>
      </c>
      <c r="AK8" s="48">
        <v>4.4000000000000004</v>
      </c>
      <c r="AL8" s="9">
        <v>6</v>
      </c>
      <c r="AM8" s="9">
        <v>6.7</v>
      </c>
      <c r="AN8" s="9" t="s">
        <v>135</v>
      </c>
      <c r="AO8" s="14"/>
    </row>
    <row r="9" spans="1:41" ht="13" x14ac:dyDescent="0.25">
      <c r="A9" s="106" t="s">
        <v>3</v>
      </c>
      <c r="B9" s="106"/>
      <c r="C9" s="52" t="str">
        <f>Newcastle!C9</f>
        <v xml:space="preserve">Moderate </v>
      </c>
      <c r="D9" s="52" t="str">
        <f>Newcastle!D9</f>
        <v xml:space="preserve">Moderate </v>
      </c>
      <c r="E9" s="52" t="str">
        <f>Newcastle!E9</f>
        <v xml:space="preserve">Moderate </v>
      </c>
      <c r="F9" s="52" t="str">
        <f>Newcastle!F9</f>
        <v xml:space="preserve">Moderate </v>
      </c>
      <c r="G9" s="52" t="str">
        <f>Newcastle!G9</f>
        <v xml:space="preserve">Moderate </v>
      </c>
      <c r="H9" s="52" t="str">
        <f>Newcastle!H9</f>
        <v xml:space="preserve">Moderate </v>
      </c>
      <c r="I9" s="52" t="str">
        <f>Newcastle!I9</f>
        <v xml:space="preserve">Moderate </v>
      </c>
      <c r="J9" s="52" t="str">
        <f>Newcastle!J9</f>
        <v xml:space="preserve">Moderate </v>
      </c>
      <c r="K9" s="52" t="str">
        <f>Newcastle!K9</f>
        <v xml:space="preserve">Moderate </v>
      </c>
      <c r="L9" s="52" t="str">
        <f>Newcastle!L9</f>
        <v xml:space="preserve">Moderate </v>
      </c>
      <c r="M9" s="52" t="str">
        <f>Newcastle!M9</f>
        <v xml:space="preserve">Moderate </v>
      </c>
      <c r="N9" s="52">
        <f>Newcastle!N9</f>
        <v>0</v>
      </c>
      <c r="O9" s="52">
        <f>Newcastle!O9</f>
        <v>0</v>
      </c>
      <c r="P9" s="52">
        <f>Newcastle!P9</f>
        <v>0</v>
      </c>
      <c r="Q9" s="52">
        <f>Newcastle!Q9</f>
        <v>0</v>
      </c>
      <c r="R9" s="52">
        <f>Newcastle!R9</f>
        <v>0</v>
      </c>
      <c r="S9" s="52">
        <f>Newcastle!S9</f>
        <v>0</v>
      </c>
      <c r="T9" s="52">
        <f>Newcastle!T9</f>
        <v>0</v>
      </c>
      <c r="U9" s="52">
        <f>Newcastle!U9</f>
        <v>0</v>
      </c>
      <c r="V9" s="52">
        <f>Newcastle!V9</f>
        <v>0</v>
      </c>
      <c r="AB9" s="14"/>
      <c r="AC9" s="14"/>
      <c r="AD9" s="23" t="s">
        <v>137</v>
      </c>
      <c r="AE9" s="23">
        <v>4.5</v>
      </c>
      <c r="AF9" s="14"/>
      <c r="AG9" s="14"/>
      <c r="AH9" s="14"/>
      <c r="AI9" s="55" t="s">
        <v>103</v>
      </c>
      <c r="AJ9" s="56">
        <v>0.7</v>
      </c>
      <c r="AK9" s="57">
        <v>4</v>
      </c>
      <c r="AL9" s="22">
        <v>7</v>
      </c>
      <c r="AM9" s="9">
        <v>6.7</v>
      </c>
      <c r="AN9" s="9" t="s">
        <v>135</v>
      </c>
      <c r="AO9" s="88"/>
    </row>
    <row r="10" spans="1:41" ht="13" x14ac:dyDescent="0.25">
      <c r="A10" s="106" t="s">
        <v>4</v>
      </c>
      <c r="B10" s="106"/>
      <c r="C10" s="52">
        <f>Newcastle!C10</f>
        <v>5.4</v>
      </c>
      <c r="D10" s="52">
        <f>Newcastle!D10</f>
        <v>6.3</v>
      </c>
      <c r="E10" s="52">
        <f>Newcastle!E10</f>
        <v>6.3</v>
      </c>
      <c r="F10" s="52">
        <f>Newcastle!F10</f>
        <v>6.2</v>
      </c>
      <c r="G10" s="52">
        <f>Newcastle!G10</f>
        <v>6.2</v>
      </c>
      <c r="H10" s="52">
        <f>Newcastle!H10</f>
        <v>6.3</v>
      </c>
      <c r="I10" s="52">
        <f>Newcastle!I10</f>
        <v>6.3</v>
      </c>
      <c r="J10" s="52">
        <f>Newcastle!J10</f>
        <v>6.2</v>
      </c>
      <c r="K10" s="52">
        <f>Newcastle!K10</f>
        <v>6.3</v>
      </c>
      <c r="L10" s="52">
        <f>Newcastle!L10</f>
        <v>6.3</v>
      </c>
      <c r="M10" s="52">
        <f>Newcastle!M10</f>
        <v>6.3</v>
      </c>
      <c r="N10" s="52">
        <f>Newcastle!N10</f>
        <v>0</v>
      </c>
      <c r="O10" s="52">
        <f>Newcastle!O10</f>
        <v>0</v>
      </c>
      <c r="P10" s="52">
        <f>Newcastle!P10</f>
        <v>0</v>
      </c>
      <c r="Q10" s="52">
        <f>Newcastle!Q10</f>
        <v>0</v>
      </c>
      <c r="R10" s="52">
        <f>Newcastle!R10</f>
        <v>0</v>
      </c>
      <c r="S10" s="52">
        <f>Newcastle!S10</f>
        <v>0</v>
      </c>
      <c r="T10" s="52">
        <f>Newcastle!T10</f>
        <v>0</v>
      </c>
      <c r="U10" s="52">
        <f>Newcastle!U10</f>
        <v>0</v>
      </c>
      <c r="V10" s="52">
        <f>Newcastle!V10</f>
        <v>0</v>
      </c>
      <c r="AB10" s="14"/>
      <c r="AC10" s="14"/>
      <c r="AD10" s="23" t="s">
        <v>140</v>
      </c>
      <c r="AE10" s="23">
        <v>5</v>
      </c>
      <c r="AF10" s="14"/>
      <c r="AG10" s="14"/>
      <c r="AH10" s="14"/>
      <c r="AI10" s="46" t="s">
        <v>97</v>
      </c>
      <c r="AJ10" s="47">
        <v>9</v>
      </c>
      <c r="AK10" s="48">
        <v>16.5</v>
      </c>
      <c r="AL10" s="9">
        <v>8</v>
      </c>
      <c r="AM10" s="9">
        <v>6.7</v>
      </c>
      <c r="AN10" s="9" t="s">
        <v>135</v>
      </c>
    </row>
    <row r="11" spans="1:41" ht="13" x14ac:dyDescent="0.25">
      <c r="A11" s="106" t="s">
        <v>5</v>
      </c>
      <c r="B11" s="106"/>
      <c r="C11" s="52">
        <f>Newcastle!C11</f>
        <v>2</v>
      </c>
      <c r="D11" s="52">
        <f>Newcastle!D11</f>
        <v>2</v>
      </c>
      <c r="E11" s="52">
        <f>Newcastle!E11</f>
        <v>2</v>
      </c>
      <c r="F11" s="52">
        <f>Newcastle!F11</f>
        <v>1</v>
      </c>
      <c r="G11" s="52">
        <f>Newcastle!G11</f>
        <v>2</v>
      </c>
      <c r="H11" s="52">
        <f>Newcastle!H11</f>
        <v>2</v>
      </c>
      <c r="I11" s="52">
        <f>Newcastle!I11</f>
        <v>2</v>
      </c>
      <c r="J11" s="52">
        <f>Newcastle!J11</f>
        <v>2</v>
      </c>
      <c r="K11" s="52">
        <f>Newcastle!K11</f>
        <v>2</v>
      </c>
      <c r="L11" s="52">
        <f>Newcastle!L11</f>
        <v>2</v>
      </c>
      <c r="M11" s="52">
        <f>Newcastle!M11</f>
        <v>2</v>
      </c>
      <c r="N11" s="52">
        <f>Newcastle!N11</f>
        <v>0</v>
      </c>
      <c r="O11" s="52">
        <f>Newcastle!O11</f>
        <v>0</v>
      </c>
      <c r="P11" s="52">
        <f>Newcastle!P11</f>
        <v>0</v>
      </c>
      <c r="Q11" s="52">
        <f>Newcastle!Q11</f>
        <v>0</v>
      </c>
      <c r="R11" s="52">
        <f>Newcastle!R11</f>
        <v>0</v>
      </c>
      <c r="S11" s="52">
        <f>Newcastle!S11</f>
        <v>0</v>
      </c>
      <c r="T11" s="52">
        <f>Newcastle!T11</f>
        <v>0</v>
      </c>
      <c r="U11" s="52">
        <f>Newcastle!U11</f>
        <v>0</v>
      </c>
      <c r="V11" s="52">
        <f>Newcastle!V11</f>
        <v>0</v>
      </c>
      <c r="AB11" s="14"/>
      <c r="AC11" s="14"/>
      <c r="AD11" s="45" t="s">
        <v>141</v>
      </c>
      <c r="AE11" s="23">
        <v>6</v>
      </c>
      <c r="AF11" s="14"/>
      <c r="AG11" s="14"/>
      <c r="AH11" s="14"/>
      <c r="AI11" s="46" t="s">
        <v>122</v>
      </c>
      <c r="AJ11" s="47">
        <v>15</v>
      </c>
      <c r="AK11" s="48">
        <v>17.5</v>
      </c>
      <c r="AL11" s="9">
        <v>9</v>
      </c>
      <c r="AM11" s="9">
        <v>7</v>
      </c>
      <c r="AN11" s="9" t="s">
        <v>135</v>
      </c>
    </row>
    <row r="12" spans="1:41" ht="13" x14ac:dyDescent="0.25">
      <c r="A12" s="106" t="s">
        <v>6</v>
      </c>
      <c r="B12" s="106"/>
      <c r="C12" s="52">
        <f>Newcastle!C12</f>
        <v>1</v>
      </c>
      <c r="D12" s="52">
        <f>Newcastle!D12</f>
        <v>2</v>
      </c>
      <c r="E12" s="52">
        <f>Newcastle!E12</f>
        <v>1</v>
      </c>
      <c r="F12" s="52">
        <f>Newcastle!F12</f>
        <v>2</v>
      </c>
      <c r="G12" s="52">
        <f>Newcastle!G12</f>
        <v>2</v>
      </c>
      <c r="H12" s="52">
        <f>Newcastle!H12</f>
        <v>1</v>
      </c>
      <c r="I12" s="52">
        <f>Newcastle!I12</f>
        <v>2</v>
      </c>
      <c r="J12" s="52">
        <f>Newcastle!J12</f>
        <v>1</v>
      </c>
      <c r="K12" s="52">
        <f>Newcastle!K12</f>
        <v>2</v>
      </c>
      <c r="L12" s="52">
        <f>Newcastle!L12</f>
        <v>2</v>
      </c>
      <c r="M12" s="52">
        <f>Newcastle!M12</f>
        <v>1</v>
      </c>
      <c r="N12" s="52">
        <f>Newcastle!N12</f>
        <v>0</v>
      </c>
      <c r="O12" s="52">
        <f>Newcastle!O12</f>
        <v>0</v>
      </c>
      <c r="P12" s="52">
        <f>Newcastle!P12</f>
        <v>0</v>
      </c>
      <c r="Q12" s="52">
        <f>Newcastle!Q12</f>
        <v>0</v>
      </c>
      <c r="R12" s="52">
        <f>Newcastle!R12</f>
        <v>0</v>
      </c>
      <c r="S12" s="52">
        <f>Newcastle!S12</f>
        <v>0</v>
      </c>
      <c r="T12" s="52">
        <f>Newcastle!T12</f>
        <v>0</v>
      </c>
      <c r="U12" s="52">
        <f>Newcastle!U12</f>
        <v>0</v>
      </c>
      <c r="V12" s="52">
        <f>Newcastle!V12</f>
        <v>0</v>
      </c>
      <c r="AB12" s="14"/>
      <c r="AC12" s="14"/>
      <c r="AD12" s="45" t="s">
        <v>142</v>
      </c>
      <c r="AE12" s="23">
        <v>7.5</v>
      </c>
      <c r="AF12" s="14"/>
      <c r="AG12" s="14"/>
      <c r="AH12" s="14"/>
      <c r="AI12" s="46" t="s">
        <v>121</v>
      </c>
      <c r="AJ12" s="47">
        <v>14</v>
      </c>
      <c r="AK12" s="48">
        <v>11</v>
      </c>
      <c r="AL12" s="9">
        <v>10</v>
      </c>
      <c r="AM12" s="9">
        <v>7</v>
      </c>
      <c r="AN12" s="9" t="s">
        <v>135</v>
      </c>
    </row>
    <row r="13" spans="1:41" ht="13" x14ac:dyDescent="0.25">
      <c r="A13" s="106" t="s">
        <v>7</v>
      </c>
      <c r="B13" s="106"/>
      <c r="C13" s="52">
        <f>Newcastle!C13</f>
        <v>3</v>
      </c>
      <c r="D13" s="52">
        <f>Newcastle!D13</f>
        <v>5</v>
      </c>
      <c r="E13" s="52">
        <f>Newcastle!E13</f>
        <v>5</v>
      </c>
      <c r="F13" s="52">
        <f>Newcastle!F13</f>
        <v>5</v>
      </c>
      <c r="G13" s="52">
        <f>Newcastle!G13</f>
        <v>5</v>
      </c>
      <c r="H13" s="52">
        <f>Newcastle!H13</f>
        <v>5</v>
      </c>
      <c r="I13" s="52">
        <f>Newcastle!I13</f>
        <v>5</v>
      </c>
      <c r="J13" s="52">
        <f>Newcastle!J13</f>
        <v>5</v>
      </c>
      <c r="K13" s="52">
        <f>Newcastle!K13</f>
        <v>5</v>
      </c>
      <c r="L13" s="52">
        <f>Newcastle!L13</f>
        <v>5</v>
      </c>
      <c r="M13" s="52">
        <f>Newcastle!M13</f>
        <v>5</v>
      </c>
      <c r="N13" s="52">
        <f>Newcastle!N13</f>
        <v>0</v>
      </c>
      <c r="O13" s="52">
        <f>Newcastle!O13</f>
        <v>0</v>
      </c>
      <c r="P13" s="52">
        <f>Newcastle!P13</f>
        <v>0</v>
      </c>
      <c r="Q13" s="52">
        <f>Newcastle!Q13</f>
        <v>0</v>
      </c>
      <c r="R13" s="52">
        <f>Newcastle!R13</f>
        <v>0</v>
      </c>
      <c r="S13" s="52">
        <f>Newcastle!S13</f>
        <v>0</v>
      </c>
      <c r="T13" s="52">
        <f>Newcastle!T13</f>
        <v>0</v>
      </c>
      <c r="U13" s="52">
        <f>Newcastle!U13</f>
        <v>0</v>
      </c>
      <c r="V13" s="52">
        <f>Newcastle!V13</f>
        <v>0</v>
      </c>
      <c r="AB13" s="14"/>
      <c r="AC13" s="14"/>
      <c r="AD13" s="45" t="s">
        <v>143</v>
      </c>
      <c r="AE13" s="23">
        <v>12</v>
      </c>
      <c r="AF13" s="14"/>
      <c r="AG13" s="14"/>
      <c r="AH13" s="14"/>
      <c r="AI13" s="46" t="s">
        <v>120</v>
      </c>
      <c r="AJ13" s="47">
        <v>1.9</v>
      </c>
      <c r="AK13" s="48">
        <v>7.5</v>
      </c>
      <c r="AL13" s="9">
        <v>11</v>
      </c>
      <c r="AM13" s="9">
        <v>6.7</v>
      </c>
      <c r="AN13" s="9" t="s">
        <v>135</v>
      </c>
    </row>
    <row r="14" spans="1:41" ht="13" x14ac:dyDescent="0.25">
      <c r="A14" s="118" t="s">
        <v>8</v>
      </c>
      <c r="B14" s="118"/>
      <c r="C14" s="91" t="str">
        <f>Newcastle!C14</f>
        <v xml:space="preserve">Grass Silage (25% DM) </v>
      </c>
      <c r="D14" s="91" t="str">
        <f>Newcastle!D14</f>
        <v xml:space="preserve">Grass Silage (25% DM) </v>
      </c>
      <c r="E14" s="91" t="str">
        <f>Newcastle!E14</f>
        <v xml:space="preserve">Grass Silage (25% DM) </v>
      </c>
      <c r="F14" s="91" t="str">
        <f>Newcastle!F14</f>
        <v xml:space="preserve">Grass Silage (25% DM) </v>
      </c>
      <c r="G14" s="91" t="str">
        <f>Newcastle!G14</f>
        <v xml:space="preserve">Grass Silage (25% DM) </v>
      </c>
      <c r="H14" s="91" t="str">
        <f>Newcastle!H14</f>
        <v xml:space="preserve">Grass Silage (25% DM) </v>
      </c>
      <c r="I14" s="91" t="str">
        <f>Newcastle!I14</f>
        <v xml:space="preserve">Grass Silage (25% DM) </v>
      </c>
      <c r="J14" s="91" t="str">
        <f>Newcastle!J14</f>
        <v xml:space="preserve">Grass Silage (25% DM) </v>
      </c>
      <c r="K14" s="91" t="str">
        <f>Newcastle!K14</f>
        <v xml:space="preserve">Grass Silage (25% DM) </v>
      </c>
      <c r="L14" s="91" t="str">
        <f>Newcastle!L14</f>
        <v xml:space="preserve">Grass Silage (25% DM) </v>
      </c>
      <c r="M14" s="91" t="str">
        <f>Newcastle!M14</f>
        <v xml:space="preserve">Grass Silage (25% DM) </v>
      </c>
      <c r="N14" s="91">
        <f>Newcastle!N14</f>
        <v>0</v>
      </c>
      <c r="O14" s="91">
        <f>Newcastle!O14</f>
        <v>0</v>
      </c>
      <c r="P14" s="91">
        <f>Newcastle!P14</f>
        <v>0</v>
      </c>
      <c r="Q14" s="91">
        <f>Newcastle!Q14</f>
        <v>0</v>
      </c>
      <c r="R14" s="91">
        <f>Newcastle!R14</f>
        <v>0</v>
      </c>
      <c r="S14" s="91">
        <f>Newcastle!S14</f>
        <v>0</v>
      </c>
      <c r="T14" s="91">
        <f>Newcastle!T14</f>
        <v>0</v>
      </c>
      <c r="U14" s="91">
        <f>Newcastle!U14</f>
        <v>0</v>
      </c>
      <c r="V14" s="91">
        <f>Newcastle!V14</f>
        <v>0</v>
      </c>
      <c r="AD14" s="23" t="s">
        <v>138</v>
      </c>
      <c r="AE14" s="23">
        <v>6</v>
      </c>
      <c r="AI14" s="46" t="s">
        <v>119</v>
      </c>
      <c r="AJ14" s="47">
        <v>0.8</v>
      </c>
      <c r="AK14" s="48">
        <v>1.7</v>
      </c>
      <c r="AL14" s="9">
        <v>12</v>
      </c>
      <c r="AM14" s="9">
        <v>6.7</v>
      </c>
      <c r="AN14" s="9" t="s">
        <v>135</v>
      </c>
    </row>
    <row r="15" spans="1:41" ht="13" x14ac:dyDescent="0.25">
      <c r="A15" s="117" t="s">
        <v>9</v>
      </c>
      <c r="B15" s="117"/>
      <c r="C15" s="52">
        <f>Newcastle!C15</f>
        <v>47</v>
      </c>
      <c r="D15" s="52">
        <f>Newcastle!D15</f>
        <v>47</v>
      </c>
      <c r="E15" s="52">
        <f>Newcastle!E15</f>
        <v>47</v>
      </c>
      <c r="F15" s="52">
        <f>Newcastle!F15</f>
        <v>47</v>
      </c>
      <c r="G15" s="52">
        <f>Newcastle!G15</f>
        <v>47</v>
      </c>
      <c r="H15" s="52">
        <f>Newcastle!H15</f>
        <v>47</v>
      </c>
      <c r="I15" s="52">
        <f>Newcastle!I15</f>
        <v>47</v>
      </c>
      <c r="J15" s="52">
        <f>Newcastle!J15</f>
        <v>47</v>
      </c>
      <c r="K15" s="52">
        <f>Newcastle!K15</f>
        <v>47</v>
      </c>
      <c r="L15" s="52">
        <f>Newcastle!L15</f>
        <v>47</v>
      </c>
      <c r="M15" s="52">
        <f>Newcastle!M15</f>
        <v>47</v>
      </c>
      <c r="N15" s="52">
        <f>Newcastle!N15</f>
        <v>0</v>
      </c>
      <c r="O15" s="52">
        <f>Newcastle!O15</f>
        <v>0</v>
      </c>
      <c r="P15" s="52">
        <f>Newcastle!P15</f>
        <v>0</v>
      </c>
      <c r="Q15" s="52">
        <f>Newcastle!Q15</f>
        <v>0</v>
      </c>
      <c r="R15" s="52">
        <f>Newcastle!R15</f>
        <v>0</v>
      </c>
      <c r="S15" s="52">
        <f>Newcastle!S15</f>
        <v>0</v>
      </c>
      <c r="T15" s="52">
        <f>Newcastle!T15</f>
        <v>0</v>
      </c>
      <c r="U15" s="52">
        <f>Newcastle!U15</f>
        <v>0</v>
      </c>
      <c r="V15" s="52">
        <f>Newcastle!V15</f>
        <v>0</v>
      </c>
      <c r="AD15" s="23" t="s">
        <v>144</v>
      </c>
      <c r="AE15" s="23">
        <v>7</v>
      </c>
      <c r="AI15" s="46" t="s">
        <v>101</v>
      </c>
      <c r="AJ15" s="54">
        <v>1.8</v>
      </c>
      <c r="AK15" s="48">
        <v>5.4</v>
      </c>
      <c r="AL15" s="9">
        <v>13</v>
      </c>
      <c r="AM15" s="9">
        <v>6.7</v>
      </c>
      <c r="AN15" s="9" t="s">
        <v>135</v>
      </c>
    </row>
    <row r="16" spans="1:41" ht="13.5" thickBot="1" x14ac:dyDescent="0.3">
      <c r="A16" s="119" t="s">
        <v>44</v>
      </c>
      <c r="B16" s="119"/>
      <c r="C16" s="92" t="str">
        <f>Newcastle!C16</f>
        <v>Medium/Clay</v>
      </c>
      <c r="D16" s="92" t="str">
        <f>Newcastle!D16</f>
        <v>Medium/Clay</v>
      </c>
      <c r="E16" s="92" t="str">
        <f>Newcastle!E16</f>
        <v>Medium/Clay</v>
      </c>
      <c r="F16" s="92" t="str">
        <f>Newcastle!F16</f>
        <v>Medium/Clay</v>
      </c>
      <c r="G16" s="92" t="str">
        <f>Newcastle!G16</f>
        <v>Medium/Clay</v>
      </c>
      <c r="H16" s="92" t="str">
        <f>Newcastle!H16</f>
        <v>Medium/Clay</v>
      </c>
      <c r="I16" s="92" t="str">
        <f>Newcastle!I16</f>
        <v>Medium/Clay</v>
      </c>
      <c r="J16" s="92" t="str">
        <f>Newcastle!J16</f>
        <v>Medium/Clay</v>
      </c>
      <c r="K16" s="92" t="str">
        <f>Newcastle!K16</f>
        <v>Medium/Clay</v>
      </c>
      <c r="L16" s="92" t="str">
        <f>Newcastle!L16</f>
        <v>Medium/Clay</v>
      </c>
      <c r="M16" s="92" t="str">
        <f>Newcastle!M16</f>
        <v>Medium/Clay</v>
      </c>
      <c r="N16" s="92">
        <f>Newcastle!N16</f>
        <v>0</v>
      </c>
      <c r="O16" s="92">
        <f>Newcastle!O16</f>
        <v>0</v>
      </c>
      <c r="P16" s="92">
        <f>Newcastle!P16</f>
        <v>0</v>
      </c>
      <c r="Q16" s="92">
        <f>Newcastle!Q16</f>
        <v>0</v>
      </c>
      <c r="R16" s="92">
        <f>Newcastle!R16</f>
        <v>0</v>
      </c>
      <c r="S16" s="92">
        <f>Newcastle!S16</f>
        <v>0</v>
      </c>
      <c r="T16" s="92">
        <f>Newcastle!T16</f>
        <v>0</v>
      </c>
      <c r="U16" s="92">
        <f>Newcastle!U16</f>
        <v>0</v>
      </c>
      <c r="V16" s="92">
        <f>Newcastle!V16</f>
        <v>0</v>
      </c>
      <c r="AD16" s="45" t="s">
        <v>145</v>
      </c>
      <c r="AE16" s="23">
        <v>8</v>
      </c>
      <c r="AI16" s="46" t="s">
        <v>118</v>
      </c>
      <c r="AJ16" s="47">
        <v>8</v>
      </c>
      <c r="AK16" s="48">
        <v>5.5</v>
      </c>
      <c r="AL16" s="7">
        <v>14</v>
      </c>
      <c r="AM16" s="9">
        <v>6.7</v>
      </c>
      <c r="AN16" s="9" t="s">
        <v>135</v>
      </c>
    </row>
    <row r="17" spans="1:40" ht="13" x14ac:dyDescent="0.25">
      <c r="A17" s="109" t="s">
        <v>69</v>
      </c>
      <c r="B17" s="110"/>
      <c r="C17" s="21">
        <f>(VLOOKUP(C$14,$AI2:$AK26,2,FALSE))*C$15</f>
        <v>79.899999999999991</v>
      </c>
      <c r="D17" s="21">
        <f t="shared" ref="D17:V17" si="0">(VLOOKUP(D$14,$AI2:$AK26,2,FALSE))*D$15</f>
        <v>79.899999999999991</v>
      </c>
      <c r="E17" s="21">
        <f t="shared" si="0"/>
        <v>79.899999999999991</v>
      </c>
      <c r="F17" s="21">
        <f t="shared" si="0"/>
        <v>79.899999999999991</v>
      </c>
      <c r="G17" s="21">
        <f t="shared" si="0"/>
        <v>79.899999999999991</v>
      </c>
      <c r="H17" s="21">
        <f t="shared" si="0"/>
        <v>79.899999999999991</v>
      </c>
      <c r="I17" s="21">
        <f t="shared" si="0"/>
        <v>79.899999999999991</v>
      </c>
      <c r="J17" s="21">
        <f t="shared" si="0"/>
        <v>79.899999999999991</v>
      </c>
      <c r="K17" s="21">
        <f t="shared" si="0"/>
        <v>79.899999999999991</v>
      </c>
      <c r="L17" s="21">
        <f t="shared" si="0"/>
        <v>79.899999999999991</v>
      </c>
      <c r="M17" s="21">
        <f t="shared" si="0"/>
        <v>79.899999999999991</v>
      </c>
      <c r="N17" s="21" t="e">
        <f t="shared" si="0"/>
        <v>#N/A</v>
      </c>
      <c r="O17" s="21" t="e">
        <f t="shared" si="0"/>
        <v>#N/A</v>
      </c>
      <c r="P17" s="21" t="e">
        <f t="shared" si="0"/>
        <v>#N/A</v>
      </c>
      <c r="Q17" s="21" t="e">
        <f t="shared" si="0"/>
        <v>#N/A</v>
      </c>
      <c r="R17" s="21" t="e">
        <f t="shared" si="0"/>
        <v>#N/A</v>
      </c>
      <c r="S17" s="21" t="e">
        <f t="shared" si="0"/>
        <v>#N/A</v>
      </c>
      <c r="T17" s="21" t="e">
        <f t="shared" si="0"/>
        <v>#N/A</v>
      </c>
      <c r="U17" s="21" t="e">
        <f t="shared" si="0"/>
        <v>#N/A</v>
      </c>
      <c r="V17" s="21" t="e">
        <f t="shared" si="0"/>
        <v>#N/A</v>
      </c>
      <c r="AD17" s="45" t="s">
        <v>146</v>
      </c>
      <c r="AE17" s="23">
        <v>10</v>
      </c>
      <c r="AI17" s="41" t="s">
        <v>115</v>
      </c>
      <c r="AJ17" s="42">
        <v>1.4</v>
      </c>
      <c r="AK17" s="43">
        <v>4.8</v>
      </c>
      <c r="AL17" s="44">
        <v>15</v>
      </c>
      <c r="AM17" s="9">
        <v>6.2</v>
      </c>
      <c r="AN17" s="9" t="s">
        <v>112</v>
      </c>
    </row>
    <row r="18" spans="1:40" ht="13" x14ac:dyDescent="0.25">
      <c r="A18" s="111" t="s">
        <v>23</v>
      </c>
      <c r="B18" s="112"/>
      <c r="C18" s="13">
        <f>$D31</f>
        <v>0</v>
      </c>
      <c r="D18" s="13">
        <f>$D32</f>
        <v>52.060684000000009</v>
      </c>
      <c r="E18" s="13">
        <f>$D33</f>
        <v>52.060684000000009</v>
      </c>
      <c r="F18" s="13">
        <f>$D34</f>
        <v>52.060684000000009</v>
      </c>
      <c r="G18" s="13">
        <f>$D35</f>
        <v>52.060684000000009</v>
      </c>
      <c r="H18" s="13">
        <f>$D36</f>
        <v>52.060684000000009</v>
      </c>
      <c r="I18" s="13">
        <f>$D37</f>
        <v>52.060684000000009</v>
      </c>
      <c r="J18" s="13">
        <f>$D38</f>
        <v>52.060684000000009</v>
      </c>
      <c r="K18" s="13">
        <f>$D39</f>
        <v>52.060684000000009</v>
      </c>
      <c r="L18" s="13">
        <f>$D40</f>
        <v>52.060684000000009</v>
      </c>
      <c r="M18" s="13">
        <f>$D41</f>
        <v>52.060684000000009</v>
      </c>
      <c r="N18" s="13">
        <f>$D42</f>
        <v>0</v>
      </c>
      <c r="O18" s="13">
        <f>$D43</f>
        <v>0</v>
      </c>
      <c r="P18" s="13">
        <f>$D44</f>
        <v>0</v>
      </c>
      <c r="Q18" s="13">
        <f>$D45</f>
        <v>0</v>
      </c>
      <c r="R18" s="13">
        <f>$D46</f>
        <v>0</v>
      </c>
      <c r="S18" s="13">
        <f>$D47</f>
        <v>0</v>
      </c>
      <c r="T18" s="13">
        <f>$D48</f>
        <v>0</v>
      </c>
      <c r="U18" s="13">
        <f>$D49</f>
        <v>0</v>
      </c>
      <c r="V18" s="18">
        <f>$D50</f>
        <v>0</v>
      </c>
      <c r="AD18" s="45" t="s">
        <v>147</v>
      </c>
      <c r="AE18" s="23">
        <v>16</v>
      </c>
      <c r="AI18" s="41" t="s">
        <v>106</v>
      </c>
      <c r="AJ18" s="42">
        <v>5.9</v>
      </c>
      <c r="AK18" s="43">
        <v>18</v>
      </c>
      <c r="AL18" s="44">
        <v>16</v>
      </c>
      <c r="AM18" s="9">
        <v>6.2</v>
      </c>
      <c r="AN18" s="9" t="s">
        <v>112</v>
      </c>
    </row>
    <row r="19" spans="1:40" ht="13" x14ac:dyDescent="0.25">
      <c r="A19" s="111" t="s">
        <v>90</v>
      </c>
      <c r="B19" s="112"/>
      <c r="C19" s="13">
        <f>C18-C17</f>
        <v>-79.899999999999991</v>
      </c>
      <c r="D19" s="13">
        <f t="shared" ref="D19:V19" si="1">D18-D17</f>
        <v>-27.839315999999982</v>
      </c>
      <c r="E19" s="13">
        <f t="shared" si="1"/>
        <v>-27.839315999999982</v>
      </c>
      <c r="F19" s="13">
        <f t="shared" si="1"/>
        <v>-27.839315999999982</v>
      </c>
      <c r="G19" s="13">
        <f t="shared" si="1"/>
        <v>-27.839315999999982</v>
      </c>
      <c r="H19" s="13">
        <f t="shared" si="1"/>
        <v>-27.839315999999982</v>
      </c>
      <c r="I19" s="13">
        <f t="shared" si="1"/>
        <v>-27.839315999999982</v>
      </c>
      <c r="J19" s="13">
        <f t="shared" si="1"/>
        <v>-27.839315999999982</v>
      </c>
      <c r="K19" s="13">
        <f t="shared" si="1"/>
        <v>-27.839315999999982</v>
      </c>
      <c r="L19" s="13">
        <f t="shared" si="1"/>
        <v>-27.839315999999982</v>
      </c>
      <c r="M19" s="13">
        <f t="shared" si="1"/>
        <v>-27.839315999999982</v>
      </c>
      <c r="N19" s="13" t="e">
        <f t="shared" si="1"/>
        <v>#N/A</v>
      </c>
      <c r="O19" s="13" t="e">
        <f t="shared" si="1"/>
        <v>#N/A</v>
      </c>
      <c r="P19" s="13" t="e">
        <f t="shared" si="1"/>
        <v>#N/A</v>
      </c>
      <c r="Q19" s="13" t="e">
        <f t="shared" si="1"/>
        <v>#N/A</v>
      </c>
      <c r="R19" s="13" t="e">
        <f t="shared" si="1"/>
        <v>#N/A</v>
      </c>
      <c r="S19" s="13" t="e">
        <f t="shared" si="1"/>
        <v>#N/A</v>
      </c>
      <c r="T19" s="13" t="e">
        <f t="shared" si="1"/>
        <v>#N/A</v>
      </c>
      <c r="U19" s="13" t="e">
        <f t="shared" si="1"/>
        <v>#N/A</v>
      </c>
      <c r="V19" s="18" t="e">
        <f t="shared" si="1"/>
        <v>#N/A</v>
      </c>
      <c r="AI19" s="41" t="s">
        <v>107</v>
      </c>
      <c r="AJ19" s="42">
        <v>3.2</v>
      </c>
      <c r="AK19" s="43">
        <v>10.5</v>
      </c>
      <c r="AL19" s="44">
        <v>17</v>
      </c>
      <c r="AM19" s="9">
        <v>6.2</v>
      </c>
      <c r="AN19" s="9" t="s">
        <v>112</v>
      </c>
    </row>
    <row r="20" spans="1:40" ht="13.5" thickBot="1" x14ac:dyDescent="0.3">
      <c r="A20" s="113" t="s">
        <v>91</v>
      </c>
      <c r="B20" s="114"/>
      <c r="C20" s="19" t="str">
        <f>IF($B31="","",IF(C$19&gt;=0,"INCREASE","DECREASE"))</f>
        <v>DECREASE</v>
      </c>
      <c r="D20" s="19" t="str">
        <f>IF($B32="","",IF(D$19&gt;=0,"INCREASE","DECREASE"))</f>
        <v>DECREASE</v>
      </c>
      <c r="E20" s="19" t="str">
        <f>IF($B33="","",IF(E$19&gt;=0,"INCREASE","DECREASE"))</f>
        <v>DECREASE</v>
      </c>
      <c r="F20" s="19" t="str">
        <f>IF($B34="","",IF(F$19&gt;=0,"INCREASE","DECREASE"))</f>
        <v>DECREASE</v>
      </c>
      <c r="G20" s="19" t="str">
        <f>IF($B35="","",IF(G$19&gt;=0,"INCREASE","DECREASE"))</f>
        <v>DECREASE</v>
      </c>
      <c r="H20" s="19" t="str">
        <f>IF($B36="","",IF(H$19&gt;=0,"INCREASE","DECREASE"))</f>
        <v>DECREASE</v>
      </c>
      <c r="I20" s="19" t="str">
        <f>IF($B37="","",IF(I$19&gt;=0,"INCREASE","DECREASE"))</f>
        <v>DECREASE</v>
      </c>
      <c r="J20" s="19" t="str">
        <f>IF($B38="","",IF(J$19&gt;=0,"INCREASE","DECREASE"))</f>
        <v>DECREASE</v>
      </c>
      <c r="K20" s="19" t="str">
        <f>IF($B39="","",IF(K$19&gt;=0,"INCREASE","DECREASE"))</f>
        <v>DECREASE</v>
      </c>
      <c r="L20" s="19" t="str">
        <f>IF($B40="","",IF(L$19&gt;=0,"INCREASE","DECREASE"))</f>
        <v>DECREASE</v>
      </c>
      <c r="M20" s="19" t="str">
        <f>IF($B41="","",IF(M$19&gt;=0,"INCREASE","DECREASE"))</f>
        <v>DECREASE</v>
      </c>
      <c r="N20" s="19" t="str">
        <f>IF($B42="","",IF(N$19&gt;=0,"INCREASE","DECREASE"))</f>
        <v/>
      </c>
      <c r="O20" s="19" t="str">
        <f>IF($B43="","",IF(O$19&gt;=0,"INCREASE","DECREASE"))</f>
        <v/>
      </c>
      <c r="P20" s="19" t="str">
        <f>IF($B44="","",IF(P$19&gt;=0,"INCREASE","DECREASE"))</f>
        <v/>
      </c>
      <c r="Q20" s="19" t="str">
        <f>IF($B45="","",IF(Q$19&gt;=0,"INCREASE","DECREASE"))</f>
        <v/>
      </c>
      <c r="R20" s="19" t="str">
        <f>IF($B46="","",IF(R$19&gt;=0,"INCREASE","DECREASE"))</f>
        <v/>
      </c>
      <c r="S20" s="19" t="str">
        <f>IF($B47="","",IF(S$19&gt;=0,"INCREASE","DECREASE"))</f>
        <v/>
      </c>
      <c r="T20" s="19" t="str">
        <f>IF($B48="","",IF(T$19&gt;=0,"INCREASE","DECREASE"))</f>
        <v/>
      </c>
      <c r="U20" s="19" t="str">
        <f>IF($B49="","",IF(U$19&gt;=0,"INCREASE","DECREASE"))</f>
        <v/>
      </c>
      <c r="V20" s="20" t="str">
        <f>IF($B50="","",IF(V$19&gt;=0,"INCREASE","DECREASE"))</f>
        <v/>
      </c>
      <c r="AI20" s="41" t="s">
        <v>114</v>
      </c>
      <c r="AJ20" s="42">
        <v>2.1</v>
      </c>
      <c r="AK20" s="43">
        <v>7.2</v>
      </c>
      <c r="AL20" s="44">
        <v>18</v>
      </c>
      <c r="AM20" s="9">
        <v>6.2</v>
      </c>
      <c r="AN20" s="9" t="s">
        <v>112</v>
      </c>
    </row>
    <row r="21" spans="1:40" ht="13" x14ac:dyDescent="0.25">
      <c r="A21" s="109" t="s">
        <v>88</v>
      </c>
      <c r="B21" s="110"/>
      <c r="C21" s="21">
        <f>(VLOOKUP(C$14,$AI2:$AK26,3,FALSE))*C$15</f>
        <v>282</v>
      </c>
      <c r="D21" s="21">
        <f t="shared" ref="D21:V21" si="2">(VLOOKUP(D$14,$AI2:$AK26,3,FALSE))*D$15</f>
        <v>282</v>
      </c>
      <c r="E21" s="21">
        <f t="shared" si="2"/>
        <v>282</v>
      </c>
      <c r="F21" s="21">
        <f t="shared" si="2"/>
        <v>282</v>
      </c>
      <c r="G21" s="21">
        <f t="shared" si="2"/>
        <v>282</v>
      </c>
      <c r="H21" s="21">
        <f t="shared" si="2"/>
        <v>282</v>
      </c>
      <c r="I21" s="21">
        <f t="shared" si="2"/>
        <v>282</v>
      </c>
      <c r="J21" s="21">
        <f t="shared" si="2"/>
        <v>282</v>
      </c>
      <c r="K21" s="21">
        <f t="shared" si="2"/>
        <v>282</v>
      </c>
      <c r="L21" s="21">
        <f t="shared" si="2"/>
        <v>282</v>
      </c>
      <c r="M21" s="21">
        <f t="shared" si="2"/>
        <v>282</v>
      </c>
      <c r="N21" s="21" t="e">
        <f t="shared" si="2"/>
        <v>#N/A</v>
      </c>
      <c r="O21" s="21" t="e">
        <f t="shared" si="2"/>
        <v>#N/A</v>
      </c>
      <c r="P21" s="21" t="e">
        <f t="shared" si="2"/>
        <v>#N/A</v>
      </c>
      <c r="Q21" s="21" t="e">
        <f t="shared" si="2"/>
        <v>#N/A</v>
      </c>
      <c r="R21" s="21" t="e">
        <f t="shared" si="2"/>
        <v>#N/A</v>
      </c>
      <c r="S21" s="21" t="e">
        <f t="shared" si="2"/>
        <v>#N/A</v>
      </c>
      <c r="T21" s="21" t="e">
        <f t="shared" si="2"/>
        <v>#N/A</v>
      </c>
      <c r="U21" s="21" t="e">
        <f t="shared" si="2"/>
        <v>#N/A</v>
      </c>
      <c r="V21" s="21" t="e">
        <f t="shared" si="2"/>
        <v>#N/A</v>
      </c>
      <c r="AI21" s="55" t="s">
        <v>100</v>
      </c>
      <c r="AJ21" s="58">
        <v>11</v>
      </c>
      <c r="AK21" s="57">
        <v>12</v>
      </c>
      <c r="AL21" s="22">
        <v>19</v>
      </c>
      <c r="AM21" s="9">
        <v>6.7</v>
      </c>
      <c r="AN21" s="9" t="s">
        <v>135</v>
      </c>
    </row>
    <row r="22" spans="1:40" ht="13" x14ac:dyDescent="0.25">
      <c r="A22" s="111" t="s">
        <v>89</v>
      </c>
      <c r="B22" s="112"/>
      <c r="C22" s="13">
        <f>$E31</f>
        <v>0</v>
      </c>
      <c r="D22" s="13">
        <f>$E32</f>
        <v>1.9167694000000002</v>
      </c>
      <c r="E22" s="13">
        <f>$E33</f>
        <v>1.9167694000000002</v>
      </c>
      <c r="F22" s="13">
        <f>$E34</f>
        <v>1.9167694000000002</v>
      </c>
      <c r="G22" s="13">
        <f>$E35</f>
        <v>1.9167694000000002</v>
      </c>
      <c r="H22" s="13">
        <f>$E36</f>
        <v>1.9167694000000002</v>
      </c>
      <c r="I22" s="13">
        <f>$E37</f>
        <v>1.9167694000000002</v>
      </c>
      <c r="J22" s="13">
        <f>$E38</f>
        <v>1.9167694000000002</v>
      </c>
      <c r="K22" s="13">
        <f>$E39</f>
        <v>1.9167694000000002</v>
      </c>
      <c r="L22" s="13">
        <f>$E40</f>
        <v>1.9167694000000002</v>
      </c>
      <c r="M22" s="13">
        <f>$E41</f>
        <v>1.9167694000000002</v>
      </c>
      <c r="N22" s="13">
        <f>$E42</f>
        <v>0</v>
      </c>
      <c r="O22" s="13">
        <f>$E43</f>
        <v>0</v>
      </c>
      <c r="P22" s="13">
        <f>$E44</f>
        <v>0</v>
      </c>
      <c r="Q22" s="13">
        <f>$E45</f>
        <v>0</v>
      </c>
      <c r="R22" s="13">
        <f>$E46</f>
        <v>0</v>
      </c>
      <c r="S22" s="13">
        <f>$E47</f>
        <v>0</v>
      </c>
      <c r="T22" s="13">
        <f>$E48</f>
        <v>0</v>
      </c>
      <c r="U22" s="13">
        <f>$E49</f>
        <v>0</v>
      </c>
      <c r="V22" s="13">
        <f>$E50</f>
        <v>0</v>
      </c>
      <c r="AI22" s="55" t="s">
        <v>102</v>
      </c>
      <c r="AJ22" s="56">
        <v>1.2</v>
      </c>
      <c r="AK22" s="57">
        <v>5</v>
      </c>
      <c r="AL22" s="22">
        <v>20</v>
      </c>
      <c r="AM22" s="9">
        <v>6.7</v>
      </c>
      <c r="AN22" s="9" t="s">
        <v>135</v>
      </c>
    </row>
    <row r="23" spans="1:40" ht="13" x14ac:dyDescent="0.25">
      <c r="A23" s="111" t="s">
        <v>92</v>
      </c>
      <c r="B23" s="112"/>
      <c r="C23" s="13">
        <f>C22-C21</f>
        <v>-282</v>
      </c>
      <c r="D23" s="13">
        <f t="shared" ref="D23:V23" si="3">D22-D21</f>
        <v>-280.08323059999998</v>
      </c>
      <c r="E23" s="13">
        <f t="shared" si="3"/>
        <v>-280.08323059999998</v>
      </c>
      <c r="F23" s="13">
        <f t="shared" si="3"/>
        <v>-280.08323059999998</v>
      </c>
      <c r="G23" s="13">
        <f t="shared" si="3"/>
        <v>-280.08323059999998</v>
      </c>
      <c r="H23" s="13">
        <f t="shared" si="3"/>
        <v>-280.08323059999998</v>
      </c>
      <c r="I23" s="13">
        <f t="shared" si="3"/>
        <v>-280.08323059999998</v>
      </c>
      <c r="J23" s="13">
        <f t="shared" si="3"/>
        <v>-280.08323059999998</v>
      </c>
      <c r="K23" s="13">
        <f t="shared" si="3"/>
        <v>-280.08323059999998</v>
      </c>
      <c r="L23" s="13">
        <f t="shared" si="3"/>
        <v>-280.08323059999998</v>
      </c>
      <c r="M23" s="13">
        <f t="shared" si="3"/>
        <v>-280.08323059999998</v>
      </c>
      <c r="N23" s="13" t="e">
        <f t="shared" si="3"/>
        <v>#N/A</v>
      </c>
      <c r="O23" s="13" t="e">
        <f t="shared" si="3"/>
        <v>#N/A</v>
      </c>
      <c r="P23" s="13" t="e">
        <f t="shared" si="3"/>
        <v>#N/A</v>
      </c>
      <c r="Q23" s="13" t="e">
        <f t="shared" si="3"/>
        <v>#N/A</v>
      </c>
      <c r="R23" s="13" t="e">
        <f t="shared" si="3"/>
        <v>#N/A</v>
      </c>
      <c r="S23" s="13" t="e">
        <f t="shared" si="3"/>
        <v>#N/A</v>
      </c>
      <c r="T23" s="13" t="e">
        <f t="shared" si="3"/>
        <v>#N/A</v>
      </c>
      <c r="U23" s="13" t="e">
        <f t="shared" si="3"/>
        <v>#N/A</v>
      </c>
      <c r="V23" s="13" t="e">
        <f t="shared" si="3"/>
        <v>#N/A</v>
      </c>
      <c r="AI23" s="55" t="s">
        <v>98</v>
      </c>
      <c r="AJ23" s="58">
        <v>9</v>
      </c>
      <c r="AK23" s="57">
        <v>10</v>
      </c>
      <c r="AL23" s="22">
        <v>21</v>
      </c>
      <c r="AM23" s="9">
        <v>6.7</v>
      </c>
      <c r="AN23" s="9" t="s">
        <v>135</v>
      </c>
    </row>
    <row r="24" spans="1:40" ht="13.5" thickBot="1" x14ac:dyDescent="0.3">
      <c r="A24" s="113" t="s">
        <v>93</v>
      </c>
      <c r="B24" s="114"/>
      <c r="C24" s="19" t="str">
        <f>IF($B31="","",IF(C$23&gt;=0,"INCREASE","DECREASE"))</f>
        <v>DECREASE</v>
      </c>
      <c r="D24" s="19" t="str">
        <f t="shared" ref="D24:V24" si="4">IF($B31="","",IF(D$23&gt;=0,"INCREASE","DECREASE"))</f>
        <v>DECREASE</v>
      </c>
      <c r="E24" s="19" t="str">
        <f t="shared" si="4"/>
        <v>DECREASE</v>
      </c>
      <c r="F24" s="19" t="str">
        <f t="shared" si="4"/>
        <v>DECREASE</v>
      </c>
      <c r="G24" s="19" t="str">
        <f t="shared" si="4"/>
        <v>DECREASE</v>
      </c>
      <c r="H24" s="19" t="str">
        <f t="shared" si="4"/>
        <v>DECREASE</v>
      </c>
      <c r="I24" s="19" t="str">
        <f t="shared" si="4"/>
        <v>DECREASE</v>
      </c>
      <c r="J24" s="19" t="str">
        <f t="shared" si="4"/>
        <v>DECREASE</v>
      </c>
      <c r="K24" s="19" t="str">
        <f t="shared" si="4"/>
        <v>DECREASE</v>
      </c>
      <c r="L24" s="19" t="str">
        <f t="shared" si="4"/>
        <v>DECREASE</v>
      </c>
      <c r="M24" s="19" t="str">
        <f t="shared" si="4"/>
        <v>DECREASE</v>
      </c>
      <c r="N24" s="19" t="e">
        <f t="shared" si="4"/>
        <v>#N/A</v>
      </c>
      <c r="O24" s="19" t="e">
        <f t="shared" si="4"/>
        <v>#N/A</v>
      </c>
      <c r="P24" s="19" t="e">
        <f t="shared" si="4"/>
        <v>#N/A</v>
      </c>
      <c r="Q24" s="19" t="e">
        <f t="shared" si="4"/>
        <v>#N/A</v>
      </c>
      <c r="R24" s="19" t="e">
        <f t="shared" si="4"/>
        <v>#N/A</v>
      </c>
      <c r="S24" s="19" t="e">
        <f t="shared" si="4"/>
        <v>#N/A</v>
      </c>
      <c r="T24" s="19" t="e">
        <f t="shared" si="4"/>
        <v>#N/A</v>
      </c>
      <c r="U24" s="19" t="e">
        <f t="shared" si="4"/>
        <v>#N/A</v>
      </c>
      <c r="V24" s="19" t="e">
        <f t="shared" si="4"/>
        <v>#N/A</v>
      </c>
      <c r="AI24" s="55" t="s">
        <v>99</v>
      </c>
      <c r="AJ24" s="58">
        <v>1.5</v>
      </c>
      <c r="AK24" s="57">
        <v>3</v>
      </c>
      <c r="AL24" s="22">
        <v>22</v>
      </c>
      <c r="AM24" s="9">
        <v>6.7</v>
      </c>
      <c r="AN24" s="9" t="s">
        <v>135</v>
      </c>
    </row>
    <row r="25" spans="1:40" x14ac:dyDescent="0.25">
      <c r="D25" s="59"/>
      <c r="E25" s="59"/>
      <c r="F25" s="59"/>
      <c r="AI25" s="55" t="s">
        <v>117</v>
      </c>
      <c r="AJ25" s="58">
        <v>1</v>
      </c>
      <c r="AK25" s="57">
        <v>5.8</v>
      </c>
      <c r="AL25" s="22">
        <v>23</v>
      </c>
      <c r="AM25" s="9">
        <v>6.7</v>
      </c>
      <c r="AN25" s="9" t="s">
        <v>135</v>
      </c>
    </row>
    <row r="26" spans="1:40" s="7" customFormat="1" ht="13" x14ac:dyDescent="0.25">
      <c r="A26" s="93"/>
      <c r="B26" s="3" t="s">
        <v>10</v>
      </c>
      <c r="C26" s="3" t="s">
        <v>75</v>
      </c>
      <c r="D26" s="94" t="s">
        <v>11</v>
      </c>
      <c r="E26" s="94" t="s">
        <v>12</v>
      </c>
      <c r="F26" s="94" t="s">
        <v>13</v>
      </c>
      <c r="G26" s="3" t="s">
        <v>14</v>
      </c>
      <c r="H26" s="94" t="s">
        <v>15</v>
      </c>
      <c r="I26" s="94" t="s">
        <v>16</v>
      </c>
      <c r="J26" s="3" t="s">
        <v>17</v>
      </c>
      <c r="K26" s="3" t="s">
        <v>18</v>
      </c>
      <c r="L26" s="3" t="s">
        <v>19</v>
      </c>
      <c r="M26" s="3" t="s">
        <v>20</v>
      </c>
      <c r="N26" s="3" t="s">
        <v>61</v>
      </c>
      <c r="O26" s="3" t="s">
        <v>62</v>
      </c>
      <c r="P26" s="94" t="s">
        <v>39</v>
      </c>
      <c r="Q26" s="94" t="s">
        <v>40</v>
      </c>
      <c r="R26" s="94" t="s">
        <v>35</v>
      </c>
      <c r="S26" s="94" t="s">
        <v>36</v>
      </c>
      <c r="T26" s="94" t="s">
        <v>37</v>
      </c>
      <c r="U26" s="94" t="s">
        <v>38</v>
      </c>
      <c r="AI26" s="60" t="s">
        <v>116</v>
      </c>
      <c r="AJ26" s="61">
        <v>0.7</v>
      </c>
      <c r="AK26" s="62">
        <v>2.4</v>
      </c>
      <c r="AL26" s="22">
        <v>24</v>
      </c>
      <c r="AM26" s="7">
        <v>6.7</v>
      </c>
      <c r="AN26" s="9" t="s">
        <v>135</v>
      </c>
    </row>
    <row r="27" spans="1:40" x14ac:dyDescent="0.35">
      <c r="A27" s="95"/>
      <c r="B27" s="63" t="s">
        <v>46</v>
      </c>
      <c r="C27" s="96" t="s">
        <v>57</v>
      </c>
      <c r="D27" s="96" t="s">
        <v>57</v>
      </c>
      <c r="E27" s="96" t="s">
        <v>57</v>
      </c>
      <c r="F27" s="96" t="s">
        <v>55</v>
      </c>
      <c r="G27" s="96" t="s">
        <v>55</v>
      </c>
      <c r="H27" s="96" t="s">
        <v>55</v>
      </c>
      <c r="I27" s="96" t="s">
        <v>55</v>
      </c>
      <c r="J27" s="96" t="s">
        <v>55</v>
      </c>
      <c r="K27" s="96" t="s">
        <v>55</v>
      </c>
      <c r="L27" s="96" t="s">
        <v>55</v>
      </c>
      <c r="M27" s="96" t="s">
        <v>55</v>
      </c>
      <c r="N27" s="96" t="s">
        <v>55</v>
      </c>
      <c r="O27" s="96" t="s">
        <v>55</v>
      </c>
      <c r="P27" s="96"/>
      <c r="Q27" s="96" t="s">
        <v>55</v>
      </c>
      <c r="R27" s="96"/>
      <c r="S27" s="96" t="s">
        <v>55</v>
      </c>
      <c r="T27" s="96"/>
      <c r="U27" s="96"/>
    </row>
    <row r="28" spans="1:40" x14ac:dyDescent="0.35">
      <c r="A28" s="97"/>
      <c r="B28" s="17">
        <v>5.2</v>
      </c>
      <c r="C28" s="12">
        <v>1.71</v>
      </c>
      <c r="D28" s="12">
        <v>0.23</v>
      </c>
      <c r="E28" s="12">
        <v>1.61E-2</v>
      </c>
      <c r="F28" s="12">
        <v>237</v>
      </c>
      <c r="G28" s="12">
        <v>19.100000000000001</v>
      </c>
      <c r="H28" s="12">
        <v>73.900000000000006</v>
      </c>
      <c r="I28" s="12">
        <v>30.4</v>
      </c>
      <c r="J28" s="12">
        <v>0.36</v>
      </c>
      <c r="K28" s="16">
        <v>0.76</v>
      </c>
      <c r="L28" s="12">
        <v>5.0999999999999996</v>
      </c>
      <c r="M28" s="12">
        <v>4.3</v>
      </c>
      <c r="N28" s="12">
        <v>126000</v>
      </c>
      <c r="O28" s="12">
        <v>29500</v>
      </c>
      <c r="P28" s="12"/>
      <c r="Q28" s="12">
        <v>4090</v>
      </c>
      <c r="R28" s="12"/>
      <c r="S28" s="12">
        <v>68.599999999999994</v>
      </c>
      <c r="T28" s="12"/>
      <c r="U28" s="12"/>
    </row>
    <row r="29" spans="1:40" s="7" customFormat="1" ht="28" x14ac:dyDescent="0.35">
      <c r="A29" s="11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6" customFormat="1" ht="28" x14ac:dyDescent="0.35">
      <c r="A30" s="11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51" customFormat="1" ht="13" x14ac:dyDescent="0.35">
      <c r="A31" s="10" t="str">
        <f>C8</f>
        <v>Nant Y Croi 9</v>
      </c>
      <c r="B31" s="12">
        <v>0</v>
      </c>
      <c r="C31" s="68">
        <f>IF(C$27="%w/w SAR",((C$28*10)*$B31),IF(C$27="%w/w DM",(((C$28*10)*($B$28/100))*$B31),IF(C$27="kg/t SAR",(C$28*$B31),IF(C$27="kg/t DM",((C$28*($B$28/100))*$B31),IF(C$27="mg/kg SAR",((C$28*0.001)*$B31),IF(C$27="mg/kg DM",(((C$28*0.001)*($B$28/100))*$B31),0))))))</f>
        <v>0</v>
      </c>
      <c r="D31" s="68">
        <f>(IF(D$27="%w/w SAR",((D$28*10)*$B31),IF(D$27="%w/w DM",(((D$28*10)*($B$28/100))*$B31),IF(D$27="kg/t SAR",(D$28*$B31),IF(D$27="kg/t DM",((D$28*($B$28/100))*$B31),IF(D$27="mg/kg SAR",((D$28*0.001)*$B31),IF(D$27="mg/kg DM",(((D$28*0.001)*($B$28/100))*$B31),"0")))))))*2.291</f>
        <v>0</v>
      </c>
      <c r="E31" s="68">
        <f>(IF(E$27="%w/w SAR",((E$28*10)*$B31),IF(E$27="%w/w DM",(((E$28*10)*($B$28/100))*$B31),IF(E$27="kg/t SAR",(E$28*$B31),IF(E$27="kg/t DM",((E$28*($B$28/100))*$B31),IF(E$27="mg/kg SAR",((E$28*0.001)*$B31),IF(E$27="mg/kg DM",(((E$28*0.001)*($B$28/100))*$B31),"0")))))))*1.205</f>
        <v>0</v>
      </c>
      <c r="F31" s="68">
        <f>(IF(F$27="%w/w SAR",((F$28*10)*$B31),IF(F$27="%w/w DM",(((F$28*10)*($B$28/100))*$B31),IF(F$27="kg/t SAR",(F$28*$B31),IF(F$27="kg/t DM",((F$28*($B$28/100))*$B31),IF(F$27="mg/kg SAR",((F$28*0.001)*$B31),IF(F$27="mg/kg DM",(((F$28*0.001)*($B$28/100))*$B31),"0")))))))*1.658</f>
        <v>0</v>
      </c>
      <c r="G31" s="68">
        <f t="shared" ref="G31:P46" si="5">IF(G$27="%w/w SAR",((G$28*10)*$B31),IF(G$27="%w/w DM",(((G$28*10)*($B$28/100))*$B31),IF(G$27="kg/t SAR",(G$28*$B31),IF(G$27="kg/t DM",((G$28*($B$28/100))*$B31),IF(G$27="mg/kg SAR",((G$28*0.001)*$B31),IF(G$27="mg/kg DM",(((G$28*0.001)*($B$28/100))*$B31),0))))))</f>
        <v>0</v>
      </c>
      <c r="H31" s="68">
        <f t="shared" si="5"/>
        <v>0</v>
      </c>
      <c r="I31" s="68">
        <f t="shared" si="5"/>
        <v>0</v>
      </c>
      <c r="J31" s="68">
        <f t="shared" si="5"/>
        <v>0</v>
      </c>
      <c r="K31" s="68">
        <f t="shared" si="5"/>
        <v>0</v>
      </c>
      <c r="L31" s="68">
        <f t="shared" si="5"/>
        <v>0</v>
      </c>
      <c r="M31" s="68">
        <f t="shared" si="5"/>
        <v>0</v>
      </c>
      <c r="N31" s="68">
        <f t="shared" si="5"/>
        <v>0</v>
      </c>
      <c r="O31" s="68">
        <f t="shared" si="5"/>
        <v>0</v>
      </c>
      <c r="P31" s="68">
        <f t="shared" si="5"/>
        <v>0</v>
      </c>
      <c r="Q31" s="68">
        <f>(IF(Q$27="%w/w SAR",((Q$28*10)*$B31),IF(Q$27="%w/w DM",(((Q$28*10)*($B$28/100))*$B31),IF(Q$27="kg/t SAR",(Q$28*$B31),IF(Q$27="kg/t DM",((Q$28*($B$28/100))*$B31),IF(Q$27="mg/kg SAR",((Q$28*0.001)*$B31),IF(Q$27="mg/kg DM",(((Q$28*0.001)*($B$28/100))*$B31),0)))))))*2.5</f>
        <v>0</v>
      </c>
      <c r="R31" s="68">
        <f>IF(R$27="%w/w SAR",((R$28*10)*$B31),IF(R$27="%w/w DM",(((R$28*10)*($B$28/100))*$B31),IF(R$27="kg/t SAR",(R$28*$B31),IF(R$27="kg/t DM",((R$28*($B$28/100))*$B31),IF(R$27="mg/kg SAR",((R$28*0.001)*$B31),IF(R$27="mg/kg DM",(((R$28*0.001)*($B$28/100))*$B31),0))))))</f>
        <v>0</v>
      </c>
      <c r="S31" s="68">
        <f>IF(S$27="%w/w SAR",((S$28*10)*$B31),IF(S$27="%w/w DM",(((S$28*10)*($B$28/100))*$B31),IF(S$27="kg/t SAR",(S$28*$B31),IF(S$27="kg/t DM",((S$28*($B$28/100))*$B31),IF(S$27="mg/kg SAR",((S$28*0.001)*$B31),IF(S$27="mg/kg DM",(((S$28*0.001)*($B$28/100))*$B31),0))))))</f>
        <v>0</v>
      </c>
      <c r="T31" s="68">
        <f>IF(T$27="%w/w SAR",((T$28*10)*$B31),IF(T$27="%w/w DM",(((T$28*10)*($B$28/100))*$B31),IF(T$27="kg/t SAR",(T$28*$B31),IF(T$27="kg/t DM",((T$28*($B$28/100))*$B31),IF(T$27="mg/kg SAR",((T$28*0.001)*$B31),IF(T$27="mg/kg DM",(((T$28*0.001)*($B$28/100))*$B31),0))))))</f>
        <v>0</v>
      </c>
      <c r="U31" s="68">
        <f>IF(U$27="%w/w SAR",((U$28*10)*$B31),IF(U$27="%w/w DM",(((U$28*10)*($B$28/100))*$B31),IF(U$27="kg/t SAR",(U$28*$B31),IF(U$27="kg/t DM",((U$28*($B$28/100))*$B31),IF(U$27="mg/kg SAR",((U$28*0.001)*$B31),IF(U$27="mg/kg DM",(((U$28*0.001)*($B$28/100))*$B31),0))))))</f>
        <v>0</v>
      </c>
    </row>
    <row r="32" spans="1:40" s="51" customFormat="1" ht="13" x14ac:dyDescent="0.35">
      <c r="A32" s="10" t="str">
        <f>D8</f>
        <v>Hafod 4315</v>
      </c>
      <c r="B32" s="12">
        <v>190</v>
      </c>
      <c r="C32" s="68">
        <f t="shared" ref="C32:C50" si="6">IF(C$27="%w/w SAR",((C$28*10)*$B32),IF(C$27="%w/w DM",(((C$28*10)*($B$28/100))*$B32),IF(C$27="kg/t SAR",(C$28*$B32),IF(C$27="kg/t DM",((C$28*($B$28/100))*$B32),IF(C$27="mg/kg SAR",((C$28*0.001)*$B32),IF(C$27="mg/kg DM",(((C$28*0.001)*($B$28/100))*$B32),0))))))</f>
        <v>168.94800000000001</v>
      </c>
      <c r="D32" s="68">
        <f t="shared" ref="D32:D50" si="7">(IF(D$27="%w/w SAR",((D$28*10)*$B32),IF(D$27="%w/w DM",(((D$28*10)*($B$28/100))*$B32),IF(D$27="kg/t SAR",(D$28*$B32),IF(D$27="kg/t DM",((D$28*($B$28/100))*$B32),IF(D$27="mg/kg SAR",((D$28*0.001)*$B32),IF(D$27="mg/kg DM",(((D$28*0.001)*($B$28/100))*$B32),"0")))))))*2.291</f>
        <v>52.060684000000009</v>
      </c>
      <c r="E32" s="68">
        <f t="shared" ref="E32:E50" si="8">(IF(E$27="%w/w SAR",((E$28*10)*$B32),IF(E$27="%w/w DM",(((E$28*10)*($B$28/100))*$B32),IF(E$27="kg/t SAR",(E$28*$B32),IF(E$27="kg/t DM",((E$28*($B$28/100))*$B32),IF(E$27="mg/kg SAR",((E$28*0.001)*$B32),IF(E$27="mg/kg DM",(((E$28*0.001)*($B$28/100))*$B32),"0")))))))*1.205</f>
        <v>1.9167694000000002</v>
      </c>
      <c r="F32" s="68">
        <f t="shared" ref="F32:F50" si="9">(IF(F$27="%w/w SAR",((F$28*10)*$B32),IF(F$27="%w/w DM",(((F$28*10)*($B$28/100))*$B32),IF(F$27="kg/t SAR",(F$28*$B32),IF(F$27="kg/t DM",((F$28*($B$28/100))*$B32),IF(F$27="mg/kg SAR",((F$28*0.001)*$B32),IF(F$27="mg/kg DM",(((F$28*0.001)*($B$28/100))*$B32),"0")))))))*1.658</f>
        <v>3.8823064800000004</v>
      </c>
      <c r="G32" s="68">
        <f t="shared" si="5"/>
        <v>0.18870800000000004</v>
      </c>
      <c r="H32" s="68">
        <f t="shared" si="5"/>
        <v>0.73013200000000011</v>
      </c>
      <c r="I32" s="68">
        <f t="shared" si="5"/>
        <v>0.30035200000000001</v>
      </c>
      <c r="J32" s="68">
        <f t="shared" si="5"/>
        <v>3.5568000000000002E-3</v>
      </c>
      <c r="K32" s="68">
        <f t="shared" si="5"/>
        <v>7.5088000000000012E-3</v>
      </c>
      <c r="L32" s="68">
        <f t="shared" si="5"/>
        <v>5.0388000000000002E-2</v>
      </c>
      <c r="M32" s="68">
        <f t="shared" si="5"/>
        <v>4.2484000000000001E-2</v>
      </c>
      <c r="N32" s="68">
        <f t="shared" si="5"/>
        <v>1244.8800000000001</v>
      </c>
      <c r="O32" s="68">
        <f t="shared" si="5"/>
        <v>291.45999999999998</v>
      </c>
      <c r="P32" s="68">
        <f t="shared" si="5"/>
        <v>0</v>
      </c>
      <c r="Q32" s="68">
        <f t="shared" ref="Q32:Q50" si="10">(IF(Q$27="%w/w SAR",((Q$28*10)*$B32),IF(Q$27="%w/w DM",(((Q$28*10)*($B$28/100))*$B32),IF(Q$27="kg/t SAR",(Q$28*$B32),IF(Q$27="kg/t DM",((Q$28*($B$28/100))*$B32),IF(Q$27="mg/kg SAR",((Q$28*0.001)*$B32),IF(Q$27="mg/kg DM",(((Q$28*0.001)*($B$28/100))*$B32),0)))))))*2.5</f>
        <v>101.023</v>
      </c>
      <c r="R32" s="68">
        <f t="shared" ref="R32:U50" si="11">IF(R$27="%w/w SAR",((R$28*10)*$B32),IF(R$27="%w/w DM",(((R$28*10)*($B$28/100))*$B32),IF(R$27="kg/t SAR",(R$28*$B32),IF(R$27="kg/t DM",((R$28*($B$28/100))*$B32),IF(R$27="mg/kg SAR",((R$28*0.001)*$B32),IF(R$27="mg/kg DM",(((R$28*0.001)*($B$28/100))*$B32),0))))))</f>
        <v>0</v>
      </c>
      <c r="S32" s="68">
        <f t="shared" si="11"/>
        <v>0.67776800000000004</v>
      </c>
      <c r="T32" s="68">
        <f t="shared" si="11"/>
        <v>0</v>
      </c>
      <c r="U32" s="68">
        <f t="shared" si="11"/>
        <v>0</v>
      </c>
    </row>
    <row r="33" spans="1:21" s="51" customFormat="1" ht="13" x14ac:dyDescent="0.35">
      <c r="A33" s="10" t="str">
        <f>E8</f>
        <v>Hafod 4734</v>
      </c>
      <c r="B33" s="12">
        <v>190</v>
      </c>
      <c r="C33" s="68">
        <f t="shared" si="6"/>
        <v>168.94800000000001</v>
      </c>
      <c r="D33" s="68">
        <f t="shared" si="7"/>
        <v>52.060684000000009</v>
      </c>
      <c r="E33" s="68">
        <f t="shared" si="8"/>
        <v>1.9167694000000002</v>
      </c>
      <c r="F33" s="68">
        <f t="shared" si="9"/>
        <v>3.8823064800000004</v>
      </c>
      <c r="G33" s="68">
        <f t="shared" si="5"/>
        <v>0.18870800000000004</v>
      </c>
      <c r="H33" s="68">
        <f t="shared" si="5"/>
        <v>0.73013200000000011</v>
      </c>
      <c r="I33" s="68">
        <f t="shared" si="5"/>
        <v>0.30035200000000001</v>
      </c>
      <c r="J33" s="68">
        <f t="shared" si="5"/>
        <v>3.5568000000000002E-3</v>
      </c>
      <c r="K33" s="68">
        <f t="shared" si="5"/>
        <v>7.5088000000000012E-3</v>
      </c>
      <c r="L33" s="68">
        <f t="shared" si="5"/>
        <v>5.0388000000000002E-2</v>
      </c>
      <c r="M33" s="68">
        <f t="shared" si="5"/>
        <v>4.2484000000000001E-2</v>
      </c>
      <c r="N33" s="68">
        <f t="shared" si="5"/>
        <v>1244.8800000000001</v>
      </c>
      <c r="O33" s="68">
        <f t="shared" si="5"/>
        <v>291.45999999999998</v>
      </c>
      <c r="P33" s="68">
        <f t="shared" si="5"/>
        <v>0</v>
      </c>
      <c r="Q33" s="68">
        <f t="shared" si="10"/>
        <v>101.023</v>
      </c>
      <c r="R33" s="68">
        <f t="shared" si="11"/>
        <v>0</v>
      </c>
      <c r="S33" s="68">
        <f t="shared" si="11"/>
        <v>0.67776800000000004</v>
      </c>
      <c r="T33" s="68">
        <f t="shared" si="11"/>
        <v>0</v>
      </c>
      <c r="U33" s="68">
        <f t="shared" si="11"/>
        <v>0</v>
      </c>
    </row>
    <row r="34" spans="1:21" s="51" customFormat="1" ht="13" x14ac:dyDescent="0.35">
      <c r="A34" s="10" t="str">
        <f>F8</f>
        <v>Hafod 5761</v>
      </c>
      <c r="B34" s="12">
        <v>190</v>
      </c>
      <c r="C34" s="68">
        <f t="shared" si="6"/>
        <v>168.94800000000001</v>
      </c>
      <c r="D34" s="68">
        <f t="shared" si="7"/>
        <v>52.060684000000009</v>
      </c>
      <c r="E34" s="68">
        <f t="shared" si="8"/>
        <v>1.9167694000000002</v>
      </c>
      <c r="F34" s="68">
        <f t="shared" si="9"/>
        <v>3.8823064800000004</v>
      </c>
      <c r="G34" s="68">
        <f t="shared" si="5"/>
        <v>0.18870800000000004</v>
      </c>
      <c r="H34" s="68">
        <f t="shared" si="5"/>
        <v>0.73013200000000011</v>
      </c>
      <c r="I34" s="68">
        <f t="shared" si="5"/>
        <v>0.30035200000000001</v>
      </c>
      <c r="J34" s="68">
        <f t="shared" si="5"/>
        <v>3.5568000000000002E-3</v>
      </c>
      <c r="K34" s="68">
        <f t="shared" si="5"/>
        <v>7.5088000000000012E-3</v>
      </c>
      <c r="L34" s="68">
        <f t="shared" si="5"/>
        <v>5.0388000000000002E-2</v>
      </c>
      <c r="M34" s="68">
        <f t="shared" si="5"/>
        <v>4.2484000000000001E-2</v>
      </c>
      <c r="N34" s="68">
        <f t="shared" si="5"/>
        <v>1244.8800000000001</v>
      </c>
      <c r="O34" s="68">
        <f t="shared" si="5"/>
        <v>291.45999999999998</v>
      </c>
      <c r="P34" s="68">
        <f t="shared" si="5"/>
        <v>0</v>
      </c>
      <c r="Q34" s="68">
        <f t="shared" si="10"/>
        <v>101.023</v>
      </c>
      <c r="R34" s="68">
        <f t="shared" si="11"/>
        <v>0</v>
      </c>
      <c r="S34" s="68">
        <f t="shared" si="11"/>
        <v>0.67776800000000004</v>
      </c>
      <c r="T34" s="68">
        <f t="shared" si="11"/>
        <v>0</v>
      </c>
      <c r="U34" s="68">
        <f t="shared" si="11"/>
        <v>0</v>
      </c>
    </row>
    <row r="35" spans="1:21" s="51" customFormat="1" ht="13" x14ac:dyDescent="0.35">
      <c r="A35" s="10" t="str">
        <f>G8</f>
        <v>Hafod 4067</v>
      </c>
      <c r="B35" s="12">
        <v>190</v>
      </c>
      <c r="C35" s="68">
        <f t="shared" si="6"/>
        <v>168.94800000000001</v>
      </c>
      <c r="D35" s="68">
        <f t="shared" si="7"/>
        <v>52.060684000000009</v>
      </c>
      <c r="E35" s="68">
        <f t="shared" si="8"/>
        <v>1.9167694000000002</v>
      </c>
      <c r="F35" s="68">
        <f t="shared" si="9"/>
        <v>3.8823064800000004</v>
      </c>
      <c r="G35" s="68">
        <f t="shared" si="5"/>
        <v>0.18870800000000004</v>
      </c>
      <c r="H35" s="68">
        <f t="shared" si="5"/>
        <v>0.73013200000000011</v>
      </c>
      <c r="I35" s="68">
        <f t="shared" si="5"/>
        <v>0.30035200000000001</v>
      </c>
      <c r="J35" s="68">
        <f t="shared" si="5"/>
        <v>3.5568000000000002E-3</v>
      </c>
      <c r="K35" s="68">
        <f t="shared" si="5"/>
        <v>7.5088000000000012E-3</v>
      </c>
      <c r="L35" s="68">
        <f t="shared" si="5"/>
        <v>5.0388000000000002E-2</v>
      </c>
      <c r="M35" s="68">
        <f t="shared" si="5"/>
        <v>4.2484000000000001E-2</v>
      </c>
      <c r="N35" s="68">
        <f t="shared" si="5"/>
        <v>1244.8800000000001</v>
      </c>
      <c r="O35" s="68">
        <f t="shared" si="5"/>
        <v>291.45999999999998</v>
      </c>
      <c r="P35" s="68">
        <f t="shared" si="5"/>
        <v>0</v>
      </c>
      <c r="Q35" s="68">
        <f t="shared" si="10"/>
        <v>101.023</v>
      </c>
      <c r="R35" s="68">
        <f t="shared" si="11"/>
        <v>0</v>
      </c>
      <c r="S35" s="68">
        <f t="shared" si="11"/>
        <v>0.67776800000000004</v>
      </c>
      <c r="T35" s="68">
        <f t="shared" si="11"/>
        <v>0</v>
      </c>
      <c r="U35" s="68">
        <f t="shared" si="11"/>
        <v>0</v>
      </c>
    </row>
    <row r="36" spans="1:21" s="51" customFormat="1" ht="13" x14ac:dyDescent="0.35">
      <c r="A36" s="10" t="str">
        <f>H8</f>
        <v>Hafod 2455</v>
      </c>
      <c r="B36" s="12">
        <v>190</v>
      </c>
      <c r="C36" s="68">
        <f t="shared" si="6"/>
        <v>168.94800000000001</v>
      </c>
      <c r="D36" s="68">
        <f t="shared" si="7"/>
        <v>52.060684000000009</v>
      </c>
      <c r="E36" s="68">
        <f t="shared" si="8"/>
        <v>1.9167694000000002</v>
      </c>
      <c r="F36" s="68">
        <f t="shared" si="9"/>
        <v>3.8823064800000004</v>
      </c>
      <c r="G36" s="68">
        <f t="shared" si="5"/>
        <v>0.18870800000000004</v>
      </c>
      <c r="H36" s="68">
        <f t="shared" si="5"/>
        <v>0.73013200000000011</v>
      </c>
      <c r="I36" s="68">
        <f t="shared" si="5"/>
        <v>0.30035200000000001</v>
      </c>
      <c r="J36" s="68">
        <f t="shared" si="5"/>
        <v>3.5568000000000002E-3</v>
      </c>
      <c r="K36" s="68">
        <f t="shared" si="5"/>
        <v>7.5088000000000012E-3</v>
      </c>
      <c r="L36" s="68">
        <f t="shared" si="5"/>
        <v>5.0388000000000002E-2</v>
      </c>
      <c r="M36" s="68">
        <f t="shared" si="5"/>
        <v>4.2484000000000001E-2</v>
      </c>
      <c r="N36" s="68">
        <f t="shared" si="5"/>
        <v>1244.8800000000001</v>
      </c>
      <c r="O36" s="68">
        <f t="shared" si="5"/>
        <v>291.45999999999998</v>
      </c>
      <c r="P36" s="68">
        <f t="shared" si="5"/>
        <v>0</v>
      </c>
      <c r="Q36" s="68">
        <f t="shared" si="10"/>
        <v>101.023</v>
      </c>
      <c r="R36" s="68">
        <f t="shared" si="11"/>
        <v>0</v>
      </c>
      <c r="S36" s="68">
        <f t="shared" si="11"/>
        <v>0.67776800000000004</v>
      </c>
      <c r="T36" s="68">
        <f t="shared" si="11"/>
        <v>0</v>
      </c>
      <c r="U36" s="68">
        <f t="shared" si="11"/>
        <v>0</v>
      </c>
    </row>
    <row r="37" spans="1:21" s="51" customFormat="1" ht="13" x14ac:dyDescent="0.35">
      <c r="A37" s="10" t="str">
        <f>I8</f>
        <v>Hafod 1741</v>
      </c>
      <c r="B37" s="12">
        <v>190</v>
      </c>
      <c r="C37" s="68">
        <f t="shared" si="6"/>
        <v>168.94800000000001</v>
      </c>
      <c r="D37" s="68">
        <f t="shared" si="7"/>
        <v>52.060684000000009</v>
      </c>
      <c r="E37" s="68">
        <f t="shared" si="8"/>
        <v>1.9167694000000002</v>
      </c>
      <c r="F37" s="68">
        <f t="shared" si="9"/>
        <v>3.8823064800000004</v>
      </c>
      <c r="G37" s="68">
        <f t="shared" si="5"/>
        <v>0.18870800000000004</v>
      </c>
      <c r="H37" s="68">
        <f t="shared" si="5"/>
        <v>0.73013200000000011</v>
      </c>
      <c r="I37" s="68">
        <f t="shared" si="5"/>
        <v>0.30035200000000001</v>
      </c>
      <c r="J37" s="68">
        <f t="shared" si="5"/>
        <v>3.5568000000000002E-3</v>
      </c>
      <c r="K37" s="68">
        <f t="shared" si="5"/>
        <v>7.5088000000000012E-3</v>
      </c>
      <c r="L37" s="68">
        <f t="shared" si="5"/>
        <v>5.0388000000000002E-2</v>
      </c>
      <c r="M37" s="68">
        <f t="shared" si="5"/>
        <v>4.2484000000000001E-2</v>
      </c>
      <c r="N37" s="68">
        <f t="shared" si="5"/>
        <v>1244.8800000000001</v>
      </c>
      <c r="O37" s="68">
        <f t="shared" si="5"/>
        <v>291.45999999999998</v>
      </c>
      <c r="P37" s="68">
        <f t="shared" si="5"/>
        <v>0</v>
      </c>
      <c r="Q37" s="68">
        <f t="shared" si="10"/>
        <v>101.023</v>
      </c>
      <c r="R37" s="68">
        <f t="shared" si="11"/>
        <v>0</v>
      </c>
      <c r="S37" s="68">
        <f t="shared" si="11"/>
        <v>0.67776800000000004</v>
      </c>
      <c r="T37" s="68">
        <f t="shared" si="11"/>
        <v>0</v>
      </c>
      <c r="U37" s="68">
        <f t="shared" si="11"/>
        <v>0</v>
      </c>
    </row>
    <row r="38" spans="1:21" s="51" customFormat="1" ht="13" x14ac:dyDescent="0.35">
      <c r="A38" s="10" t="str">
        <f>J8</f>
        <v>Hafod 0720</v>
      </c>
      <c r="B38" s="12">
        <v>190</v>
      </c>
      <c r="C38" s="68">
        <f t="shared" si="6"/>
        <v>168.94800000000001</v>
      </c>
      <c r="D38" s="68">
        <f t="shared" si="7"/>
        <v>52.060684000000009</v>
      </c>
      <c r="E38" s="68">
        <f t="shared" si="8"/>
        <v>1.9167694000000002</v>
      </c>
      <c r="F38" s="68">
        <f t="shared" si="9"/>
        <v>3.8823064800000004</v>
      </c>
      <c r="G38" s="68">
        <f t="shared" si="5"/>
        <v>0.18870800000000004</v>
      </c>
      <c r="H38" s="68">
        <f t="shared" si="5"/>
        <v>0.73013200000000011</v>
      </c>
      <c r="I38" s="68">
        <f t="shared" si="5"/>
        <v>0.30035200000000001</v>
      </c>
      <c r="J38" s="68">
        <f t="shared" si="5"/>
        <v>3.5568000000000002E-3</v>
      </c>
      <c r="K38" s="68">
        <f t="shared" si="5"/>
        <v>7.5088000000000012E-3</v>
      </c>
      <c r="L38" s="68">
        <f t="shared" si="5"/>
        <v>5.0388000000000002E-2</v>
      </c>
      <c r="M38" s="68">
        <f t="shared" si="5"/>
        <v>4.2484000000000001E-2</v>
      </c>
      <c r="N38" s="68">
        <f t="shared" si="5"/>
        <v>1244.8800000000001</v>
      </c>
      <c r="O38" s="68">
        <f t="shared" si="5"/>
        <v>291.45999999999998</v>
      </c>
      <c r="P38" s="68">
        <f t="shared" si="5"/>
        <v>0</v>
      </c>
      <c r="Q38" s="68">
        <f t="shared" si="10"/>
        <v>101.023</v>
      </c>
      <c r="R38" s="68">
        <f t="shared" si="11"/>
        <v>0</v>
      </c>
      <c r="S38" s="68">
        <f t="shared" si="11"/>
        <v>0.67776800000000004</v>
      </c>
      <c r="T38" s="68">
        <f t="shared" si="11"/>
        <v>0</v>
      </c>
      <c r="U38" s="68">
        <f t="shared" si="11"/>
        <v>0</v>
      </c>
    </row>
    <row r="39" spans="1:21" s="51" customFormat="1" ht="13" x14ac:dyDescent="0.35">
      <c r="A39" s="10" t="str">
        <f>K8</f>
        <v>Solafron 2893</v>
      </c>
      <c r="B39" s="12">
        <v>190</v>
      </c>
      <c r="C39" s="68">
        <f t="shared" si="6"/>
        <v>168.94800000000001</v>
      </c>
      <c r="D39" s="68">
        <f t="shared" si="7"/>
        <v>52.060684000000009</v>
      </c>
      <c r="E39" s="68">
        <f t="shared" si="8"/>
        <v>1.9167694000000002</v>
      </c>
      <c r="F39" s="68">
        <f t="shared" si="9"/>
        <v>3.8823064800000004</v>
      </c>
      <c r="G39" s="68">
        <f t="shared" si="5"/>
        <v>0.18870800000000004</v>
      </c>
      <c r="H39" s="68">
        <f t="shared" si="5"/>
        <v>0.73013200000000011</v>
      </c>
      <c r="I39" s="68">
        <f t="shared" si="5"/>
        <v>0.30035200000000001</v>
      </c>
      <c r="J39" s="68">
        <f t="shared" si="5"/>
        <v>3.5568000000000002E-3</v>
      </c>
      <c r="K39" s="68">
        <f t="shared" si="5"/>
        <v>7.5088000000000012E-3</v>
      </c>
      <c r="L39" s="68">
        <f t="shared" si="5"/>
        <v>5.0388000000000002E-2</v>
      </c>
      <c r="M39" s="68">
        <f t="shared" si="5"/>
        <v>4.2484000000000001E-2</v>
      </c>
      <c r="N39" s="68">
        <f t="shared" si="5"/>
        <v>1244.8800000000001</v>
      </c>
      <c r="O39" s="68">
        <f t="shared" si="5"/>
        <v>291.45999999999998</v>
      </c>
      <c r="P39" s="68">
        <f t="shared" si="5"/>
        <v>0</v>
      </c>
      <c r="Q39" s="68">
        <f t="shared" si="10"/>
        <v>101.023</v>
      </c>
      <c r="R39" s="68">
        <f t="shared" si="11"/>
        <v>0</v>
      </c>
      <c r="S39" s="68">
        <f t="shared" si="11"/>
        <v>0.67776800000000004</v>
      </c>
      <c r="T39" s="68">
        <f t="shared" si="11"/>
        <v>0</v>
      </c>
      <c r="U39" s="68">
        <f t="shared" si="11"/>
        <v>0</v>
      </c>
    </row>
    <row r="40" spans="1:21" s="51" customFormat="1" ht="13" x14ac:dyDescent="0.35">
      <c r="A40" s="10" t="str">
        <f>L8</f>
        <v>Solafron 2611</v>
      </c>
      <c r="B40" s="12">
        <v>190</v>
      </c>
      <c r="C40" s="68">
        <f t="shared" si="6"/>
        <v>168.94800000000001</v>
      </c>
      <c r="D40" s="68">
        <f t="shared" si="7"/>
        <v>52.060684000000009</v>
      </c>
      <c r="E40" s="68">
        <f t="shared" si="8"/>
        <v>1.9167694000000002</v>
      </c>
      <c r="F40" s="68">
        <f t="shared" si="9"/>
        <v>3.8823064800000004</v>
      </c>
      <c r="G40" s="68">
        <f t="shared" si="5"/>
        <v>0.18870800000000004</v>
      </c>
      <c r="H40" s="68">
        <f t="shared" si="5"/>
        <v>0.73013200000000011</v>
      </c>
      <c r="I40" s="68">
        <f t="shared" si="5"/>
        <v>0.30035200000000001</v>
      </c>
      <c r="J40" s="68">
        <f t="shared" si="5"/>
        <v>3.5568000000000002E-3</v>
      </c>
      <c r="K40" s="68">
        <f t="shared" si="5"/>
        <v>7.5088000000000012E-3</v>
      </c>
      <c r="L40" s="68">
        <f t="shared" si="5"/>
        <v>5.0388000000000002E-2</v>
      </c>
      <c r="M40" s="68">
        <f t="shared" si="5"/>
        <v>4.2484000000000001E-2</v>
      </c>
      <c r="N40" s="68">
        <f t="shared" si="5"/>
        <v>1244.8800000000001</v>
      </c>
      <c r="O40" s="68">
        <f t="shared" si="5"/>
        <v>291.45999999999998</v>
      </c>
      <c r="P40" s="68">
        <f t="shared" si="5"/>
        <v>0</v>
      </c>
      <c r="Q40" s="68">
        <f t="shared" si="10"/>
        <v>101.023</v>
      </c>
      <c r="R40" s="68">
        <f t="shared" si="11"/>
        <v>0</v>
      </c>
      <c r="S40" s="68">
        <f t="shared" si="11"/>
        <v>0.67776800000000004</v>
      </c>
      <c r="T40" s="68">
        <f t="shared" si="11"/>
        <v>0</v>
      </c>
      <c r="U40" s="68">
        <f t="shared" si="11"/>
        <v>0</v>
      </c>
    </row>
    <row r="41" spans="1:21" s="51" customFormat="1" ht="13" x14ac:dyDescent="0.35">
      <c r="A41" s="10" t="str">
        <f>M8</f>
        <v>Solafron 1404</v>
      </c>
      <c r="B41" s="12">
        <v>190</v>
      </c>
      <c r="C41" s="68">
        <f t="shared" si="6"/>
        <v>168.94800000000001</v>
      </c>
      <c r="D41" s="68">
        <f t="shared" si="7"/>
        <v>52.060684000000009</v>
      </c>
      <c r="E41" s="68">
        <f t="shared" si="8"/>
        <v>1.9167694000000002</v>
      </c>
      <c r="F41" s="68">
        <f t="shared" si="9"/>
        <v>3.8823064800000004</v>
      </c>
      <c r="G41" s="68">
        <f t="shared" si="5"/>
        <v>0.18870800000000004</v>
      </c>
      <c r="H41" s="68">
        <f t="shared" si="5"/>
        <v>0.73013200000000011</v>
      </c>
      <c r="I41" s="68">
        <f t="shared" si="5"/>
        <v>0.30035200000000001</v>
      </c>
      <c r="J41" s="68">
        <f t="shared" si="5"/>
        <v>3.5568000000000002E-3</v>
      </c>
      <c r="K41" s="68">
        <f t="shared" si="5"/>
        <v>7.5088000000000012E-3</v>
      </c>
      <c r="L41" s="68">
        <f t="shared" si="5"/>
        <v>5.0388000000000002E-2</v>
      </c>
      <c r="M41" s="68">
        <f t="shared" si="5"/>
        <v>4.2484000000000001E-2</v>
      </c>
      <c r="N41" s="68">
        <f t="shared" si="5"/>
        <v>1244.8800000000001</v>
      </c>
      <c r="O41" s="68">
        <f t="shared" si="5"/>
        <v>291.45999999999998</v>
      </c>
      <c r="P41" s="68">
        <f t="shared" si="5"/>
        <v>0</v>
      </c>
      <c r="Q41" s="68">
        <f t="shared" si="10"/>
        <v>101.023</v>
      </c>
      <c r="R41" s="68">
        <f t="shared" si="11"/>
        <v>0</v>
      </c>
      <c r="S41" s="68">
        <f t="shared" si="11"/>
        <v>0.67776800000000004</v>
      </c>
      <c r="T41" s="68">
        <f t="shared" si="11"/>
        <v>0</v>
      </c>
      <c r="U41" s="68">
        <f t="shared" si="11"/>
        <v>0</v>
      </c>
    </row>
    <row r="42" spans="1:21" s="51" customFormat="1" ht="13" x14ac:dyDescent="0.35">
      <c r="A42" s="10">
        <f>N8</f>
        <v>0</v>
      </c>
      <c r="B42" s="12"/>
      <c r="C42" s="68">
        <f t="shared" si="6"/>
        <v>0</v>
      </c>
      <c r="D42" s="68">
        <f t="shared" si="7"/>
        <v>0</v>
      </c>
      <c r="E42" s="68">
        <f t="shared" si="8"/>
        <v>0</v>
      </c>
      <c r="F42" s="68">
        <f t="shared" si="9"/>
        <v>0</v>
      </c>
      <c r="G42" s="68">
        <f t="shared" si="5"/>
        <v>0</v>
      </c>
      <c r="H42" s="68">
        <f t="shared" si="5"/>
        <v>0</v>
      </c>
      <c r="I42" s="68">
        <f t="shared" si="5"/>
        <v>0</v>
      </c>
      <c r="J42" s="68">
        <f t="shared" si="5"/>
        <v>0</v>
      </c>
      <c r="K42" s="68">
        <f t="shared" si="5"/>
        <v>0</v>
      </c>
      <c r="L42" s="68">
        <f t="shared" si="5"/>
        <v>0</v>
      </c>
      <c r="M42" s="68">
        <f t="shared" si="5"/>
        <v>0</v>
      </c>
      <c r="N42" s="68">
        <f t="shared" si="5"/>
        <v>0</v>
      </c>
      <c r="O42" s="68">
        <f t="shared" si="5"/>
        <v>0</v>
      </c>
      <c r="P42" s="68">
        <f t="shared" si="5"/>
        <v>0</v>
      </c>
      <c r="Q42" s="68">
        <f t="shared" si="10"/>
        <v>0</v>
      </c>
      <c r="R42" s="68">
        <f t="shared" si="11"/>
        <v>0</v>
      </c>
      <c r="S42" s="68">
        <f t="shared" si="11"/>
        <v>0</v>
      </c>
      <c r="T42" s="68">
        <f t="shared" si="11"/>
        <v>0</v>
      </c>
      <c r="U42" s="68">
        <f t="shared" si="11"/>
        <v>0</v>
      </c>
    </row>
    <row r="43" spans="1:21" s="51" customFormat="1" ht="13" x14ac:dyDescent="0.35">
      <c r="A43" s="10">
        <f>O8</f>
        <v>0</v>
      </c>
      <c r="B43" s="12"/>
      <c r="C43" s="68">
        <f t="shared" si="6"/>
        <v>0</v>
      </c>
      <c r="D43" s="68">
        <f t="shared" si="7"/>
        <v>0</v>
      </c>
      <c r="E43" s="68">
        <f t="shared" si="8"/>
        <v>0</v>
      </c>
      <c r="F43" s="68">
        <f t="shared" si="9"/>
        <v>0</v>
      </c>
      <c r="G43" s="68">
        <f t="shared" si="5"/>
        <v>0</v>
      </c>
      <c r="H43" s="68">
        <f t="shared" si="5"/>
        <v>0</v>
      </c>
      <c r="I43" s="68">
        <f t="shared" si="5"/>
        <v>0</v>
      </c>
      <c r="J43" s="68">
        <f t="shared" si="5"/>
        <v>0</v>
      </c>
      <c r="K43" s="68">
        <f t="shared" si="5"/>
        <v>0</v>
      </c>
      <c r="L43" s="68">
        <f t="shared" si="5"/>
        <v>0</v>
      </c>
      <c r="M43" s="68">
        <f t="shared" si="5"/>
        <v>0</v>
      </c>
      <c r="N43" s="68">
        <f t="shared" si="5"/>
        <v>0</v>
      </c>
      <c r="O43" s="68">
        <f t="shared" si="5"/>
        <v>0</v>
      </c>
      <c r="P43" s="68">
        <f t="shared" si="5"/>
        <v>0</v>
      </c>
      <c r="Q43" s="68">
        <f t="shared" si="10"/>
        <v>0</v>
      </c>
      <c r="R43" s="68">
        <f t="shared" si="11"/>
        <v>0</v>
      </c>
      <c r="S43" s="68">
        <f t="shared" si="11"/>
        <v>0</v>
      </c>
      <c r="T43" s="68">
        <f t="shared" si="11"/>
        <v>0</v>
      </c>
      <c r="U43" s="68">
        <f t="shared" si="11"/>
        <v>0</v>
      </c>
    </row>
    <row r="44" spans="1:21" s="51" customFormat="1" ht="13" x14ac:dyDescent="0.35">
      <c r="A44" s="10">
        <f>P8</f>
        <v>0</v>
      </c>
      <c r="B44" s="12"/>
      <c r="C44" s="68">
        <f t="shared" si="6"/>
        <v>0</v>
      </c>
      <c r="D44" s="68">
        <f t="shared" si="7"/>
        <v>0</v>
      </c>
      <c r="E44" s="68">
        <f t="shared" si="8"/>
        <v>0</v>
      </c>
      <c r="F44" s="68">
        <f t="shared" si="9"/>
        <v>0</v>
      </c>
      <c r="G44" s="68">
        <f t="shared" si="5"/>
        <v>0</v>
      </c>
      <c r="H44" s="68">
        <f t="shared" si="5"/>
        <v>0</v>
      </c>
      <c r="I44" s="68">
        <f t="shared" si="5"/>
        <v>0</v>
      </c>
      <c r="J44" s="68">
        <f t="shared" si="5"/>
        <v>0</v>
      </c>
      <c r="K44" s="68">
        <f t="shared" si="5"/>
        <v>0</v>
      </c>
      <c r="L44" s="68">
        <f t="shared" si="5"/>
        <v>0</v>
      </c>
      <c r="M44" s="68">
        <f t="shared" si="5"/>
        <v>0</v>
      </c>
      <c r="N44" s="68">
        <f t="shared" si="5"/>
        <v>0</v>
      </c>
      <c r="O44" s="68">
        <f t="shared" si="5"/>
        <v>0</v>
      </c>
      <c r="P44" s="68">
        <f t="shared" si="5"/>
        <v>0</v>
      </c>
      <c r="Q44" s="68">
        <f t="shared" si="10"/>
        <v>0</v>
      </c>
      <c r="R44" s="68">
        <f t="shared" si="11"/>
        <v>0</v>
      </c>
      <c r="S44" s="68">
        <f t="shared" si="11"/>
        <v>0</v>
      </c>
      <c r="T44" s="68">
        <f t="shared" si="11"/>
        <v>0</v>
      </c>
      <c r="U44" s="68">
        <f t="shared" si="11"/>
        <v>0</v>
      </c>
    </row>
    <row r="45" spans="1:21" s="51" customFormat="1" ht="13" x14ac:dyDescent="0.35">
      <c r="A45" s="10">
        <f>Q8</f>
        <v>0</v>
      </c>
      <c r="B45" s="12"/>
      <c r="C45" s="68">
        <f t="shared" si="6"/>
        <v>0</v>
      </c>
      <c r="D45" s="68">
        <f t="shared" si="7"/>
        <v>0</v>
      </c>
      <c r="E45" s="68">
        <f t="shared" si="8"/>
        <v>0</v>
      </c>
      <c r="F45" s="68">
        <f t="shared" si="9"/>
        <v>0</v>
      </c>
      <c r="G45" s="68">
        <f t="shared" si="5"/>
        <v>0</v>
      </c>
      <c r="H45" s="68">
        <f t="shared" si="5"/>
        <v>0</v>
      </c>
      <c r="I45" s="68">
        <f t="shared" si="5"/>
        <v>0</v>
      </c>
      <c r="J45" s="68">
        <f t="shared" si="5"/>
        <v>0</v>
      </c>
      <c r="K45" s="68">
        <f t="shared" si="5"/>
        <v>0</v>
      </c>
      <c r="L45" s="68">
        <f t="shared" si="5"/>
        <v>0</v>
      </c>
      <c r="M45" s="68">
        <f t="shared" si="5"/>
        <v>0</v>
      </c>
      <c r="N45" s="68">
        <f t="shared" si="5"/>
        <v>0</v>
      </c>
      <c r="O45" s="68">
        <f t="shared" si="5"/>
        <v>0</v>
      </c>
      <c r="P45" s="68">
        <f t="shared" si="5"/>
        <v>0</v>
      </c>
      <c r="Q45" s="68">
        <f t="shared" si="10"/>
        <v>0</v>
      </c>
      <c r="R45" s="68">
        <f t="shared" si="11"/>
        <v>0</v>
      </c>
      <c r="S45" s="68">
        <f t="shared" si="11"/>
        <v>0</v>
      </c>
      <c r="T45" s="68">
        <f t="shared" si="11"/>
        <v>0</v>
      </c>
      <c r="U45" s="68">
        <f t="shared" si="11"/>
        <v>0</v>
      </c>
    </row>
    <row r="46" spans="1:21" s="51" customFormat="1" ht="13" x14ac:dyDescent="0.35">
      <c r="A46" s="10">
        <f>R8</f>
        <v>0</v>
      </c>
      <c r="B46" s="12"/>
      <c r="C46" s="68">
        <f t="shared" si="6"/>
        <v>0</v>
      </c>
      <c r="D46" s="68">
        <f t="shared" si="7"/>
        <v>0</v>
      </c>
      <c r="E46" s="68">
        <f t="shared" si="8"/>
        <v>0</v>
      </c>
      <c r="F46" s="68">
        <f t="shared" si="9"/>
        <v>0</v>
      </c>
      <c r="G46" s="68">
        <f t="shared" si="5"/>
        <v>0</v>
      </c>
      <c r="H46" s="68">
        <f t="shared" si="5"/>
        <v>0</v>
      </c>
      <c r="I46" s="68">
        <f t="shared" si="5"/>
        <v>0</v>
      </c>
      <c r="J46" s="68">
        <f t="shared" si="5"/>
        <v>0</v>
      </c>
      <c r="K46" s="68">
        <f t="shared" si="5"/>
        <v>0</v>
      </c>
      <c r="L46" s="68">
        <f t="shared" si="5"/>
        <v>0</v>
      </c>
      <c r="M46" s="68">
        <f t="shared" si="5"/>
        <v>0</v>
      </c>
      <c r="N46" s="68">
        <f t="shared" si="5"/>
        <v>0</v>
      </c>
      <c r="O46" s="68">
        <f t="shared" si="5"/>
        <v>0</v>
      </c>
      <c r="P46" s="68">
        <f t="shared" si="5"/>
        <v>0</v>
      </c>
      <c r="Q46" s="68">
        <f t="shared" si="10"/>
        <v>0</v>
      </c>
      <c r="R46" s="68">
        <f t="shared" si="11"/>
        <v>0</v>
      </c>
      <c r="S46" s="68">
        <f t="shared" si="11"/>
        <v>0</v>
      </c>
      <c r="T46" s="68">
        <f t="shared" si="11"/>
        <v>0</v>
      </c>
      <c r="U46" s="68">
        <f t="shared" si="11"/>
        <v>0</v>
      </c>
    </row>
    <row r="47" spans="1:21" s="51" customFormat="1" ht="13" x14ac:dyDescent="0.35">
      <c r="A47" s="10">
        <f>S8</f>
        <v>0</v>
      </c>
      <c r="B47" s="12"/>
      <c r="C47" s="68">
        <f t="shared" si="6"/>
        <v>0</v>
      </c>
      <c r="D47" s="68">
        <f t="shared" si="7"/>
        <v>0</v>
      </c>
      <c r="E47" s="68">
        <f t="shared" si="8"/>
        <v>0</v>
      </c>
      <c r="F47" s="68">
        <f t="shared" si="9"/>
        <v>0</v>
      </c>
      <c r="G47" s="68">
        <f t="shared" ref="G47:P50" si="12">IF(G$27="%w/w SAR",((G$28*10)*$B47),IF(G$27="%w/w DM",(((G$28*10)*($B$28/100))*$B47),IF(G$27="kg/t SAR",(G$28*$B47),IF(G$27="kg/t DM",((G$28*($B$28/100))*$B47),IF(G$27="mg/kg SAR",((G$28*0.001)*$B47),IF(G$27="mg/kg DM",(((G$28*0.001)*($B$28/100))*$B47),0))))))</f>
        <v>0</v>
      </c>
      <c r="H47" s="68">
        <f t="shared" si="12"/>
        <v>0</v>
      </c>
      <c r="I47" s="68">
        <f t="shared" si="12"/>
        <v>0</v>
      </c>
      <c r="J47" s="68">
        <f t="shared" si="12"/>
        <v>0</v>
      </c>
      <c r="K47" s="68">
        <f t="shared" si="12"/>
        <v>0</v>
      </c>
      <c r="L47" s="68">
        <f t="shared" si="12"/>
        <v>0</v>
      </c>
      <c r="M47" s="68">
        <f t="shared" si="12"/>
        <v>0</v>
      </c>
      <c r="N47" s="68">
        <f t="shared" si="12"/>
        <v>0</v>
      </c>
      <c r="O47" s="68">
        <f t="shared" si="12"/>
        <v>0</v>
      </c>
      <c r="P47" s="68">
        <f t="shared" si="12"/>
        <v>0</v>
      </c>
      <c r="Q47" s="68">
        <f t="shared" si="10"/>
        <v>0</v>
      </c>
      <c r="R47" s="68">
        <f t="shared" si="11"/>
        <v>0</v>
      </c>
      <c r="S47" s="68">
        <f t="shared" si="11"/>
        <v>0</v>
      </c>
      <c r="T47" s="68">
        <f t="shared" si="11"/>
        <v>0</v>
      </c>
      <c r="U47" s="68">
        <f t="shared" si="11"/>
        <v>0</v>
      </c>
    </row>
    <row r="48" spans="1:21" s="51" customFormat="1" ht="13" x14ac:dyDescent="0.35">
      <c r="A48" s="10">
        <f>T8</f>
        <v>0</v>
      </c>
      <c r="B48" s="12"/>
      <c r="C48" s="68">
        <f t="shared" si="6"/>
        <v>0</v>
      </c>
      <c r="D48" s="68">
        <f t="shared" si="7"/>
        <v>0</v>
      </c>
      <c r="E48" s="68">
        <f t="shared" si="8"/>
        <v>0</v>
      </c>
      <c r="F48" s="68">
        <f t="shared" si="9"/>
        <v>0</v>
      </c>
      <c r="G48" s="68">
        <f t="shared" si="12"/>
        <v>0</v>
      </c>
      <c r="H48" s="68">
        <f t="shared" si="12"/>
        <v>0</v>
      </c>
      <c r="I48" s="68">
        <f t="shared" si="12"/>
        <v>0</v>
      </c>
      <c r="J48" s="68">
        <f t="shared" si="12"/>
        <v>0</v>
      </c>
      <c r="K48" s="68">
        <f t="shared" si="12"/>
        <v>0</v>
      </c>
      <c r="L48" s="68">
        <f t="shared" si="12"/>
        <v>0</v>
      </c>
      <c r="M48" s="68">
        <f t="shared" si="12"/>
        <v>0</v>
      </c>
      <c r="N48" s="68">
        <f t="shared" si="12"/>
        <v>0</v>
      </c>
      <c r="O48" s="68">
        <f t="shared" si="12"/>
        <v>0</v>
      </c>
      <c r="P48" s="68">
        <f t="shared" si="12"/>
        <v>0</v>
      </c>
      <c r="Q48" s="68">
        <f t="shared" si="10"/>
        <v>0</v>
      </c>
      <c r="R48" s="68">
        <f t="shared" si="11"/>
        <v>0</v>
      </c>
      <c r="S48" s="68">
        <f t="shared" si="11"/>
        <v>0</v>
      </c>
      <c r="T48" s="68">
        <f t="shared" si="11"/>
        <v>0</v>
      </c>
      <c r="U48" s="68">
        <f t="shared" si="11"/>
        <v>0</v>
      </c>
    </row>
    <row r="49" spans="1:21" s="51" customFormat="1" ht="13" x14ac:dyDescent="0.35">
      <c r="A49" s="10">
        <f>U8</f>
        <v>0</v>
      </c>
      <c r="B49" s="12"/>
      <c r="C49" s="68">
        <f t="shared" si="6"/>
        <v>0</v>
      </c>
      <c r="D49" s="68">
        <f t="shared" si="7"/>
        <v>0</v>
      </c>
      <c r="E49" s="68">
        <f t="shared" si="8"/>
        <v>0</v>
      </c>
      <c r="F49" s="68">
        <f t="shared" si="9"/>
        <v>0</v>
      </c>
      <c r="G49" s="68">
        <f t="shared" si="12"/>
        <v>0</v>
      </c>
      <c r="H49" s="68">
        <f t="shared" si="12"/>
        <v>0</v>
      </c>
      <c r="I49" s="68">
        <f t="shared" si="12"/>
        <v>0</v>
      </c>
      <c r="J49" s="68">
        <f t="shared" si="12"/>
        <v>0</v>
      </c>
      <c r="K49" s="68">
        <f t="shared" si="12"/>
        <v>0</v>
      </c>
      <c r="L49" s="68">
        <f t="shared" si="12"/>
        <v>0</v>
      </c>
      <c r="M49" s="68">
        <f t="shared" si="12"/>
        <v>0</v>
      </c>
      <c r="N49" s="68">
        <f t="shared" si="12"/>
        <v>0</v>
      </c>
      <c r="O49" s="68">
        <f t="shared" si="12"/>
        <v>0</v>
      </c>
      <c r="P49" s="68">
        <f t="shared" si="12"/>
        <v>0</v>
      </c>
      <c r="Q49" s="68">
        <f t="shared" si="10"/>
        <v>0</v>
      </c>
      <c r="R49" s="68">
        <f t="shared" si="11"/>
        <v>0</v>
      </c>
      <c r="S49" s="68">
        <f t="shared" si="11"/>
        <v>0</v>
      </c>
      <c r="T49" s="68">
        <f t="shared" si="11"/>
        <v>0</v>
      </c>
      <c r="U49" s="68">
        <f t="shared" si="11"/>
        <v>0</v>
      </c>
    </row>
    <row r="50" spans="1:21" s="51" customFormat="1" ht="13.5" thickBot="1" x14ac:dyDescent="0.4">
      <c r="A50" s="11">
        <f>V8</f>
        <v>0</v>
      </c>
      <c r="B50" s="12"/>
      <c r="C50" s="87">
        <f t="shared" si="6"/>
        <v>0</v>
      </c>
      <c r="D50" s="87">
        <f t="shared" si="7"/>
        <v>0</v>
      </c>
      <c r="E50" s="87">
        <f t="shared" si="8"/>
        <v>0</v>
      </c>
      <c r="F50" s="87">
        <f t="shared" si="9"/>
        <v>0</v>
      </c>
      <c r="G50" s="87">
        <f t="shared" si="12"/>
        <v>0</v>
      </c>
      <c r="H50" s="87">
        <f t="shared" si="12"/>
        <v>0</v>
      </c>
      <c r="I50" s="87">
        <f t="shared" si="12"/>
        <v>0</v>
      </c>
      <c r="J50" s="87">
        <f t="shared" si="12"/>
        <v>0</v>
      </c>
      <c r="K50" s="87">
        <f t="shared" si="12"/>
        <v>0</v>
      </c>
      <c r="L50" s="87">
        <f t="shared" si="12"/>
        <v>0</v>
      </c>
      <c r="M50" s="87">
        <f t="shared" si="12"/>
        <v>0</v>
      </c>
      <c r="N50" s="87">
        <f t="shared" si="12"/>
        <v>0</v>
      </c>
      <c r="O50" s="87">
        <f t="shared" si="12"/>
        <v>0</v>
      </c>
      <c r="P50" s="87">
        <f t="shared" si="12"/>
        <v>0</v>
      </c>
      <c r="Q50" s="87">
        <f t="shared" si="10"/>
        <v>0</v>
      </c>
      <c r="R50" s="87">
        <f t="shared" si="11"/>
        <v>0</v>
      </c>
      <c r="S50" s="87">
        <f t="shared" si="11"/>
        <v>0</v>
      </c>
      <c r="T50" s="87">
        <f t="shared" si="11"/>
        <v>0</v>
      </c>
      <c r="U50" s="87">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5">
        <v>20</v>
      </c>
    </row>
    <row r="53" spans="1:21" ht="13" x14ac:dyDescent="0.35">
      <c r="A53" s="7" t="s">
        <v>130</v>
      </c>
    </row>
    <row r="54" spans="1:21" ht="26" x14ac:dyDescent="0.3">
      <c r="A54" s="98"/>
      <c r="B54" s="102" t="s">
        <v>149</v>
      </c>
      <c r="C54" s="102" t="s">
        <v>150</v>
      </c>
      <c r="D54" s="102" t="s">
        <v>127</v>
      </c>
      <c r="E54" s="102" t="s">
        <v>128</v>
      </c>
      <c r="F54" s="102" t="s">
        <v>151</v>
      </c>
      <c r="G54" s="102" t="s">
        <v>129</v>
      </c>
      <c r="H54" s="51"/>
      <c r="I54" s="51"/>
      <c r="J54" s="51"/>
      <c r="K54" s="51"/>
      <c r="L54" s="51"/>
      <c r="M54" s="51"/>
      <c r="N54" s="51"/>
      <c r="O54" s="51"/>
      <c r="P54" s="51"/>
      <c r="Q54" s="51"/>
      <c r="R54" s="51"/>
      <c r="S54" s="51"/>
      <c r="T54" s="51"/>
      <c r="U54" s="51"/>
    </row>
    <row r="55" spans="1:21" x14ac:dyDescent="0.25">
      <c r="A55" s="99"/>
      <c r="B55" s="103"/>
      <c r="C55" s="104"/>
      <c r="D55" s="105">
        <f>(B55/100)*C55</f>
        <v>0</v>
      </c>
      <c r="E55" s="105">
        <f>G55</f>
        <v>0</v>
      </c>
      <c r="F55" s="104"/>
      <c r="G55" s="105">
        <f>(B55/100)*F55</f>
        <v>0</v>
      </c>
      <c r="H55" s="51"/>
      <c r="I55" s="51"/>
      <c r="J55" s="51"/>
      <c r="K55" s="51"/>
      <c r="L55" s="51"/>
      <c r="M55" s="51"/>
      <c r="N55" s="51"/>
      <c r="O55" s="51"/>
      <c r="P55" s="51"/>
      <c r="Q55" s="51"/>
      <c r="R55" s="51"/>
      <c r="S55" s="51"/>
      <c r="T55" s="51"/>
      <c r="U55" s="51"/>
    </row>
    <row r="56" spans="1:21" ht="13" x14ac:dyDescent="0.3">
      <c r="A56" s="82" t="s">
        <v>63</v>
      </c>
      <c r="B56" s="8">
        <v>1</v>
      </c>
      <c r="C56" s="64">
        <v>2</v>
      </c>
      <c r="D56" s="65">
        <v>3</v>
      </c>
      <c r="E56" s="65">
        <v>4</v>
      </c>
      <c r="F56" s="64">
        <v>5</v>
      </c>
      <c r="G56" s="65">
        <v>6</v>
      </c>
      <c r="H56" s="66">
        <v>7</v>
      </c>
      <c r="I56" s="66">
        <v>8</v>
      </c>
      <c r="J56" s="66">
        <v>9</v>
      </c>
      <c r="K56" s="64">
        <v>10</v>
      </c>
      <c r="L56" s="64">
        <v>11</v>
      </c>
      <c r="M56" s="65">
        <v>12</v>
      </c>
      <c r="N56" s="65">
        <v>13</v>
      </c>
      <c r="O56" s="64">
        <v>14</v>
      </c>
      <c r="P56" s="65">
        <v>15</v>
      </c>
      <c r="Q56" s="66">
        <v>16</v>
      </c>
      <c r="R56" s="66">
        <v>17</v>
      </c>
      <c r="S56" s="66">
        <v>18</v>
      </c>
      <c r="T56" s="64">
        <v>19</v>
      </c>
      <c r="U56" s="64">
        <v>20</v>
      </c>
    </row>
    <row r="57" spans="1:21" ht="13" x14ac:dyDescent="0.35">
      <c r="A57" s="82" t="s">
        <v>2</v>
      </c>
      <c r="B57" s="8" t="str">
        <f>C8</f>
        <v>Nant Y Croi 9</v>
      </c>
      <c r="C57" s="8" t="str">
        <f t="shared" ref="C57:U57" si="13">D8</f>
        <v>Hafod 4315</v>
      </c>
      <c r="D57" s="8" t="str">
        <f t="shared" si="13"/>
        <v>Hafod 4734</v>
      </c>
      <c r="E57" s="8" t="str">
        <f t="shared" si="13"/>
        <v>Hafod 5761</v>
      </c>
      <c r="F57" s="8" t="str">
        <f t="shared" si="13"/>
        <v>Hafod 4067</v>
      </c>
      <c r="G57" s="8" t="str">
        <f t="shared" si="13"/>
        <v>Hafod 2455</v>
      </c>
      <c r="H57" s="8" t="str">
        <f t="shared" si="13"/>
        <v>Hafod 1741</v>
      </c>
      <c r="I57" s="8" t="str">
        <f t="shared" si="13"/>
        <v>Hafod 0720</v>
      </c>
      <c r="J57" s="8" t="str">
        <f t="shared" si="13"/>
        <v>Solafron 2893</v>
      </c>
      <c r="K57" s="8" t="str">
        <f t="shared" si="13"/>
        <v>Solafron 2611</v>
      </c>
      <c r="L57" s="8" t="str">
        <f t="shared" si="13"/>
        <v>Solafron 1404</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82" t="s">
        <v>136</v>
      </c>
      <c r="B58" s="10" t="str">
        <f>C16&amp;" I "&amp;(VLOOKUP(C14,Table24581114[],6,FALSE))</f>
        <v>Medium/Clay I Grass</v>
      </c>
      <c r="C58" s="10" t="str">
        <f>D16&amp;" I "&amp;(VLOOKUP(D14,Table24581114[],6,FALSE))</f>
        <v>Medium/Clay I Grass</v>
      </c>
      <c r="D58" s="10" t="str">
        <f>E16&amp;" I "&amp;(VLOOKUP(E14,Table24581114[],6,FALSE))</f>
        <v>Medium/Clay I Grass</v>
      </c>
      <c r="E58" s="10" t="str">
        <f>F16&amp;" I "&amp;(VLOOKUP(F14,Table24581114[],6,FALSE))</f>
        <v>Medium/Clay I Grass</v>
      </c>
      <c r="F58" s="10" t="str">
        <f>G16&amp;" I "&amp;(VLOOKUP(G14,Table24581114[],6,FALSE))</f>
        <v>Medium/Clay I Grass</v>
      </c>
      <c r="G58" s="10" t="str">
        <f>H16&amp;" I "&amp;(VLOOKUP(H14,Table24581114[],6,FALSE))</f>
        <v>Medium/Clay I Grass</v>
      </c>
      <c r="H58" s="10" t="str">
        <f>I16&amp;" I "&amp;(VLOOKUP(I14,Table24581114[],6,FALSE))</f>
        <v>Medium/Clay I Grass</v>
      </c>
      <c r="I58" s="10" t="str">
        <f>J16&amp;" I "&amp;(VLOOKUP(J14,Table24581114[],6,FALSE))</f>
        <v>Medium/Clay I Grass</v>
      </c>
      <c r="J58" s="10" t="str">
        <f>K16&amp;" I "&amp;(VLOOKUP(K14,Table24581114[],6,FALSE))</f>
        <v>Medium/Clay I Grass</v>
      </c>
      <c r="K58" s="10" t="str">
        <f>L16&amp;" I "&amp;(VLOOKUP(L14,Table24581114[],6,FALSE))</f>
        <v>Medium/Clay I Grass</v>
      </c>
      <c r="L58" s="10" t="str">
        <f>M16&amp;" I "&amp;(VLOOKUP(M14,Table24581114[],6,FALSE))</f>
        <v>Medium/Clay I Grass</v>
      </c>
      <c r="M58" s="10" t="e">
        <f>N16&amp;" I "&amp;(VLOOKUP(N14,Table24581114[],6,FALSE))</f>
        <v>#N/A</v>
      </c>
      <c r="N58" s="10" t="e">
        <f>O16&amp;" I "&amp;(VLOOKUP(O14,Table24581114[],6,FALSE))</f>
        <v>#N/A</v>
      </c>
      <c r="O58" s="10" t="e">
        <f>P16&amp;" I "&amp;(VLOOKUP(P14,Table24581114[],6,FALSE))</f>
        <v>#N/A</v>
      </c>
      <c r="P58" s="10" t="e">
        <f>Q16&amp;" I "&amp;(VLOOKUP(Q14,Table24581114[],6,FALSE))</f>
        <v>#N/A</v>
      </c>
      <c r="Q58" s="10" t="e">
        <f>R16&amp;" I "&amp;(VLOOKUP(R14,Table24581114[],6,FALSE))</f>
        <v>#N/A</v>
      </c>
      <c r="R58" s="10" t="e">
        <f>S16&amp;" I "&amp;(VLOOKUP(S14,Table24581114[],6,FALSE))</f>
        <v>#N/A</v>
      </c>
      <c r="S58" s="10" t="e">
        <f>T16&amp;" I "&amp;(VLOOKUP(T14,Table24581114[],6,FALSE))</f>
        <v>#N/A</v>
      </c>
      <c r="T58" s="10" t="e">
        <f>U16&amp;" I "&amp;(VLOOKUP(U14,Table24581114[],6,FALSE))</f>
        <v>#N/A</v>
      </c>
      <c r="U58" s="10" t="e">
        <f>V16&amp;" I "&amp;(VLOOKUP(V14,Table24581114[],6,FALSE))</f>
        <v>#N/A</v>
      </c>
    </row>
    <row r="59" spans="1:21" ht="13" x14ac:dyDescent="0.3">
      <c r="A59" s="100" t="s">
        <v>132</v>
      </c>
      <c r="B59" s="67">
        <f>VLOOKUP(C$14,Table24581114[],5,FALSE)</f>
        <v>6.2</v>
      </c>
      <c r="C59" s="67">
        <f>VLOOKUP(D$14,Table24581114[],5,FALSE)</f>
        <v>6.2</v>
      </c>
      <c r="D59" s="67">
        <f>VLOOKUP(E$14,Table24581114[],5,FALSE)</f>
        <v>6.2</v>
      </c>
      <c r="E59" s="67">
        <f>VLOOKUP(F$14,Table24581114[],5,FALSE)</f>
        <v>6.2</v>
      </c>
      <c r="F59" s="67">
        <f>VLOOKUP(G$14,Table24581114[],5,FALSE)</f>
        <v>6.2</v>
      </c>
      <c r="G59" s="67">
        <f>VLOOKUP(H$14,Table24581114[],5,FALSE)</f>
        <v>6.2</v>
      </c>
      <c r="H59" s="67">
        <f>VLOOKUP(I$14,Table24581114[],5,FALSE)</f>
        <v>6.2</v>
      </c>
      <c r="I59" s="67">
        <f>VLOOKUP(J$14,Table24581114[],5,FALSE)</f>
        <v>6.2</v>
      </c>
      <c r="J59" s="67">
        <f>VLOOKUP(K$14,Table24581114[],5,FALSE)</f>
        <v>6.2</v>
      </c>
      <c r="K59" s="67">
        <f>VLOOKUP(L$14,Table24581114[],5,FALSE)</f>
        <v>6.2</v>
      </c>
      <c r="L59" s="67">
        <f>VLOOKUP(M$14,Table24581114[],5,FALSE)</f>
        <v>6.2</v>
      </c>
      <c r="M59" s="67" t="e">
        <f>VLOOKUP(N$14,Table24581114[],5,FALSE)</f>
        <v>#N/A</v>
      </c>
      <c r="N59" s="67" t="e">
        <f>VLOOKUP(O$14,Table24581114[],5,FALSE)</f>
        <v>#N/A</v>
      </c>
      <c r="O59" s="67" t="e">
        <f>VLOOKUP(P$14,Table24581114[],5,FALSE)</f>
        <v>#N/A</v>
      </c>
      <c r="P59" s="67" t="e">
        <f>VLOOKUP(Q$14,Table24581114[],5,FALSE)</f>
        <v>#N/A</v>
      </c>
      <c r="Q59" s="67" t="e">
        <f>VLOOKUP(R$14,Table24581114[],5,FALSE)</f>
        <v>#N/A</v>
      </c>
      <c r="R59" s="67" t="e">
        <f>VLOOKUP(S$14,Table24581114[],5,FALSE)</f>
        <v>#N/A</v>
      </c>
      <c r="S59" s="67" t="e">
        <f>VLOOKUP(T$14,Table24581114[],5,FALSE)</f>
        <v>#N/A</v>
      </c>
      <c r="T59" s="67" t="e">
        <f>VLOOKUP(U$14,Table24581114[],5,FALSE)</f>
        <v>#N/A</v>
      </c>
      <c r="U59" s="67" t="e">
        <f>VLOOKUP(V$14,Table24581114[],5,FALSE)</f>
        <v>#N/A</v>
      </c>
    </row>
    <row r="60" spans="1:21" ht="13" x14ac:dyDescent="0.3">
      <c r="A60" s="100" t="s">
        <v>4</v>
      </c>
      <c r="B60" s="67">
        <f>C10</f>
        <v>5.4</v>
      </c>
      <c r="C60" s="67">
        <f t="shared" ref="C60:U60" si="14">D10</f>
        <v>6.3</v>
      </c>
      <c r="D60" s="67">
        <f t="shared" si="14"/>
        <v>6.3</v>
      </c>
      <c r="E60" s="67">
        <f t="shared" si="14"/>
        <v>6.2</v>
      </c>
      <c r="F60" s="67">
        <f t="shared" si="14"/>
        <v>6.2</v>
      </c>
      <c r="G60" s="67">
        <f t="shared" si="14"/>
        <v>6.3</v>
      </c>
      <c r="H60" s="67">
        <f t="shared" si="14"/>
        <v>6.3</v>
      </c>
      <c r="I60" s="67">
        <f t="shared" si="14"/>
        <v>6.2</v>
      </c>
      <c r="J60" s="67">
        <f t="shared" si="14"/>
        <v>6.3</v>
      </c>
      <c r="K60" s="67">
        <f t="shared" si="14"/>
        <v>6.3</v>
      </c>
      <c r="L60" s="67">
        <f t="shared" si="14"/>
        <v>6.3</v>
      </c>
      <c r="M60" s="67">
        <f t="shared" si="14"/>
        <v>0</v>
      </c>
      <c r="N60" s="67">
        <f t="shared" si="14"/>
        <v>0</v>
      </c>
      <c r="O60" s="67">
        <f t="shared" si="14"/>
        <v>0</v>
      </c>
      <c r="P60" s="67">
        <f t="shared" si="14"/>
        <v>0</v>
      </c>
      <c r="Q60" s="67">
        <f t="shared" si="14"/>
        <v>0</v>
      </c>
      <c r="R60" s="67">
        <f t="shared" si="14"/>
        <v>0</v>
      </c>
      <c r="S60" s="67">
        <f t="shared" si="14"/>
        <v>0</v>
      </c>
      <c r="T60" s="67">
        <f t="shared" si="14"/>
        <v>0</v>
      </c>
      <c r="U60" s="67">
        <f t="shared" si="14"/>
        <v>0</v>
      </c>
    </row>
    <row r="61" spans="1:21" ht="13" x14ac:dyDescent="0.3">
      <c r="A61" s="100" t="s">
        <v>133</v>
      </c>
      <c r="B61" s="67">
        <f t="shared" ref="B61:U61" si="15">VLOOKUP(B58,$AD9:$AE18,2,FALSE)</f>
        <v>6</v>
      </c>
      <c r="C61" s="67">
        <f t="shared" si="15"/>
        <v>6</v>
      </c>
      <c r="D61" s="67">
        <f t="shared" si="15"/>
        <v>6</v>
      </c>
      <c r="E61" s="67">
        <f t="shared" si="15"/>
        <v>6</v>
      </c>
      <c r="F61" s="67">
        <f t="shared" si="15"/>
        <v>6</v>
      </c>
      <c r="G61" s="67">
        <f t="shared" si="15"/>
        <v>6</v>
      </c>
      <c r="H61" s="67">
        <f t="shared" si="15"/>
        <v>6</v>
      </c>
      <c r="I61" s="67">
        <f t="shared" si="15"/>
        <v>6</v>
      </c>
      <c r="J61" s="67">
        <f t="shared" si="15"/>
        <v>6</v>
      </c>
      <c r="K61" s="67">
        <f t="shared" si="15"/>
        <v>6</v>
      </c>
      <c r="L61" s="67">
        <f t="shared" si="15"/>
        <v>6</v>
      </c>
      <c r="M61" s="67" t="e">
        <f t="shared" si="15"/>
        <v>#N/A</v>
      </c>
      <c r="N61" s="67" t="e">
        <f t="shared" si="15"/>
        <v>#N/A</v>
      </c>
      <c r="O61" s="67" t="e">
        <f t="shared" si="15"/>
        <v>#N/A</v>
      </c>
      <c r="P61" s="67" t="e">
        <f t="shared" si="15"/>
        <v>#N/A</v>
      </c>
      <c r="Q61" s="67" t="e">
        <f t="shared" si="15"/>
        <v>#N/A</v>
      </c>
      <c r="R61" s="67" t="e">
        <f t="shared" si="15"/>
        <v>#N/A</v>
      </c>
      <c r="S61" s="67" t="e">
        <f t="shared" si="15"/>
        <v>#N/A</v>
      </c>
      <c r="T61" s="67" t="e">
        <f t="shared" si="15"/>
        <v>#N/A</v>
      </c>
      <c r="U61" s="67" t="e">
        <f t="shared" si="15"/>
        <v>#N/A</v>
      </c>
    </row>
    <row r="62" spans="1:21" ht="13" x14ac:dyDescent="0.3">
      <c r="A62" s="100" t="s">
        <v>134</v>
      </c>
      <c r="B62" s="68">
        <f>B31</f>
        <v>0</v>
      </c>
      <c r="C62" s="68">
        <f>B32</f>
        <v>190</v>
      </c>
      <c r="D62" s="68">
        <f>B33</f>
        <v>190</v>
      </c>
      <c r="E62" s="68">
        <f>B34</f>
        <v>190</v>
      </c>
      <c r="F62" s="68">
        <f>B35</f>
        <v>190</v>
      </c>
      <c r="G62" s="68">
        <f>B36</f>
        <v>190</v>
      </c>
      <c r="H62" s="68">
        <f>B37</f>
        <v>190</v>
      </c>
      <c r="I62" s="68">
        <f>B38</f>
        <v>190</v>
      </c>
      <c r="J62" s="68">
        <f>B39</f>
        <v>190</v>
      </c>
      <c r="K62" s="68">
        <f>B40</f>
        <v>190</v>
      </c>
      <c r="L62" s="68">
        <f>B41</f>
        <v>190</v>
      </c>
      <c r="M62" s="68">
        <f>B42</f>
        <v>0</v>
      </c>
      <c r="N62" s="68">
        <f>B43</f>
        <v>0</v>
      </c>
      <c r="O62" s="68">
        <f>B44</f>
        <v>0</v>
      </c>
      <c r="P62" s="68">
        <f>B45</f>
        <v>0</v>
      </c>
      <c r="Q62" s="68">
        <f>B46</f>
        <v>0</v>
      </c>
      <c r="R62" s="68">
        <f>B47</f>
        <v>0</v>
      </c>
      <c r="S62" s="68">
        <f>B48</f>
        <v>0</v>
      </c>
      <c r="T62" s="68">
        <f>B49</f>
        <v>0</v>
      </c>
      <c r="U62" s="68">
        <f>B50</f>
        <v>0</v>
      </c>
    </row>
    <row r="63" spans="1:21" ht="39" x14ac:dyDescent="0.3">
      <c r="A63" s="101" t="s">
        <v>155</v>
      </c>
      <c r="B63" s="68">
        <f>$E55*(B62/100)</f>
        <v>0</v>
      </c>
      <c r="C63" s="68">
        <f t="shared" ref="C63:U63" si="16">$E55*(C62/100)</f>
        <v>0</v>
      </c>
      <c r="D63" s="68">
        <f t="shared" si="16"/>
        <v>0</v>
      </c>
      <c r="E63" s="68">
        <f t="shared" si="16"/>
        <v>0</v>
      </c>
      <c r="F63" s="68">
        <f>$E55*(F62/100)</f>
        <v>0</v>
      </c>
      <c r="G63" s="68">
        <f t="shared" si="16"/>
        <v>0</v>
      </c>
      <c r="H63" s="68">
        <f t="shared" si="16"/>
        <v>0</v>
      </c>
      <c r="I63" s="68">
        <f t="shared" si="16"/>
        <v>0</v>
      </c>
      <c r="J63" s="68">
        <f t="shared" si="16"/>
        <v>0</v>
      </c>
      <c r="K63" s="68">
        <f t="shared" si="16"/>
        <v>0</v>
      </c>
      <c r="L63" s="68">
        <f t="shared" si="16"/>
        <v>0</v>
      </c>
      <c r="M63" s="68">
        <f t="shared" si="16"/>
        <v>0</v>
      </c>
      <c r="N63" s="68">
        <f t="shared" si="16"/>
        <v>0</v>
      </c>
      <c r="O63" s="68">
        <f t="shared" si="16"/>
        <v>0</v>
      </c>
      <c r="P63" s="68">
        <f t="shared" si="16"/>
        <v>0</v>
      </c>
      <c r="Q63" s="68">
        <f t="shared" si="16"/>
        <v>0</v>
      </c>
      <c r="R63" s="68">
        <f t="shared" si="16"/>
        <v>0</v>
      </c>
      <c r="S63" s="68">
        <f t="shared" si="16"/>
        <v>0</v>
      </c>
      <c r="T63" s="68">
        <f t="shared" si="16"/>
        <v>0</v>
      </c>
      <c r="U63" s="68">
        <f t="shared" si="16"/>
        <v>0</v>
      </c>
    </row>
    <row r="64" spans="1:21" ht="52" x14ac:dyDescent="0.3">
      <c r="A64" s="101" t="s">
        <v>156</v>
      </c>
      <c r="B64" s="68">
        <f>(B59-B60)*B61</f>
        <v>4.7999999999999989</v>
      </c>
      <c r="C64" s="68">
        <f t="shared" ref="C64:U64" si="17">(C59-C60)*C61</f>
        <v>-0.59999999999999787</v>
      </c>
      <c r="D64" s="68">
        <f t="shared" si="17"/>
        <v>-0.59999999999999787</v>
      </c>
      <c r="E64" s="68">
        <f t="shared" si="17"/>
        <v>0</v>
      </c>
      <c r="F64" s="68">
        <f t="shared" si="17"/>
        <v>0</v>
      </c>
      <c r="G64" s="68">
        <f t="shared" si="17"/>
        <v>-0.59999999999999787</v>
      </c>
      <c r="H64" s="68">
        <f t="shared" si="17"/>
        <v>-0.59999999999999787</v>
      </c>
      <c r="I64" s="68">
        <f t="shared" si="17"/>
        <v>0</v>
      </c>
      <c r="J64" s="68">
        <f t="shared" si="17"/>
        <v>-0.59999999999999787</v>
      </c>
      <c r="K64" s="68">
        <f t="shared" si="17"/>
        <v>-0.59999999999999787</v>
      </c>
      <c r="L64" s="68">
        <f t="shared" si="17"/>
        <v>-0.59999999999999787</v>
      </c>
      <c r="M64" s="68" t="e">
        <f t="shared" si="17"/>
        <v>#N/A</v>
      </c>
      <c r="N64" s="68" t="e">
        <f t="shared" si="17"/>
        <v>#N/A</v>
      </c>
      <c r="O64" s="68" t="e">
        <f t="shared" si="17"/>
        <v>#N/A</v>
      </c>
      <c r="P64" s="68" t="e">
        <f t="shared" si="17"/>
        <v>#N/A</v>
      </c>
      <c r="Q64" s="68" t="e">
        <f t="shared" si="17"/>
        <v>#N/A</v>
      </c>
      <c r="R64" s="68" t="e">
        <f t="shared" si="17"/>
        <v>#N/A</v>
      </c>
      <c r="S64" s="68" t="e">
        <f t="shared" si="17"/>
        <v>#N/A</v>
      </c>
      <c r="T64" s="68" t="e">
        <f t="shared" si="17"/>
        <v>#N/A</v>
      </c>
      <c r="U64" s="68" t="e">
        <f t="shared" si="17"/>
        <v>#N/A</v>
      </c>
    </row>
    <row r="65" spans="1:21" ht="52" x14ac:dyDescent="0.3">
      <c r="A65" s="101" t="s">
        <v>157</v>
      </c>
      <c r="B65" s="68">
        <f>B63-B64</f>
        <v>-4.7999999999999989</v>
      </c>
      <c r="C65" s="68">
        <f t="shared" ref="C65:U65" si="18">C63-C64</f>
        <v>0.59999999999999787</v>
      </c>
      <c r="D65" s="68">
        <f t="shared" si="18"/>
        <v>0.59999999999999787</v>
      </c>
      <c r="E65" s="68">
        <f t="shared" si="18"/>
        <v>0</v>
      </c>
      <c r="F65" s="68">
        <f t="shared" si="18"/>
        <v>0</v>
      </c>
      <c r="G65" s="68">
        <f t="shared" si="18"/>
        <v>0.59999999999999787</v>
      </c>
      <c r="H65" s="68">
        <f t="shared" si="18"/>
        <v>0.59999999999999787</v>
      </c>
      <c r="I65" s="68">
        <f t="shared" si="18"/>
        <v>0</v>
      </c>
      <c r="J65" s="68">
        <f t="shared" si="18"/>
        <v>0.59999999999999787</v>
      </c>
      <c r="K65" s="68">
        <f t="shared" si="18"/>
        <v>0.59999999999999787</v>
      </c>
      <c r="L65" s="68">
        <f t="shared" si="18"/>
        <v>0.59999999999999787</v>
      </c>
      <c r="M65" s="68" t="e">
        <f t="shared" si="18"/>
        <v>#N/A</v>
      </c>
      <c r="N65" s="68" t="e">
        <f t="shared" si="18"/>
        <v>#N/A</v>
      </c>
      <c r="O65" s="68" t="e">
        <f t="shared" si="18"/>
        <v>#N/A</v>
      </c>
      <c r="P65" s="68" t="e">
        <f t="shared" si="18"/>
        <v>#N/A</v>
      </c>
      <c r="Q65" s="68" t="e">
        <f t="shared" si="18"/>
        <v>#N/A</v>
      </c>
      <c r="R65" s="68" t="e">
        <f t="shared" si="18"/>
        <v>#N/A</v>
      </c>
      <c r="S65" s="68" t="e">
        <f t="shared" si="18"/>
        <v>#N/A</v>
      </c>
      <c r="T65" s="68" t="e">
        <f t="shared" si="18"/>
        <v>#N/A</v>
      </c>
      <c r="U65" s="68" t="e">
        <f t="shared" si="18"/>
        <v>#N/A</v>
      </c>
    </row>
    <row r="66" spans="1:21" ht="26" x14ac:dyDescent="0.3">
      <c r="A66" s="101" t="s">
        <v>148</v>
      </c>
      <c r="B66" s="69" t="str">
        <f>IF(B64&lt;=B63,"OVER","UNDER")</f>
        <v>UNDER</v>
      </c>
      <c r="C66" s="69" t="str">
        <f t="shared" ref="C66:U66" si="19">IF(C64&lt;=C63,"OVER","UNDER")</f>
        <v>OVER</v>
      </c>
      <c r="D66" s="69" t="str">
        <f t="shared" si="19"/>
        <v>OVER</v>
      </c>
      <c r="E66" s="69" t="str">
        <f t="shared" si="19"/>
        <v>OVER</v>
      </c>
      <c r="F66" s="69" t="str">
        <f t="shared" si="19"/>
        <v>OVER</v>
      </c>
      <c r="G66" s="69" t="str">
        <f t="shared" si="19"/>
        <v>OVER</v>
      </c>
      <c r="H66" s="69" t="str">
        <f t="shared" si="19"/>
        <v>OVER</v>
      </c>
      <c r="I66" s="69" t="str">
        <f t="shared" si="19"/>
        <v>OVER</v>
      </c>
      <c r="J66" s="69" t="str">
        <f t="shared" si="19"/>
        <v>OVER</v>
      </c>
      <c r="K66" s="69" t="str">
        <f t="shared" si="19"/>
        <v>OVER</v>
      </c>
      <c r="L66" s="69" t="str">
        <f t="shared" si="19"/>
        <v>OVER</v>
      </c>
      <c r="M66" s="69" t="e">
        <f t="shared" si="19"/>
        <v>#N/A</v>
      </c>
      <c r="N66" s="69" t="e">
        <f t="shared" si="19"/>
        <v>#N/A</v>
      </c>
      <c r="O66" s="69" t="e">
        <f t="shared" si="19"/>
        <v>#N/A</v>
      </c>
      <c r="P66" s="69" t="e">
        <f t="shared" si="19"/>
        <v>#N/A</v>
      </c>
      <c r="Q66" s="69" t="e">
        <f t="shared" si="19"/>
        <v>#N/A</v>
      </c>
      <c r="R66" s="69" t="e">
        <f t="shared" si="19"/>
        <v>#N/A</v>
      </c>
      <c r="S66" s="69" t="e">
        <f t="shared" si="19"/>
        <v>#N/A</v>
      </c>
      <c r="T66" s="69" t="e">
        <f t="shared" si="19"/>
        <v>#N/A</v>
      </c>
      <c r="U66" s="69" t="e">
        <f t="shared" si="19"/>
        <v>#N/A</v>
      </c>
    </row>
  </sheetData>
  <sheetProtection algorithmName="SHA-512" hashValue="TZZVWlHMlDSC2esGZn3NcR0IWCrUPBFFgIsapkN5arzyEza6Z6YnceaiyS0BnKhpQovr5aDMfrn3Jy5cd28BrA==" saltValue="OGaLsDJJBbstJqc3zQfqrQ=="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139" priority="36" operator="greaterThan">
      <formula>$B$51</formula>
    </cfRule>
  </conditionalFormatting>
  <conditionalFormatting sqref="B66:U66">
    <cfRule type="cellIs" dxfId="138" priority="11" operator="equal">
      <formula>"UNDER"</formula>
    </cfRule>
    <cfRule type="cellIs" dxfId="137" priority="12" operator="equal">
      <formula>"OVER"</formula>
    </cfRule>
  </conditionalFormatting>
  <conditionalFormatting sqref="C31:C50">
    <cfRule type="cellIs" dxfId="136" priority="35" operator="greaterThan">
      <formula>$C$51</formula>
    </cfRule>
  </conditionalFormatting>
  <conditionalFormatting sqref="C17:V19">
    <cfRule type="cellIs" dxfId="135" priority="32" operator="equal">
      <formula>0</formula>
    </cfRule>
  </conditionalFormatting>
  <conditionalFormatting sqref="C20:V21">
    <cfRule type="cellIs" dxfId="134" priority="37" operator="equal">
      <formula>"DECREASE"</formula>
    </cfRule>
    <cfRule type="cellIs" dxfId="133" priority="38" operator="equal">
      <formula>"INCREASE"</formula>
    </cfRule>
  </conditionalFormatting>
  <conditionalFormatting sqref="C21:V21">
    <cfRule type="cellIs" dxfId="132" priority="13" operator="equal">
      <formula>0</formula>
    </cfRule>
  </conditionalFormatting>
  <conditionalFormatting sqref="C22:V23">
    <cfRule type="cellIs" dxfId="131" priority="17" operator="equal">
      <formula>0</formula>
    </cfRule>
  </conditionalFormatting>
  <conditionalFormatting sqref="C24:V24">
    <cfRule type="cellIs" dxfId="130" priority="18" operator="equal">
      <formula>"DECREASE"</formula>
    </cfRule>
    <cfRule type="cellIs" dxfId="129" priority="19" operator="equal">
      <formula>"INCREASE"</formula>
    </cfRule>
  </conditionalFormatting>
  <conditionalFormatting sqref="G31:G50">
    <cfRule type="cellIs" dxfId="128" priority="31" operator="greaterThan">
      <formula>$G$51</formula>
    </cfRule>
  </conditionalFormatting>
  <conditionalFormatting sqref="H31:H50">
    <cfRule type="cellIs" dxfId="127" priority="30" operator="greaterThan">
      <formula>$H$51</formula>
    </cfRule>
  </conditionalFormatting>
  <conditionalFormatting sqref="I1">
    <cfRule type="cellIs" dxfId="126" priority="3" operator="between">
      <formula>0.1</formula>
      <formula>5</formula>
    </cfRule>
  </conditionalFormatting>
  <conditionalFormatting sqref="I2">
    <cfRule type="cellIs" dxfId="125" priority="2" operator="greaterThan">
      <formula>5000.1</formula>
    </cfRule>
  </conditionalFormatting>
  <conditionalFormatting sqref="I3">
    <cfRule type="cellIs" dxfId="124" priority="1" operator="greaterThan">
      <formula>40000.01</formula>
    </cfRule>
  </conditionalFormatting>
  <conditionalFormatting sqref="I31:I50">
    <cfRule type="cellIs" dxfId="123" priority="29" operator="greaterThan">
      <formula>$I$51</formula>
    </cfRule>
  </conditionalFormatting>
  <conditionalFormatting sqref="J31:J50">
    <cfRule type="cellIs" dxfId="122" priority="8" operator="greaterThan">
      <formula>$J$51</formula>
    </cfRule>
  </conditionalFormatting>
  <conditionalFormatting sqref="K31:K50">
    <cfRule type="cellIs" dxfId="121" priority="28" operator="greaterThan">
      <formula>$K$51</formula>
    </cfRule>
  </conditionalFormatting>
  <conditionalFormatting sqref="L3">
    <cfRule type="cellIs" dxfId="120" priority="4" operator="lessThan">
      <formula>30</formula>
    </cfRule>
    <cfRule type="cellIs" dxfId="119" priority="5" operator="greaterThanOrEqual">
      <formula>30</formula>
    </cfRule>
  </conditionalFormatting>
  <conditionalFormatting sqref="L31:L50">
    <cfRule type="cellIs" dxfId="118" priority="27" operator="greaterThan">
      <formula>$L$51</formula>
    </cfRule>
  </conditionalFormatting>
  <conditionalFormatting sqref="M31:M50">
    <cfRule type="cellIs" dxfId="117" priority="26" operator="greaterThan">
      <formula>$M$51</formula>
    </cfRule>
  </conditionalFormatting>
  <conditionalFormatting sqref="P31:P50">
    <cfRule type="cellIs" dxfId="116" priority="25" operator="greaterThan">
      <formula>$P$51</formula>
    </cfRule>
  </conditionalFormatting>
  <conditionalFormatting sqref="R31:R50">
    <cfRule type="cellIs" dxfId="115" priority="24" operator="greaterThan">
      <formula>$R$51</formula>
    </cfRule>
  </conditionalFormatting>
  <conditionalFormatting sqref="S31:S50">
    <cfRule type="cellIs" dxfId="114" priority="23" operator="greaterThan">
      <formula>$S$51</formula>
    </cfRule>
  </conditionalFormatting>
  <conditionalFormatting sqref="T31:T50">
    <cfRule type="cellIs" dxfId="113" priority="22" operator="greaterThan">
      <formula>$T$51</formula>
    </cfRule>
  </conditionalFormatting>
  <conditionalFormatting sqref="U31:U50">
    <cfRule type="cellIs" dxfId="112" priority="21" operator="greaterThan">
      <formula>$U$51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zoomScale="90" zoomScaleNormal="90" workbookViewId="0">
      <selection activeCell="U27" sqref="U27"/>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06" t="s">
        <v>41</v>
      </c>
      <c r="B1" s="106"/>
      <c r="C1" s="127" t="str">
        <f>Newcastle!C1:D1</f>
        <v>PAN-026945</v>
      </c>
      <c r="D1" s="128"/>
      <c r="E1" s="83" t="s">
        <v>45</v>
      </c>
      <c r="F1" s="32">
        <f>Newcastle!F1</f>
        <v>47.3</v>
      </c>
      <c r="G1" s="107" t="s">
        <v>43</v>
      </c>
      <c r="H1" s="108"/>
      <c r="I1" s="86">
        <v>6.3</v>
      </c>
      <c r="J1" s="106" t="s">
        <v>153</v>
      </c>
      <c r="K1" s="106"/>
      <c r="L1" s="86">
        <v>43.8</v>
      </c>
      <c r="AB1" s="14"/>
      <c r="AC1" s="14"/>
      <c r="AD1" s="23" t="s">
        <v>126</v>
      </c>
      <c r="AE1" s="14"/>
      <c r="AF1" s="14"/>
      <c r="AG1" s="14"/>
      <c r="AH1" s="14"/>
      <c r="AI1" s="33" t="s">
        <v>79</v>
      </c>
      <c r="AJ1" s="34" t="s">
        <v>94</v>
      </c>
      <c r="AK1" s="35" t="s">
        <v>95</v>
      </c>
      <c r="AL1" s="36" t="s">
        <v>125</v>
      </c>
      <c r="AM1" s="36" t="s">
        <v>131</v>
      </c>
      <c r="AN1" s="36" t="s">
        <v>111</v>
      </c>
    </row>
    <row r="2" spans="1:41" ht="12.75" customHeight="1" x14ac:dyDescent="0.3">
      <c r="A2" s="106" t="s">
        <v>87</v>
      </c>
      <c r="B2" s="106"/>
      <c r="C2" s="129" t="str">
        <f>Newcastle!C2:D2</f>
        <v>EPR/AB3891CX</v>
      </c>
      <c r="D2" s="130"/>
      <c r="E2" s="83" t="s">
        <v>109</v>
      </c>
      <c r="F2" s="86" t="s">
        <v>182</v>
      </c>
      <c r="G2" s="125" t="s">
        <v>110</v>
      </c>
      <c r="H2" s="126"/>
      <c r="I2" s="86"/>
      <c r="J2" s="106" t="s">
        <v>158</v>
      </c>
      <c r="K2" s="106"/>
      <c r="L2" s="86">
        <v>1.04</v>
      </c>
      <c r="AB2" s="23" t="s">
        <v>56</v>
      </c>
      <c r="AC2" s="14"/>
      <c r="AD2" s="23" t="s">
        <v>70</v>
      </c>
      <c r="AE2" s="14"/>
      <c r="AF2" s="14"/>
      <c r="AG2" s="37" t="s">
        <v>76</v>
      </c>
      <c r="AH2" s="14"/>
      <c r="AI2" s="38" t="s">
        <v>126</v>
      </c>
      <c r="AJ2" s="39">
        <v>0</v>
      </c>
      <c r="AK2" s="40">
        <v>0</v>
      </c>
      <c r="AL2" s="7">
        <v>0</v>
      </c>
      <c r="AM2" s="9">
        <v>0</v>
      </c>
      <c r="AN2" s="9">
        <v>0</v>
      </c>
    </row>
    <row r="3" spans="1:41" ht="13" x14ac:dyDescent="0.25">
      <c r="A3" s="107" t="s">
        <v>42</v>
      </c>
      <c r="B3" s="108"/>
      <c r="C3" s="129" t="str">
        <f>Newcastle!C3:D3</f>
        <v xml:space="preserve">Mr Daniel James and Mrs Carys James </v>
      </c>
      <c r="D3" s="130"/>
      <c r="E3" s="83" t="s">
        <v>108</v>
      </c>
      <c r="F3" s="24" t="s">
        <v>78</v>
      </c>
      <c r="G3" s="106" t="s">
        <v>159</v>
      </c>
      <c r="H3" s="106"/>
      <c r="I3" s="86"/>
      <c r="J3" s="107" t="s">
        <v>154</v>
      </c>
      <c r="K3" s="108"/>
      <c r="L3" s="86">
        <f>(L1/(L2*10000))*100</f>
        <v>0.4211538461538461</v>
      </c>
      <c r="AB3" s="23" t="s">
        <v>57</v>
      </c>
      <c r="AC3" s="14"/>
      <c r="AD3" s="23" t="s">
        <v>71</v>
      </c>
      <c r="AE3" s="14"/>
      <c r="AF3" s="14"/>
      <c r="AG3" s="37" t="s">
        <v>77</v>
      </c>
      <c r="AH3" s="14"/>
      <c r="AI3" s="41" t="s">
        <v>113</v>
      </c>
      <c r="AJ3" s="42">
        <v>1.7</v>
      </c>
      <c r="AK3" s="43">
        <v>6</v>
      </c>
      <c r="AL3" s="44">
        <v>1</v>
      </c>
      <c r="AM3" s="9">
        <v>6.2</v>
      </c>
      <c r="AN3" s="9" t="s">
        <v>112</v>
      </c>
    </row>
    <row r="4" spans="1:41" ht="13" x14ac:dyDescent="0.25">
      <c r="A4" s="106" t="s">
        <v>0</v>
      </c>
      <c r="B4" s="106"/>
      <c r="C4" s="127" t="str">
        <f>Newcastle!C4:D4</f>
        <v>Hafod Fram, Ferwig, Cardigan, Ceredigion, SA43 1PU</v>
      </c>
      <c r="D4" s="128"/>
      <c r="E4" s="84" t="s">
        <v>1</v>
      </c>
      <c r="F4" s="86" t="s">
        <v>184</v>
      </c>
      <c r="G4" s="107"/>
      <c r="H4" s="108"/>
      <c r="I4" s="32"/>
      <c r="J4" s="107"/>
      <c r="K4" s="108"/>
      <c r="L4" s="86"/>
      <c r="AB4" s="23" t="s">
        <v>52</v>
      </c>
      <c r="AC4" s="14"/>
      <c r="AD4" s="45" t="s">
        <v>72</v>
      </c>
      <c r="AE4" s="14"/>
      <c r="AF4" s="14"/>
      <c r="AG4" s="37" t="s">
        <v>78</v>
      </c>
      <c r="AH4" s="14"/>
      <c r="AI4" s="46" t="s">
        <v>124</v>
      </c>
      <c r="AJ4" s="47">
        <v>7</v>
      </c>
      <c r="AK4" s="48">
        <v>10.5</v>
      </c>
      <c r="AL4" s="9">
        <v>2</v>
      </c>
      <c r="AM4" s="9">
        <v>6.7</v>
      </c>
      <c r="AN4" s="9" t="s">
        <v>135</v>
      </c>
    </row>
    <row r="5" spans="1:41" ht="13" x14ac:dyDescent="0.25">
      <c r="A5" s="106" t="s">
        <v>47</v>
      </c>
      <c r="B5" s="106"/>
      <c r="C5" s="127" t="str">
        <f>Newcastle!C5:D5</f>
        <v>Megan Tucker</v>
      </c>
      <c r="D5" s="128"/>
      <c r="E5" s="83"/>
      <c r="F5" s="32"/>
      <c r="G5" s="107"/>
      <c r="H5" s="108"/>
      <c r="I5" s="32"/>
      <c r="J5" s="107"/>
      <c r="K5" s="108"/>
      <c r="L5" s="86"/>
      <c r="AB5" s="23" t="s">
        <v>53</v>
      </c>
      <c r="AC5" s="14"/>
      <c r="AD5" s="45" t="s">
        <v>73</v>
      </c>
      <c r="AE5" s="14"/>
      <c r="AF5" s="14"/>
      <c r="AG5" s="37" t="s">
        <v>104</v>
      </c>
      <c r="AH5" s="14"/>
      <c r="AI5" s="46" t="s">
        <v>123</v>
      </c>
      <c r="AJ5" s="47">
        <v>6.5</v>
      </c>
      <c r="AK5" s="48">
        <v>5.5</v>
      </c>
      <c r="AL5" s="9">
        <v>3</v>
      </c>
      <c r="AM5" s="9">
        <v>6.7</v>
      </c>
      <c r="AN5" s="9" t="s">
        <v>135</v>
      </c>
    </row>
    <row r="6" spans="1:41" x14ac:dyDescent="0.25">
      <c r="A6" s="49"/>
      <c r="B6" s="49"/>
      <c r="F6" s="50"/>
      <c r="G6" s="50"/>
      <c r="H6" s="51"/>
      <c r="I6" s="51"/>
      <c r="J6" s="51"/>
      <c r="AB6" s="23" t="s">
        <v>54</v>
      </c>
      <c r="AC6" s="14"/>
      <c r="AD6" s="45" t="s">
        <v>74</v>
      </c>
      <c r="AE6" s="14"/>
      <c r="AF6" s="14"/>
      <c r="AG6" s="14"/>
      <c r="AH6" s="14"/>
      <c r="AI6" s="46" t="s">
        <v>68</v>
      </c>
      <c r="AJ6" s="47">
        <v>8.5</v>
      </c>
      <c r="AK6" s="48">
        <v>12</v>
      </c>
      <c r="AL6" s="9">
        <v>4</v>
      </c>
      <c r="AM6" s="9">
        <v>6.7</v>
      </c>
      <c r="AN6" s="9" t="s">
        <v>135</v>
      </c>
    </row>
    <row r="7" spans="1:41" s="7" customFormat="1" ht="13" x14ac:dyDescent="0.25">
      <c r="A7" s="112" t="s">
        <v>63</v>
      </c>
      <c r="B7" s="112"/>
      <c r="C7" s="10">
        <v>1</v>
      </c>
      <c r="D7" s="10">
        <v>2</v>
      </c>
      <c r="E7" s="10">
        <v>3</v>
      </c>
      <c r="F7" s="10">
        <v>4</v>
      </c>
      <c r="G7" s="10">
        <v>5</v>
      </c>
      <c r="H7" s="10">
        <v>6</v>
      </c>
      <c r="I7" s="10">
        <v>7</v>
      </c>
      <c r="J7" s="10">
        <v>8</v>
      </c>
      <c r="K7" s="10">
        <v>9</v>
      </c>
      <c r="L7" s="10">
        <v>10</v>
      </c>
      <c r="M7" s="10">
        <v>11</v>
      </c>
      <c r="N7" s="10">
        <v>12</v>
      </c>
      <c r="O7" s="10">
        <v>13</v>
      </c>
      <c r="P7" s="10">
        <v>14</v>
      </c>
      <c r="Q7" s="10">
        <v>15</v>
      </c>
      <c r="R7" s="10">
        <v>16</v>
      </c>
      <c r="S7" s="10">
        <v>17</v>
      </c>
      <c r="T7" s="10">
        <v>18</v>
      </c>
      <c r="U7" s="10">
        <v>19</v>
      </c>
      <c r="V7" s="10">
        <v>20</v>
      </c>
      <c r="AB7" s="23" t="s">
        <v>55</v>
      </c>
      <c r="AC7" s="14"/>
      <c r="AD7" s="14"/>
      <c r="AE7" s="14"/>
      <c r="AF7" s="14"/>
      <c r="AG7" s="14"/>
      <c r="AH7" s="14"/>
      <c r="AI7" s="46" t="s">
        <v>96</v>
      </c>
      <c r="AJ7" s="47">
        <v>8.5</v>
      </c>
      <c r="AK7" s="48">
        <v>10.5</v>
      </c>
      <c r="AL7" s="9">
        <v>5</v>
      </c>
      <c r="AM7" s="7">
        <v>6.7</v>
      </c>
      <c r="AN7" s="9" t="s">
        <v>135</v>
      </c>
      <c r="AO7" s="88"/>
    </row>
    <row r="8" spans="1:41" ht="13" x14ac:dyDescent="0.25">
      <c r="A8" s="106" t="s">
        <v>2</v>
      </c>
      <c r="B8" s="106"/>
      <c r="C8" s="52" t="str">
        <f>Newcastle!C8</f>
        <v>Nant Y Croi 9</v>
      </c>
      <c r="D8" s="52" t="str">
        <f>Newcastle!D8</f>
        <v>Hafod 4315</v>
      </c>
      <c r="E8" s="52" t="str">
        <f>Newcastle!E8</f>
        <v>Hafod 4734</v>
      </c>
      <c r="F8" s="52" t="str">
        <f>Newcastle!F8</f>
        <v>Hafod 5761</v>
      </c>
      <c r="G8" s="52" t="str">
        <f>Newcastle!G8</f>
        <v>Hafod 4067</v>
      </c>
      <c r="H8" s="52" t="str">
        <f>Newcastle!H8</f>
        <v>Hafod 2455</v>
      </c>
      <c r="I8" s="52" t="str">
        <f>Newcastle!I8</f>
        <v>Hafod 1741</v>
      </c>
      <c r="J8" s="52" t="str">
        <f>Newcastle!J8</f>
        <v>Hafod 0720</v>
      </c>
      <c r="K8" s="52" t="str">
        <f>Newcastle!K8</f>
        <v>Solafron 2893</v>
      </c>
      <c r="L8" s="52" t="str">
        <f>Newcastle!L8</f>
        <v>Solafron 2611</v>
      </c>
      <c r="M8" s="52" t="str">
        <f>Newcastle!M8</f>
        <v>Solafron 1404</v>
      </c>
      <c r="N8" s="52">
        <f>Newcastle!N8</f>
        <v>0</v>
      </c>
      <c r="O8" s="52">
        <f>Newcastle!O8</f>
        <v>0</v>
      </c>
      <c r="P8" s="52">
        <f>Newcastle!P8</f>
        <v>0</v>
      </c>
      <c r="Q8" s="52">
        <f>Newcastle!Q8</f>
        <v>0</v>
      </c>
      <c r="R8" s="52">
        <f>Newcastle!R8</f>
        <v>0</v>
      </c>
      <c r="S8" s="52">
        <f>Newcastle!S8</f>
        <v>0</v>
      </c>
      <c r="T8" s="52">
        <f>Newcastle!T8</f>
        <v>0</v>
      </c>
      <c r="U8" s="52">
        <f>Newcastle!U8</f>
        <v>0</v>
      </c>
      <c r="V8" s="52">
        <f>Newcastle!V8</f>
        <v>0</v>
      </c>
      <c r="AB8" s="53"/>
      <c r="AC8" s="53"/>
      <c r="AD8" s="14"/>
      <c r="AE8" s="14" t="s">
        <v>139</v>
      </c>
      <c r="AF8" s="14"/>
      <c r="AG8" s="14"/>
      <c r="AH8" s="14"/>
      <c r="AI8" s="46" t="s">
        <v>105</v>
      </c>
      <c r="AJ8" s="54">
        <v>1.4</v>
      </c>
      <c r="AK8" s="48">
        <v>4.4000000000000004</v>
      </c>
      <c r="AL8" s="9">
        <v>6</v>
      </c>
      <c r="AM8" s="9">
        <v>6.7</v>
      </c>
      <c r="AN8" s="9" t="s">
        <v>135</v>
      </c>
      <c r="AO8" s="14"/>
    </row>
    <row r="9" spans="1:41" ht="13" x14ac:dyDescent="0.25">
      <c r="A9" s="106" t="s">
        <v>3</v>
      </c>
      <c r="B9" s="106"/>
      <c r="C9" s="52" t="str">
        <f>Newcastle!C9</f>
        <v xml:space="preserve">Moderate </v>
      </c>
      <c r="D9" s="52" t="str">
        <f>Newcastle!D9</f>
        <v xml:space="preserve">Moderate </v>
      </c>
      <c r="E9" s="52" t="str">
        <f>Newcastle!E9</f>
        <v xml:space="preserve">Moderate </v>
      </c>
      <c r="F9" s="52" t="str">
        <f>Newcastle!F9</f>
        <v xml:space="preserve">Moderate </v>
      </c>
      <c r="G9" s="52" t="str">
        <f>Newcastle!G9</f>
        <v xml:space="preserve">Moderate </v>
      </c>
      <c r="H9" s="52" t="str">
        <f>Newcastle!H9</f>
        <v xml:space="preserve">Moderate </v>
      </c>
      <c r="I9" s="52" t="str">
        <f>Newcastle!I9</f>
        <v xml:space="preserve">Moderate </v>
      </c>
      <c r="J9" s="52" t="str">
        <f>Newcastle!J9</f>
        <v xml:space="preserve">Moderate </v>
      </c>
      <c r="K9" s="52" t="str">
        <f>Newcastle!K9</f>
        <v xml:space="preserve">Moderate </v>
      </c>
      <c r="L9" s="52" t="str">
        <f>Newcastle!L9</f>
        <v xml:space="preserve">Moderate </v>
      </c>
      <c r="M9" s="52" t="str">
        <f>Newcastle!M9</f>
        <v xml:space="preserve">Moderate </v>
      </c>
      <c r="N9" s="52">
        <f>Newcastle!N9</f>
        <v>0</v>
      </c>
      <c r="O9" s="52">
        <f>Newcastle!O9</f>
        <v>0</v>
      </c>
      <c r="P9" s="52">
        <f>Newcastle!P9</f>
        <v>0</v>
      </c>
      <c r="Q9" s="52">
        <f>Newcastle!Q9</f>
        <v>0</v>
      </c>
      <c r="R9" s="52">
        <f>Newcastle!R9</f>
        <v>0</v>
      </c>
      <c r="S9" s="52">
        <f>Newcastle!S9</f>
        <v>0</v>
      </c>
      <c r="T9" s="52">
        <f>Newcastle!T9</f>
        <v>0</v>
      </c>
      <c r="U9" s="52">
        <f>Newcastle!U9</f>
        <v>0</v>
      </c>
      <c r="V9" s="52">
        <f>Newcastle!V9</f>
        <v>0</v>
      </c>
      <c r="AB9" s="14"/>
      <c r="AC9" s="14"/>
      <c r="AD9" s="23" t="s">
        <v>137</v>
      </c>
      <c r="AE9" s="23">
        <v>4.5</v>
      </c>
      <c r="AF9" s="14"/>
      <c r="AG9" s="14"/>
      <c r="AH9" s="14"/>
      <c r="AI9" s="55" t="s">
        <v>103</v>
      </c>
      <c r="AJ9" s="56">
        <v>0.7</v>
      </c>
      <c r="AK9" s="57">
        <v>4</v>
      </c>
      <c r="AL9" s="22">
        <v>7</v>
      </c>
      <c r="AM9" s="9">
        <v>6.7</v>
      </c>
      <c r="AN9" s="9" t="s">
        <v>135</v>
      </c>
      <c r="AO9" s="88"/>
    </row>
    <row r="10" spans="1:41" ht="13" x14ac:dyDescent="0.25">
      <c r="A10" s="106" t="s">
        <v>4</v>
      </c>
      <c r="B10" s="106"/>
      <c r="C10" s="52">
        <f>Newcastle!C10</f>
        <v>5.4</v>
      </c>
      <c r="D10" s="52">
        <f>Newcastle!D10</f>
        <v>6.3</v>
      </c>
      <c r="E10" s="52">
        <f>Newcastle!E10</f>
        <v>6.3</v>
      </c>
      <c r="F10" s="52">
        <f>Newcastle!F10</f>
        <v>6.2</v>
      </c>
      <c r="G10" s="52">
        <f>Newcastle!G10</f>
        <v>6.2</v>
      </c>
      <c r="H10" s="52">
        <f>Newcastle!H10</f>
        <v>6.3</v>
      </c>
      <c r="I10" s="52">
        <f>Newcastle!I10</f>
        <v>6.3</v>
      </c>
      <c r="J10" s="52">
        <f>Newcastle!J10</f>
        <v>6.2</v>
      </c>
      <c r="K10" s="52">
        <f>Newcastle!K10</f>
        <v>6.3</v>
      </c>
      <c r="L10" s="52">
        <f>Newcastle!L10</f>
        <v>6.3</v>
      </c>
      <c r="M10" s="52">
        <f>Newcastle!M10</f>
        <v>6.3</v>
      </c>
      <c r="N10" s="52">
        <f>Newcastle!N10</f>
        <v>0</v>
      </c>
      <c r="O10" s="52">
        <f>Newcastle!O10</f>
        <v>0</v>
      </c>
      <c r="P10" s="52">
        <f>Newcastle!P10</f>
        <v>0</v>
      </c>
      <c r="Q10" s="52">
        <f>Newcastle!Q10</f>
        <v>0</v>
      </c>
      <c r="R10" s="52">
        <f>Newcastle!R10</f>
        <v>0</v>
      </c>
      <c r="S10" s="52">
        <f>Newcastle!S10</f>
        <v>0</v>
      </c>
      <c r="T10" s="52">
        <f>Newcastle!T10</f>
        <v>0</v>
      </c>
      <c r="U10" s="52">
        <f>Newcastle!U10</f>
        <v>0</v>
      </c>
      <c r="V10" s="52">
        <f>Newcastle!V10</f>
        <v>0</v>
      </c>
      <c r="AB10" s="14"/>
      <c r="AC10" s="14"/>
      <c r="AD10" s="23" t="s">
        <v>140</v>
      </c>
      <c r="AE10" s="23">
        <v>5</v>
      </c>
      <c r="AF10" s="14"/>
      <c r="AG10" s="14"/>
      <c r="AH10" s="14"/>
      <c r="AI10" s="46" t="s">
        <v>97</v>
      </c>
      <c r="AJ10" s="47">
        <v>9</v>
      </c>
      <c r="AK10" s="48">
        <v>16.5</v>
      </c>
      <c r="AL10" s="9">
        <v>8</v>
      </c>
      <c r="AM10" s="9">
        <v>6.7</v>
      </c>
      <c r="AN10" s="9" t="s">
        <v>135</v>
      </c>
    </row>
    <row r="11" spans="1:41" ht="13" x14ac:dyDescent="0.25">
      <c r="A11" s="106" t="s">
        <v>5</v>
      </c>
      <c r="B11" s="106"/>
      <c r="C11" s="52">
        <f>Newcastle!C11</f>
        <v>2</v>
      </c>
      <c r="D11" s="52">
        <f>Newcastle!D11</f>
        <v>2</v>
      </c>
      <c r="E11" s="52">
        <f>Newcastle!E11</f>
        <v>2</v>
      </c>
      <c r="F11" s="52">
        <f>Newcastle!F11</f>
        <v>1</v>
      </c>
      <c r="G11" s="52">
        <f>Newcastle!G11</f>
        <v>2</v>
      </c>
      <c r="H11" s="52">
        <f>Newcastle!H11</f>
        <v>2</v>
      </c>
      <c r="I11" s="52">
        <f>Newcastle!I11</f>
        <v>2</v>
      </c>
      <c r="J11" s="52">
        <f>Newcastle!J11</f>
        <v>2</v>
      </c>
      <c r="K11" s="52">
        <f>Newcastle!K11</f>
        <v>2</v>
      </c>
      <c r="L11" s="52">
        <f>Newcastle!L11</f>
        <v>2</v>
      </c>
      <c r="M11" s="52">
        <f>Newcastle!M11</f>
        <v>2</v>
      </c>
      <c r="N11" s="52">
        <f>Newcastle!N11</f>
        <v>0</v>
      </c>
      <c r="O11" s="52">
        <f>Newcastle!O11</f>
        <v>0</v>
      </c>
      <c r="P11" s="52">
        <f>Newcastle!P11</f>
        <v>0</v>
      </c>
      <c r="Q11" s="52">
        <f>Newcastle!Q11</f>
        <v>0</v>
      </c>
      <c r="R11" s="52">
        <f>Newcastle!R11</f>
        <v>0</v>
      </c>
      <c r="S11" s="52">
        <f>Newcastle!S11</f>
        <v>0</v>
      </c>
      <c r="T11" s="52">
        <f>Newcastle!T11</f>
        <v>0</v>
      </c>
      <c r="U11" s="52">
        <f>Newcastle!U11</f>
        <v>0</v>
      </c>
      <c r="V11" s="52">
        <f>Newcastle!V11</f>
        <v>0</v>
      </c>
      <c r="AB11" s="14"/>
      <c r="AC11" s="14"/>
      <c r="AD11" s="45" t="s">
        <v>141</v>
      </c>
      <c r="AE11" s="23">
        <v>6</v>
      </c>
      <c r="AF11" s="14"/>
      <c r="AG11" s="14"/>
      <c r="AH11" s="14"/>
      <c r="AI11" s="46" t="s">
        <v>122</v>
      </c>
      <c r="AJ11" s="47">
        <v>15</v>
      </c>
      <c r="AK11" s="48">
        <v>17.5</v>
      </c>
      <c r="AL11" s="9">
        <v>9</v>
      </c>
      <c r="AM11" s="9">
        <v>7</v>
      </c>
      <c r="AN11" s="9" t="s">
        <v>135</v>
      </c>
    </row>
    <row r="12" spans="1:41" ht="13" x14ac:dyDescent="0.25">
      <c r="A12" s="106" t="s">
        <v>6</v>
      </c>
      <c r="B12" s="106"/>
      <c r="C12" s="52">
        <f>Newcastle!C12</f>
        <v>1</v>
      </c>
      <c r="D12" s="52">
        <f>Newcastle!D12</f>
        <v>2</v>
      </c>
      <c r="E12" s="52">
        <f>Newcastle!E12</f>
        <v>1</v>
      </c>
      <c r="F12" s="52">
        <f>Newcastle!F12</f>
        <v>2</v>
      </c>
      <c r="G12" s="52">
        <f>Newcastle!G12</f>
        <v>2</v>
      </c>
      <c r="H12" s="52">
        <f>Newcastle!H12</f>
        <v>1</v>
      </c>
      <c r="I12" s="52">
        <f>Newcastle!I12</f>
        <v>2</v>
      </c>
      <c r="J12" s="52">
        <f>Newcastle!J12</f>
        <v>1</v>
      </c>
      <c r="K12" s="52">
        <f>Newcastle!K12</f>
        <v>2</v>
      </c>
      <c r="L12" s="52">
        <f>Newcastle!L12</f>
        <v>2</v>
      </c>
      <c r="M12" s="52">
        <f>Newcastle!M12</f>
        <v>1</v>
      </c>
      <c r="N12" s="52">
        <f>Newcastle!N12</f>
        <v>0</v>
      </c>
      <c r="O12" s="52">
        <f>Newcastle!O12</f>
        <v>0</v>
      </c>
      <c r="P12" s="52">
        <f>Newcastle!P12</f>
        <v>0</v>
      </c>
      <c r="Q12" s="52">
        <f>Newcastle!Q12</f>
        <v>0</v>
      </c>
      <c r="R12" s="52">
        <f>Newcastle!R12</f>
        <v>0</v>
      </c>
      <c r="S12" s="52">
        <f>Newcastle!S12</f>
        <v>0</v>
      </c>
      <c r="T12" s="52">
        <f>Newcastle!T12</f>
        <v>0</v>
      </c>
      <c r="U12" s="52">
        <f>Newcastle!U12</f>
        <v>0</v>
      </c>
      <c r="V12" s="52">
        <f>Newcastle!V12</f>
        <v>0</v>
      </c>
      <c r="AB12" s="14"/>
      <c r="AC12" s="14"/>
      <c r="AD12" s="45" t="s">
        <v>142</v>
      </c>
      <c r="AE12" s="23">
        <v>7.5</v>
      </c>
      <c r="AF12" s="14"/>
      <c r="AG12" s="14"/>
      <c r="AH12" s="14"/>
      <c r="AI12" s="46" t="s">
        <v>121</v>
      </c>
      <c r="AJ12" s="47">
        <v>14</v>
      </c>
      <c r="AK12" s="48">
        <v>11</v>
      </c>
      <c r="AL12" s="9">
        <v>10</v>
      </c>
      <c r="AM12" s="9">
        <v>7</v>
      </c>
      <c r="AN12" s="9" t="s">
        <v>135</v>
      </c>
    </row>
    <row r="13" spans="1:41" ht="13" x14ac:dyDescent="0.25">
      <c r="A13" s="106" t="s">
        <v>7</v>
      </c>
      <c r="B13" s="106"/>
      <c r="C13" s="52">
        <f>Newcastle!C13</f>
        <v>3</v>
      </c>
      <c r="D13" s="52">
        <f>Newcastle!D13</f>
        <v>5</v>
      </c>
      <c r="E13" s="52">
        <f>Newcastle!E13</f>
        <v>5</v>
      </c>
      <c r="F13" s="52">
        <f>Newcastle!F13</f>
        <v>5</v>
      </c>
      <c r="G13" s="52">
        <f>Newcastle!G13</f>
        <v>5</v>
      </c>
      <c r="H13" s="52">
        <f>Newcastle!H13</f>
        <v>5</v>
      </c>
      <c r="I13" s="52">
        <f>Newcastle!I13</f>
        <v>5</v>
      </c>
      <c r="J13" s="52">
        <f>Newcastle!J13</f>
        <v>5</v>
      </c>
      <c r="K13" s="52">
        <f>Newcastle!K13</f>
        <v>5</v>
      </c>
      <c r="L13" s="52">
        <f>Newcastle!L13</f>
        <v>5</v>
      </c>
      <c r="M13" s="52">
        <f>Newcastle!M13</f>
        <v>5</v>
      </c>
      <c r="N13" s="52">
        <f>Newcastle!N13</f>
        <v>0</v>
      </c>
      <c r="O13" s="52">
        <f>Newcastle!O13</f>
        <v>0</v>
      </c>
      <c r="P13" s="52">
        <f>Newcastle!P13</f>
        <v>0</v>
      </c>
      <c r="Q13" s="52">
        <f>Newcastle!Q13</f>
        <v>0</v>
      </c>
      <c r="R13" s="52">
        <f>Newcastle!R13</f>
        <v>0</v>
      </c>
      <c r="S13" s="52">
        <f>Newcastle!S13</f>
        <v>0</v>
      </c>
      <c r="T13" s="52">
        <f>Newcastle!T13</f>
        <v>0</v>
      </c>
      <c r="U13" s="52">
        <f>Newcastle!U13</f>
        <v>0</v>
      </c>
      <c r="V13" s="52">
        <f>Newcastle!V13</f>
        <v>0</v>
      </c>
      <c r="AB13" s="14"/>
      <c r="AC13" s="14"/>
      <c r="AD13" s="45" t="s">
        <v>143</v>
      </c>
      <c r="AE13" s="23">
        <v>12</v>
      </c>
      <c r="AF13" s="14"/>
      <c r="AG13" s="14"/>
      <c r="AH13" s="14"/>
      <c r="AI13" s="46" t="s">
        <v>120</v>
      </c>
      <c r="AJ13" s="47">
        <v>1.9</v>
      </c>
      <c r="AK13" s="48">
        <v>7.5</v>
      </c>
      <c r="AL13" s="9">
        <v>11</v>
      </c>
      <c r="AM13" s="9">
        <v>6.7</v>
      </c>
      <c r="AN13" s="9" t="s">
        <v>135</v>
      </c>
    </row>
    <row r="14" spans="1:41" ht="13" x14ac:dyDescent="0.25">
      <c r="A14" s="118" t="s">
        <v>8</v>
      </c>
      <c r="B14" s="118"/>
      <c r="C14" s="91" t="str">
        <f>Newcastle!C14</f>
        <v xml:space="preserve">Grass Silage (25% DM) </v>
      </c>
      <c r="D14" s="91" t="str">
        <f>Newcastle!D14</f>
        <v xml:space="preserve">Grass Silage (25% DM) </v>
      </c>
      <c r="E14" s="91" t="str">
        <f>Newcastle!E14</f>
        <v xml:space="preserve">Grass Silage (25% DM) </v>
      </c>
      <c r="F14" s="91" t="str">
        <f>Newcastle!F14</f>
        <v xml:space="preserve">Grass Silage (25% DM) </v>
      </c>
      <c r="G14" s="91" t="str">
        <f>Newcastle!G14</f>
        <v xml:space="preserve">Grass Silage (25% DM) </v>
      </c>
      <c r="H14" s="91" t="str">
        <f>Newcastle!H14</f>
        <v xml:space="preserve">Grass Silage (25% DM) </v>
      </c>
      <c r="I14" s="91" t="str">
        <f>Newcastle!I14</f>
        <v xml:space="preserve">Grass Silage (25% DM) </v>
      </c>
      <c r="J14" s="91" t="str">
        <f>Newcastle!J14</f>
        <v xml:space="preserve">Grass Silage (25% DM) </v>
      </c>
      <c r="K14" s="91" t="str">
        <f>Newcastle!K14</f>
        <v xml:space="preserve">Grass Silage (25% DM) </v>
      </c>
      <c r="L14" s="91" t="str">
        <f>Newcastle!L14</f>
        <v xml:space="preserve">Grass Silage (25% DM) </v>
      </c>
      <c r="M14" s="91" t="str">
        <f>Newcastle!M14</f>
        <v xml:space="preserve">Grass Silage (25% DM) </v>
      </c>
      <c r="N14" s="91">
        <f>Newcastle!N14</f>
        <v>0</v>
      </c>
      <c r="O14" s="91">
        <f>Newcastle!O14</f>
        <v>0</v>
      </c>
      <c r="P14" s="91">
        <f>Newcastle!P14</f>
        <v>0</v>
      </c>
      <c r="Q14" s="91">
        <f>Newcastle!Q14</f>
        <v>0</v>
      </c>
      <c r="R14" s="91">
        <f>Newcastle!R14</f>
        <v>0</v>
      </c>
      <c r="S14" s="91">
        <f>Newcastle!S14</f>
        <v>0</v>
      </c>
      <c r="T14" s="91">
        <f>Newcastle!T14</f>
        <v>0</v>
      </c>
      <c r="U14" s="91">
        <f>Newcastle!U14</f>
        <v>0</v>
      </c>
      <c r="V14" s="91">
        <f>Newcastle!V14</f>
        <v>0</v>
      </c>
      <c r="AD14" s="23" t="s">
        <v>138</v>
      </c>
      <c r="AE14" s="23">
        <v>6</v>
      </c>
      <c r="AI14" s="46" t="s">
        <v>119</v>
      </c>
      <c r="AJ14" s="47">
        <v>0.8</v>
      </c>
      <c r="AK14" s="48">
        <v>1.7</v>
      </c>
      <c r="AL14" s="9">
        <v>12</v>
      </c>
      <c r="AM14" s="9">
        <v>6.7</v>
      </c>
      <c r="AN14" s="9" t="s">
        <v>135</v>
      </c>
    </row>
    <row r="15" spans="1:41" ht="13" x14ac:dyDescent="0.25">
      <c r="A15" s="117" t="s">
        <v>9</v>
      </c>
      <c r="B15" s="117"/>
      <c r="C15" s="52">
        <f>Newcastle!C15</f>
        <v>47</v>
      </c>
      <c r="D15" s="52">
        <f>Newcastle!D15</f>
        <v>47</v>
      </c>
      <c r="E15" s="52">
        <f>Newcastle!E15</f>
        <v>47</v>
      </c>
      <c r="F15" s="52">
        <f>Newcastle!F15</f>
        <v>47</v>
      </c>
      <c r="G15" s="52">
        <f>Newcastle!G15</f>
        <v>47</v>
      </c>
      <c r="H15" s="52">
        <f>Newcastle!H15</f>
        <v>47</v>
      </c>
      <c r="I15" s="52">
        <f>Newcastle!I15</f>
        <v>47</v>
      </c>
      <c r="J15" s="52">
        <f>Newcastle!J15</f>
        <v>47</v>
      </c>
      <c r="K15" s="52">
        <f>Newcastle!K15</f>
        <v>47</v>
      </c>
      <c r="L15" s="52">
        <f>Newcastle!L15</f>
        <v>47</v>
      </c>
      <c r="M15" s="52">
        <f>Newcastle!M15</f>
        <v>47</v>
      </c>
      <c r="N15" s="52">
        <f>Newcastle!N15</f>
        <v>0</v>
      </c>
      <c r="O15" s="52">
        <f>Newcastle!O15</f>
        <v>0</v>
      </c>
      <c r="P15" s="52">
        <f>Newcastle!P15</f>
        <v>0</v>
      </c>
      <c r="Q15" s="52">
        <f>Newcastle!Q15</f>
        <v>0</v>
      </c>
      <c r="R15" s="52">
        <f>Newcastle!R15</f>
        <v>0</v>
      </c>
      <c r="S15" s="52">
        <f>Newcastle!S15</f>
        <v>0</v>
      </c>
      <c r="T15" s="52">
        <f>Newcastle!T15</f>
        <v>0</v>
      </c>
      <c r="U15" s="52">
        <f>Newcastle!U15</f>
        <v>0</v>
      </c>
      <c r="V15" s="52">
        <f>Newcastle!V15</f>
        <v>0</v>
      </c>
      <c r="AD15" s="23" t="s">
        <v>144</v>
      </c>
      <c r="AE15" s="23">
        <v>7</v>
      </c>
      <c r="AI15" s="46" t="s">
        <v>101</v>
      </c>
      <c r="AJ15" s="54">
        <v>1.8</v>
      </c>
      <c r="AK15" s="48">
        <v>5.4</v>
      </c>
      <c r="AL15" s="9">
        <v>13</v>
      </c>
      <c r="AM15" s="9">
        <v>6.7</v>
      </c>
      <c r="AN15" s="9" t="s">
        <v>135</v>
      </c>
    </row>
    <row r="16" spans="1:41" ht="13.5" thickBot="1" x14ac:dyDescent="0.3">
      <c r="A16" s="119" t="s">
        <v>44</v>
      </c>
      <c r="B16" s="119"/>
      <c r="C16" s="92" t="str">
        <f>Newcastle!C16</f>
        <v>Medium/Clay</v>
      </c>
      <c r="D16" s="92" t="str">
        <f>Newcastle!D16</f>
        <v>Medium/Clay</v>
      </c>
      <c r="E16" s="92" t="str">
        <f>Newcastle!E16</f>
        <v>Medium/Clay</v>
      </c>
      <c r="F16" s="92" t="str">
        <f>Newcastle!F16</f>
        <v>Medium/Clay</v>
      </c>
      <c r="G16" s="92" t="str">
        <f>Newcastle!G16</f>
        <v>Medium/Clay</v>
      </c>
      <c r="H16" s="92" t="str">
        <f>Newcastle!H16</f>
        <v>Medium/Clay</v>
      </c>
      <c r="I16" s="92" t="str">
        <f>Newcastle!I16</f>
        <v>Medium/Clay</v>
      </c>
      <c r="J16" s="92" t="str">
        <f>Newcastle!J16</f>
        <v>Medium/Clay</v>
      </c>
      <c r="K16" s="92" t="str">
        <f>Newcastle!K16</f>
        <v>Medium/Clay</v>
      </c>
      <c r="L16" s="92" t="str">
        <f>Newcastle!L16</f>
        <v>Medium/Clay</v>
      </c>
      <c r="M16" s="92" t="str">
        <f>Newcastle!M16</f>
        <v>Medium/Clay</v>
      </c>
      <c r="N16" s="92">
        <f>Newcastle!N16</f>
        <v>0</v>
      </c>
      <c r="O16" s="92">
        <f>Newcastle!O16</f>
        <v>0</v>
      </c>
      <c r="P16" s="92">
        <f>Newcastle!P16</f>
        <v>0</v>
      </c>
      <c r="Q16" s="92">
        <f>Newcastle!Q16</f>
        <v>0</v>
      </c>
      <c r="R16" s="92">
        <f>Newcastle!R16</f>
        <v>0</v>
      </c>
      <c r="S16" s="92">
        <f>Newcastle!S16</f>
        <v>0</v>
      </c>
      <c r="T16" s="92">
        <f>Newcastle!T16</f>
        <v>0</v>
      </c>
      <c r="U16" s="92">
        <f>Newcastle!U16</f>
        <v>0</v>
      </c>
      <c r="V16" s="92">
        <f>Newcastle!V16</f>
        <v>0</v>
      </c>
      <c r="AD16" s="45" t="s">
        <v>145</v>
      </c>
      <c r="AE16" s="23">
        <v>8</v>
      </c>
      <c r="AI16" s="46" t="s">
        <v>118</v>
      </c>
      <c r="AJ16" s="47">
        <v>8</v>
      </c>
      <c r="AK16" s="48">
        <v>5.5</v>
      </c>
      <c r="AL16" s="7">
        <v>14</v>
      </c>
      <c r="AM16" s="9">
        <v>6.7</v>
      </c>
      <c r="AN16" s="9" t="s">
        <v>135</v>
      </c>
    </row>
    <row r="17" spans="1:40" ht="13" x14ac:dyDescent="0.25">
      <c r="A17" s="109" t="s">
        <v>69</v>
      </c>
      <c r="B17" s="110"/>
      <c r="C17" s="21">
        <f>(VLOOKUP(C$14,$AI2:$AK26,2,FALSE))*C$15</f>
        <v>79.899999999999991</v>
      </c>
      <c r="D17" s="21">
        <f t="shared" ref="D17:V17" si="0">(VLOOKUP(D$14,$AI2:$AK26,2,FALSE))*D$15</f>
        <v>79.899999999999991</v>
      </c>
      <c r="E17" s="21">
        <f t="shared" si="0"/>
        <v>79.899999999999991</v>
      </c>
      <c r="F17" s="21">
        <f t="shared" si="0"/>
        <v>79.899999999999991</v>
      </c>
      <c r="G17" s="21">
        <f t="shared" si="0"/>
        <v>79.899999999999991</v>
      </c>
      <c r="H17" s="21">
        <f t="shared" si="0"/>
        <v>79.899999999999991</v>
      </c>
      <c r="I17" s="21">
        <f t="shared" si="0"/>
        <v>79.899999999999991</v>
      </c>
      <c r="J17" s="21">
        <f t="shared" si="0"/>
        <v>79.899999999999991</v>
      </c>
      <c r="K17" s="21">
        <f t="shared" si="0"/>
        <v>79.899999999999991</v>
      </c>
      <c r="L17" s="21">
        <f t="shared" si="0"/>
        <v>79.899999999999991</v>
      </c>
      <c r="M17" s="21">
        <f t="shared" si="0"/>
        <v>79.899999999999991</v>
      </c>
      <c r="N17" s="21" t="e">
        <f t="shared" si="0"/>
        <v>#N/A</v>
      </c>
      <c r="O17" s="21" t="e">
        <f t="shared" si="0"/>
        <v>#N/A</v>
      </c>
      <c r="P17" s="21" t="e">
        <f t="shared" si="0"/>
        <v>#N/A</v>
      </c>
      <c r="Q17" s="21" t="e">
        <f t="shared" si="0"/>
        <v>#N/A</v>
      </c>
      <c r="R17" s="21" t="e">
        <f t="shared" si="0"/>
        <v>#N/A</v>
      </c>
      <c r="S17" s="21" t="e">
        <f t="shared" si="0"/>
        <v>#N/A</v>
      </c>
      <c r="T17" s="21" t="e">
        <f t="shared" si="0"/>
        <v>#N/A</v>
      </c>
      <c r="U17" s="21" t="e">
        <f t="shared" si="0"/>
        <v>#N/A</v>
      </c>
      <c r="V17" s="21" t="e">
        <f t="shared" si="0"/>
        <v>#N/A</v>
      </c>
      <c r="AD17" s="45" t="s">
        <v>146</v>
      </c>
      <c r="AE17" s="23">
        <v>10</v>
      </c>
      <c r="AI17" s="41" t="s">
        <v>115</v>
      </c>
      <c r="AJ17" s="42">
        <v>1.4</v>
      </c>
      <c r="AK17" s="43">
        <v>4.8</v>
      </c>
      <c r="AL17" s="44">
        <v>15</v>
      </c>
      <c r="AM17" s="9">
        <v>6.2</v>
      </c>
      <c r="AN17" s="9" t="s">
        <v>112</v>
      </c>
    </row>
    <row r="18" spans="1:40" ht="13" x14ac:dyDescent="0.25">
      <c r="A18" s="111" t="s">
        <v>23</v>
      </c>
      <c r="B18" s="112"/>
      <c r="C18" s="13">
        <f>$D31</f>
        <v>79.950035039999989</v>
      </c>
      <c r="D18" s="13">
        <f>$D32</f>
        <v>79.950035039999989</v>
      </c>
      <c r="E18" s="13">
        <f>$D33</f>
        <v>79.950035039999989</v>
      </c>
      <c r="F18" s="13">
        <f>$D34</f>
        <v>79.950035039999989</v>
      </c>
      <c r="G18" s="13">
        <f>$D35</f>
        <v>79.950035039999989</v>
      </c>
      <c r="H18" s="13">
        <f>$D36</f>
        <v>79.950035039999989</v>
      </c>
      <c r="I18" s="13">
        <f>$D37</f>
        <v>79.950035039999989</v>
      </c>
      <c r="J18" s="13">
        <f>$D38</f>
        <v>79.950035039999989</v>
      </c>
      <c r="K18" s="13">
        <f>$D39</f>
        <v>79.950035039999989</v>
      </c>
      <c r="L18" s="13">
        <f>$D40</f>
        <v>79.950035039999989</v>
      </c>
      <c r="M18" s="13">
        <f>$D41</f>
        <v>79.950035039999989</v>
      </c>
      <c r="N18" s="13">
        <f>$D42</f>
        <v>0</v>
      </c>
      <c r="O18" s="13">
        <f>$D43</f>
        <v>0</v>
      </c>
      <c r="P18" s="13">
        <f>$D44</f>
        <v>0</v>
      </c>
      <c r="Q18" s="13">
        <f>$D45</f>
        <v>0</v>
      </c>
      <c r="R18" s="13">
        <f>$D46</f>
        <v>0</v>
      </c>
      <c r="S18" s="13">
        <f>$D47</f>
        <v>0</v>
      </c>
      <c r="T18" s="13">
        <f>$D48</f>
        <v>0</v>
      </c>
      <c r="U18" s="13">
        <f>$D49</f>
        <v>0</v>
      </c>
      <c r="V18" s="18">
        <f>$D50</f>
        <v>0</v>
      </c>
      <c r="AD18" s="45" t="s">
        <v>147</v>
      </c>
      <c r="AE18" s="23">
        <v>16</v>
      </c>
      <c r="AI18" s="41" t="s">
        <v>106</v>
      </c>
      <c r="AJ18" s="42">
        <v>5.9</v>
      </c>
      <c r="AK18" s="43">
        <v>18</v>
      </c>
      <c r="AL18" s="44">
        <v>16</v>
      </c>
      <c r="AM18" s="9">
        <v>6.2</v>
      </c>
      <c r="AN18" s="9" t="s">
        <v>112</v>
      </c>
    </row>
    <row r="19" spans="1:40" ht="13" x14ac:dyDescent="0.25">
      <c r="A19" s="111" t="s">
        <v>90</v>
      </c>
      <c r="B19" s="112"/>
      <c r="C19" s="13">
        <f>C18-C17</f>
        <v>5.0035039999997366E-2</v>
      </c>
      <c r="D19" s="13">
        <f t="shared" ref="D19:V19" si="1">D18-D17</f>
        <v>5.0035039999997366E-2</v>
      </c>
      <c r="E19" s="13">
        <f t="shared" si="1"/>
        <v>5.0035039999997366E-2</v>
      </c>
      <c r="F19" s="13">
        <f t="shared" si="1"/>
        <v>5.0035039999997366E-2</v>
      </c>
      <c r="G19" s="13">
        <f t="shared" si="1"/>
        <v>5.0035039999997366E-2</v>
      </c>
      <c r="H19" s="13">
        <f t="shared" si="1"/>
        <v>5.0035039999997366E-2</v>
      </c>
      <c r="I19" s="13">
        <f t="shared" si="1"/>
        <v>5.0035039999997366E-2</v>
      </c>
      <c r="J19" s="13">
        <f t="shared" si="1"/>
        <v>5.0035039999997366E-2</v>
      </c>
      <c r="K19" s="13">
        <f t="shared" si="1"/>
        <v>5.0035039999997366E-2</v>
      </c>
      <c r="L19" s="13">
        <f t="shared" si="1"/>
        <v>5.0035039999997366E-2</v>
      </c>
      <c r="M19" s="13">
        <f t="shared" si="1"/>
        <v>5.0035039999997366E-2</v>
      </c>
      <c r="N19" s="13" t="e">
        <f t="shared" si="1"/>
        <v>#N/A</v>
      </c>
      <c r="O19" s="13" t="e">
        <f t="shared" si="1"/>
        <v>#N/A</v>
      </c>
      <c r="P19" s="13" t="e">
        <f t="shared" si="1"/>
        <v>#N/A</v>
      </c>
      <c r="Q19" s="13" t="e">
        <f t="shared" si="1"/>
        <v>#N/A</v>
      </c>
      <c r="R19" s="13" t="e">
        <f t="shared" si="1"/>
        <v>#N/A</v>
      </c>
      <c r="S19" s="13" t="e">
        <f t="shared" si="1"/>
        <v>#N/A</v>
      </c>
      <c r="T19" s="13" t="e">
        <f t="shared" si="1"/>
        <v>#N/A</v>
      </c>
      <c r="U19" s="13" t="e">
        <f t="shared" si="1"/>
        <v>#N/A</v>
      </c>
      <c r="V19" s="18" t="e">
        <f t="shared" si="1"/>
        <v>#N/A</v>
      </c>
      <c r="AI19" s="41" t="s">
        <v>107</v>
      </c>
      <c r="AJ19" s="42">
        <v>3.2</v>
      </c>
      <c r="AK19" s="43">
        <v>10.5</v>
      </c>
      <c r="AL19" s="44">
        <v>17</v>
      </c>
      <c r="AM19" s="9">
        <v>6.2</v>
      </c>
      <c r="AN19" s="9" t="s">
        <v>112</v>
      </c>
    </row>
    <row r="20" spans="1:40" ht="13.5" thickBot="1" x14ac:dyDescent="0.3">
      <c r="A20" s="113" t="s">
        <v>91</v>
      </c>
      <c r="B20" s="114"/>
      <c r="C20" s="19" t="str">
        <f>IF($B31="","",IF(C$19&gt;=0,"INCREASE","DECREASE"))</f>
        <v>INCREASE</v>
      </c>
      <c r="D20" s="19" t="str">
        <f>IF($B32="","",IF(D$19&gt;=0,"INCREASE","DECREASE"))</f>
        <v>INCREASE</v>
      </c>
      <c r="E20" s="19" t="str">
        <f>IF($B33="","",IF(E$19&gt;=0,"INCREASE","DECREASE"))</f>
        <v>INCREASE</v>
      </c>
      <c r="F20" s="19" t="str">
        <f>IF($B34="","",IF(F$19&gt;=0,"INCREASE","DECREASE"))</f>
        <v>INCREASE</v>
      </c>
      <c r="G20" s="19" t="str">
        <f>IF($B35="","",IF(G$19&gt;=0,"INCREASE","DECREASE"))</f>
        <v>INCREASE</v>
      </c>
      <c r="H20" s="19" t="str">
        <f>IF($B36="","",IF(H$19&gt;=0,"INCREASE","DECREASE"))</f>
        <v>INCREASE</v>
      </c>
      <c r="I20" s="19" t="str">
        <f>IF($B37="","",IF(I$19&gt;=0,"INCREASE","DECREASE"))</f>
        <v>INCREASE</v>
      </c>
      <c r="J20" s="19" t="str">
        <f>IF($B38="","",IF(J$19&gt;=0,"INCREASE","DECREASE"))</f>
        <v>INCREASE</v>
      </c>
      <c r="K20" s="19" t="str">
        <f>IF($B39="","",IF(K$19&gt;=0,"INCREASE","DECREASE"))</f>
        <v>INCREASE</v>
      </c>
      <c r="L20" s="19" t="str">
        <f>IF($B40="","",IF(L$19&gt;=0,"INCREASE","DECREASE"))</f>
        <v>INCREASE</v>
      </c>
      <c r="M20" s="19" t="str">
        <f>IF($B41="","",IF(M$19&gt;=0,"INCREASE","DECREASE"))</f>
        <v>INCREASE</v>
      </c>
      <c r="N20" s="19" t="str">
        <f>IF($B42="","",IF(N$19&gt;=0,"INCREASE","DECREASE"))</f>
        <v/>
      </c>
      <c r="O20" s="19" t="str">
        <f>IF($B43="","",IF(O$19&gt;=0,"INCREASE","DECREASE"))</f>
        <v/>
      </c>
      <c r="P20" s="19" t="str">
        <f>IF($B44="","",IF(P$19&gt;=0,"INCREASE","DECREASE"))</f>
        <v/>
      </c>
      <c r="Q20" s="19" t="str">
        <f>IF($B45="","",IF(Q$19&gt;=0,"INCREASE","DECREASE"))</f>
        <v/>
      </c>
      <c r="R20" s="19" t="str">
        <f>IF($B46="","",IF(R$19&gt;=0,"INCREASE","DECREASE"))</f>
        <v/>
      </c>
      <c r="S20" s="19" t="str">
        <f>IF($B47="","",IF(S$19&gt;=0,"INCREASE","DECREASE"))</f>
        <v/>
      </c>
      <c r="T20" s="19" t="str">
        <f>IF($B48="","",IF(T$19&gt;=0,"INCREASE","DECREASE"))</f>
        <v/>
      </c>
      <c r="U20" s="19" t="str">
        <f>IF($B49="","",IF(U$19&gt;=0,"INCREASE","DECREASE"))</f>
        <v/>
      </c>
      <c r="V20" s="20" t="str">
        <f>IF($B50="","",IF(V$19&gt;=0,"INCREASE","DECREASE"))</f>
        <v/>
      </c>
      <c r="AI20" s="41" t="s">
        <v>114</v>
      </c>
      <c r="AJ20" s="42">
        <v>2.1</v>
      </c>
      <c r="AK20" s="43">
        <v>7.2</v>
      </c>
      <c r="AL20" s="44">
        <v>18</v>
      </c>
      <c r="AM20" s="9">
        <v>6.2</v>
      </c>
      <c r="AN20" s="9" t="s">
        <v>112</v>
      </c>
    </row>
    <row r="21" spans="1:40" ht="13" x14ac:dyDescent="0.25">
      <c r="A21" s="109" t="s">
        <v>88</v>
      </c>
      <c r="B21" s="110"/>
      <c r="C21" s="21">
        <f>(VLOOKUP(C$14,$AI2:$AK26,3,FALSE))*C$15</f>
        <v>282</v>
      </c>
      <c r="D21" s="21">
        <f t="shared" ref="D21:V21" si="2">(VLOOKUP(D$14,$AI2:$AK26,3,FALSE))*D$15</f>
        <v>282</v>
      </c>
      <c r="E21" s="21">
        <f t="shared" si="2"/>
        <v>282</v>
      </c>
      <c r="F21" s="21">
        <f t="shared" si="2"/>
        <v>282</v>
      </c>
      <c r="G21" s="21">
        <f t="shared" si="2"/>
        <v>282</v>
      </c>
      <c r="H21" s="21">
        <f t="shared" si="2"/>
        <v>282</v>
      </c>
      <c r="I21" s="21">
        <f t="shared" si="2"/>
        <v>282</v>
      </c>
      <c r="J21" s="21">
        <f t="shared" si="2"/>
        <v>282</v>
      </c>
      <c r="K21" s="21">
        <f t="shared" si="2"/>
        <v>282</v>
      </c>
      <c r="L21" s="21">
        <f t="shared" si="2"/>
        <v>282</v>
      </c>
      <c r="M21" s="21">
        <f t="shared" si="2"/>
        <v>282</v>
      </c>
      <c r="N21" s="21" t="e">
        <f t="shared" si="2"/>
        <v>#N/A</v>
      </c>
      <c r="O21" s="21" t="e">
        <f t="shared" si="2"/>
        <v>#N/A</v>
      </c>
      <c r="P21" s="21" t="e">
        <f t="shared" si="2"/>
        <v>#N/A</v>
      </c>
      <c r="Q21" s="21" t="e">
        <f t="shared" si="2"/>
        <v>#N/A</v>
      </c>
      <c r="R21" s="21" t="e">
        <f t="shared" si="2"/>
        <v>#N/A</v>
      </c>
      <c r="S21" s="21" t="e">
        <f t="shared" si="2"/>
        <v>#N/A</v>
      </c>
      <c r="T21" s="21" t="e">
        <f t="shared" si="2"/>
        <v>#N/A</v>
      </c>
      <c r="U21" s="21" t="e">
        <f t="shared" si="2"/>
        <v>#N/A</v>
      </c>
      <c r="V21" s="21" t="e">
        <f t="shared" si="2"/>
        <v>#N/A</v>
      </c>
      <c r="AI21" s="55" t="s">
        <v>100</v>
      </c>
      <c r="AJ21" s="58">
        <v>11</v>
      </c>
      <c r="AK21" s="57">
        <v>12</v>
      </c>
      <c r="AL21" s="22">
        <v>19</v>
      </c>
      <c r="AM21" s="9">
        <v>6.7</v>
      </c>
      <c r="AN21" s="9" t="s">
        <v>135</v>
      </c>
    </row>
    <row r="22" spans="1:40" ht="13" x14ac:dyDescent="0.25">
      <c r="A22" s="111" t="s">
        <v>89</v>
      </c>
      <c r="B22" s="112"/>
      <c r="C22" s="13">
        <f>$E31</f>
        <v>0.9941503049999999</v>
      </c>
      <c r="D22" s="13">
        <f>$E32</f>
        <v>0.9941503049999999</v>
      </c>
      <c r="E22" s="13">
        <f>$E33</f>
        <v>0.9941503049999999</v>
      </c>
      <c r="F22" s="13">
        <f>$E34</f>
        <v>0.9941503049999999</v>
      </c>
      <c r="G22" s="13">
        <f>$E35</f>
        <v>0.9941503049999999</v>
      </c>
      <c r="H22" s="13">
        <f>$E36</f>
        <v>0.9941503049999999</v>
      </c>
      <c r="I22" s="13">
        <f>$E37</f>
        <v>0.9941503049999999</v>
      </c>
      <c r="J22" s="13">
        <f>$E38</f>
        <v>0.9941503049999999</v>
      </c>
      <c r="K22" s="13">
        <f>$E39</f>
        <v>0.9941503049999999</v>
      </c>
      <c r="L22" s="13">
        <f>$E40</f>
        <v>0.9941503049999999</v>
      </c>
      <c r="M22" s="13">
        <f>$E41</f>
        <v>0.9941503049999999</v>
      </c>
      <c r="N22" s="13">
        <f>$E42</f>
        <v>0</v>
      </c>
      <c r="O22" s="13">
        <f>$E43</f>
        <v>0</v>
      </c>
      <c r="P22" s="13">
        <f>$E44</f>
        <v>0</v>
      </c>
      <c r="Q22" s="13">
        <f>$E45</f>
        <v>0</v>
      </c>
      <c r="R22" s="13">
        <f>$E46</f>
        <v>0</v>
      </c>
      <c r="S22" s="13">
        <f>$E47</f>
        <v>0</v>
      </c>
      <c r="T22" s="13">
        <f>$E48</f>
        <v>0</v>
      </c>
      <c r="U22" s="13">
        <f>$E49</f>
        <v>0</v>
      </c>
      <c r="V22" s="13">
        <f>$E50</f>
        <v>0</v>
      </c>
      <c r="AI22" s="55" t="s">
        <v>102</v>
      </c>
      <c r="AJ22" s="56">
        <v>1.2</v>
      </c>
      <c r="AK22" s="57">
        <v>5</v>
      </c>
      <c r="AL22" s="22">
        <v>20</v>
      </c>
      <c r="AM22" s="9">
        <v>6.7</v>
      </c>
      <c r="AN22" s="9" t="s">
        <v>135</v>
      </c>
    </row>
    <row r="23" spans="1:40" ht="13" x14ac:dyDescent="0.25">
      <c r="A23" s="111" t="s">
        <v>92</v>
      </c>
      <c r="B23" s="112"/>
      <c r="C23" s="13">
        <f>C22-C21</f>
        <v>-281.00584969499999</v>
      </c>
      <c r="D23" s="13">
        <f t="shared" ref="D23:V23" si="3">D22-D21</f>
        <v>-281.00584969499999</v>
      </c>
      <c r="E23" s="13">
        <f t="shared" si="3"/>
        <v>-281.00584969499999</v>
      </c>
      <c r="F23" s="13">
        <f t="shared" si="3"/>
        <v>-281.00584969499999</v>
      </c>
      <c r="G23" s="13">
        <f t="shared" si="3"/>
        <v>-281.00584969499999</v>
      </c>
      <c r="H23" s="13">
        <f t="shared" si="3"/>
        <v>-281.00584969499999</v>
      </c>
      <c r="I23" s="13">
        <f t="shared" si="3"/>
        <v>-281.00584969499999</v>
      </c>
      <c r="J23" s="13">
        <f t="shared" si="3"/>
        <v>-281.00584969499999</v>
      </c>
      <c r="K23" s="13">
        <f t="shared" si="3"/>
        <v>-281.00584969499999</v>
      </c>
      <c r="L23" s="13">
        <f t="shared" si="3"/>
        <v>-281.00584969499999</v>
      </c>
      <c r="M23" s="13">
        <f t="shared" si="3"/>
        <v>-281.00584969499999</v>
      </c>
      <c r="N23" s="13" t="e">
        <f t="shared" si="3"/>
        <v>#N/A</v>
      </c>
      <c r="O23" s="13" t="e">
        <f t="shared" si="3"/>
        <v>#N/A</v>
      </c>
      <c r="P23" s="13" t="e">
        <f t="shared" si="3"/>
        <v>#N/A</v>
      </c>
      <c r="Q23" s="13" t="e">
        <f t="shared" si="3"/>
        <v>#N/A</v>
      </c>
      <c r="R23" s="13" t="e">
        <f t="shared" si="3"/>
        <v>#N/A</v>
      </c>
      <c r="S23" s="13" t="e">
        <f t="shared" si="3"/>
        <v>#N/A</v>
      </c>
      <c r="T23" s="13" t="e">
        <f t="shared" si="3"/>
        <v>#N/A</v>
      </c>
      <c r="U23" s="13" t="e">
        <f t="shared" si="3"/>
        <v>#N/A</v>
      </c>
      <c r="V23" s="13" t="e">
        <f t="shared" si="3"/>
        <v>#N/A</v>
      </c>
      <c r="AI23" s="55" t="s">
        <v>98</v>
      </c>
      <c r="AJ23" s="58">
        <v>9</v>
      </c>
      <c r="AK23" s="57">
        <v>10</v>
      </c>
      <c r="AL23" s="22">
        <v>21</v>
      </c>
      <c r="AM23" s="9">
        <v>6.7</v>
      </c>
      <c r="AN23" s="9" t="s">
        <v>135</v>
      </c>
    </row>
    <row r="24" spans="1:40" ht="13.5" thickBot="1" x14ac:dyDescent="0.3">
      <c r="A24" s="113" t="s">
        <v>93</v>
      </c>
      <c r="B24" s="114"/>
      <c r="C24" s="19" t="str">
        <f>IF($B31="","",IF(C$23&gt;=0,"INCREASE","DECREASE"))</f>
        <v>DECREASE</v>
      </c>
      <c r="D24" s="19" t="str">
        <f t="shared" ref="D24:V24" si="4">IF($B31="","",IF(D$23&gt;=0,"INCREASE","DECREASE"))</f>
        <v>DECREASE</v>
      </c>
      <c r="E24" s="19" t="str">
        <f t="shared" si="4"/>
        <v>DECREASE</v>
      </c>
      <c r="F24" s="19" t="str">
        <f t="shared" si="4"/>
        <v>DECREASE</v>
      </c>
      <c r="G24" s="19" t="str">
        <f t="shared" si="4"/>
        <v>DECREASE</v>
      </c>
      <c r="H24" s="19" t="str">
        <f t="shared" si="4"/>
        <v>DECREASE</v>
      </c>
      <c r="I24" s="19" t="str">
        <f t="shared" si="4"/>
        <v>DECREASE</v>
      </c>
      <c r="J24" s="19" t="str">
        <f t="shared" si="4"/>
        <v>DECREASE</v>
      </c>
      <c r="K24" s="19" t="str">
        <f t="shared" si="4"/>
        <v>DECREASE</v>
      </c>
      <c r="L24" s="19" t="str">
        <f t="shared" si="4"/>
        <v>DECREASE</v>
      </c>
      <c r="M24" s="19" t="str">
        <f t="shared" si="4"/>
        <v>DECREASE</v>
      </c>
      <c r="N24" s="19" t="e">
        <f t="shared" si="4"/>
        <v>#N/A</v>
      </c>
      <c r="O24" s="19" t="e">
        <f t="shared" si="4"/>
        <v>#N/A</v>
      </c>
      <c r="P24" s="19" t="e">
        <f t="shared" si="4"/>
        <v>#N/A</v>
      </c>
      <c r="Q24" s="19" t="e">
        <f t="shared" si="4"/>
        <v>#N/A</v>
      </c>
      <c r="R24" s="19" t="e">
        <f t="shared" si="4"/>
        <v>#N/A</v>
      </c>
      <c r="S24" s="19" t="e">
        <f t="shared" si="4"/>
        <v>#N/A</v>
      </c>
      <c r="T24" s="19" t="e">
        <f t="shared" si="4"/>
        <v>#N/A</v>
      </c>
      <c r="U24" s="19" t="e">
        <f t="shared" si="4"/>
        <v>#N/A</v>
      </c>
      <c r="V24" s="19" t="e">
        <f t="shared" si="4"/>
        <v>#N/A</v>
      </c>
      <c r="AI24" s="55" t="s">
        <v>99</v>
      </c>
      <c r="AJ24" s="58">
        <v>1.5</v>
      </c>
      <c r="AK24" s="57">
        <v>3</v>
      </c>
      <c r="AL24" s="22">
        <v>22</v>
      </c>
      <c r="AM24" s="9">
        <v>6.7</v>
      </c>
      <c r="AN24" s="9" t="s">
        <v>135</v>
      </c>
    </row>
    <row r="25" spans="1:40" x14ac:dyDescent="0.25">
      <c r="D25" s="59"/>
      <c r="E25" s="59"/>
      <c r="F25" s="59"/>
      <c r="AI25" s="55" t="s">
        <v>117</v>
      </c>
      <c r="AJ25" s="58">
        <v>1</v>
      </c>
      <c r="AK25" s="57">
        <v>5.8</v>
      </c>
      <c r="AL25" s="22">
        <v>23</v>
      </c>
      <c r="AM25" s="9">
        <v>6.7</v>
      </c>
      <c r="AN25" s="9" t="s">
        <v>135</v>
      </c>
    </row>
    <row r="26" spans="1:40" s="7" customFormat="1" ht="13" x14ac:dyDescent="0.25">
      <c r="A26" s="93"/>
      <c r="B26" s="3" t="s">
        <v>10</v>
      </c>
      <c r="C26" s="3" t="s">
        <v>75</v>
      </c>
      <c r="D26" s="94" t="s">
        <v>11</v>
      </c>
      <c r="E26" s="94" t="s">
        <v>12</v>
      </c>
      <c r="F26" s="94" t="s">
        <v>13</v>
      </c>
      <c r="G26" s="3" t="s">
        <v>14</v>
      </c>
      <c r="H26" s="94" t="s">
        <v>15</v>
      </c>
      <c r="I26" s="94" t="s">
        <v>16</v>
      </c>
      <c r="J26" s="3" t="s">
        <v>17</v>
      </c>
      <c r="K26" s="3" t="s">
        <v>18</v>
      </c>
      <c r="L26" s="3" t="s">
        <v>19</v>
      </c>
      <c r="M26" s="3" t="s">
        <v>20</v>
      </c>
      <c r="N26" s="3" t="s">
        <v>61</v>
      </c>
      <c r="O26" s="3" t="s">
        <v>62</v>
      </c>
      <c r="P26" s="94" t="s">
        <v>39</v>
      </c>
      <c r="Q26" s="94" t="s">
        <v>40</v>
      </c>
      <c r="R26" s="94" t="s">
        <v>35</v>
      </c>
      <c r="S26" s="94" t="s">
        <v>36</v>
      </c>
      <c r="T26" s="94" t="s">
        <v>37</v>
      </c>
      <c r="U26" s="94" t="s">
        <v>38</v>
      </c>
      <c r="AI26" s="60" t="s">
        <v>116</v>
      </c>
      <c r="AJ26" s="61">
        <v>0.7</v>
      </c>
      <c r="AK26" s="62">
        <v>2.4</v>
      </c>
      <c r="AL26" s="22">
        <v>24</v>
      </c>
      <c r="AM26" s="7">
        <v>6.7</v>
      </c>
      <c r="AN26" s="9" t="s">
        <v>135</v>
      </c>
    </row>
    <row r="27" spans="1:40" x14ac:dyDescent="0.35">
      <c r="A27" s="95"/>
      <c r="B27" s="63" t="s">
        <v>46</v>
      </c>
      <c r="C27" s="96" t="s">
        <v>57</v>
      </c>
      <c r="D27" s="96" t="s">
        <v>57</v>
      </c>
      <c r="E27" s="96" t="s">
        <v>57</v>
      </c>
      <c r="F27" s="96" t="s">
        <v>55</v>
      </c>
      <c r="G27" s="96" t="s">
        <v>55</v>
      </c>
      <c r="H27" s="96" t="s">
        <v>55</v>
      </c>
      <c r="I27" s="96" t="s">
        <v>55</v>
      </c>
      <c r="J27" s="96" t="s">
        <v>55</v>
      </c>
      <c r="K27" s="96" t="s">
        <v>55</v>
      </c>
      <c r="L27" s="96" t="s">
        <v>55</v>
      </c>
      <c r="M27" s="96" t="s">
        <v>55</v>
      </c>
      <c r="N27" s="96" t="s">
        <v>55</v>
      </c>
      <c r="O27" s="96" t="s">
        <v>55</v>
      </c>
      <c r="P27" s="96"/>
      <c r="Q27" s="96" t="s">
        <v>55</v>
      </c>
      <c r="R27" s="96"/>
      <c r="S27" s="96" t="s">
        <v>55</v>
      </c>
      <c r="T27" s="96"/>
      <c r="U27" s="96"/>
    </row>
    <row r="28" spans="1:40" x14ac:dyDescent="0.35">
      <c r="A28" s="97"/>
      <c r="B28" s="17">
        <v>8.6999999999999993</v>
      </c>
      <c r="C28" s="12">
        <v>1.04</v>
      </c>
      <c r="D28" s="12">
        <v>0.36799999999999999</v>
      </c>
      <c r="E28" s="12">
        <v>8.6999999999999994E-3</v>
      </c>
      <c r="F28" s="12">
        <v>348</v>
      </c>
      <c r="G28" s="12">
        <v>7.8</v>
      </c>
      <c r="H28" s="12">
        <v>116</v>
      </c>
      <c r="I28" s="12">
        <v>16.399999999999999</v>
      </c>
      <c r="J28" s="12">
        <v>7.0000000000000007E-2</v>
      </c>
      <c r="K28" s="16">
        <v>0.28999999999999998</v>
      </c>
      <c r="L28" s="12">
        <v>9.5</v>
      </c>
      <c r="M28" s="12"/>
      <c r="N28" s="12">
        <v>2640</v>
      </c>
      <c r="O28" s="12">
        <v>138000</v>
      </c>
      <c r="P28" s="12"/>
      <c r="Q28" s="12">
        <v>1170</v>
      </c>
      <c r="R28" s="12"/>
      <c r="S28" s="12">
        <v>9.6</v>
      </c>
      <c r="T28" s="12"/>
      <c r="U28" s="12"/>
    </row>
    <row r="29" spans="1:40" s="7" customFormat="1" ht="28" x14ac:dyDescent="0.35">
      <c r="A29" s="11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6" customFormat="1" ht="28" x14ac:dyDescent="0.35">
      <c r="A30" s="11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51" customFormat="1" ht="13" x14ac:dyDescent="0.35">
      <c r="A31" s="10" t="str">
        <f>C8</f>
        <v>Nant Y Croi 9</v>
      </c>
      <c r="B31" s="12">
        <v>109</v>
      </c>
      <c r="C31" s="68">
        <f>IF(C$27="%w/w SAR",((C$28*10)*$B31),IF(C$27="%w/w DM",(((C$28*10)*($B$28/100))*$B31),IF(C$27="kg/t SAR",(C$28*$B31),IF(C$27="kg/t DM",((C$28*($B$28/100))*$B31),IF(C$27="mg/kg SAR",((C$28*0.001)*$B31),IF(C$27="mg/kg DM",(((C$28*0.001)*($B$28/100))*$B31),0))))))</f>
        <v>98.623199999999997</v>
      </c>
      <c r="D31" s="68">
        <f>(IF(D$27="%w/w SAR",((D$28*10)*$B31),IF(D$27="%w/w DM",(((D$28*10)*($B$28/100))*$B31),IF(D$27="kg/t SAR",(D$28*$B31),IF(D$27="kg/t DM",((D$28*($B$28/100))*$B31),IF(D$27="mg/kg SAR",((D$28*0.001)*$B31),IF(D$27="mg/kg DM",(((D$28*0.001)*($B$28/100))*$B31),"0")))))))*2.291</f>
        <v>79.950035039999989</v>
      </c>
      <c r="E31" s="68">
        <f>(IF(E$27="%w/w SAR",((E$28*10)*$B31),IF(E$27="%w/w DM",(((E$28*10)*($B$28/100))*$B31),IF(E$27="kg/t SAR",(E$28*$B31),IF(E$27="kg/t DM",((E$28*($B$28/100))*$B31),IF(E$27="mg/kg SAR",((E$28*0.001)*$B31),IF(E$27="mg/kg DM",(((E$28*0.001)*($B$28/100))*$B31),"0")))))))*1.205</f>
        <v>0.9941503049999999</v>
      </c>
      <c r="F31" s="68">
        <f>(IF(F$27="%w/w SAR",((F$28*10)*$B31),IF(F$27="%w/w DM",(((F$28*10)*($B$28/100))*$B31),IF(F$27="kg/t SAR",(F$28*$B31),IF(F$27="kg/t DM",((F$28*($B$28/100))*$B31),IF(F$27="mg/kg SAR",((F$28*0.001)*$B31),IF(F$27="mg/kg DM",(((F$28*0.001)*($B$28/100))*$B31),"0")))))))*1.658</f>
        <v>5.4715392719999993</v>
      </c>
      <c r="G31" s="68">
        <f t="shared" ref="G31:P46" si="5">IF(G$27="%w/w SAR",((G$28*10)*$B31),IF(G$27="%w/w DM",(((G$28*10)*($B$28/100))*$B31),IF(G$27="kg/t SAR",(G$28*$B31),IF(G$27="kg/t DM",((G$28*($B$28/100))*$B31),IF(G$27="mg/kg SAR",((G$28*0.001)*$B31),IF(G$27="mg/kg DM",(((G$28*0.001)*($B$28/100))*$B31),0))))))</f>
        <v>7.3967399999999989E-2</v>
      </c>
      <c r="H31" s="68">
        <f t="shared" si="5"/>
        <v>1.100028</v>
      </c>
      <c r="I31" s="68">
        <f t="shared" si="5"/>
        <v>0.15552119999999997</v>
      </c>
      <c r="J31" s="68">
        <f t="shared" si="5"/>
        <v>6.6381000000000003E-4</v>
      </c>
      <c r="K31" s="68">
        <f t="shared" si="5"/>
        <v>2.7500699999999999E-3</v>
      </c>
      <c r="L31" s="68">
        <f t="shared" si="5"/>
        <v>9.0088499999999988E-2</v>
      </c>
      <c r="M31" s="68">
        <f t="shared" si="5"/>
        <v>0</v>
      </c>
      <c r="N31" s="68">
        <f t="shared" si="5"/>
        <v>25.035119999999999</v>
      </c>
      <c r="O31" s="68">
        <f t="shared" si="5"/>
        <v>1308.6539999999998</v>
      </c>
      <c r="P31" s="68">
        <f t="shared" si="5"/>
        <v>0</v>
      </c>
      <c r="Q31" s="68">
        <f>(IF(Q$27="%w/w SAR",((Q$28*10)*$B31),IF(Q$27="%w/w DM",(((Q$28*10)*($B$28/100))*$B31),IF(Q$27="kg/t SAR",(Q$28*$B31),IF(Q$27="kg/t DM",((Q$28*($B$28/100))*$B31),IF(Q$27="mg/kg SAR",((Q$28*0.001)*$B31),IF(Q$27="mg/kg DM",(((Q$28*0.001)*($B$28/100))*$B31),0)))))))*2.5</f>
        <v>27.737774999999996</v>
      </c>
      <c r="R31" s="68">
        <f>IF(R$27="%w/w SAR",((R$28*10)*$B31),IF(R$27="%w/w DM",(((R$28*10)*($B$28/100))*$B31),IF(R$27="kg/t SAR",(R$28*$B31),IF(R$27="kg/t DM",((R$28*($B$28/100))*$B31),IF(R$27="mg/kg SAR",((R$28*0.001)*$B31),IF(R$27="mg/kg DM",(((R$28*0.001)*($B$28/100))*$B31),0))))))</f>
        <v>0</v>
      </c>
      <c r="S31" s="68">
        <f>IF(S$27="%w/w SAR",((S$28*10)*$B31),IF(S$27="%w/w DM",(((S$28*10)*($B$28/100))*$B31),IF(S$27="kg/t SAR",(S$28*$B31),IF(S$27="kg/t DM",((S$28*($B$28/100))*$B31),IF(S$27="mg/kg SAR",((S$28*0.001)*$B31),IF(S$27="mg/kg DM",(((S$28*0.001)*($B$28/100))*$B31),0))))))</f>
        <v>9.1036799999999987E-2</v>
      </c>
      <c r="T31" s="68">
        <f>IF(T$27="%w/w SAR",((T$28*10)*$B31),IF(T$27="%w/w DM",(((T$28*10)*($B$28/100))*$B31),IF(T$27="kg/t SAR",(T$28*$B31),IF(T$27="kg/t DM",((T$28*($B$28/100))*$B31),IF(T$27="mg/kg SAR",((T$28*0.001)*$B31),IF(T$27="mg/kg DM",(((T$28*0.001)*($B$28/100))*$B31),0))))))</f>
        <v>0</v>
      </c>
      <c r="U31" s="68">
        <f>IF(U$27="%w/w SAR",((U$28*10)*$B31),IF(U$27="%w/w DM",(((U$28*10)*($B$28/100))*$B31),IF(U$27="kg/t SAR",(U$28*$B31),IF(U$27="kg/t DM",((U$28*($B$28/100))*$B31),IF(U$27="mg/kg SAR",((U$28*0.001)*$B31),IF(U$27="mg/kg DM",(((U$28*0.001)*($B$28/100))*$B31),0))))))</f>
        <v>0</v>
      </c>
    </row>
    <row r="32" spans="1:40" s="51" customFormat="1" ht="13" x14ac:dyDescent="0.35">
      <c r="A32" s="10" t="str">
        <f>D8</f>
        <v>Hafod 4315</v>
      </c>
      <c r="B32" s="12">
        <v>109</v>
      </c>
      <c r="C32" s="68">
        <f t="shared" ref="C32:C50" si="6">IF(C$27="%w/w SAR",((C$28*10)*$B32),IF(C$27="%w/w DM",(((C$28*10)*($B$28/100))*$B32),IF(C$27="kg/t SAR",(C$28*$B32),IF(C$27="kg/t DM",((C$28*($B$28/100))*$B32),IF(C$27="mg/kg SAR",((C$28*0.001)*$B32),IF(C$27="mg/kg DM",(((C$28*0.001)*($B$28/100))*$B32),0))))))</f>
        <v>98.623199999999997</v>
      </c>
      <c r="D32" s="68">
        <f t="shared" ref="D32:D50" si="7">(IF(D$27="%w/w SAR",((D$28*10)*$B32),IF(D$27="%w/w DM",(((D$28*10)*($B$28/100))*$B32),IF(D$27="kg/t SAR",(D$28*$B32),IF(D$27="kg/t DM",((D$28*($B$28/100))*$B32),IF(D$27="mg/kg SAR",((D$28*0.001)*$B32),IF(D$27="mg/kg DM",(((D$28*0.001)*($B$28/100))*$B32),"0")))))))*2.291</f>
        <v>79.950035039999989</v>
      </c>
      <c r="E32" s="68">
        <f t="shared" ref="E32:E50" si="8">(IF(E$27="%w/w SAR",((E$28*10)*$B32),IF(E$27="%w/w DM",(((E$28*10)*($B$28/100))*$B32),IF(E$27="kg/t SAR",(E$28*$B32),IF(E$27="kg/t DM",((E$28*($B$28/100))*$B32),IF(E$27="mg/kg SAR",((E$28*0.001)*$B32),IF(E$27="mg/kg DM",(((E$28*0.001)*($B$28/100))*$B32),"0")))))))*1.205</f>
        <v>0.9941503049999999</v>
      </c>
      <c r="F32" s="68">
        <f t="shared" ref="F32:F50" si="9">(IF(F$27="%w/w SAR",((F$28*10)*$B32),IF(F$27="%w/w DM",(((F$28*10)*($B$28/100))*$B32),IF(F$27="kg/t SAR",(F$28*$B32),IF(F$27="kg/t DM",((F$28*($B$28/100))*$B32),IF(F$27="mg/kg SAR",((F$28*0.001)*$B32),IF(F$27="mg/kg DM",(((F$28*0.001)*($B$28/100))*$B32),"0")))))))*1.658</f>
        <v>5.4715392719999993</v>
      </c>
      <c r="G32" s="68">
        <f t="shared" si="5"/>
        <v>7.3967399999999989E-2</v>
      </c>
      <c r="H32" s="68">
        <f t="shared" si="5"/>
        <v>1.100028</v>
      </c>
      <c r="I32" s="68">
        <f t="shared" si="5"/>
        <v>0.15552119999999997</v>
      </c>
      <c r="J32" s="68">
        <f t="shared" si="5"/>
        <v>6.6381000000000003E-4</v>
      </c>
      <c r="K32" s="68">
        <f t="shared" si="5"/>
        <v>2.7500699999999999E-3</v>
      </c>
      <c r="L32" s="68">
        <f t="shared" si="5"/>
        <v>9.0088499999999988E-2</v>
      </c>
      <c r="M32" s="68">
        <f t="shared" si="5"/>
        <v>0</v>
      </c>
      <c r="N32" s="68">
        <f t="shared" si="5"/>
        <v>25.035119999999999</v>
      </c>
      <c r="O32" s="68">
        <f t="shared" si="5"/>
        <v>1308.6539999999998</v>
      </c>
      <c r="P32" s="68">
        <f t="shared" si="5"/>
        <v>0</v>
      </c>
      <c r="Q32" s="68">
        <f t="shared" ref="Q32:Q50" si="10">(IF(Q$27="%w/w SAR",((Q$28*10)*$B32),IF(Q$27="%w/w DM",(((Q$28*10)*($B$28/100))*$B32),IF(Q$27="kg/t SAR",(Q$28*$B32),IF(Q$27="kg/t DM",((Q$28*($B$28/100))*$B32),IF(Q$27="mg/kg SAR",((Q$28*0.001)*$B32),IF(Q$27="mg/kg DM",(((Q$28*0.001)*($B$28/100))*$B32),0)))))))*2.5</f>
        <v>27.737774999999996</v>
      </c>
      <c r="R32" s="68">
        <f t="shared" ref="R32:U50" si="11">IF(R$27="%w/w SAR",((R$28*10)*$B32),IF(R$27="%w/w DM",(((R$28*10)*($B$28/100))*$B32),IF(R$27="kg/t SAR",(R$28*$B32),IF(R$27="kg/t DM",((R$28*($B$28/100))*$B32),IF(R$27="mg/kg SAR",((R$28*0.001)*$B32),IF(R$27="mg/kg DM",(((R$28*0.001)*($B$28/100))*$B32),0))))))</f>
        <v>0</v>
      </c>
      <c r="S32" s="68">
        <f t="shared" si="11"/>
        <v>9.1036799999999987E-2</v>
      </c>
      <c r="T32" s="68">
        <f t="shared" si="11"/>
        <v>0</v>
      </c>
      <c r="U32" s="68">
        <f t="shared" si="11"/>
        <v>0</v>
      </c>
    </row>
    <row r="33" spans="1:21" s="51" customFormat="1" ht="13" x14ac:dyDescent="0.35">
      <c r="A33" s="10" t="str">
        <f>E8</f>
        <v>Hafod 4734</v>
      </c>
      <c r="B33" s="12">
        <v>109</v>
      </c>
      <c r="C33" s="68">
        <f t="shared" si="6"/>
        <v>98.623199999999997</v>
      </c>
      <c r="D33" s="68">
        <f t="shared" si="7"/>
        <v>79.950035039999989</v>
      </c>
      <c r="E33" s="68">
        <f t="shared" si="8"/>
        <v>0.9941503049999999</v>
      </c>
      <c r="F33" s="68">
        <f t="shared" si="9"/>
        <v>5.4715392719999993</v>
      </c>
      <c r="G33" s="68">
        <f t="shared" si="5"/>
        <v>7.3967399999999989E-2</v>
      </c>
      <c r="H33" s="68">
        <f t="shared" si="5"/>
        <v>1.100028</v>
      </c>
      <c r="I33" s="68">
        <f t="shared" si="5"/>
        <v>0.15552119999999997</v>
      </c>
      <c r="J33" s="68">
        <f t="shared" si="5"/>
        <v>6.6381000000000003E-4</v>
      </c>
      <c r="K33" s="68">
        <f t="shared" si="5"/>
        <v>2.7500699999999999E-3</v>
      </c>
      <c r="L33" s="68">
        <f t="shared" si="5"/>
        <v>9.0088499999999988E-2</v>
      </c>
      <c r="M33" s="68">
        <f t="shared" si="5"/>
        <v>0</v>
      </c>
      <c r="N33" s="68">
        <f t="shared" si="5"/>
        <v>25.035119999999999</v>
      </c>
      <c r="O33" s="68">
        <f t="shared" si="5"/>
        <v>1308.6539999999998</v>
      </c>
      <c r="P33" s="68">
        <f t="shared" si="5"/>
        <v>0</v>
      </c>
      <c r="Q33" s="68">
        <f t="shared" si="10"/>
        <v>27.737774999999996</v>
      </c>
      <c r="R33" s="68">
        <f t="shared" si="11"/>
        <v>0</v>
      </c>
      <c r="S33" s="68">
        <f t="shared" si="11"/>
        <v>9.1036799999999987E-2</v>
      </c>
      <c r="T33" s="68">
        <f t="shared" si="11"/>
        <v>0</v>
      </c>
      <c r="U33" s="68">
        <f t="shared" si="11"/>
        <v>0</v>
      </c>
    </row>
    <row r="34" spans="1:21" s="51" customFormat="1" ht="13" x14ac:dyDescent="0.35">
      <c r="A34" s="10" t="str">
        <f>F8</f>
        <v>Hafod 5761</v>
      </c>
      <c r="B34" s="12">
        <v>109</v>
      </c>
      <c r="C34" s="68">
        <f t="shared" si="6"/>
        <v>98.623199999999997</v>
      </c>
      <c r="D34" s="68">
        <f t="shared" si="7"/>
        <v>79.950035039999989</v>
      </c>
      <c r="E34" s="68">
        <f t="shared" si="8"/>
        <v>0.9941503049999999</v>
      </c>
      <c r="F34" s="68">
        <f t="shared" si="9"/>
        <v>5.4715392719999993</v>
      </c>
      <c r="G34" s="68">
        <f t="shared" si="5"/>
        <v>7.3967399999999989E-2</v>
      </c>
      <c r="H34" s="68">
        <f t="shared" si="5"/>
        <v>1.100028</v>
      </c>
      <c r="I34" s="68">
        <f t="shared" si="5"/>
        <v>0.15552119999999997</v>
      </c>
      <c r="J34" s="68">
        <f t="shared" si="5"/>
        <v>6.6381000000000003E-4</v>
      </c>
      <c r="K34" s="68">
        <f t="shared" si="5"/>
        <v>2.7500699999999999E-3</v>
      </c>
      <c r="L34" s="68">
        <f t="shared" si="5"/>
        <v>9.0088499999999988E-2</v>
      </c>
      <c r="M34" s="68">
        <f t="shared" si="5"/>
        <v>0</v>
      </c>
      <c r="N34" s="68">
        <f t="shared" si="5"/>
        <v>25.035119999999999</v>
      </c>
      <c r="O34" s="68">
        <f t="shared" si="5"/>
        <v>1308.6539999999998</v>
      </c>
      <c r="P34" s="68">
        <f t="shared" si="5"/>
        <v>0</v>
      </c>
      <c r="Q34" s="68">
        <f t="shared" si="10"/>
        <v>27.737774999999996</v>
      </c>
      <c r="R34" s="68">
        <f t="shared" si="11"/>
        <v>0</v>
      </c>
      <c r="S34" s="68">
        <f t="shared" si="11"/>
        <v>9.1036799999999987E-2</v>
      </c>
      <c r="T34" s="68">
        <f t="shared" si="11"/>
        <v>0</v>
      </c>
      <c r="U34" s="68">
        <f t="shared" si="11"/>
        <v>0</v>
      </c>
    </row>
    <row r="35" spans="1:21" s="51" customFormat="1" ht="13" x14ac:dyDescent="0.35">
      <c r="A35" s="10" t="str">
        <f>G8</f>
        <v>Hafod 4067</v>
      </c>
      <c r="B35" s="12">
        <v>109</v>
      </c>
      <c r="C35" s="68">
        <f t="shared" si="6"/>
        <v>98.623199999999997</v>
      </c>
      <c r="D35" s="68">
        <f t="shared" si="7"/>
        <v>79.950035039999989</v>
      </c>
      <c r="E35" s="68">
        <f t="shared" si="8"/>
        <v>0.9941503049999999</v>
      </c>
      <c r="F35" s="68">
        <f t="shared" si="9"/>
        <v>5.4715392719999993</v>
      </c>
      <c r="G35" s="68">
        <f t="shared" si="5"/>
        <v>7.3967399999999989E-2</v>
      </c>
      <c r="H35" s="68">
        <f t="shared" si="5"/>
        <v>1.100028</v>
      </c>
      <c r="I35" s="68">
        <f t="shared" si="5"/>
        <v>0.15552119999999997</v>
      </c>
      <c r="J35" s="68">
        <f t="shared" si="5"/>
        <v>6.6381000000000003E-4</v>
      </c>
      <c r="K35" s="68">
        <f t="shared" si="5"/>
        <v>2.7500699999999999E-3</v>
      </c>
      <c r="L35" s="68">
        <f t="shared" si="5"/>
        <v>9.0088499999999988E-2</v>
      </c>
      <c r="M35" s="68">
        <f t="shared" si="5"/>
        <v>0</v>
      </c>
      <c r="N35" s="68">
        <f t="shared" si="5"/>
        <v>25.035119999999999</v>
      </c>
      <c r="O35" s="68">
        <f t="shared" si="5"/>
        <v>1308.6539999999998</v>
      </c>
      <c r="P35" s="68">
        <f t="shared" si="5"/>
        <v>0</v>
      </c>
      <c r="Q35" s="68">
        <f t="shared" si="10"/>
        <v>27.737774999999996</v>
      </c>
      <c r="R35" s="68">
        <f t="shared" si="11"/>
        <v>0</v>
      </c>
      <c r="S35" s="68">
        <f t="shared" si="11"/>
        <v>9.1036799999999987E-2</v>
      </c>
      <c r="T35" s="68">
        <f t="shared" si="11"/>
        <v>0</v>
      </c>
      <c r="U35" s="68">
        <f t="shared" si="11"/>
        <v>0</v>
      </c>
    </row>
    <row r="36" spans="1:21" s="51" customFormat="1" ht="13" x14ac:dyDescent="0.35">
      <c r="A36" s="10" t="str">
        <f>H8</f>
        <v>Hafod 2455</v>
      </c>
      <c r="B36" s="12">
        <v>109</v>
      </c>
      <c r="C36" s="68">
        <f t="shared" si="6"/>
        <v>98.623199999999997</v>
      </c>
      <c r="D36" s="68">
        <f t="shared" si="7"/>
        <v>79.950035039999989</v>
      </c>
      <c r="E36" s="68">
        <f t="shared" si="8"/>
        <v>0.9941503049999999</v>
      </c>
      <c r="F36" s="68">
        <f t="shared" si="9"/>
        <v>5.4715392719999993</v>
      </c>
      <c r="G36" s="68">
        <f t="shared" si="5"/>
        <v>7.3967399999999989E-2</v>
      </c>
      <c r="H36" s="68">
        <f t="shared" si="5"/>
        <v>1.100028</v>
      </c>
      <c r="I36" s="68">
        <f t="shared" si="5"/>
        <v>0.15552119999999997</v>
      </c>
      <c r="J36" s="68">
        <f t="shared" si="5"/>
        <v>6.6381000000000003E-4</v>
      </c>
      <c r="K36" s="68">
        <f t="shared" si="5"/>
        <v>2.7500699999999999E-3</v>
      </c>
      <c r="L36" s="68">
        <f t="shared" si="5"/>
        <v>9.0088499999999988E-2</v>
      </c>
      <c r="M36" s="68">
        <f t="shared" si="5"/>
        <v>0</v>
      </c>
      <c r="N36" s="68">
        <f t="shared" si="5"/>
        <v>25.035119999999999</v>
      </c>
      <c r="O36" s="68">
        <f t="shared" si="5"/>
        <v>1308.6539999999998</v>
      </c>
      <c r="P36" s="68">
        <f t="shared" si="5"/>
        <v>0</v>
      </c>
      <c r="Q36" s="68">
        <f t="shared" si="10"/>
        <v>27.737774999999996</v>
      </c>
      <c r="R36" s="68">
        <f t="shared" si="11"/>
        <v>0</v>
      </c>
      <c r="S36" s="68">
        <f t="shared" si="11"/>
        <v>9.1036799999999987E-2</v>
      </c>
      <c r="T36" s="68">
        <f t="shared" si="11"/>
        <v>0</v>
      </c>
      <c r="U36" s="68">
        <f t="shared" si="11"/>
        <v>0</v>
      </c>
    </row>
    <row r="37" spans="1:21" s="51" customFormat="1" ht="13" x14ac:dyDescent="0.35">
      <c r="A37" s="10" t="str">
        <f>I8</f>
        <v>Hafod 1741</v>
      </c>
      <c r="B37" s="12">
        <v>109</v>
      </c>
      <c r="C37" s="68">
        <f t="shared" si="6"/>
        <v>98.623199999999997</v>
      </c>
      <c r="D37" s="68">
        <f t="shared" si="7"/>
        <v>79.950035039999989</v>
      </c>
      <c r="E37" s="68">
        <f t="shared" si="8"/>
        <v>0.9941503049999999</v>
      </c>
      <c r="F37" s="68">
        <f t="shared" si="9"/>
        <v>5.4715392719999993</v>
      </c>
      <c r="G37" s="68">
        <f t="shared" si="5"/>
        <v>7.3967399999999989E-2</v>
      </c>
      <c r="H37" s="68">
        <f t="shared" si="5"/>
        <v>1.100028</v>
      </c>
      <c r="I37" s="68">
        <f t="shared" si="5"/>
        <v>0.15552119999999997</v>
      </c>
      <c r="J37" s="68">
        <f t="shared" si="5"/>
        <v>6.6381000000000003E-4</v>
      </c>
      <c r="K37" s="68">
        <f t="shared" si="5"/>
        <v>2.7500699999999999E-3</v>
      </c>
      <c r="L37" s="68">
        <f t="shared" si="5"/>
        <v>9.0088499999999988E-2</v>
      </c>
      <c r="M37" s="68">
        <f t="shared" si="5"/>
        <v>0</v>
      </c>
      <c r="N37" s="68">
        <f t="shared" si="5"/>
        <v>25.035119999999999</v>
      </c>
      <c r="O37" s="68">
        <f t="shared" si="5"/>
        <v>1308.6539999999998</v>
      </c>
      <c r="P37" s="68">
        <f t="shared" si="5"/>
        <v>0</v>
      </c>
      <c r="Q37" s="68">
        <f t="shared" si="10"/>
        <v>27.737774999999996</v>
      </c>
      <c r="R37" s="68">
        <f t="shared" si="11"/>
        <v>0</v>
      </c>
      <c r="S37" s="68">
        <f t="shared" si="11"/>
        <v>9.1036799999999987E-2</v>
      </c>
      <c r="T37" s="68">
        <f t="shared" si="11"/>
        <v>0</v>
      </c>
      <c r="U37" s="68">
        <f t="shared" si="11"/>
        <v>0</v>
      </c>
    </row>
    <row r="38" spans="1:21" s="51" customFormat="1" ht="13" x14ac:dyDescent="0.35">
      <c r="A38" s="10" t="str">
        <f>J8</f>
        <v>Hafod 0720</v>
      </c>
      <c r="B38" s="12">
        <v>109</v>
      </c>
      <c r="C38" s="68">
        <f t="shared" si="6"/>
        <v>98.623199999999997</v>
      </c>
      <c r="D38" s="68">
        <f t="shared" si="7"/>
        <v>79.950035039999989</v>
      </c>
      <c r="E38" s="68">
        <f t="shared" si="8"/>
        <v>0.9941503049999999</v>
      </c>
      <c r="F38" s="68">
        <f t="shared" si="9"/>
        <v>5.4715392719999993</v>
      </c>
      <c r="G38" s="68">
        <f t="shared" si="5"/>
        <v>7.3967399999999989E-2</v>
      </c>
      <c r="H38" s="68">
        <f t="shared" si="5"/>
        <v>1.100028</v>
      </c>
      <c r="I38" s="68">
        <f t="shared" si="5"/>
        <v>0.15552119999999997</v>
      </c>
      <c r="J38" s="68">
        <f t="shared" si="5"/>
        <v>6.6381000000000003E-4</v>
      </c>
      <c r="K38" s="68">
        <f t="shared" si="5"/>
        <v>2.7500699999999999E-3</v>
      </c>
      <c r="L38" s="68">
        <f t="shared" si="5"/>
        <v>9.0088499999999988E-2</v>
      </c>
      <c r="M38" s="68">
        <f t="shared" si="5"/>
        <v>0</v>
      </c>
      <c r="N38" s="68">
        <f t="shared" si="5"/>
        <v>25.035119999999999</v>
      </c>
      <c r="O38" s="68">
        <f t="shared" si="5"/>
        <v>1308.6539999999998</v>
      </c>
      <c r="P38" s="68">
        <f t="shared" si="5"/>
        <v>0</v>
      </c>
      <c r="Q38" s="68">
        <f t="shared" si="10"/>
        <v>27.737774999999996</v>
      </c>
      <c r="R38" s="68">
        <f t="shared" si="11"/>
        <v>0</v>
      </c>
      <c r="S38" s="68">
        <f t="shared" si="11"/>
        <v>9.1036799999999987E-2</v>
      </c>
      <c r="T38" s="68">
        <f t="shared" si="11"/>
        <v>0</v>
      </c>
      <c r="U38" s="68">
        <f t="shared" si="11"/>
        <v>0</v>
      </c>
    </row>
    <row r="39" spans="1:21" s="51" customFormat="1" ht="13" x14ac:dyDescent="0.35">
      <c r="A39" s="10" t="str">
        <f>K8</f>
        <v>Solafron 2893</v>
      </c>
      <c r="B39" s="12">
        <v>109</v>
      </c>
      <c r="C39" s="68">
        <f t="shared" si="6"/>
        <v>98.623199999999997</v>
      </c>
      <c r="D39" s="68">
        <f t="shared" si="7"/>
        <v>79.950035039999989</v>
      </c>
      <c r="E39" s="68">
        <f t="shared" si="8"/>
        <v>0.9941503049999999</v>
      </c>
      <c r="F39" s="68">
        <f t="shared" si="9"/>
        <v>5.4715392719999993</v>
      </c>
      <c r="G39" s="68">
        <f t="shared" si="5"/>
        <v>7.3967399999999989E-2</v>
      </c>
      <c r="H39" s="68">
        <f t="shared" si="5"/>
        <v>1.100028</v>
      </c>
      <c r="I39" s="68">
        <f t="shared" si="5"/>
        <v>0.15552119999999997</v>
      </c>
      <c r="J39" s="68">
        <f t="shared" si="5"/>
        <v>6.6381000000000003E-4</v>
      </c>
      <c r="K39" s="68">
        <f t="shared" si="5"/>
        <v>2.7500699999999999E-3</v>
      </c>
      <c r="L39" s="68">
        <f t="shared" si="5"/>
        <v>9.0088499999999988E-2</v>
      </c>
      <c r="M39" s="68">
        <f t="shared" si="5"/>
        <v>0</v>
      </c>
      <c r="N39" s="68">
        <f t="shared" si="5"/>
        <v>25.035119999999999</v>
      </c>
      <c r="O39" s="68">
        <f t="shared" si="5"/>
        <v>1308.6539999999998</v>
      </c>
      <c r="P39" s="68">
        <f t="shared" si="5"/>
        <v>0</v>
      </c>
      <c r="Q39" s="68">
        <f t="shared" si="10"/>
        <v>27.737774999999996</v>
      </c>
      <c r="R39" s="68">
        <f t="shared" si="11"/>
        <v>0</v>
      </c>
      <c r="S39" s="68">
        <f t="shared" si="11"/>
        <v>9.1036799999999987E-2</v>
      </c>
      <c r="T39" s="68">
        <f t="shared" si="11"/>
        <v>0</v>
      </c>
      <c r="U39" s="68">
        <f t="shared" si="11"/>
        <v>0</v>
      </c>
    </row>
    <row r="40" spans="1:21" s="51" customFormat="1" ht="13" x14ac:dyDescent="0.35">
      <c r="A40" s="10" t="str">
        <f>L8</f>
        <v>Solafron 2611</v>
      </c>
      <c r="B40" s="12">
        <v>109</v>
      </c>
      <c r="C40" s="68">
        <f t="shared" si="6"/>
        <v>98.623199999999997</v>
      </c>
      <c r="D40" s="68">
        <f t="shared" si="7"/>
        <v>79.950035039999989</v>
      </c>
      <c r="E40" s="68">
        <f t="shared" si="8"/>
        <v>0.9941503049999999</v>
      </c>
      <c r="F40" s="68">
        <f t="shared" si="9"/>
        <v>5.4715392719999993</v>
      </c>
      <c r="G40" s="68">
        <f t="shared" si="5"/>
        <v>7.3967399999999989E-2</v>
      </c>
      <c r="H40" s="68">
        <f t="shared" si="5"/>
        <v>1.100028</v>
      </c>
      <c r="I40" s="68">
        <f t="shared" si="5"/>
        <v>0.15552119999999997</v>
      </c>
      <c r="J40" s="68">
        <f t="shared" si="5"/>
        <v>6.6381000000000003E-4</v>
      </c>
      <c r="K40" s="68">
        <f t="shared" si="5"/>
        <v>2.7500699999999999E-3</v>
      </c>
      <c r="L40" s="68">
        <f t="shared" si="5"/>
        <v>9.0088499999999988E-2</v>
      </c>
      <c r="M40" s="68">
        <f t="shared" si="5"/>
        <v>0</v>
      </c>
      <c r="N40" s="68">
        <f t="shared" si="5"/>
        <v>25.035119999999999</v>
      </c>
      <c r="O40" s="68">
        <f t="shared" si="5"/>
        <v>1308.6539999999998</v>
      </c>
      <c r="P40" s="68">
        <f t="shared" si="5"/>
        <v>0</v>
      </c>
      <c r="Q40" s="68">
        <f t="shared" si="10"/>
        <v>27.737774999999996</v>
      </c>
      <c r="R40" s="68">
        <f t="shared" si="11"/>
        <v>0</v>
      </c>
      <c r="S40" s="68">
        <f t="shared" si="11"/>
        <v>9.1036799999999987E-2</v>
      </c>
      <c r="T40" s="68">
        <f t="shared" si="11"/>
        <v>0</v>
      </c>
      <c r="U40" s="68">
        <f t="shared" si="11"/>
        <v>0</v>
      </c>
    </row>
    <row r="41" spans="1:21" s="51" customFormat="1" ht="13" x14ac:dyDescent="0.35">
      <c r="A41" s="10" t="str">
        <f>M8</f>
        <v>Solafron 1404</v>
      </c>
      <c r="B41" s="12">
        <v>109</v>
      </c>
      <c r="C41" s="68">
        <f t="shared" si="6"/>
        <v>98.623199999999997</v>
      </c>
      <c r="D41" s="68">
        <f t="shared" si="7"/>
        <v>79.950035039999989</v>
      </c>
      <c r="E41" s="68">
        <f t="shared" si="8"/>
        <v>0.9941503049999999</v>
      </c>
      <c r="F41" s="68">
        <f t="shared" si="9"/>
        <v>5.4715392719999993</v>
      </c>
      <c r="G41" s="68">
        <f t="shared" si="5"/>
        <v>7.3967399999999989E-2</v>
      </c>
      <c r="H41" s="68">
        <f t="shared" si="5"/>
        <v>1.100028</v>
      </c>
      <c r="I41" s="68">
        <f t="shared" si="5"/>
        <v>0.15552119999999997</v>
      </c>
      <c r="J41" s="68">
        <f t="shared" si="5"/>
        <v>6.6381000000000003E-4</v>
      </c>
      <c r="K41" s="68">
        <f t="shared" si="5"/>
        <v>2.7500699999999999E-3</v>
      </c>
      <c r="L41" s="68">
        <f t="shared" si="5"/>
        <v>9.0088499999999988E-2</v>
      </c>
      <c r="M41" s="68">
        <f t="shared" si="5"/>
        <v>0</v>
      </c>
      <c r="N41" s="68">
        <f t="shared" si="5"/>
        <v>25.035119999999999</v>
      </c>
      <c r="O41" s="68">
        <f t="shared" si="5"/>
        <v>1308.6539999999998</v>
      </c>
      <c r="P41" s="68">
        <f t="shared" si="5"/>
        <v>0</v>
      </c>
      <c r="Q41" s="68">
        <f t="shared" si="10"/>
        <v>27.737774999999996</v>
      </c>
      <c r="R41" s="68">
        <f t="shared" si="11"/>
        <v>0</v>
      </c>
      <c r="S41" s="68">
        <f t="shared" si="11"/>
        <v>9.1036799999999987E-2</v>
      </c>
      <c r="T41" s="68">
        <f t="shared" si="11"/>
        <v>0</v>
      </c>
      <c r="U41" s="68">
        <f t="shared" si="11"/>
        <v>0</v>
      </c>
    </row>
    <row r="42" spans="1:21" s="51" customFormat="1" ht="13" x14ac:dyDescent="0.35">
      <c r="A42" s="10">
        <f>N8</f>
        <v>0</v>
      </c>
      <c r="B42" s="12"/>
      <c r="C42" s="68">
        <f t="shared" si="6"/>
        <v>0</v>
      </c>
      <c r="D42" s="68">
        <f t="shared" si="7"/>
        <v>0</v>
      </c>
      <c r="E42" s="68">
        <f t="shared" si="8"/>
        <v>0</v>
      </c>
      <c r="F42" s="68">
        <f t="shared" si="9"/>
        <v>0</v>
      </c>
      <c r="G42" s="68">
        <f t="shared" si="5"/>
        <v>0</v>
      </c>
      <c r="H42" s="68">
        <f t="shared" si="5"/>
        <v>0</v>
      </c>
      <c r="I42" s="68">
        <f t="shared" si="5"/>
        <v>0</v>
      </c>
      <c r="J42" s="68">
        <f t="shared" si="5"/>
        <v>0</v>
      </c>
      <c r="K42" s="68">
        <f t="shared" si="5"/>
        <v>0</v>
      </c>
      <c r="L42" s="68">
        <f t="shared" si="5"/>
        <v>0</v>
      </c>
      <c r="M42" s="68">
        <f t="shared" si="5"/>
        <v>0</v>
      </c>
      <c r="N42" s="68">
        <f t="shared" si="5"/>
        <v>0</v>
      </c>
      <c r="O42" s="68">
        <f t="shared" si="5"/>
        <v>0</v>
      </c>
      <c r="P42" s="68">
        <f t="shared" si="5"/>
        <v>0</v>
      </c>
      <c r="Q42" s="68">
        <f t="shared" si="10"/>
        <v>0</v>
      </c>
      <c r="R42" s="68">
        <f t="shared" si="11"/>
        <v>0</v>
      </c>
      <c r="S42" s="68">
        <f t="shared" si="11"/>
        <v>0</v>
      </c>
      <c r="T42" s="68">
        <f t="shared" si="11"/>
        <v>0</v>
      </c>
      <c r="U42" s="68">
        <f t="shared" si="11"/>
        <v>0</v>
      </c>
    </row>
    <row r="43" spans="1:21" s="51" customFormat="1" ht="13" x14ac:dyDescent="0.35">
      <c r="A43" s="10">
        <f>O8</f>
        <v>0</v>
      </c>
      <c r="B43" s="12"/>
      <c r="C43" s="68">
        <f t="shared" si="6"/>
        <v>0</v>
      </c>
      <c r="D43" s="68">
        <f t="shared" si="7"/>
        <v>0</v>
      </c>
      <c r="E43" s="68">
        <f t="shared" si="8"/>
        <v>0</v>
      </c>
      <c r="F43" s="68">
        <f t="shared" si="9"/>
        <v>0</v>
      </c>
      <c r="G43" s="68">
        <f t="shared" si="5"/>
        <v>0</v>
      </c>
      <c r="H43" s="68">
        <f t="shared" si="5"/>
        <v>0</v>
      </c>
      <c r="I43" s="68">
        <f t="shared" si="5"/>
        <v>0</v>
      </c>
      <c r="J43" s="68">
        <f t="shared" si="5"/>
        <v>0</v>
      </c>
      <c r="K43" s="68">
        <f t="shared" si="5"/>
        <v>0</v>
      </c>
      <c r="L43" s="68">
        <f t="shared" si="5"/>
        <v>0</v>
      </c>
      <c r="M43" s="68">
        <f t="shared" si="5"/>
        <v>0</v>
      </c>
      <c r="N43" s="68">
        <f t="shared" si="5"/>
        <v>0</v>
      </c>
      <c r="O43" s="68">
        <f t="shared" si="5"/>
        <v>0</v>
      </c>
      <c r="P43" s="68">
        <f t="shared" si="5"/>
        <v>0</v>
      </c>
      <c r="Q43" s="68">
        <f t="shared" si="10"/>
        <v>0</v>
      </c>
      <c r="R43" s="68">
        <f t="shared" si="11"/>
        <v>0</v>
      </c>
      <c r="S43" s="68">
        <f t="shared" si="11"/>
        <v>0</v>
      </c>
      <c r="T43" s="68">
        <f t="shared" si="11"/>
        <v>0</v>
      </c>
      <c r="U43" s="68">
        <f t="shared" si="11"/>
        <v>0</v>
      </c>
    </row>
    <row r="44" spans="1:21" s="51" customFormat="1" ht="13" x14ac:dyDescent="0.35">
      <c r="A44" s="10">
        <f>P8</f>
        <v>0</v>
      </c>
      <c r="B44" s="12"/>
      <c r="C44" s="68">
        <f t="shared" si="6"/>
        <v>0</v>
      </c>
      <c r="D44" s="68">
        <f t="shared" si="7"/>
        <v>0</v>
      </c>
      <c r="E44" s="68">
        <f t="shared" si="8"/>
        <v>0</v>
      </c>
      <c r="F44" s="68">
        <f t="shared" si="9"/>
        <v>0</v>
      </c>
      <c r="G44" s="68">
        <f t="shared" si="5"/>
        <v>0</v>
      </c>
      <c r="H44" s="68">
        <f t="shared" si="5"/>
        <v>0</v>
      </c>
      <c r="I44" s="68">
        <f t="shared" si="5"/>
        <v>0</v>
      </c>
      <c r="J44" s="68">
        <f t="shared" si="5"/>
        <v>0</v>
      </c>
      <c r="K44" s="68">
        <f t="shared" si="5"/>
        <v>0</v>
      </c>
      <c r="L44" s="68">
        <f t="shared" si="5"/>
        <v>0</v>
      </c>
      <c r="M44" s="68">
        <f t="shared" si="5"/>
        <v>0</v>
      </c>
      <c r="N44" s="68">
        <f t="shared" si="5"/>
        <v>0</v>
      </c>
      <c r="O44" s="68">
        <f t="shared" si="5"/>
        <v>0</v>
      </c>
      <c r="P44" s="68">
        <f t="shared" si="5"/>
        <v>0</v>
      </c>
      <c r="Q44" s="68">
        <f t="shared" si="10"/>
        <v>0</v>
      </c>
      <c r="R44" s="68">
        <f t="shared" si="11"/>
        <v>0</v>
      </c>
      <c r="S44" s="68">
        <f t="shared" si="11"/>
        <v>0</v>
      </c>
      <c r="T44" s="68">
        <f t="shared" si="11"/>
        <v>0</v>
      </c>
      <c r="U44" s="68">
        <f t="shared" si="11"/>
        <v>0</v>
      </c>
    </row>
    <row r="45" spans="1:21" s="51" customFormat="1" ht="13" x14ac:dyDescent="0.35">
      <c r="A45" s="10">
        <f>Q8</f>
        <v>0</v>
      </c>
      <c r="B45" s="12"/>
      <c r="C45" s="68">
        <f t="shared" si="6"/>
        <v>0</v>
      </c>
      <c r="D45" s="68">
        <f t="shared" si="7"/>
        <v>0</v>
      </c>
      <c r="E45" s="68">
        <f t="shared" si="8"/>
        <v>0</v>
      </c>
      <c r="F45" s="68">
        <f t="shared" si="9"/>
        <v>0</v>
      </c>
      <c r="G45" s="68">
        <f t="shared" si="5"/>
        <v>0</v>
      </c>
      <c r="H45" s="68">
        <f t="shared" si="5"/>
        <v>0</v>
      </c>
      <c r="I45" s="68">
        <f t="shared" si="5"/>
        <v>0</v>
      </c>
      <c r="J45" s="68">
        <f t="shared" si="5"/>
        <v>0</v>
      </c>
      <c r="K45" s="68">
        <f t="shared" si="5"/>
        <v>0</v>
      </c>
      <c r="L45" s="68">
        <f t="shared" si="5"/>
        <v>0</v>
      </c>
      <c r="M45" s="68">
        <f t="shared" si="5"/>
        <v>0</v>
      </c>
      <c r="N45" s="68">
        <f t="shared" si="5"/>
        <v>0</v>
      </c>
      <c r="O45" s="68">
        <f t="shared" si="5"/>
        <v>0</v>
      </c>
      <c r="P45" s="68">
        <f t="shared" si="5"/>
        <v>0</v>
      </c>
      <c r="Q45" s="68">
        <f t="shared" si="10"/>
        <v>0</v>
      </c>
      <c r="R45" s="68">
        <f t="shared" si="11"/>
        <v>0</v>
      </c>
      <c r="S45" s="68">
        <f t="shared" si="11"/>
        <v>0</v>
      </c>
      <c r="T45" s="68">
        <f t="shared" si="11"/>
        <v>0</v>
      </c>
      <c r="U45" s="68">
        <f t="shared" si="11"/>
        <v>0</v>
      </c>
    </row>
    <row r="46" spans="1:21" s="51" customFormat="1" ht="13" x14ac:dyDescent="0.35">
      <c r="A46" s="10">
        <f>R8</f>
        <v>0</v>
      </c>
      <c r="B46" s="12"/>
      <c r="C46" s="68">
        <f t="shared" si="6"/>
        <v>0</v>
      </c>
      <c r="D46" s="68">
        <f t="shared" si="7"/>
        <v>0</v>
      </c>
      <c r="E46" s="68">
        <f t="shared" si="8"/>
        <v>0</v>
      </c>
      <c r="F46" s="68">
        <f t="shared" si="9"/>
        <v>0</v>
      </c>
      <c r="G46" s="68">
        <f t="shared" si="5"/>
        <v>0</v>
      </c>
      <c r="H46" s="68">
        <f t="shared" si="5"/>
        <v>0</v>
      </c>
      <c r="I46" s="68">
        <f t="shared" si="5"/>
        <v>0</v>
      </c>
      <c r="J46" s="68">
        <f t="shared" si="5"/>
        <v>0</v>
      </c>
      <c r="K46" s="68">
        <f t="shared" si="5"/>
        <v>0</v>
      </c>
      <c r="L46" s="68">
        <f t="shared" si="5"/>
        <v>0</v>
      </c>
      <c r="M46" s="68">
        <f t="shared" si="5"/>
        <v>0</v>
      </c>
      <c r="N46" s="68">
        <f t="shared" si="5"/>
        <v>0</v>
      </c>
      <c r="O46" s="68">
        <f t="shared" si="5"/>
        <v>0</v>
      </c>
      <c r="P46" s="68">
        <f t="shared" si="5"/>
        <v>0</v>
      </c>
      <c r="Q46" s="68">
        <f t="shared" si="10"/>
        <v>0</v>
      </c>
      <c r="R46" s="68">
        <f t="shared" si="11"/>
        <v>0</v>
      </c>
      <c r="S46" s="68">
        <f t="shared" si="11"/>
        <v>0</v>
      </c>
      <c r="T46" s="68">
        <f t="shared" si="11"/>
        <v>0</v>
      </c>
      <c r="U46" s="68">
        <f t="shared" si="11"/>
        <v>0</v>
      </c>
    </row>
    <row r="47" spans="1:21" s="51" customFormat="1" ht="13" x14ac:dyDescent="0.35">
      <c r="A47" s="10">
        <f>S8</f>
        <v>0</v>
      </c>
      <c r="B47" s="12"/>
      <c r="C47" s="68">
        <f t="shared" si="6"/>
        <v>0</v>
      </c>
      <c r="D47" s="68">
        <f t="shared" si="7"/>
        <v>0</v>
      </c>
      <c r="E47" s="68">
        <f t="shared" si="8"/>
        <v>0</v>
      </c>
      <c r="F47" s="68">
        <f t="shared" si="9"/>
        <v>0</v>
      </c>
      <c r="G47" s="68">
        <f t="shared" ref="G47:P50" si="12">IF(G$27="%w/w SAR",((G$28*10)*$B47),IF(G$27="%w/w DM",(((G$28*10)*($B$28/100))*$B47),IF(G$27="kg/t SAR",(G$28*$B47),IF(G$27="kg/t DM",((G$28*($B$28/100))*$B47),IF(G$27="mg/kg SAR",((G$28*0.001)*$B47),IF(G$27="mg/kg DM",(((G$28*0.001)*($B$28/100))*$B47),0))))))</f>
        <v>0</v>
      </c>
      <c r="H47" s="68">
        <f t="shared" si="12"/>
        <v>0</v>
      </c>
      <c r="I47" s="68">
        <f t="shared" si="12"/>
        <v>0</v>
      </c>
      <c r="J47" s="68">
        <f t="shared" si="12"/>
        <v>0</v>
      </c>
      <c r="K47" s="68">
        <f t="shared" si="12"/>
        <v>0</v>
      </c>
      <c r="L47" s="68">
        <f t="shared" si="12"/>
        <v>0</v>
      </c>
      <c r="M47" s="68">
        <f t="shared" si="12"/>
        <v>0</v>
      </c>
      <c r="N47" s="68">
        <f t="shared" si="12"/>
        <v>0</v>
      </c>
      <c r="O47" s="68">
        <f t="shared" si="12"/>
        <v>0</v>
      </c>
      <c r="P47" s="68">
        <f t="shared" si="12"/>
        <v>0</v>
      </c>
      <c r="Q47" s="68">
        <f t="shared" si="10"/>
        <v>0</v>
      </c>
      <c r="R47" s="68">
        <f t="shared" si="11"/>
        <v>0</v>
      </c>
      <c r="S47" s="68">
        <f t="shared" si="11"/>
        <v>0</v>
      </c>
      <c r="T47" s="68">
        <f t="shared" si="11"/>
        <v>0</v>
      </c>
      <c r="U47" s="68">
        <f t="shared" si="11"/>
        <v>0</v>
      </c>
    </row>
    <row r="48" spans="1:21" s="51" customFormat="1" ht="13" x14ac:dyDescent="0.35">
      <c r="A48" s="10">
        <f>T8</f>
        <v>0</v>
      </c>
      <c r="B48" s="12"/>
      <c r="C48" s="68">
        <f t="shared" si="6"/>
        <v>0</v>
      </c>
      <c r="D48" s="68">
        <f t="shared" si="7"/>
        <v>0</v>
      </c>
      <c r="E48" s="68">
        <f t="shared" si="8"/>
        <v>0</v>
      </c>
      <c r="F48" s="68">
        <f t="shared" si="9"/>
        <v>0</v>
      </c>
      <c r="G48" s="68">
        <f t="shared" si="12"/>
        <v>0</v>
      </c>
      <c r="H48" s="68">
        <f t="shared" si="12"/>
        <v>0</v>
      </c>
      <c r="I48" s="68">
        <f t="shared" si="12"/>
        <v>0</v>
      </c>
      <c r="J48" s="68">
        <f t="shared" si="12"/>
        <v>0</v>
      </c>
      <c r="K48" s="68">
        <f t="shared" si="12"/>
        <v>0</v>
      </c>
      <c r="L48" s="68">
        <f t="shared" si="12"/>
        <v>0</v>
      </c>
      <c r="M48" s="68">
        <f t="shared" si="12"/>
        <v>0</v>
      </c>
      <c r="N48" s="68">
        <f t="shared" si="12"/>
        <v>0</v>
      </c>
      <c r="O48" s="68">
        <f t="shared" si="12"/>
        <v>0</v>
      </c>
      <c r="P48" s="68">
        <f t="shared" si="12"/>
        <v>0</v>
      </c>
      <c r="Q48" s="68">
        <f t="shared" si="10"/>
        <v>0</v>
      </c>
      <c r="R48" s="68">
        <f t="shared" si="11"/>
        <v>0</v>
      </c>
      <c r="S48" s="68">
        <f t="shared" si="11"/>
        <v>0</v>
      </c>
      <c r="T48" s="68">
        <f t="shared" si="11"/>
        <v>0</v>
      </c>
      <c r="U48" s="68">
        <f t="shared" si="11"/>
        <v>0</v>
      </c>
    </row>
    <row r="49" spans="1:21" s="51" customFormat="1" ht="13" x14ac:dyDescent="0.35">
      <c r="A49" s="10">
        <f>U8</f>
        <v>0</v>
      </c>
      <c r="B49" s="12"/>
      <c r="C49" s="68">
        <f t="shared" si="6"/>
        <v>0</v>
      </c>
      <c r="D49" s="68">
        <f t="shared" si="7"/>
        <v>0</v>
      </c>
      <c r="E49" s="68">
        <f t="shared" si="8"/>
        <v>0</v>
      </c>
      <c r="F49" s="68">
        <f t="shared" si="9"/>
        <v>0</v>
      </c>
      <c r="G49" s="68">
        <f t="shared" si="12"/>
        <v>0</v>
      </c>
      <c r="H49" s="68">
        <f t="shared" si="12"/>
        <v>0</v>
      </c>
      <c r="I49" s="68">
        <f t="shared" si="12"/>
        <v>0</v>
      </c>
      <c r="J49" s="68">
        <f t="shared" si="12"/>
        <v>0</v>
      </c>
      <c r="K49" s="68">
        <f t="shared" si="12"/>
        <v>0</v>
      </c>
      <c r="L49" s="68">
        <f t="shared" si="12"/>
        <v>0</v>
      </c>
      <c r="M49" s="68">
        <f t="shared" si="12"/>
        <v>0</v>
      </c>
      <c r="N49" s="68">
        <f t="shared" si="12"/>
        <v>0</v>
      </c>
      <c r="O49" s="68">
        <f t="shared" si="12"/>
        <v>0</v>
      </c>
      <c r="P49" s="68">
        <f t="shared" si="12"/>
        <v>0</v>
      </c>
      <c r="Q49" s="68">
        <f t="shared" si="10"/>
        <v>0</v>
      </c>
      <c r="R49" s="68">
        <f t="shared" si="11"/>
        <v>0</v>
      </c>
      <c r="S49" s="68">
        <f t="shared" si="11"/>
        <v>0</v>
      </c>
      <c r="T49" s="68">
        <f t="shared" si="11"/>
        <v>0</v>
      </c>
      <c r="U49" s="68">
        <f t="shared" si="11"/>
        <v>0</v>
      </c>
    </row>
    <row r="50" spans="1:21" s="51" customFormat="1" ht="13.5" thickBot="1" x14ac:dyDescent="0.4">
      <c r="A50" s="11">
        <f>V8</f>
        <v>0</v>
      </c>
      <c r="B50" s="12"/>
      <c r="C50" s="87">
        <f t="shared" si="6"/>
        <v>0</v>
      </c>
      <c r="D50" s="87">
        <f t="shared" si="7"/>
        <v>0</v>
      </c>
      <c r="E50" s="87">
        <f t="shared" si="8"/>
        <v>0</v>
      </c>
      <c r="F50" s="87">
        <f t="shared" si="9"/>
        <v>0</v>
      </c>
      <c r="G50" s="87">
        <f t="shared" si="12"/>
        <v>0</v>
      </c>
      <c r="H50" s="87">
        <f t="shared" si="12"/>
        <v>0</v>
      </c>
      <c r="I50" s="87">
        <f t="shared" si="12"/>
        <v>0</v>
      </c>
      <c r="J50" s="87">
        <f t="shared" si="12"/>
        <v>0</v>
      </c>
      <c r="K50" s="87">
        <f t="shared" si="12"/>
        <v>0</v>
      </c>
      <c r="L50" s="87">
        <f t="shared" si="12"/>
        <v>0</v>
      </c>
      <c r="M50" s="87">
        <f t="shared" si="12"/>
        <v>0</v>
      </c>
      <c r="N50" s="87">
        <f t="shared" si="12"/>
        <v>0</v>
      </c>
      <c r="O50" s="87">
        <f t="shared" si="12"/>
        <v>0</v>
      </c>
      <c r="P50" s="87">
        <f t="shared" si="12"/>
        <v>0</v>
      </c>
      <c r="Q50" s="87">
        <f t="shared" si="10"/>
        <v>0</v>
      </c>
      <c r="R50" s="87">
        <f t="shared" si="11"/>
        <v>0</v>
      </c>
      <c r="S50" s="87">
        <f t="shared" si="11"/>
        <v>0</v>
      </c>
      <c r="T50" s="87">
        <f t="shared" si="11"/>
        <v>0</v>
      </c>
      <c r="U50" s="87">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5">
        <v>20</v>
      </c>
    </row>
    <row r="53" spans="1:21" ht="13" x14ac:dyDescent="0.35">
      <c r="A53" s="7" t="s">
        <v>130</v>
      </c>
    </row>
    <row r="54" spans="1:21" ht="26" x14ac:dyDescent="0.3">
      <c r="A54" s="98"/>
      <c r="B54" s="102" t="s">
        <v>149</v>
      </c>
      <c r="C54" s="102" t="s">
        <v>150</v>
      </c>
      <c r="D54" s="102" t="s">
        <v>127</v>
      </c>
      <c r="E54" s="102" t="s">
        <v>128</v>
      </c>
      <c r="F54" s="102" t="s">
        <v>151</v>
      </c>
      <c r="G54" s="102" t="s">
        <v>129</v>
      </c>
      <c r="H54" s="51"/>
      <c r="I54" s="51"/>
      <c r="J54" s="51"/>
      <c r="K54" s="51"/>
      <c r="L54" s="51"/>
      <c r="M54" s="51"/>
      <c r="N54" s="51"/>
      <c r="O54" s="51"/>
      <c r="P54" s="51"/>
      <c r="Q54" s="51"/>
      <c r="R54" s="51"/>
      <c r="S54" s="51"/>
      <c r="T54" s="51"/>
      <c r="U54" s="51"/>
    </row>
    <row r="55" spans="1:21" x14ac:dyDescent="0.25">
      <c r="A55" s="99"/>
      <c r="B55" s="103"/>
      <c r="C55" s="104"/>
      <c r="D55" s="105">
        <f>(B55/100)*C55</f>
        <v>0</v>
      </c>
      <c r="E55" s="105">
        <f>G55</f>
        <v>0</v>
      </c>
      <c r="F55" s="104"/>
      <c r="G55" s="105">
        <f>(B55/100)*F55</f>
        <v>0</v>
      </c>
      <c r="H55" s="51"/>
      <c r="I55" s="51"/>
      <c r="J55" s="51"/>
      <c r="K55" s="51"/>
      <c r="L55" s="51"/>
      <c r="M55" s="51"/>
      <c r="N55" s="51"/>
      <c r="O55" s="51"/>
      <c r="P55" s="51"/>
      <c r="Q55" s="51"/>
      <c r="R55" s="51"/>
      <c r="S55" s="51"/>
      <c r="T55" s="51"/>
      <c r="U55" s="51"/>
    </row>
    <row r="56" spans="1:21" ht="13" x14ac:dyDescent="0.3">
      <c r="A56" s="82" t="s">
        <v>63</v>
      </c>
      <c r="B56" s="8">
        <v>1</v>
      </c>
      <c r="C56" s="64">
        <v>2</v>
      </c>
      <c r="D56" s="65">
        <v>3</v>
      </c>
      <c r="E56" s="65">
        <v>4</v>
      </c>
      <c r="F56" s="64">
        <v>5</v>
      </c>
      <c r="G56" s="65">
        <v>6</v>
      </c>
      <c r="H56" s="66">
        <v>7</v>
      </c>
      <c r="I56" s="66">
        <v>8</v>
      </c>
      <c r="J56" s="66">
        <v>9</v>
      </c>
      <c r="K56" s="64">
        <v>10</v>
      </c>
      <c r="L56" s="64">
        <v>11</v>
      </c>
      <c r="M56" s="65">
        <v>12</v>
      </c>
      <c r="N56" s="65">
        <v>13</v>
      </c>
      <c r="O56" s="64">
        <v>14</v>
      </c>
      <c r="P56" s="65">
        <v>15</v>
      </c>
      <c r="Q56" s="66">
        <v>16</v>
      </c>
      <c r="R56" s="66">
        <v>17</v>
      </c>
      <c r="S56" s="66">
        <v>18</v>
      </c>
      <c r="T56" s="64">
        <v>19</v>
      </c>
      <c r="U56" s="64">
        <v>20</v>
      </c>
    </row>
    <row r="57" spans="1:21" ht="13" x14ac:dyDescent="0.35">
      <c r="A57" s="82" t="s">
        <v>2</v>
      </c>
      <c r="B57" s="8" t="str">
        <f>C8</f>
        <v>Nant Y Croi 9</v>
      </c>
      <c r="C57" s="8" t="str">
        <f t="shared" ref="C57:U57" si="13">D8</f>
        <v>Hafod 4315</v>
      </c>
      <c r="D57" s="8" t="str">
        <f t="shared" si="13"/>
        <v>Hafod 4734</v>
      </c>
      <c r="E57" s="8" t="str">
        <f t="shared" si="13"/>
        <v>Hafod 5761</v>
      </c>
      <c r="F57" s="8" t="str">
        <f t="shared" si="13"/>
        <v>Hafod 4067</v>
      </c>
      <c r="G57" s="8" t="str">
        <f t="shared" si="13"/>
        <v>Hafod 2455</v>
      </c>
      <c r="H57" s="8" t="str">
        <f t="shared" si="13"/>
        <v>Hafod 1741</v>
      </c>
      <c r="I57" s="8" t="str">
        <f t="shared" si="13"/>
        <v>Hafod 0720</v>
      </c>
      <c r="J57" s="8" t="str">
        <f t="shared" si="13"/>
        <v>Solafron 2893</v>
      </c>
      <c r="K57" s="8" t="str">
        <f t="shared" si="13"/>
        <v>Solafron 2611</v>
      </c>
      <c r="L57" s="8" t="str">
        <f t="shared" si="13"/>
        <v>Solafron 1404</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82" t="s">
        <v>136</v>
      </c>
      <c r="B58" s="10" t="str">
        <f>C16&amp;" I "&amp;(VLOOKUP(C14,Table245810[],6,FALSE))</f>
        <v>Medium/Clay I Grass</v>
      </c>
      <c r="C58" s="10" t="str">
        <f>D16&amp;" I "&amp;(VLOOKUP(D14,Table245810[],6,FALSE))</f>
        <v>Medium/Clay I Grass</v>
      </c>
      <c r="D58" s="10" t="str">
        <f>E16&amp;" I "&amp;(VLOOKUP(E14,Table245810[],6,FALSE))</f>
        <v>Medium/Clay I Grass</v>
      </c>
      <c r="E58" s="10" t="str">
        <f>F16&amp;" I "&amp;(VLOOKUP(F14,Table245810[],6,FALSE))</f>
        <v>Medium/Clay I Grass</v>
      </c>
      <c r="F58" s="10" t="str">
        <f>G16&amp;" I "&amp;(VLOOKUP(G14,Table245810[],6,FALSE))</f>
        <v>Medium/Clay I Grass</v>
      </c>
      <c r="G58" s="10" t="str">
        <f>H16&amp;" I "&amp;(VLOOKUP(H14,Table245810[],6,FALSE))</f>
        <v>Medium/Clay I Grass</v>
      </c>
      <c r="H58" s="10" t="str">
        <f>I16&amp;" I "&amp;(VLOOKUP(I14,Table245810[],6,FALSE))</f>
        <v>Medium/Clay I Grass</v>
      </c>
      <c r="I58" s="10" t="str">
        <f>J16&amp;" I "&amp;(VLOOKUP(J14,Table245810[],6,FALSE))</f>
        <v>Medium/Clay I Grass</v>
      </c>
      <c r="J58" s="10" t="str">
        <f>K16&amp;" I "&amp;(VLOOKUP(K14,Table245810[],6,FALSE))</f>
        <v>Medium/Clay I Grass</v>
      </c>
      <c r="K58" s="10" t="str">
        <f>L16&amp;" I "&amp;(VLOOKUP(L14,Table245810[],6,FALSE))</f>
        <v>Medium/Clay I Grass</v>
      </c>
      <c r="L58" s="10" t="str">
        <f>M16&amp;" I "&amp;(VLOOKUP(M14,Table245810[],6,FALSE))</f>
        <v>Medium/Clay I Grass</v>
      </c>
      <c r="M58" s="10" t="e">
        <f>N16&amp;" I "&amp;(VLOOKUP(N14,Table245810[],6,FALSE))</f>
        <v>#N/A</v>
      </c>
      <c r="N58" s="10" t="e">
        <f>O16&amp;" I "&amp;(VLOOKUP(O14,Table245810[],6,FALSE))</f>
        <v>#N/A</v>
      </c>
      <c r="O58" s="10" t="e">
        <f>P16&amp;" I "&amp;(VLOOKUP(P14,Table245810[],6,FALSE))</f>
        <v>#N/A</v>
      </c>
      <c r="P58" s="10" t="e">
        <f>Q16&amp;" I "&amp;(VLOOKUP(Q14,Table245810[],6,FALSE))</f>
        <v>#N/A</v>
      </c>
      <c r="Q58" s="10" t="e">
        <f>R16&amp;" I "&amp;(VLOOKUP(R14,Table245810[],6,FALSE))</f>
        <v>#N/A</v>
      </c>
      <c r="R58" s="10" t="e">
        <f>S16&amp;" I "&amp;(VLOOKUP(S14,Table245810[],6,FALSE))</f>
        <v>#N/A</v>
      </c>
      <c r="S58" s="10" t="e">
        <f>T16&amp;" I "&amp;(VLOOKUP(T14,Table245810[],6,FALSE))</f>
        <v>#N/A</v>
      </c>
      <c r="T58" s="10" t="e">
        <f>U16&amp;" I "&amp;(VLOOKUP(U14,Table245810[],6,FALSE))</f>
        <v>#N/A</v>
      </c>
      <c r="U58" s="10" t="e">
        <f>V16&amp;" I "&amp;(VLOOKUP(V14,Table245810[],6,FALSE))</f>
        <v>#N/A</v>
      </c>
    </row>
    <row r="59" spans="1:21" ht="13" x14ac:dyDescent="0.3">
      <c r="A59" s="100" t="s">
        <v>132</v>
      </c>
      <c r="B59" s="67">
        <f>VLOOKUP(C$14,Table245810[],5,FALSE)</f>
        <v>6.2</v>
      </c>
      <c r="C59" s="67">
        <f>VLOOKUP(D$14,Table245810[],5,FALSE)</f>
        <v>6.2</v>
      </c>
      <c r="D59" s="67">
        <f>VLOOKUP(E$14,Table245810[],5,FALSE)</f>
        <v>6.2</v>
      </c>
      <c r="E59" s="67">
        <f>VLOOKUP(F$14,Table245810[],5,FALSE)</f>
        <v>6.2</v>
      </c>
      <c r="F59" s="67">
        <f>VLOOKUP(G$14,Table245810[],5,FALSE)</f>
        <v>6.2</v>
      </c>
      <c r="G59" s="67">
        <f>VLOOKUP(H$14,Table245810[],5,FALSE)</f>
        <v>6.2</v>
      </c>
      <c r="H59" s="67">
        <f>VLOOKUP(I$14,Table245810[],5,FALSE)</f>
        <v>6.2</v>
      </c>
      <c r="I59" s="67">
        <f>VLOOKUP(J$14,Table245810[],5,FALSE)</f>
        <v>6.2</v>
      </c>
      <c r="J59" s="67">
        <f>VLOOKUP(K$14,Table245810[],5,FALSE)</f>
        <v>6.2</v>
      </c>
      <c r="K59" s="67">
        <f>VLOOKUP(L$14,Table245810[],5,FALSE)</f>
        <v>6.2</v>
      </c>
      <c r="L59" s="67">
        <f>VLOOKUP(M$14,Table245810[],5,FALSE)</f>
        <v>6.2</v>
      </c>
      <c r="M59" s="67" t="e">
        <f>VLOOKUP(N$14,Table245810[],5,FALSE)</f>
        <v>#N/A</v>
      </c>
      <c r="N59" s="67" t="e">
        <f>VLOOKUP(O$14,Table245810[],5,FALSE)</f>
        <v>#N/A</v>
      </c>
      <c r="O59" s="67" t="e">
        <f>VLOOKUP(P$14,Table245810[],5,FALSE)</f>
        <v>#N/A</v>
      </c>
      <c r="P59" s="67" t="e">
        <f>VLOOKUP(Q$14,Table245810[],5,FALSE)</f>
        <v>#N/A</v>
      </c>
      <c r="Q59" s="67" t="e">
        <f>VLOOKUP(R$14,Table245810[],5,FALSE)</f>
        <v>#N/A</v>
      </c>
      <c r="R59" s="67" t="e">
        <f>VLOOKUP(S$14,Table245810[],5,FALSE)</f>
        <v>#N/A</v>
      </c>
      <c r="S59" s="67" t="e">
        <f>VLOOKUP(T$14,Table245810[],5,FALSE)</f>
        <v>#N/A</v>
      </c>
      <c r="T59" s="67" t="e">
        <f>VLOOKUP(U$14,Table245810[],5,FALSE)</f>
        <v>#N/A</v>
      </c>
      <c r="U59" s="67" t="e">
        <f>VLOOKUP(V$14,Table245810[],5,FALSE)</f>
        <v>#N/A</v>
      </c>
    </row>
    <row r="60" spans="1:21" ht="13" x14ac:dyDescent="0.3">
      <c r="A60" s="100" t="s">
        <v>4</v>
      </c>
      <c r="B60" s="67">
        <f>C10</f>
        <v>5.4</v>
      </c>
      <c r="C60" s="67">
        <f t="shared" ref="C60:U60" si="14">D10</f>
        <v>6.3</v>
      </c>
      <c r="D60" s="67">
        <f t="shared" si="14"/>
        <v>6.3</v>
      </c>
      <c r="E60" s="67">
        <f t="shared" si="14"/>
        <v>6.2</v>
      </c>
      <c r="F60" s="67">
        <f t="shared" si="14"/>
        <v>6.2</v>
      </c>
      <c r="G60" s="67">
        <f t="shared" si="14"/>
        <v>6.3</v>
      </c>
      <c r="H60" s="67">
        <f t="shared" si="14"/>
        <v>6.3</v>
      </c>
      <c r="I60" s="67">
        <f t="shared" si="14"/>
        <v>6.2</v>
      </c>
      <c r="J60" s="67">
        <f t="shared" si="14"/>
        <v>6.3</v>
      </c>
      <c r="K60" s="67">
        <f t="shared" si="14"/>
        <v>6.3</v>
      </c>
      <c r="L60" s="67">
        <f t="shared" si="14"/>
        <v>6.3</v>
      </c>
      <c r="M60" s="67">
        <f t="shared" si="14"/>
        <v>0</v>
      </c>
      <c r="N60" s="67">
        <f t="shared" si="14"/>
        <v>0</v>
      </c>
      <c r="O60" s="67">
        <f t="shared" si="14"/>
        <v>0</v>
      </c>
      <c r="P60" s="67">
        <f t="shared" si="14"/>
        <v>0</v>
      </c>
      <c r="Q60" s="67">
        <f t="shared" si="14"/>
        <v>0</v>
      </c>
      <c r="R60" s="67">
        <f t="shared" si="14"/>
        <v>0</v>
      </c>
      <c r="S60" s="67">
        <f t="shared" si="14"/>
        <v>0</v>
      </c>
      <c r="T60" s="67">
        <f t="shared" si="14"/>
        <v>0</v>
      </c>
      <c r="U60" s="67">
        <f t="shared" si="14"/>
        <v>0</v>
      </c>
    </row>
    <row r="61" spans="1:21" ht="13" x14ac:dyDescent="0.3">
      <c r="A61" s="100" t="s">
        <v>133</v>
      </c>
      <c r="B61" s="67">
        <f t="shared" ref="B61:U61" si="15">VLOOKUP(B58,$AD9:$AE18,2,FALSE)</f>
        <v>6</v>
      </c>
      <c r="C61" s="67">
        <f t="shared" si="15"/>
        <v>6</v>
      </c>
      <c r="D61" s="67">
        <f t="shared" si="15"/>
        <v>6</v>
      </c>
      <c r="E61" s="67">
        <f t="shared" si="15"/>
        <v>6</v>
      </c>
      <c r="F61" s="67">
        <f t="shared" si="15"/>
        <v>6</v>
      </c>
      <c r="G61" s="67">
        <f t="shared" si="15"/>
        <v>6</v>
      </c>
      <c r="H61" s="67">
        <f t="shared" si="15"/>
        <v>6</v>
      </c>
      <c r="I61" s="67">
        <f t="shared" si="15"/>
        <v>6</v>
      </c>
      <c r="J61" s="67">
        <f t="shared" si="15"/>
        <v>6</v>
      </c>
      <c r="K61" s="67">
        <f t="shared" si="15"/>
        <v>6</v>
      </c>
      <c r="L61" s="67">
        <f t="shared" si="15"/>
        <v>6</v>
      </c>
      <c r="M61" s="67" t="e">
        <f t="shared" si="15"/>
        <v>#N/A</v>
      </c>
      <c r="N61" s="67" t="e">
        <f t="shared" si="15"/>
        <v>#N/A</v>
      </c>
      <c r="O61" s="67" t="e">
        <f t="shared" si="15"/>
        <v>#N/A</v>
      </c>
      <c r="P61" s="67" t="e">
        <f t="shared" si="15"/>
        <v>#N/A</v>
      </c>
      <c r="Q61" s="67" t="e">
        <f t="shared" si="15"/>
        <v>#N/A</v>
      </c>
      <c r="R61" s="67" t="e">
        <f t="shared" si="15"/>
        <v>#N/A</v>
      </c>
      <c r="S61" s="67" t="e">
        <f t="shared" si="15"/>
        <v>#N/A</v>
      </c>
      <c r="T61" s="67" t="e">
        <f t="shared" si="15"/>
        <v>#N/A</v>
      </c>
      <c r="U61" s="67" t="e">
        <f t="shared" si="15"/>
        <v>#N/A</v>
      </c>
    </row>
    <row r="62" spans="1:21" ht="13" x14ac:dyDescent="0.3">
      <c r="A62" s="100" t="s">
        <v>134</v>
      </c>
      <c r="B62" s="68">
        <f>B31</f>
        <v>109</v>
      </c>
      <c r="C62" s="68">
        <f>B32</f>
        <v>109</v>
      </c>
      <c r="D62" s="68">
        <f>B33</f>
        <v>109</v>
      </c>
      <c r="E62" s="68">
        <f>B34</f>
        <v>109</v>
      </c>
      <c r="F62" s="68">
        <f>B35</f>
        <v>109</v>
      </c>
      <c r="G62" s="68">
        <f>B36</f>
        <v>109</v>
      </c>
      <c r="H62" s="68">
        <f>B37</f>
        <v>109</v>
      </c>
      <c r="I62" s="68">
        <f>B38</f>
        <v>109</v>
      </c>
      <c r="J62" s="68">
        <f>B39</f>
        <v>109</v>
      </c>
      <c r="K62" s="68">
        <f>B40</f>
        <v>109</v>
      </c>
      <c r="L62" s="68">
        <f>B41</f>
        <v>109</v>
      </c>
      <c r="M62" s="68">
        <f>B42</f>
        <v>0</v>
      </c>
      <c r="N62" s="68">
        <f>B43</f>
        <v>0</v>
      </c>
      <c r="O62" s="68">
        <f>B44</f>
        <v>0</v>
      </c>
      <c r="P62" s="68">
        <f>B45</f>
        <v>0</v>
      </c>
      <c r="Q62" s="68">
        <f>B46</f>
        <v>0</v>
      </c>
      <c r="R62" s="68">
        <f>B47</f>
        <v>0</v>
      </c>
      <c r="S62" s="68">
        <f>B48</f>
        <v>0</v>
      </c>
      <c r="T62" s="68">
        <f>B49</f>
        <v>0</v>
      </c>
      <c r="U62" s="68">
        <f>B50</f>
        <v>0</v>
      </c>
    </row>
    <row r="63" spans="1:21" ht="39" x14ac:dyDescent="0.3">
      <c r="A63" s="101" t="s">
        <v>155</v>
      </c>
      <c r="B63" s="68">
        <f>$E55*(B62/100)</f>
        <v>0</v>
      </c>
      <c r="C63" s="68">
        <f t="shared" ref="C63:U63" si="16">$E55*(C62/100)</f>
        <v>0</v>
      </c>
      <c r="D63" s="68">
        <f t="shared" si="16"/>
        <v>0</v>
      </c>
      <c r="E63" s="68">
        <f t="shared" si="16"/>
        <v>0</v>
      </c>
      <c r="F63" s="68">
        <f>$E55*(F62/100)</f>
        <v>0</v>
      </c>
      <c r="G63" s="68">
        <f t="shared" si="16"/>
        <v>0</v>
      </c>
      <c r="H63" s="68">
        <f t="shared" si="16"/>
        <v>0</v>
      </c>
      <c r="I63" s="68">
        <f t="shared" si="16"/>
        <v>0</v>
      </c>
      <c r="J63" s="68">
        <f t="shared" si="16"/>
        <v>0</v>
      </c>
      <c r="K63" s="68">
        <f t="shared" si="16"/>
        <v>0</v>
      </c>
      <c r="L63" s="68">
        <f t="shared" si="16"/>
        <v>0</v>
      </c>
      <c r="M63" s="68">
        <f t="shared" si="16"/>
        <v>0</v>
      </c>
      <c r="N63" s="68">
        <f t="shared" si="16"/>
        <v>0</v>
      </c>
      <c r="O63" s="68">
        <f t="shared" si="16"/>
        <v>0</v>
      </c>
      <c r="P63" s="68">
        <f t="shared" si="16"/>
        <v>0</v>
      </c>
      <c r="Q63" s="68">
        <f t="shared" si="16"/>
        <v>0</v>
      </c>
      <c r="R63" s="68">
        <f t="shared" si="16"/>
        <v>0</v>
      </c>
      <c r="S63" s="68">
        <f t="shared" si="16"/>
        <v>0</v>
      </c>
      <c r="T63" s="68">
        <f t="shared" si="16"/>
        <v>0</v>
      </c>
      <c r="U63" s="68">
        <f t="shared" si="16"/>
        <v>0</v>
      </c>
    </row>
    <row r="64" spans="1:21" ht="52" x14ac:dyDescent="0.3">
      <c r="A64" s="101" t="s">
        <v>156</v>
      </c>
      <c r="B64" s="68">
        <f>(B59-B60)*B61</f>
        <v>4.7999999999999989</v>
      </c>
      <c r="C64" s="68">
        <f t="shared" ref="C64:U64" si="17">(C59-C60)*C61</f>
        <v>-0.59999999999999787</v>
      </c>
      <c r="D64" s="68">
        <f t="shared" si="17"/>
        <v>-0.59999999999999787</v>
      </c>
      <c r="E64" s="68">
        <f t="shared" si="17"/>
        <v>0</v>
      </c>
      <c r="F64" s="68">
        <f t="shared" si="17"/>
        <v>0</v>
      </c>
      <c r="G64" s="68">
        <f t="shared" si="17"/>
        <v>-0.59999999999999787</v>
      </c>
      <c r="H64" s="68">
        <f t="shared" si="17"/>
        <v>-0.59999999999999787</v>
      </c>
      <c r="I64" s="68">
        <f t="shared" si="17"/>
        <v>0</v>
      </c>
      <c r="J64" s="68">
        <f t="shared" si="17"/>
        <v>-0.59999999999999787</v>
      </c>
      <c r="K64" s="68">
        <f t="shared" si="17"/>
        <v>-0.59999999999999787</v>
      </c>
      <c r="L64" s="68">
        <f t="shared" si="17"/>
        <v>-0.59999999999999787</v>
      </c>
      <c r="M64" s="68" t="e">
        <f t="shared" si="17"/>
        <v>#N/A</v>
      </c>
      <c r="N64" s="68" t="e">
        <f t="shared" si="17"/>
        <v>#N/A</v>
      </c>
      <c r="O64" s="68" t="e">
        <f t="shared" si="17"/>
        <v>#N/A</v>
      </c>
      <c r="P64" s="68" t="e">
        <f t="shared" si="17"/>
        <v>#N/A</v>
      </c>
      <c r="Q64" s="68" t="e">
        <f t="shared" si="17"/>
        <v>#N/A</v>
      </c>
      <c r="R64" s="68" t="e">
        <f t="shared" si="17"/>
        <v>#N/A</v>
      </c>
      <c r="S64" s="68" t="e">
        <f t="shared" si="17"/>
        <v>#N/A</v>
      </c>
      <c r="T64" s="68" t="e">
        <f t="shared" si="17"/>
        <v>#N/A</v>
      </c>
      <c r="U64" s="68" t="e">
        <f t="shared" si="17"/>
        <v>#N/A</v>
      </c>
    </row>
    <row r="65" spans="1:21" ht="52" x14ac:dyDescent="0.3">
      <c r="A65" s="101" t="s">
        <v>157</v>
      </c>
      <c r="B65" s="68">
        <f>B63-B64</f>
        <v>-4.7999999999999989</v>
      </c>
      <c r="C65" s="68">
        <f t="shared" ref="C65:U65" si="18">C63-C64</f>
        <v>0.59999999999999787</v>
      </c>
      <c r="D65" s="68">
        <f t="shared" si="18"/>
        <v>0.59999999999999787</v>
      </c>
      <c r="E65" s="68">
        <f t="shared" si="18"/>
        <v>0</v>
      </c>
      <c r="F65" s="68">
        <f t="shared" si="18"/>
        <v>0</v>
      </c>
      <c r="G65" s="68">
        <f t="shared" si="18"/>
        <v>0.59999999999999787</v>
      </c>
      <c r="H65" s="68">
        <f t="shared" si="18"/>
        <v>0.59999999999999787</v>
      </c>
      <c r="I65" s="68">
        <f t="shared" si="18"/>
        <v>0</v>
      </c>
      <c r="J65" s="68">
        <f t="shared" si="18"/>
        <v>0.59999999999999787</v>
      </c>
      <c r="K65" s="68">
        <f t="shared" si="18"/>
        <v>0.59999999999999787</v>
      </c>
      <c r="L65" s="68">
        <f t="shared" si="18"/>
        <v>0.59999999999999787</v>
      </c>
      <c r="M65" s="68" t="e">
        <f t="shared" si="18"/>
        <v>#N/A</v>
      </c>
      <c r="N65" s="68" t="e">
        <f t="shared" si="18"/>
        <v>#N/A</v>
      </c>
      <c r="O65" s="68" t="e">
        <f t="shared" si="18"/>
        <v>#N/A</v>
      </c>
      <c r="P65" s="68" t="e">
        <f t="shared" si="18"/>
        <v>#N/A</v>
      </c>
      <c r="Q65" s="68" t="e">
        <f t="shared" si="18"/>
        <v>#N/A</v>
      </c>
      <c r="R65" s="68" t="e">
        <f t="shared" si="18"/>
        <v>#N/A</v>
      </c>
      <c r="S65" s="68" t="e">
        <f t="shared" si="18"/>
        <v>#N/A</v>
      </c>
      <c r="T65" s="68" t="e">
        <f t="shared" si="18"/>
        <v>#N/A</v>
      </c>
      <c r="U65" s="68" t="e">
        <f t="shared" si="18"/>
        <v>#N/A</v>
      </c>
    </row>
    <row r="66" spans="1:21" ht="26" x14ac:dyDescent="0.3">
      <c r="A66" s="101" t="s">
        <v>148</v>
      </c>
      <c r="B66" s="69" t="str">
        <f>IF(B64&lt;=B63,"OVER","UNDER")</f>
        <v>UNDER</v>
      </c>
      <c r="C66" s="69" t="str">
        <f t="shared" ref="C66:U66" si="19">IF(C64&lt;=C63,"OVER","UNDER")</f>
        <v>OVER</v>
      </c>
      <c r="D66" s="69" t="str">
        <f t="shared" si="19"/>
        <v>OVER</v>
      </c>
      <c r="E66" s="69" t="str">
        <f t="shared" si="19"/>
        <v>OVER</v>
      </c>
      <c r="F66" s="69" t="str">
        <f t="shared" si="19"/>
        <v>OVER</v>
      </c>
      <c r="G66" s="69" t="str">
        <f t="shared" si="19"/>
        <v>OVER</v>
      </c>
      <c r="H66" s="69" t="str">
        <f t="shared" si="19"/>
        <v>OVER</v>
      </c>
      <c r="I66" s="69" t="str">
        <f t="shared" si="19"/>
        <v>OVER</v>
      </c>
      <c r="J66" s="69" t="str">
        <f t="shared" si="19"/>
        <v>OVER</v>
      </c>
      <c r="K66" s="69" t="str">
        <f t="shared" si="19"/>
        <v>OVER</v>
      </c>
      <c r="L66" s="69" t="str">
        <f t="shared" si="19"/>
        <v>OVER</v>
      </c>
      <c r="M66" s="69" t="e">
        <f t="shared" si="19"/>
        <v>#N/A</v>
      </c>
      <c r="N66" s="69" t="e">
        <f t="shared" si="19"/>
        <v>#N/A</v>
      </c>
      <c r="O66" s="69" t="e">
        <f t="shared" si="19"/>
        <v>#N/A</v>
      </c>
      <c r="P66" s="69" t="e">
        <f t="shared" si="19"/>
        <v>#N/A</v>
      </c>
      <c r="Q66" s="69" t="e">
        <f t="shared" si="19"/>
        <v>#N/A</v>
      </c>
      <c r="R66" s="69" t="e">
        <f t="shared" si="19"/>
        <v>#N/A</v>
      </c>
      <c r="S66" s="69" t="e">
        <f t="shared" si="19"/>
        <v>#N/A</v>
      </c>
      <c r="T66" s="69" t="e">
        <f t="shared" si="19"/>
        <v>#N/A</v>
      </c>
      <c r="U66" s="69" t="e">
        <f t="shared" si="19"/>
        <v>#N/A</v>
      </c>
    </row>
  </sheetData>
  <sheetProtection algorithmName="SHA-512" hashValue="3XaHORpvb0EY7PRrhJxVizwLE/iUZms/O8cPPPiyB58op7QyRvqOXNzOruKcfszSBAm2hl7G2p2YdleQn3WMjw==" saltValue="C0fXVgIDClAn5+hkdNZV1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111" priority="36" operator="greaterThan">
      <formula>$B$51</formula>
    </cfRule>
  </conditionalFormatting>
  <conditionalFormatting sqref="B66:U66">
    <cfRule type="cellIs" dxfId="110" priority="11" operator="equal">
      <formula>"UNDER"</formula>
    </cfRule>
    <cfRule type="cellIs" dxfId="109" priority="12" operator="equal">
      <formula>"OVER"</formula>
    </cfRule>
  </conditionalFormatting>
  <conditionalFormatting sqref="C31:C50">
    <cfRule type="cellIs" dxfId="108" priority="35" operator="greaterThan">
      <formula>$C$51</formula>
    </cfRule>
  </conditionalFormatting>
  <conditionalFormatting sqref="C17:V19">
    <cfRule type="cellIs" dxfId="107" priority="32" operator="equal">
      <formula>0</formula>
    </cfRule>
  </conditionalFormatting>
  <conditionalFormatting sqref="C20:V21">
    <cfRule type="cellIs" dxfId="106" priority="37" operator="equal">
      <formula>"DECREASE"</formula>
    </cfRule>
    <cfRule type="cellIs" dxfId="105" priority="38" operator="equal">
      <formula>"INCREASE"</formula>
    </cfRule>
  </conditionalFormatting>
  <conditionalFormatting sqref="C21:V21">
    <cfRule type="cellIs" dxfId="104" priority="13" operator="equal">
      <formula>0</formula>
    </cfRule>
  </conditionalFormatting>
  <conditionalFormatting sqref="C22:V23">
    <cfRule type="cellIs" dxfId="103" priority="17" operator="equal">
      <formula>0</formula>
    </cfRule>
  </conditionalFormatting>
  <conditionalFormatting sqref="C24:V24">
    <cfRule type="cellIs" dxfId="102" priority="18" operator="equal">
      <formula>"DECREASE"</formula>
    </cfRule>
    <cfRule type="cellIs" dxfId="101" priority="19" operator="equal">
      <formula>"INCREASE"</formula>
    </cfRule>
  </conditionalFormatting>
  <conditionalFormatting sqref="G31:G50">
    <cfRule type="cellIs" dxfId="100" priority="31" operator="greaterThan">
      <formula>$G$51</formula>
    </cfRule>
  </conditionalFormatting>
  <conditionalFormatting sqref="H31:H50">
    <cfRule type="cellIs" dxfId="99" priority="30" operator="greaterThan">
      <formula>$H$51</formula>
    </cfRule>
  </conditionalFormatting>
  <conditionalFormatting sqref="I1">
    <cfRule type="cellIs" dxfId="98" priority="3" operator="between">
      <formula>0.1</formula>
      <formula>5</formula>
    </cfRule>
  </conditionalFormatting>
  <conditionalFormatting sqref="I2">
    <cfRule type="cellIs" dxfId="97" priority="2" operator="greaterThan">
      <formula>5000.1</formula>
    </cfRule>
  </conditionalFormatting>
  <conditionalFormatting sqref="I3">
    <cfRule type="cellIs" dxfId="96" priority="1" operator="greaterThan">
      <formula>40000.01</formula>
    </cfRule>
  </conditionalFormatting>
  <conditionalFormatting sqref="I31:I50">
    <cfRule type="cellIs" dxfId="95" priority="29" operator="greaterThan">
      <formula>$I$51</formula>
    </cfRule>
  </conditionalFormatting>
  <conditionalFormatting sqref="J31:J50">
    <cfRule type="cellIs" dxfId="94" priority="8" operator="greaterThan">
      <formula>$J$51</formula>
    </cfRule>
  </conditionalFormatting>
  <conditionalFormatting sqref="K31:K50">
    <cfRule type="cellIs" dxfId="93" priority="28" operator="greaterThan">
      <formula>$K$51</formula>
    </cfRule>
  </conditionalFormatting>
  <conditionalFormatting sqref="L3">
    <cfRule type="cellIs" dxfId="92" priority="4" operator="lessThan">
      <formula>30</formula>
    </cfRule>
    <cfRule type="cellIs" dxfId="91" priority="5" operator="greaterThanOrEqual">
      <formula>30</formula>
    </cfRule>
  </conditionalFormatting>
  <conditionalFormatting sqref="L31:L50">
    <cfRule type="cellIs" dxfId="90" priority="27" operator="greaterThan">
      <formula>$L$51</formula>
    </cfRule>
  </conditionalFormatting>
  <conditionalFormatting sqref="M31:M50">
    <cfRule type="cellIs" dxfId="89" priority="26" operator="greaterThan">
      <formula>$M$51</formula>
    </cfRule>
  </conditionalFormatting>
  <conditionalFormatting sqref="P31:P50">
    <cfRule type="cellIs" dxfId="88" priority="25" operator="greaterThan">
      <formula>$P$51</formula>
    </cfRule>
  </conditionalFormatting>
  <conditionalFormatting sqref="R31:R50">
    <cfRule type="cellIs" dxfId="87" priority="24" operator="greaterThan">
      <formula>$R$51</formula>
    </cfRule>
  </conditionalFormatting>
  <conditionalFormatting sqref="S31:S50">
    <cfRule type="cellIs" dxfId="86" priority="23" operator="greaterThan">
      <formula>$S$51</formula>
    </cfRule>
  </conditionalFormatting>
  <conditionalFormatting sqref="T31:T50">
    <cfRule type="cellIs" dxfId="85" priority="22" operator="greaterThan">
      <formula>$T$51</formula>
    </cfRule>
  </conditionalFormatting>
  <conditionalFormatting sqref="U31:U50">
    <cfRule type="cellIs" dxfId="84" priority="21" operator="greaterThan">
      <formula>$U$51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zoomScale="90" zoomScaleNormal="90" workbookViewId="0">
      <selection activeCell="I22" sqref="I21:I22"/>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06" t="s">
        <v>41</v>
      </c>
      <c r="B1" s="106"/>
      <c r="C1" s="127" t="str">
        <f>Newcastle!C1:D1</f>
        <v>PAN-026945</v>
      </c>
      <c r="D1" s="128"/>
      <c r="E1" s="83" t="s">
        <v>45</v>
      </c>
      <c r="F1" s="32">
        <f>Newcastle!F1</f>
        <v>47.3</v>
      </c>
      <c r="G1" s="107" t="s">
        <v>43</v>
      </c>
      <c r="H1" s="108"/>
      <c r="I1" s="86">
        <v>6.6</v>
      </c>
      <c r="J1" s="106" t="s">
        <v>153</v>
      </c>
      <c r="K1" s="106"/>
      <c r="L1" s="86">
        <v>224</v>
      </c>
      <c r="AB1" s="14"/>
      <c r="AC1" s="14"/>
      <c r="AD1" s="23" t="s">
        <v>126</v>
      </c>
      <c r="AE1" s="14"/>
      <c r="AF1" s="14"/>
      <c r="AG1" s="14"/>
      <c r="AH1" s="14"/>
      <c r="AI1" s="33" t="s">
        <v>79</v>
      </c>
      <c r="AJ1" s="34" t="s">
        <v>94</v>
      </c>
      <c r="AK1" s="35" t="s">
        <v>95</v>
      </c>
      <c r="AL1" s="36" t="s">
        <v>125</v>
      </c>
      <c r="AM1" s="36" t="s">
        <v>131</v>
      </c>
      <c r="AN1" s="36" t="s">
        <v>111</v>
      </c>
    </row>
    <row r="2" spans="1:41" ht="12.75" customHeight="1" x14ac:dyDescent="0.3">
      <c r="A2" s="106" t="s">
        <v>87</v>
      </c>
      <c r="B2" s="106"/>
      <c r="C2" s="129" t="str">
        <f>Newcastle!C2:D2</f>
        <v>EPR/AB3891CX</v>
      </c>
      <c r="D2" s="130"/>
      <c r="E2" s="83" t="s">
        <v>109</v>
      </c>
      <c r="F2" s="86" t="s">
        <v>182</v>
      </c>
      <c r="G2" s="125" t="s">
        <v>110</v>
      </c>
      <c r="H2" s="126"/>
      <c r="I2" s="86"/>
      <c r="J2" s="106" t="s">
        <v>158</v>
      </c>
      <c r="K2" s="106"/>
      <c r="L2" s="86">
        <v>1.28</v>
      </c>
      <c r="AB2" s="23" t="s">
        <v>56</v>
      </c>
      <c r="AC2" s="14"/>
      <c r="AD2" s="23" t="s">
        <v>70</v>
      </c>
      <c r="AE2" s="14"/>
      <c r="AF2" s="14"/>
      <c r="AG2" s="37" t="s">
        <v>76</v>
      </c>
      <c r="AH2" s="14"/>
      <c r="AI2" s="38" t="s">
        <v>126</v>
      </c>
      <c r="AJ2" s="39">
        <v>0</v>
      </c>
      <c r="AK2" s="40">
        <v>0</v>
      </c>
      <c r="AL2" s="7">
        <v>0</v>
      </c>
      <c r="AM2" s="9">
        <v>0</v>
      </c>
      <c r="AN2" s="9">
        <v>0</v>
      </c>
    </row>
    <row r="3" spans="1:41" ht="13" x14ac:dyDescent="0.25">
      <c r="A3" s="107" t="s">
        <v>42</v>
      </c>
      <c r="B3" s="108"/>
      <c r="C3" s="129" t="str">
        <f>Newcastle!C3:D3</f>
        <v xml:space="preserve">Mr Daniel James and Mrs Carys James </v>
      </c>
      <c r="D3" s="130"/>
      <c r="E3" s="83" t="s">
        <v>108</v>
      </c>
      <c r="F3" s="24" t="s">
        <v>78</v>
      </c>
      <c r="G3" s="106" t="s">
        <v>159</v>
      </c>
      <c r="H3" s="106"/>
      <c r="I3" s="86"/>
      <c r="J3" s="107" t="s">
        <v>154</v>
      </c>
      <c r="K3" s="108"/>
      <c r="L3" s="86">
        <f>(L1/(L2*10000))*100</f>
        <v>1.7500000000000002</v>
      </c>
      <c r="AB3" s="23" t="s">
        <v>57</v>
      </c>
      <c r="AC3" s="14"/>
      <c r="AD3" s="23" t="s">
        <v>71</v>
      </c>
      <c r="AE3" s="14"/>
      <c r="AF3" s="14"/>
      <c r="AG3" s="37" t="s">
        <v>77</v>
      </c>
      <c r="AH3" s="14"/>
      <c r="AI3" s="41" t="s">
        <v>113</v>
      </c>
      <c r="AJ3" s="42">
        <v>1.7</v>
      </c>
      <c r="AK3" s="43">
        <v>6</v>
      </c>
      <c r="AL3" s="44">
        <v>1</v>
      </c>
      <c r="AM3" s="9">
        <v>6.2</v>
      </c>
      <c r="AN3" s="9" t="s">
        <v>112</v>
      </c>
    </row>
    <row r="4" spans="1:41" ht="13" x14ac:dyDescent="0.25">
      <c r="A4" s="106" t="s">
        <v>0</v>
      </c>
      <c r="B4" s="106"/>
      <c r="C4" s="127" t="str">
        <f>Newcastle!C4:D4</f>
        <v>Hafod Fram, Ferwig, Cardigan, Ceredigion, SA43 1PU</v>
      </c>
      <c r="D4" s="128"/>
      <c r="E4" s="84" t="s">
        <v>1</v>
      </c>
      <c r="F4" s="86" t="s">
        <v>186</v>
      </c>
      <c r="G4" s="107"/>
      <c r="H4" s="108"/>
      <c r="I4" s="32"/>
      <c r="J4" s="107"/>
      <c r="K4" s="108"/>
      <c r="L4" s="86"/>
      <c r="AB4" s="23" t="s">
        <v>52</v>
      </c>
      <c r="AC4" s="14"/>
      <c r="AD4" s="45" t="s">
        <v>72</v>
      </c>
      <c r="AE4" s="14"/>
      <c r="AF4" s="14"/>
      <c r="AG4" s="37" t="s">
        <v>78</v>
      </c>
      <c r="AH4" s="14"/>
      <c r="AI4" s="46" t="s">
        <v>124</v>
      </c>
      <c r="AJ4" s="47">
        <v>7</v>
      </c>
      <c r="AK4" s="48">
        <v>10.5</v>
      </c>
      <c r="AL4" s="9">
        <v>2</v>
      </c>
      <c r="AM4" s="9">
        <v>6.7</v>
      </c>
      <c r="AN4" s="9" t="s">
        <v>135</v>
      </c>
    </row>
    <row r="5" spans="1:41" ht="13" x14ac:dyDescent="0.25">
      <c r="A5" s="106" t="s">
        <v>47</v>
      </c>
      <c r="B5" s="106"/>
      <c r="C5" s="127" t="str">
        <f>Newcastle!C5:D5</f>
        <v>Megan Tucker</v>
      </c>
      <c r="D5" s="128"/>
      <c r="E5" s="83"/>
      <c r="F5" s="32"/>
      <c r="G5" s="107"/>
      <c r="H5" s="108"/>
      <c r="I5" s="32"/>
      <c r="J5" s="107"/>
      <c r="K5" s="108"/>
      <c r="L5" s="86"/>
      <c r="AB5" s="23" t="s">
        <v>53</v>
      </c>
      <c r="AC5" s="14"/>
      <c r="AD5" s="45" t="s">
        <v>73</v>
      </c>
      <c r="AE5" s="14"/>
      <c r="AF5" s="14"/>
      <c r="AG5" s="37" t="s">
        <v>104</v>
      </c>
      <c r="AH5" s="14"/>
      <c r="AI5" s="46" t="s">
        <v>123</v>
      </c>
      <c r="AJ5" s="47">
        <v>6.5</v>
      </c>
      <c r="AK5" s="48">
        <v>5.5</v>
      </c>
      <c r="AL5" s="9">
        <v>3</v>
      </c>
      <c r="AM5" s="9">
        <v>6.7</v>
      </c>
      <c r="AN5" s="9" t="s">
        <v>135</v>
      </c>
    </row>
    <row r="6" spans="1:41" x14ac:dyDescent="0.25">
      <c r="A6" s="49"/>
      <c r="B6" s="49"/>
      <c r="F6" s="50"/>
      <c r="G6" s="50"/>
      <c r="H6" s="51"/>
      <c r="I6" s="51"/>
      <c r="J6" s="51"/>
      <c r="AB6" s="23" t="s">
        <v>54</v>
      </c>
      <c r="AC6" s="14"/>
      <c r="AD6" s="45" t="s">
        <v>74</v>
      </c>
      <c r="AE6" s="14"/>
      <c r="AF6" s="14"/>
      <c r="AG6" s="14"/>
      <c r="AH6" s="14"/>
      <c r="AI6" s="46" t="s">
        <v>68</v>
      </c>
      <c r="AJ6" s="47">
        <v>8.5</v>
      </c>
      <c r="AK6" s="48">
        <v>12</v>
      </c>
      <c r="AL6" s="9">
        <v>4</v>
      </c>
      <c r="AM6" s="9">
        <v>6.7</v>
      </c>
      <c r="AN6" s="9" t="s">
        <v>135</v>
      </c>
    </row>
    <row r="7" spans="1:41" s="7" customFormat="1" ht="13" x14ac:dyDescent="0.25">
      <c r="A7" s="112" t="s">
        <v>63</v>
      </c>
      <c r="B7" s="112"/>
      <c r="C7" s="10">
        <v>1</v>
      </c>
      <c r="D7" s="10">
        <v>2</v>
      </c>
      <c r="E7" s="10">
        <v>3</v>
      </c>
      <c r="F7" s="10">
        <v>4</v>
      </c>
      <c r="G7" s="10">
        <v>5</v>
      </c>
      <c r="H7" s="10">
        <v>6</v>
      </c>
      <c r="I7" s="10">
        <v>7</v>
      </c>
      <c r="J7" s="10">
        <v>8</v>
      </c>
      <c r="K7" s="10">
        <v>9</v>
      </c>
      <c r="L7" s="10">
        <v>10</v>
      </c>
      <c r="M7" s="10">
        <v>11</v>
      </c>
      <c r="N7" s="10">
        <v>12</v>
      </c>
      <c r="O7" s="10">
        <v>13</v>
      </c>
      <c r="P7" s="10">
        <v>14</v>
      </c>
      <c r="Q7" s="10">
        <v>15</v>
      </c>
      <c r="R7" s="10">
        <v>16</v>
      </c>
      <c r="S7" s="10">
        <v>17</v>
      </c>
      <c r="T7" s="10">
        <v>18</v>
      </c>
      <c r="U7" s="10">
        <v>19</v>
      </c>
      <c r="V7" s="10">
        <v>20</v>
      </c>
      <c r="AB7" s="23" t="s">
        <v>55</v>
      </c>
      <c r="AC7" s="14"/>
      <c r="AD7" s="14"/>
      <c r="AE7" s="14"/>
      <c r="AF7" s="14"/>
      <c r="AG7" s="14"/>
      <c r="AH7" s="14"/>
      <c r="AI7" s="46" t="s">
        <v>96</v>
      </c>
      <c r="AJ7" s="47">
        <v>8.5</v>
      </c>
      <c r="AK7" s="48">
        <v>10.5</v>
      </c>
      <c r="AL7" s="9">
        <v>5</v>
      </c>
      <c r="AM7" s="7">
        <v>6.7</v>
      </c>
      <c r="AN7" s="9" t="s">
        <v>135</v>
      </c>
      <c r="AO7" s="88"/>
    </row>
    <row r="8" spans="1:41" ht="13" x14ac:dyDescent="0.25">
      <c r="A8" s="106" t="s">
        <v>2</v>
      </c>
      <c r="B8" s="106"/>
      <c r="C8" s="52" t="str">
        <f>Newcastle!C8</f>
        <v>Nant Y Croi 9</v>
      </c>
      <c r="D8" s="52" t="str">
        <f>Newcastle!D8</f>
        <v>Hafod 4315</v>
      </c>
      <c r="E8" s="52" t="str">
        <f>Newcastle!E8</f>
        <v>Hafod 4734</v>
      </c>
      <c r="F8" s="52" t="str">
        <f>Newcastle!F8</f>
        <v>Hafod 5761</v>
      </c>
      <c r="G8" s="52" t="str">
        <f>Newcastle!G8</f>
        <v>Hafod 4067</v>
      </c>
      <c r="H8" s="52" t="str">
        <f>Newcastle!H8</f>
        <v>Hafod 2455</v>
      </c>
      <c r="I8" s="52" t="str">
        <f>Newcastle!I8</f>
        <v>Hafod 1741</v>
      </c>
      <c r="J8" s="52" t="str">
        <f>Newcastle!J8</f>
        <v>Hafod 0720</v>
      </c>
      <c r="K8" s="52" t="str">
        <f>Newcastle!K8</f>
        <v>Solafron 2893</v>
      </c>
      <c r="L8" s="52" t="str">
        <f>Newcastle!L8</f>
        <v>Solafron 2611</v>
      </c>
      <c r="M8" s="52" t="str">
        <f>Newcastle!M8</f>
        <v>Solafron 1404</v>
      </c>
      <c r="N8" s="52">
        <f>Newcastle!N8</f>
        <v>0</v>
      </c>
      <c r="O8" s="52">
        <f>Newcastle!O8</f>
        <v>0</v>
      </c>
      <c r="P8" s="52">
        <f>Newcastle!P8</f>
        <v>0</v>
      </c>
      <c r="Q8" s="52">
        <f>Newcastle!Q8</f>
        <v>0</v>
      </c>
      <c r="R8" s="52">
        <f>Newcastle!R8</f>
        <v>0</v>
      </c>
      <c r="S8" s="52">
        <f>Newcastle!S8</f>
        <v>0</v>
      </c>
      <c r="T8" s="52">
        <f>Newcastle!T8</f>
        <v>0</v>
      </c>
      <c r="U8" s="52">
        <f>Newcastle!U8</f>
        <v>0</v>
      </c>
      <c r="V8" s="52">
        <f>Newcastle!V8</f>
        <v>0</v>
      </c>
      <c r="AB8" s="53"/>
      <c r="AC8" s="53"/>
      <c r="AD8" s="14"/>
      <c r="AE8" s="14" t="s">
        <v>139</v>
      </c>
      <c r="AF8" s="14"/>
      <c r="AG8" s="14"/>
      <c r="AH8" s="14"/>
      <c r="AI8" s="46" t="s">
        <v>105</v>
      </c>
      <c r="AJ8" s="54">
        <v>1.4</v>
      </c>
      <c r="AK8" s="48">
        <v>4.4000000000000004</v>
      </c>
      <c r="AL8" s="9">
        <v>6</v>
      </c>
      <c r="AM8" s="9">
        <v>6.7</v>
      </c>
      <c r="AN8" s="9" t="s">
        <v>135</v>
      </c>
      <c r="AO8" s="14"/>
    </row>
    <row r="9" spans="1:41" ht="13" x14ac:dyDescent="0.25">
      <c r="A9" s="106" t="s">
        <v>3</v>
      </c>
      <c r="B9" s="106"/>
      <c r="C9" s="52" t="str">
        <f>Newcastle!C9</f>
        <v xml:space="preserve">Moderate </v>
      </c>
      <c r="D9" s="52" t="str">
        <f>Newcastle!D9</f>
        <v xml:space="preserve">Moderate </v>
      </c>
      <c r="E9" s="52" t="str">
        <f>Newcastle!E9</f>
        <v xml:space="preserve">Moderate </v>
      </c>
      <c r="F9" s="52" t="str">
        <f>Newcastle!F9</f>
        <v xml:space="preserve">Moderate </v>
      </c>
      <c r="G9" s="52" t="str">
        <f>Newcastle!G9</f>
        <v xml:space="preserve">Moderate </v>
      </c>
      <c r="H9" s="52" t="str">
        <f>Newcastle!H9</f>
        <v xml:space="preserve">Moderate </v>
      </c>
      <c r="I9" s="52" t="str">
        <f>Newcastle!I9</f>
        <v xml:space="preserve">Moderate </v>
      </c>
      <c r="J9" s="52" t="str">
        <f>Newcastle!J9</f>
        <v xml:space="preserve">Moderate </v>
      </c>
      <c r="K9" s="52" t="str">
        <f>Newcastle!K9</f>
        <v xml:space="preserve">Moderate </v>
      </c>
      <c r="L9" s="52" t="str">
        <f>Newcastle!L9</f>
        <v xml:space="preserve">Moderate </v>
      </c>
      <c r="M9" s="52" t="str">
        <f>Newcastle!M9</f>
        <v xml:space="preserve">Moderate </v>
      </c>
      <c r="N9" s="52">
        <f>Newcastle!N9</f>
        <v>0</v>
      </c>
      <c r="O9" s="52">
        <f>Newcastle!O9</f>
        <v>0</v>
      </c>
      <c r="P9" s="52">
        <f>Newcastle!P9</f>
        <v>0</v>
      </c>
      <c r="Q9" s="52">
        <f>Newcastle!Q9</f>
        <v>0</v>
      </c>
      <c r="R9" s="52">
        <f>Newcastle!R9</f>
        <v>0</v>
      </c>
      <c r="S9" s="52">
        <f>Newcastle!S9</f>
        <v>0</v>
      </c>
      <c r="T9" s="52">
        <f>Newcastle!T9</f>
        <v>0</v>
      </c>
      <c r="U9" s="52">
        <f>Newcastle!U9</f>
        <v>0</v>
      </c>
      <c r="V9" s="52">
        <f>Newcastle!V9</f>
        <v>0</v>
      </c>
      <c r="AB9" s="14"/>
      <c r="AC9" s="14"/>
      <c r="AD9" s="23" t="s">
        <v>137</v>
      </c>
      <c r="AE9" s="23">
        <v>4.5</v>
      </c>
      <c r="AF9" s="14"/>
      <c r="AG9" s="14"/>
      <c r="AH9" s="14"/>
      <c r="AI9" s="55" t="s">
        <v>103</v>
      </c>
      <c r="AJ9" s="56">
        <v>0.7</v>
      </c>
      <c r="AK9" s="57">
        <v>4</v>
      </c>
      <c r="AL9" s="22">
        <v>7</v>
      </c>
      <c r="AM9" s="9">
        <v>6.7</v>
      </c>
      <c r="AN9" s="9" t="s">
        <v>135</v>
      </c>
      <c r="AO9" s="88"/>
    </row>
    <row r="10" spans="1:41" ht="13" x14ac:dyDescent="0.25">
      <c r="A10" s="106" t="s">
        <v>4</v>
      </c>
      <c r="B10" s="106"/>
      <c r="C10" s="52">
        <f>Newcastle!C10</f>
        <v>5.4</v>
      </c>
      <c r="D10" s="52">
        <f>Newcastle!D10</f>
        <v>6.3</v>
      </c>
      <c r="E10" s="52">
        <f>Newcastle!E10</f>
        <v>6.3</v>
      </c>
      <c r="F10" s="52">
        <f>Newcastle!F10</f>
        <v>6.2</v>
      </c>
      <c r="G10" s="52">
        <f>Newcastle!G10</f>
        <v>6.2</v>
      </c>
      <c r="H10" s="52">
        <f>Newcastle!H10</f>
        <v>6.3</v>
      </c>
      <c r="I10" s="52">
        <f>Newcastle!I10</f>
        <v>6.3</v>
      </c>
      <c r="J10" s="52">
        <f>Newcastle!J10</f>
        <v>6.2</v>
      </c>
      <c r="K10" s="52">
        <f>Newcastle!K10</f>
        <v>6.3</v>
      </c>
      <c r="L10" s="52">
        <f>Newcastle!L10</f>
        <v>6.3</v>
      </c>
      <c r="M10" s="52">
        <f>Newcastle!M10</f>
        <v>6.3</v>
      </c>
      <c r="N10" s="52">
        <f>Newcastle!N10</f>
        <v>0</v>
      </c>
      <c r="O10" s="52">
        <f>Newcastle!O10</f>
        <v>0</v>
      </c>
      <c r="P10" s="52">
        <f>Newcastle!P10</f>
        <v>0</v>
      </c>
      <c r="Q10" s="52">
        <f>Newcastle!Q10</f>
        <v>0</v>
      </c>
      <c r="R10" s="52">
        <f>Newcastle!R10</f>
        <v>0</v>
      </c>
      <c r="S10" s="52">
        <f>Newcastle!S10</f>
        <v>0</v>
      </c>
      <c r="T10" s="52">
        <f>Newcastle!T10</f>
        <v>0</v>
      </c>
      <c r="U10" s="52">
        <f>Newcastle!U10</f>
        <v>0</v>
      </c>
      <c r="V10" s="52">
        <f>Newcastle!V10</f>
        <v>0</v>
      </c>
      <c r="AB10" s="14"/>
      <c r="AC10" s="14"/>
      <c r="AD10" s="23" t="s">
        <v>140</v>
      </c>
      <c r="AE10" s="23">
        <v>5</v>
      </c>
      <c r="AF10" s="14"/>
      <c r="AG10" s="14"/>
      <c r="AH10" s="14"/>
      <c r="AI10" s="46" t="s">
        <v>97</v>
      </c>
      <c r="AJ10" s="47">
        <v>9</v>
      </c>
      <c r="AK10" s="48">
        <v>16.5</v>
      </c>
      <c r="AL10" s="9">
        <v>8</v>
      </c>
      <c r="AM10" s="9">
        <v>6.7</v>
      </c>
      <c r="AN10" s="9" t="s">
        <v>135</v>
      </c>
    </row>
    <row r="11" spans="1:41" ht="13" x14ac:dyDescent="0.25">
      <c r="A11" s="106" t="s">
        <v>5</v>
      </c>
      <c r="B11" s="106"/>
      <c r="C11" s="52">
        <f>Newcastle!C11</f>
        <v>2</v>
      </c>
      <c r="D11" s="52">
        <f>Newcastle!D11</f>
        <v>2</v>
      </c>
      <c r="E11" s="52">
        <f>Newcastle!E11</f>
        <v>2</v>
      </c>
      <c r="F11" s="52">
        <f>Newcastle!F11</f>
        <v>1</v>
      </c>
      <c r="G11" s="52">
        <f>Newcastle!G11</f>
        <v>2</v>
      </c>
      <c r="H11" s="52">
        <f>Newcastle!H11</f>
        <v>2</v>
      </c>
      <c r="I11" s="52">
        <f>Newcastle!I11</f>
        <v>2</v>
      </c>
      <c r="J11" s="52">
        <f>Newcastle!J11</f>
        <v>2</v>
      </c>
      <c r="K11" s="52">
        <f>Newcastle!K11</f>
        <v>2</v>
      </c>
      <c r="L11" s="52">
        <f>Newcastle!L11</f>
        <v>2</v>
      </c>
      <c r="M11" s="52">
        <f>Newcastle!M11</f>
        <v>2</v>
      </c>
      <c r="N11" s="52">
        <f>Newcastle!N11</f>
        <v>0</v>
      </c>
      <c r="O11" s="52">
        <f>Newcastle!O11</f>
        <v>0</v>
      </c>
      <c r="P11" s="52">
        <f>Newcastle!P11</f>
        <v>0</v>
      </c>
      <c r="Q11" s="52">
        <f>Newcastle!Q11</f>
        <v>0</v>
      </c>
      <c r="R11" s="52">
        <f>Newcastle!R11</f>
        <v>0</v>
      </c>
      <c r="S11" s="52">
        <f>Newcastle!S11</f>
        <v>0</v>
      </c>
      <c r="T11" s="52">
        <f>Newcastle!T11</f>
        <v>0</v>
      </c>
      <c r="U11" s="52">
        <f>Newcastle!U11</f>
        <v>0</v>
      </c>
      <c r="V11" s="52">
        <f>Newcastle!V11</f>
        <v>0</v>
      </c>
      <c r="AB11" s="14"/>
      <c r="AC11" s="14"/>
      <c r="AD11" s="45" t="s">
        <v>141</v>
      </c>
      <c r="AE11" s="23">
        <v>6</v>
      </c>
      <c r="AF11" s="14"/>
      <c r="AG11" s="14"/>
      <c r="AH11" s="14"/>
      <c r="AI11" s="46" t="s">
        <v>122</v>
      </c>
      <c r="AJ11" s="47">
        <v>15</v>
      </c>
      <c r="AK11" s="48">
        <v>17.5</v>
      </c>
      <c r="AL11" s="9">
        <v>9</v>
      </c>
      <c r="AM11" s="9">
        <v>7</v>
      </c>
      <c r="AN11" s="9" t="s">
        <v>135</v>
      </c>
    </row>
    <row r="12" spans="1:41" ht="13" x14ac:dyDescent="0.25">
      <c r="A12" s="106" t="s">
        <v>6</v>
      </c>
      <c r="B12" s="106"/>
      <c r="C12" s="52">
        <f>Newcastle!C12</f>
        <v>1</v>
      </c>
      <c r="D12" s="52">
        <f>Newcastle!D12</f>
        <v>2</v>
      </c>
      <c r="E12" s="52">
        <f>Newcastle!E12</f>
        <v>1</v>
      </c>
      <c r="F12" s="52">
        <f>Newcastle!F12</f>
        <v>2</v>
      </c>
      <c r="G12" s="52">
        <f>Newcastle!G12</f>
        <v>2</v>
      </c>
      <c r="H12" s="52">
        <f>Newcastle!H12</f>
        <v>1</v>
      </c>
      <c r="I12" s="52">
        <f>Newcastle!I12</f>
        <v>2</v>
      </c>
      <c r="J12" s="52">
        <f>Newcastle!J12</f>
        <v>1</v>
      </c>
      <c r="K12" s="52">
        <f>Newcastle!K12</f>
        <v>2</v>
      </c>
      <c r="L12" s="52">
        <f>Newcastle!L12</f>
        <v>2</v>
      </c>
      <c r="M12" s="52">
        <f>Newcastle!M12</f>
        <v>1</v>
      </c>
      <c r="N12" s="52">
        <f>Newcastle!N12</f>
        <v>0</v>
      </c>
      <c r="O12" s="52">
        <f>Newcastle!O12</f>
        <v>0</v>
      </c>
      <c r="P12" s="52">
        <f>Newcastle!P12</f>
        <v>0</v>
      </c>
      <c r="Q12" s="52">
        <f>Newcastle!Q12</f>
        <v>0</v>
      </c>
      <c r="R12" s="52">
        <f>Newcastle!R12</f>
        <v>0</v>
      </c>
      <c r="S12" s="52">
        <f>Newcastle!S12</f>
        <v>0</v>
      </c>
      <c r="T12" s="52">
        <f>Newcastle!T12</f>
        <v>0</v>
      </c>
      <c r="U12" s="52">
        <f>Newcastle!U12</f>
        <v>0</v>
      </c>
      <c r="V12" s="52">
        <f>Newcastle!V12</f>
        <v>0</v>
      </c>
      <c r="AB12" s="14"/>
      <c r="AC12" s="14"/>
      <c r="AD12" s="45" t="s">
        <v>142</v>
      </c>
      <c r="AE12" s="23">
        <v>7.5</v>
      </c>
      <c r="AF12" s="14"/>
      <c r="AG12" s="14"/>
      <c r="AH12" s="14"/>
      <c r="AI12" s="46" t="s">
        <v>121</v>
      </c>
      <c r="AJ12" s="47">
        <v>14</v>
      </c>
      <c r="AK12" s="48">
        <v>11</v>
      </c>
      <c r="AL12" s="9">
        <v>10</v>
      </c>
      <c r="AM12" s="9">
        <v>7</v>
      </c>
      <c r="AN12" s="9" t="s">
        <v>135</v>
      </c>
    </row>
    <row r="13" spans="1:41" ht="13" x14ac:dyDescent="0.25">
      <c r="A13" s="106" t="s">
        <v>7</v>
      </c>
      <c r="B13" s="106"/>
      <c r="C13" s="52">
        <f>Newcastle!C13</f>
        <v>3</v>
      </c>
      <c r="D13" s="52">
        <f>Newcastle!D13</f>
        <v>5</v>
      </c>
      <c r="E13" s="52">
        <f>Newcastle!E13</f>
        <v>5</v>
      </c>
      <c r="F13" s="52">
        <f>Newcastle!F13</f>
        <v>5</v>
      </c>
      <c r="G13" s="52">
        <f>Newcastle!G13</f>
        <v>5</v>
      </c>
      <c r="H13" s="52">
        <f>Newcastle!H13</f>
        <v>5</v>
      </c>
      <c r="I13" s="52">
        <f>Newcastle!I13</f>
        <v>5</v>
      </c>
      <c r="J13" s="52">
        <f>Newcastle!J13</f>
        <v>5</v>
      </c>
      <c r="K13" s="52">
        <f>Newcastle!K13</f>
        <v>5</v>
      </c>
      <c r="L13" s="52">
        <f>Newcastle!L13</f>
        <v>5</v>
      </c>
      <c r="M13" s="52">
        <f>Newcastle!M13</f>
        <v>5</v>
      </c>
      <c r="N13" s="52">
        <f>Newcastle!N13</f>
        <v>0</v>
      </c>
      <c r="O13" s="52">
        <f>Newcastle!O13</f>
        <v>0</v>
      </c>
      <c r="P13" s="52">
        <f>Newcastle!P13</f>
        <v>0</v>
      </c>
      <c r="Q13" s="52">
        <f>Newcastle!Q13</f>
        <v>0</v>
      </c>
      <c r="R13" s="52">
        <f>Newcastle!R13</f>
        <v>0</v>
      </c>
      <c r="S13" s="52">
        <f>Newcastle!S13</f>
        <v>0</v>
      </c>
      <c r="T13" s="52">
        <f>Newcastle!T13</f>
        <v>0</v>
      </c>
      <c r="U13" s="52">
        <f>Newcastle!U13</f>
        <v>0</v>
      </c>
      <c r="V13" s="52">
        <f>Newcastle!V13</f>
        <v>0</v>
      </c>
      <c r="AB13" s="14"/>
      <c r="AC13" s="14"/>
      <c r="AD13" s="45" t="s">
        <v>143</v>
      </c>
      <c r="AE13" s="23">
        <v>12</v>
      </c>
      <c r="AF13" s="14"/>
      <c r="AG13" s="14"/>
      <c r="AH13" s="14"/>
      <c r="AI13" s="46" t="s">
        <v>120</v>
      </c>
      <c r="AJ13" s="47">
        <v>1.9</v>
      </c>
      <c r="AK13" s="48">
        <v>7.5</v>
      </c>
      <c r="AL13" s="9">
        <v>11</v>
      </c>
      <c r="AM13" s="9">
        <v>6.7</v>
      </c>
      <c r="AN13" s="9" t="s">
        <v>135</v>
      </c>
    </row>
    <row r="14" spans="1:41" ht="13" x14ac:dyDescent="0.25">
      <c r="A14" s="118" t="s">
        <v>8</v>
      </c>
      <c r="B14" s="118"/>
      <c r="C14" s="91" t="str">
        <f>Newcastle!C14</f>
        <v xml:space="preserve">Grass Silage (25% DM) </v>
      </c>
      <c r="D14" s="91" t="str">
        <f>Newcastle!D14</f>
        <v xml:space="preserve">Grass Silage (25% DM) </v>
      </c>
      <c r="E14" s="91" t="str">
        <f>Newcastle!E14</f>
        <v xml:space="preserve">Grass Silage (25% DM) </v>
      </c>
      <c r="F14" s="91" t="str">
        <f>Newcastle!F14</f>
        <v xml:space="preserve">Grass Silage (25% DM) </v>
      </c>
      <c r="G14" s="91" t="str">
        <f>Newcastle!G14</f>
        <v xml:space="preserve">Grass Silage (25% DM) </v>
      </c>
      <c r="H14" s="91" t="str">
        <f>Newcastle!H14</f>
        <v xml:space="preserve">Grass Silage (25% DM) </v>
      </c>
      <c r="I14" s="91" t="str">
        <f>Newcastle!I14</f>
        <v xml:space="preserve">Grass Silage (25% DM) </v>
      </c>
      <c r="J14" s="91" t="str">
        <f>Newcastle!J14</f>
        <v xml:space="preserve">Grass Silage (25% DM) </v>
      </c>
      <c r="K14" s="91" t="str">
        <f>Newcastle!K14</f>
        <v xml:space="preserve">Grass Silage (25% DM) </v>
      </c>
      <c r="L14" s="91" t="str">
        <f>Newcastle!L14</f>
        <v xml:space="preserve">Grass Silage (25% DM) </v>
      </c>
      <c r="M14" s="91" t="str">
        <f>Newcastle!M14</f>
        <v xml:space="preserve">Grass Silage (25% DM) </v>
      </c>
      <c r="N14" s="91">
        <f>Newcastle!N14</f>
        <v>0</v>
      </c>
      <c r="O14" s="91">
        <f>Newcastle!O14</f>
        <v>0</v>
      </c>
      <c r="P14" s="91">
        <f>Newcastle!P14</f>
        <v>0</v>
      </c>
      <c r="Q14" s="91">
        <f>Newcastle!Q14</f>
        <v>0</v>
      </c>
      <c r="R14" s="91">
        <f>Newcastle!R14</f>
        <v>0</v>
      </c>
      <c r="S14" s="91">
        <f>Newcastle!S14</f>
        <v>0</v>
      </c>
      <c r="T14" s="91">
        <f>Newcastle!T14</f>
        <v>0</v>
      </c>
      <c r="U14" s="91">
        <f>Newcastle!U14</f>
        <v>0</v>
      </c>
      <c r="V14" s="91">
        <f>Newcastle!V14</f>
        <v>0</v>
      </c>
      <c r="AD14" s="23" t="s">
        <v>138</v>
      </c>
      <c r="AE14" s="23">
        <v>6</v>
      </c>
      <c r="AI14" s="46" t="s">
        <v>119</v>
      </c>
      <c r="AJ14" s="47">
        <v>0.8</v>
      </c>
      <c r="AK14" s="48">
        <v>1.7</v>
      </c>
      <c r="AL14" s="9">
        <v>12</v>
      </c>
      <c r="AM14" s="9">
        <v>6.7</v>
      </c>
      <c r="AN14" s="9" t="s">
        <v>135</v>
      </c>
    </row>
    <row r="15" spans="1:41" ht="13" x14ac:dyDescent="0.25">
      <c r="A15" s="117" t="s">
        <v>9</v>
      </c>
      <c r="B15" s="117"/>
      <c r="C15" s="52">
        <f>Newcastle!C15</f>
        <v>47</v>
      </c>
      <c r="D15" s="52">
        <f>Newcastle!D15</f>
        <v>47</v>
      </c>
      <c r="E15" s="52">
        <f>Newcastle!E15</f>
        <v>47</v>
      </c>
      <c r="F15" s="52">
        <f>Newcastle!F15</f>
        <v>47</v>
      </c>
      <c r="G15" s="52">
        <f>Newcastle!G15</f>
        <v>47</v>
      </c>
      <c r="H15" s="52">
        <f>Newcastle!H15</f>
        <v>47</v>
      </c>
      <c r="I15" s="52">
        <f>Newcastle!I15</f>
        <v>47</v>
      </c>
      <c r="J15" s="52">
        <f>Newcastle!J15</f>
        <v>47</v>
      </c>
      <c r="K15" s="52">
        <f>Newcastle!K15</f>
        <v>47</v>
      </c>
      <c r="L15" s="52">
        <f>Newcastle!L15</f>
        <v>47</v>
      </c>
      <c r="M15" s="52">
        <f>Newcastle!M15</f>
        <v>47</v>
      </c>
      <c r="N15" s="52">
        <f>Newcastle!N15</f>
        <v>0</v>
      </c>
      <c r="O15" s="52">
        <f>Newcastle!O15</f>
        <v>0</v>
      </c>
      <c r="P15" s="52">
        <f>Newcastle!P15</f>
        <v>0</v>
      </c>
      <c r="Q15" s="52">
        <f>Newcastle!Q15</f>
        <v>0</v>
      </c>
      <c r="R15" s="52">
        <f>Newcastle!R15</f>
        <v>0</v>
      </c>
      <c r="S15" s="52">
        <f>Newcastle!S15</f>
        <v>0</v>
      </c>
      <c r="T15" s="52">
        <f>Newcastle!T15</f>
        <v>0</v>
      </c>
      <c r="U15" s="52">
        <f>Newcastle!U15</f>
        <v>0</v>
      </c>
      <c r="V15" s="52">
        <f>Newcastle!V15</f>
        <v>0</v>
      </c>
      <c r="AD15" s="23" t="s">
        <v>144</v>
      </c>
      <c r="AE15" s="23">
        <v>7</v>
      </c>
      <c r="AI15" s="46" t="s">
        <v>101</v>
      </c>
      <c r="AJ15" s="54">
        <v>1.8</v>
      </c>
      <c r="AK15" s="48">
        <v>5.4</v>
      </c>
      <c r="AL15" s="9">
        <v>13</v>
      </c>
      <c r="AM15" s="9">
        <v>6.7</v>
      </c>
      <c r="AN15" s="9" t="s">
        <v>135</v>
      </c>
    </row>
    <row r="16" spans="1:41" ht="13.5" thickBot="1" x14ac:dyDescent="0.3">
      <c r="A16" s="119" t="s">
        <v>44</v>
      </c>
      <c r="B16" s="119"/>
      <c r="C16" s="92" t="str">
        <f>Newcastle!C16</f>
        <v>Medium/Clay</v>
      </c>
      <c r="D16" s="92" t="str">
        <f>Newcastle!D16</f>
        <v>Medium/Clay</v>
      </c>
      <c r="E16" s="92" t="str">
        <f>Newcastle!E16</f>
        <v>Medium/Clay</v>
      </c>
      <c r="F16" s="92" t="str">
        <f>Newcastle!F16</f>
        <v>Medium/Clay</v>
      </c>
      <c r="G16" s="92" t="str">
        <f>Newcastle!G16</f>
        <v>Medium/Clay</v>
      </c>
      <c r="H16" s="92" t="str">
        <f>Newcastle!H16</f>
        <v>Medium/Clay</v>
      </c>
      <c r="I16" s="92" t="str">
        <f>Newcastle!I16</f>
        <v>Medium/Clay</v>
      </c>
      <c r="J16" s="92" t="str">
        <f>Newcastle!J16</f>
        <v>Medium/Clay</v>
      </c>
      <c r="K16" s="92" t="str">
        <f>Newcastle!K16</f>
        <v>Medium/Clay</v>
      </c>
      <c r="L16" s="92" t="str">
        <f>Newcastle!L16</f>
        <v>Medium/Clay</v>
      </c>
      <c r="M16" s="92" t="str">
        <f>Newcastle!M16</f>
        <v>Medium/Clay</v>
      </c>
      <c r="N16" s="92">
        <f>Newcastle!N16</f>
        <v>0</v>
      </c>
      <c r="O16" s="92">
        <f>Newcastle!O16</f>
        <v>0</v>
      </c>
      <c r="P16" s="92">
        <f>Newcastle!P16</f>
        <v>0</v>
      </c>
      <c r="Q16" s="92">
        <f>Newcastle!Q16</f>
        <v>0</v>
      </c>
      <c r="R16" s="92">
        <f>Newcastle!R16</f>
        <v>0</v>
      </c>
      <c r="S16" s="92">
        <f>Newcastle!S16</f>
        <v>0</v>
      </c>
      <c r="T16" s="92">
        <f>Newcastle!T16</f>
        <v>0</v>
      </c>
      <c r="U16" s="92">
        <f>Newcastle!U16</f>
        <v>0</v>
      </c>
      <c r="V16" s="92">
        <f>Newcastle!V16</f>
        <v>0</v>
      </c>
      <c r="AD16" s="45" t="s">
        <v>145</v>
      </c>
      <c r="AE16" s="23">
        <v>8</v>
      </c>
      <c r="AI16" s="46" t="s">
        <v>118</v>
      </c>
      <c r="AJ16" s="47">
        <v>8</v>
      </c>
      <c r="AK16" s="48">
        <v>5.5</v>
      </c>
      <c r="AL16" s="7">
        <v>14</v>
      </c>
      <c r="AM16" s="9">
        <v>6.7</v>
      </c>
      <c r="AN16" s="9" t="s">
        <v>135</v>
      </c>
    </row>
    <row r="17" spans="1:40" ht="13" x14ac:dyDescent="0.25">
      <c r="A17" s="109" t="s">
        <v>69</v>
      </c>
      <c r="B17" s="110"/>
      <c r="C17" s="21">
        <f>(VLOOKUP(C$14,$AI2:$AK26,2,FALSE))*C$15</f>
        <v>79.899999999999991</v>
      </c>
      <c r="D17" s="21">
        <f t="shared" ref="D17:V17" si="0">(VLOOKUP(D$14,$AI2:$AK26,2,FALSE))*D$15</f>
        <v>79.899999999999991</v>
      </c>
      <c r="E17" s="21">
        <f t="shared" si="0"/>
        <v>79.899999999999991</v>
      </c>
      <c r="F17" s="21">
        <f t="shared" si="0"/>
        <v>79.899999999999991</v>
      </c>
      <c r="G17" s="21">
        <f t="shared" si="0"/>
        <v>79.899999999999991</v>
      </c>
      <c r="H17" s="21">
        <f t="shared" si="0"/>
        <v>79.899999999999991</v>
      </c>
      <c r="I17" s="21">
        <f t="shared" si="0"/>
        <v>79.899999999999991</v>
      </c>
      <c r="J17" s="21">
        <f t="shared" si="0"/>
        <v>79.899999999999991</v>
      </c>
      <c r="K17" s="21">
        <f t="shared" si="0"/>
        <v>79.899999999999991</v>
      </c>
      <c r="L17" s="21">
        <f t="shared" si="0"/>
        <v>79.899999999999991</v>
      </c>
      <c r="M17" s="21">
        <f t="shared" si="0"/>
        <v>79.899999999999991</v>
      </c>
      <c r="N17" s="21" t="e">
        <f t="shared" si="0"/>
        <v>#N/A</v>
      </c>
      <c r="O17" s="21" t="e">
        <f t="shared" si="0"/>
        <v>#N/A</v>
      </c>
      <c r="P17" s="21" t="e">
        <f t="shared" si="0"/>
        <v>#N/A</v>
      </c>
      <c r="Q17" s="21" t="e">
        <f t="shared" si="0"/>
        <v>#N/A</v>
      </c>
      <c r="R17" s="21" t="e">
        <f t="shared" si="0"/>
        <v>#N/A</v>
      </c>
      <c r="S17" s="21" t="e">
        <f t="shared" si="0"/>
        <v>#N/A</v>
      </c>
      <c r="T17" s="21" t="e">
        <f t="shared" si="0"/>
        <v>#N/A</v>
      </c>
      <c r="U17" s="21" t="e">
        <f t="shared" si="0"/>
        <v>#N/A</v>
      </c>
      <c r="V17" s="21" t="e">
        <f t="shared" si="0"/>
        <v>#N/A</v>
      </c>
      <c r="AD17" s="45" t="s">
        <v>146</v>
      </c>
      <c r="AE17" s="23">
        <v>10</v>
      </c>
      <c r="AI17" s="41" t="s">
        <v>115</v>
      </c>
      <c r="AJ17" s="42">
        <v>1.4</v>
      </c>
      <c r="AK17" s="43">
        <v>4.8</v>
      </c>
      <c r="AL17" s="44">
        <v>15</v>
      </c>
      <c r="AM17" s="9">
        <v>6.2</v>
      </c>
      <c r="AN17" s="9" t="s">
        <v>112</v>
      </c>
    </row>
    <row r="18" spans="1:40" ht="13" x14ac:dyDescent="0.25">
      <c r="A18" s="111" t="s">
        <v>23</v>
      </c>
      <c r="B18" s="112"/>
      <c r="C18" s="13">
        <f>$D31</f>
        <v>0</v>
      </c>
      <c r="D18" s="13">
        <f>$D32</f>
        <v>61.993314500000004</v>
      </c>
      <c r="E18" s="13">
        <f>$D33</f>
        <v>61.993314500000004</v>
      </c>
      <c r="F18" s="13">
        <f>$D34</f>
        <v>61.993314500000004</v>
      </c>
      <c r="G18" s="13">
        <f>$D35</f>
        <v>61.993314500000004</v>
      </c>
      <c r="H18" s="13">
        <f>$D36</f>
        <v>61.993314500000004</v>
      </c>
      <c r="I18" s="13">
        <f>$D37</f>
        <v>61.993314500000004</v>
      </c>
      <c r="J18" s="13">
        <f>$D38</f>
        <v>61.993314500000004</v>
      </c>
      <c r="K18" s="13">
        <f>$D39</f>
        <v>61.993314500000004</v>
      </c>
      <c r="L18" s="13">
        <f>$D40</f>
        <v>61.993314500000004</v>
      </c>
      <c r="M18" s="13">
        <f>$D41</f>
        <v>61.993314500000004</v>
      </c>
      <c r="N18" s="13">
        <f>$D42</f>
        <v>0</v>
      </c>
      <c r="O18" s="13">
        <f>$D43</f>
        <v>0</v>
      </c>
      <c r="P18" s="13">
        <f>$D44</f>
        <v>0</v>
      </c>
      <c r="Q18" s="13">
        <f>$D45</f>
        <v>0</v>
      </c>
      <c r="R18" s="13">
        <f>$D46</f>
        <v>0</v>
      </c>
      <c r="S18" s="13">
        <f>$D47</f>
        <v>0</v>
      </c>
      <c r="T18" s="13">
        <f>$D48</f>
        <v>0</v>
      </c>
      <c r="U18" s="13">
        <f>$D49</f>
        <v>0</v>
      </c>
      <c r="V18" s="18">
        <f>$D50</f>
        <v>0</v>
      </c>
      <c r="AD18" s="45" t="s">
        <v>147</v>
      </c>
      <c r="AE18" s="23">
        <v>16</v>
      </c>
      <c r="AI18" s="41" t="s">
        <v>106</v>
      </c>
      <c r="AJ18" s="42">
        <v>5.9</v>
      </c>
      <c r="AK18" s="43">
        <v>18</v>
      </c>
      <c r="AL18" s="44">
        <v>16</v>
      </c>
      <c r="AM18" s="9">
        <v>6.2</v>
      </c>
      <c r="AN18" s="9" t="s">
        <v>112</v>
      </c>
    </row>
    <row r="19" spans="1:40" ht="13" x14ac:dyDescent="0.25">
      <c r="A19" s="111" t="s">
        <v>90</v>
      </c>
      <c r="B19" s="112"/>
      <c r="C19" s="13">
        <f>C18-C17</f>
        <v>-79.899999999999991</v>
      </c>
      <c r="D19" s="13">
        <f t="shared" ref="D19:V19" si="1">D18-D17</f>
        <v>-17.906685499999988</v>
      </c>
      <c r="E19" s="13">
        <f t="shared" si="1"/>
        <v>-17.906685499999988</v>
      </c>
      <c r="F19" s="13">
        <f t="shared" si="1"/>
        <v>-17.906685499999988</v>
      </c>
      <c r="G19" s="13">
        <f t="shared" si="1"/>
        <v>-17.906685499999988</v>
      </c>
      <c r="H19" s="13">
        <f t="shared" si="1"/>
        <v>-17.906685499999988</v>
      </c>
      <c r="I19" s="13">
        <f t="shared" si="1"/>
        <v>-17.906685499999988</v>
      </c>
      <c r="J19" s="13">
        <f t="shared" si="1"/>
        <v>-17.906685499999988</v>
      </c>
      <c r="K19" s="13">
        <f t="shared" si="1"/>
        <v>-17.906685499999988</v>
      </c>
      <c r="L19" s="13">
        <f t="shared" si="1"/>
        <v>-17.906685499999988</v>
      </c>
      <c r="M19" s="13">
        <f t="shared" si="1"/>
        <v>-17.906685499999988</v>
      </c>
      <c r="N19" s="13" t="e">
        <f t="shared" si="1"/>
        <v>#N/A</v>
      </c>
      <c r="O19" s="13" t="e">
        <f t="shared" si="1"/>
        <v>#N/A</v>
      </c>
      <c r="P19" s="13" t="e">
        <f t="shared" si="1"/>
        <v>#N/A</v>
      </c>
      <c r="Q19" s="13" t="e">
        <f t="shared" si="1"/>
        <v>#N/A</v>
      </c>
      <c r="R19" s="13" t="e">
        <f t="shared" si="1"/>
        <v>#N/A</v>
      </c>
      <c r="S19" s="13" t="e">
        <f t="shared" si="1"/>
        <v>#N/A</v>
      </c>
      <c r="T19" s="13" t="e">
        <f t="shared" si="1"/>
        <v>#N/A</v>
      </c>
      <c r="U19" s="13" t="e">
        <f t="shared" si="1"/>
        <v>#N/A</v>
      </c>
      <c r="V19" s="18" t="e">
        <f t="shared" si="1"/>
        <v>#N/A</v>
      </c>
      <c r="AI19" s="41" t="s">
        <v>107</v>
      </c>
      <c r="AJ19" s="42">
        <v>3.2</v>
      </c>
      <c r="AK19" s="43">
        <v>10.5</v>
      </c>
      <c r="AL19" s="44">
        <v>17</v>
      </c>
      <c r="AM19" s="9">
        <v>6.2</v>
      </c>
      <c r="AN19" s="9" t="s">
        <v>112</v>
      </c>
    </row>
    <row r="20" spans="1:40" ht="13.5" thickBot="1" x14ac:dyDescent="0.3">
      <c r="A20" s="113" t="s">
        <v>91</v>
      </c>
      <c r="B20" s="114"/>
      <c r="C20" s="19" t="str">
        <f>IF($B31="","",IF(C$19&gt;=0,"INCREASE","DECREASE"))</f>
        <v>DECREASE</v>
      </c>
      <c r="D20" s="19" t="str">
        <f>IF($B32="","",IF(D$19&gt;=0,"INCREASE","DECREASE"))</f>
        <v>DECREASE</v>
      </c>
      <c r="E20" s="19" t="str">
        <f>IF($B33="","",IF(E$19&gt;=0,"INCREASE","DECREASE"))</f>
        <v>DECREASE</v>
      </c>
      <c r="F20" s="19" t="str">
        <f>IF($B34="","",IF(F$19&gt;=0,"INCREASE","DECREASE"))</f>
        <v>DECREASE</v>
      </c>
      <c r="G20" s="19" t="str">
        <f>IF($B35="","",IF(G$19&gt;=0,"INCREASE","DECREASE"))</f>
        <v>DECREASE</v>
      </c>
      <c r="H20" s="19" t="str">
        <f>IF($B36="","",IF(H$19&gt;=0,"INCREASE","DECREASE"))</f>
        <v>DECREASE</v>
      </c>
      <c r="I20" s="19" t="str">
        <f>IF($B37="","",IF(I$19&gt;=0,"INCREASE","DECREASE"))</f>
        <v>DECREASE</v>
      </c>
      <c r="J20" s="19" t="str">
        <f>IF($B38="","",IF(J$19&gt;=0,"INCREASE","DECREASE"))</f>
        <v>DECREASE</v>
      </c>
      <c r="K20" s="19" t="str">
        <f>IF($B39="","",IF(K$19&gt;=0,"INCREASE","DECREASE"))</f>
        <v>DECREASE</v>
      </c>
      <c r="L20" s="19" t="str">
        <f>IF($B40="","",IF(L$19&gt;=0,"INCREASE","DECREASE"))</f>
        <v>DECREASE</v>
      </c>
      <c r="M20" s="19" t="str">
        <f>IF($B41="","",IF(M$19&gt;=0,"INCREASE","DECREASE"))</f>
        <v>DECREASE</v>
      </c>
      <c r="N20" s="19" t="str">
        <f>IF($B42="","",IF(N$19&gt;=0,"INCREASE","DECREASE"))</f>
        <v/>
      </c>
      <c r="O20" s="19" t="str">
        <f>IF($B43="","",IF(O$19&gt;=0,"INCREASE","DECREASE"))</f>
        <v/>
      </c>
      <c r="P20" s="19" t="str">
        <f>IF($B44="","",IF(P$19&gt;=0,"INCREASE","DECREASE"))</f>
        <v/>
      </c>
      <c r="Q20" s="19" t="str">
        <f>IF($B45="","",IF(Q$19&gt;=0,"INCREASE","DECREASE"))</f>
        <v/>
      </c>
      <c r="R20" s="19" t="str">
        <f>IF($B46="","",IF(R$19&gt;=0,"INCREASE","DECREASE"))</f>
        <v/>
      </c>
      <c r="S20" s="19" t="str">
        <f>IF($B47="","",IF(S$19&gt;=0,"INCREASE","DECREASE"))</f>
        <v/>
      </c>
      <c r="T20" s="19" t="str">
        <f>IF($B48="","",IF(T$19&gt;=0,"INCREASE","DECREASE"))</f>
        <v/>
      </c>
      <c r="U20" s="19" t="str">
        <f>IF($B49="","",IF(U$19&gt;=0,"INCREASE","DECREASE"))</f>
        <v/>
      </c>
      <c r="V20" s="20" t="str">
        <f>IF($B50="","",IF(V$19&gt;=0,"INCREASE","DECREASE"))</f>
        <v/>
      </c>
      <c r="AI20" s="41" t="s">
        <v>114</v>
      </c>
      <c r="AJ20" s="42">
        <v>2.1</v>
      </c>
      <c r="AK20" s="43">
        <v>7.2</v>
      </c>
      <c r="AL20" s="44">
        <v>18</v>
      </c>
      <c r="AM20" s="9">
        <v>6.2</v>
      </c>
      <c r="AN20" s="9" t="s">
        <v>112</v>
      </c>
    </row>
    <row r="21" spans="1:40" ht="13" x14ac:dyDescent="0.25">
      <c r="A21" s="109" t="s">
        <v>88</v>
      </c>
      <c r="B21" s="110"/>
      <c r="C21" s="21">
        <f>(VLOOKUP(C$14,$AI2:$AK26,3,FALSE))*C$15</f>
        <v>282</v>
      </c>
      <c r="D21" s="21">
        <f t="shared" ref="D21:V21" si="2">(VLOOKUP(D$14,$AI2:$AK26,3,FALSE))*D$15</f>
        <v>282</v>
      </c>
      <c r="E21" s="21">
        <f t="shared" si="2"/>
        <v>282</v>
      </c>
      <c r="F21" s="21">
        <f t="shared" si="2"/>
        <v>282</v>
      </c>
      <c r="G21" s="21">
        <f t="shared" si="2"/>
        <v>282</v>
      </c>
      <c r="H21" s="21">
        <f t="shared" si="2"/>
        <v>282</v>
      </c>
      <c r="I21" s="21">
        <f t="shared" si="2"/>
        <v>282</v>
      </c>
      <c r="J21" s="21">
        <f t="shared" si="2"/>
        <v>282</v>
      </c>
      <c r="K21" s="21">
        <f t="shared" si="2"/>
        <v>282</v>
      </c>
      <c r="L21" s="21">
        <f t="shared" si="2"/>
        <v>282</v>
      </c>
      <c r="M21" s="21">
        <f t="shared" si="2"/>
        <v>282</v>
      </c>
      <c r="N21" s="21" t="e">
        <f t="shared" si="2"/>
        <v>#N/A</v>
      </c>
      <c r="O21" s="21" t="e">
        <f t="shared" si="2"/>
        <v>#N/A</v>
      </c>
      <c r="P21" s="21" t="e">
        <f t="shared" si="2"/>
        <v>#N/A</v>
      </c>
      <c r="Q21" s="21" t="e">
        <f t="shared" si="2"/>
        <v>#N/A</v>
      </c>
      <c r="R21" s="21" t="e">
        <f t="shared" si="2"/>
        <v>#N/A</v>
      </c>
      <c r="S21" s="21" t="e">
        <f t="shared" si="2"/>
        <v>#N/A</v>
      </c>
      <c r="T21" s="21" t="e">
        <f t="shared" si="2"/>
        <v>#N/A</v>
      </c>
      <c r="U21" s="21" t="e">
        <f t="shared" si="2"/>
        <v>#N/A</v>
      </c>
      <c r="V21" s="21" t="e">
        <f t="shared" si="2"/>
        <v>#N/A</v>
      </c>
      <c r="AI21" s="55" t="s">
        <v>100</v>
      </c>
      <c r="AJ21" s="58">
        <v>11</v>
      </c>
      <c r="AK21" s="57">
        <v>12</v>
      </c>
      <c r="AL21" s="22">
        <v>19</v>
      </c>
      <c r="AM21" s="9">
        <v>6.7</v>
      </c>
      <c r="AN21" s="9" t="s">
        <v>135</v>
      </c>
    </row>
    <row r="22" spans="1:40" ht="13" x14ac:dyDescent="0.25">
      <c r="A22" s="111" t="s">
        <v>89</v>
      </c>
      <c r="B22" s="112"/>
      <c r="C22" s="13">
        <f>$E31</f>
        <v>0</v>
      </c>
      <c r="D22" s="13">
        <f>$E32</f>
        <v>2.6661830000000002</v>
      </c>
      <c r="E22" s="13">
        <f>$E33</f>
        <v>2.6661830000000002</v>
      </c>
      <c r="F22" s="13">
        <f>$E34</f>
        <v>2.6661830000000002</v>
      </c>
      <c r="G22" s="13">
        <f>$E35</f>
        <v>2.6661830000000002</v>
      </c>
      <c r="H22" s="13">
        <f>$E36</f>
        <v>2.6661830000000002</v>
      </c>
      <c r="I22" s="13">
        <f>$E37</f>
        <v>2.6661830000000002</v>
      </c>
      <c r="J22" s="13">
        <f>$E38</f>
        <v>2.6661830000000002</v>
      </c>
      <c r="K22" s="13">
        <f>$E39</f>
        <v>2.6661830000000002</v>
      </c>
      <c r="L22" s="13">
        <f>$E40</f>
        <v>2.6661830000000002</v>
      </c>
      <c r="M22" s="13">
        <f>$E41</f>
        <v>2.6661830000000002</v>
      </c>
      <c r="N22" s="13">
        <f>$E42</f>
        <v>0</v>
      </c>
      <c r="O22" s="13">
        <f>$E43</f>
        <v>0</v>
      </c>
      <c r="P22" s="13">
        <f>$E44</f>
        <v>0</v>
      </c>
      <c r="Q22" s="13">
        <f>$E45</f>
        <v>0</v>
      </c>
      <c r="R22" s="13">
        <f>$E46</f>
        <v>0</v>
      </c>
      <c r="S22" s="13">
        <f>$E47</f>
        <v>0</v>
      </c>
      <c r="T22" s="13">
        <f>$E48</f>
        <v>0</v>
      </c>
      <c r="U22" s="13">
        <f>$E49</f>
        <v>0</v>
      </c>
      <c r="V22" s="13">
        <f>$E50</f>
        <v>0</v>
      </c>
      <c r="AI22" s="55" t="s">
        <v>102</v>
      </c>
      <c r="AJ22" s="56">
        <v>1.2</v>
      </c>
      <c r="AK22" s="57">
        <v>5</v>
      </c>
      <c r="AL22" s="22">
        <v>20</v>
      </c>
      <c r="AM22" s="9">
        <v>6.7</v>
      </c>
      <c r="AN22" s="9" t="s">
        <v>135</v>
      </c>
    </row>
    <row r="23" spans="1:40" ht="13" x14ac:dyDescent="0.25">
      <c r="A23" s="111" t="s">
        <v>92</v>
      </c>
      <c r="B23" s="112"/>
      <c r="C23" s="13">
        <f>C22-C21</f>
        <v>-282</v>
      </c>
      <c r="D23" s="13">
        <f t="shared" ref="D23:V23" si="3">D22-D21</f>
        <v>-279.33381700000001</v>
      </c>
      <c r="E23" s="13">
        <f t="shared" si="3"/>
        <v>-279.33381700000001</v>
      </c>
      <c r="F23" s="13">
        <f t="shared" si="3"/>
        <v>-279.33381700000001</v>
      </c>
      <c r="G23" s="13">
        <f t="shared" si="3"/>
        <v>-279.33381700000001</v>
      </c>
      <c r="H23" s="13">
        <f t="shared" si="3"/>
        <v>-279.33381700000001</v>
      </c>
      <c r="I23" s="13">
        <f t="shared" si="3"/>
        <v>-279.33381700000001</v>
      </c>
      <c r="J23" s="13">
        <f t="shared" si="3"/>
        <v>-279.33381700000001</v>
      </c>
      <c r="K23" s="13">
        <f t="shared" si="3"/>
        <v>-279.33381700000001</v>
      </c>
      <c r="L23" s="13">
        <f t="shared" si="3"/>
        <v>-279.33381700000001</v>
      </c>
      <c r="M23" s="13">
        <f t="shared" si="3"/>
        <v>-279.33381700000001</v>
      </c>
      <c r="N23" s="13" t="e">
        <f t="shared" si="3"/>
        <v>#N/A</v>
      </c>
      <c r="O23" s="13" t="e">
        <f t="shared" si="3"/>
        <v>#N/A</v>
      </c>
      <c r="P23" s="13" t="e">
        <f t="shared" si="3"/>
        <v>#N/A</v>
      </c>
      <c r="Q23" s="13" t="e">
        <f t="shared" si="3"/>
        <v>#N/A</v>
      </c>
      <c r="R23" s="13" t="e">
        <f t="shared" si="3"/>
        <v>#N/A</v>
      </c>
      <c r="S23" s="13" t="e">
        <f t="shared" si="3"/>
        <v>#N/A</v>
      </c>
      <c r="T23" s="13" t="e">
        <f t="shared" si="3"/>
        <v>#N/A</v>
      </c>
      <c r="U23" s="13" t="e">
        <f t="shared" si="3"/>
        <v>#N/A</v>
      </c>
      <c r="V23" s="13" t="e">
        <f t="shared" si="3"/>
        <v>#N/A</v>
      </c>
      <c r="AI23" s="55" t="s">
        <v>98</v>
      </c>
      <c r="AJ23" s="58">
        <v>9</v>
      </c>
      <c r="AK23" s="57">
        <v>10</v>
      </c>
      <c r="AL23" s="22">
        <v>21</v>
      </c>
      <c r="AM23" s="9">
        <v>6.7</v>
      </c>
      <c r="AN23" s="9" t="s">
        <v>135</v>
      </c>
    </row>
    <row r="24" spans="1:40" ht="13.5" thickBot="1" x14ac:dyDescent="0.3">
      <c r="A24" s="113" t="s">
        <v>93</v>
      </c>
      <c r="B24" s="114"/>
      <c r="C24" s="19" t="str">
        <f>IF($B31="","",IF(C$23&gt;=0,"INCREASE","DECREASE"))</f>
        <v>DECREASE</v>
      </c>
      <c r="D24" s="19" t="str">
        <f t="shared" ref="D24:V24" si="4">IF($B31="","",IF(D$23&gt;=0,"INCREASE","DECREASE"))</f>
        <v>DECREASE</v>
      </c>
      <c r="E24" s="19" t="str">
        <f t="shared" si="4"/>
        <v>DECREASE</v>
      </c>
      <c r="F24" s="19" t="str">
        <f t="shared" si="4"/>
        <v>DECREASE</v>
      </c>
      <c r="G24" s="19" t="str">
        <f t="shared" si="4"/>
        <v>DECREASE</v>
      </c>
      <c r="H24" s="19" t="str">
        <f t="shared" si="4"/>
        <v>DECREASE</v>
      </c>
      <c r="I24" s="19" t="str">
        <f t="shared" si="4"/>
        <v>DECREASE</v>
      </c>
      <c r="J24" s="19" t="str">
        <f t="shared" si="4"/>
        <v>DECREASE</v>
      </c>
      <c r="K24" s="19" t="str">
        <f t="shared" si="4"/>
        <v>DECREASE</v>
      </c>
      <c r="L24" s="19" t="str">
        <f t="shared" si="4"/>
        <v>DECREASE</v>
      </c>
      <c r="M24" s="19" t="str">
        <f t="shared" si="4"/>
        <v>DECREASE</v>
      </c>
      <c r="N24" s="19" t="e">
        <f t="shared" si="4"/>
        <v>#N/A</v>
      </c>
      <c r="O24" s="19" t="e">
        <f t="shared" si="4"/>
        <v>#N/A</v>
      </c>
      <c r="P24" s="19" t="e">
        <f t="shared" si="4"/>
        <v>#N/A</v>
      </c>
      <c r="Q24" s="19" t="e">
        <f t="shared" si="4"/>
        <v>#N/A</v>
      </c>
      <c r="R24" s="19" t="e">
        <f t="shared" si="4"/>
        <v>#N/A</v>
      </c>
      <c r="S24" s="19" t="e">
        <f t="shared" si="4"/>
        <v>#N/A</v>
      </c>
      <c r="T24" s="19" t="e">
        <f t="shared" si="4"/>
        <v>#N/A</v>
      </c>
      <c r="U24" s="19" t="e">
        <f t="shared" si="4"/>
        <v>#N/A</v>
      </c>
      <c r="V24" s="19" t="e">
        <f t="shared" si="4"/>
        <v>#N/A</v>
      </c>
      <c r="AI24" s="55" t="s">
        <v>99</v>
      </c>
      <c r="AJ24" s="58">
        <v>1.5</v>
      </c>
      <c r="AK24" s="57">
        <v>3</v>
      </c>
      <c r="AL24" s="22">
        <v>22</v>
      </c>
      <c r="AM24" s="9">
        <v>6.7</v>
      </c>
      <c r="AN24" s="9" t="s">
        <v>135</v>
      </c>
    </row>
    <row r="25" spans="1:40" x14ac:dyDescent="0.25">
      <c r="D25" s="59"/>
      <c r="E25" s="59"/>
      <c r="F25" s="59"/>
      <c r="AI25" s="55" t="s">
        <v>117</v>
      </c>
      <c r="AJ25" s="58">
        <v>1</v>
      </c>
      <c r="AK25" s="57">
        <v>5.8</v>
      </c>
      <c r="AL25" s="22">
        <v>23</v>
      </c>
      <c r="AM25" s="9">
        <v>6.7</v>
      </c>
      <c r="AN25" s="9" t="s">
        <v>135</v>
      </c>
    </row>
    <row r="26" spans="1:40" s="7" customFormat="1" ht="13" x14ac:dyDescent="0.25">
      <c r="A26" s="93"/>
      <c r="B26" s="3" t="s">
        <v>10</v>
      </c>
      <c r="C26" s="3" t="s">
        <v>75</v>
      </c>
      <c r="D26" s="94" t="s">
        <v>11</v>
      </c>
      <c r="E26" s="94" t="s">
        <v>12</v>
      </c>
      <c r="F26" s="94" t="s">
        <v>13</v>
      </c>
      <c r="G26" s="3" t="s">
        <v>14</v>
      </c>
      <c r="H26" s="94" t="s">
        <v>15</v>
      </c>
      <c r="I26" s="94" t="s">
        <v>16</v>
      </c>
      <c r="J26" s="3" t="s">
        <v>17</v>
      </c>
      <c r="K26" s="3" t="s">
        <v>18</v>
      </c>
      <c r="L26" s="3" t="s">
        <v>19</v>
      </c>
      <c r="M26" s="3" t="s">
        <v>20</v>
      </c>
      <c r="N26" s="3" t="s">
        <v>61</v>
      </c>
      <c r="O26" s="3" t="s">
        <v>62</v>
      </c>
      <c r="P26" s="94" t="s">
        <v>39</v>
      </c>
      <c r="Q26" s="94" t="s">
        <v>40</v>
      </c>
      <c r="R26" s="94" t="s">
        <v>35</v>
      </c>
      <c r="S26" s="94" t="s">
        <v>36</v>
      </c>
      <c r="T26" s="94" t="s">
        <v>37</v>
      </c>
      <c r="U26" s="94" t="s">
        <v>38</v>
      </c>
      <c r="AI26" s="60" t="s">
        <v>116</v>
      </c>
      <c r="AJ26" s="61">
        <v>0.7</v>
      </c>
      <c r="AK26" s="62">
        <v>2.4</v>
      </c>
      <c r="AL26" s="22">
        <v>24</v>
      </c>
      <c r="AM26" s="7">
        <v>6.7</v>
      </c>
      <c r="AN26" s="9" t="s">
        <v>135</v>
      </c>
    </row>
    <row r="27" spans="1:40" x14ac:dyDescent="0.35">
      <c r="A27" s="95"/>
      <c r="B27" s="63" t="s">
        <v>46</v>
      </c>
      <c r="C27" s="96" t="s">
        <v>57</v>
      </c>
      <c r="D27" s="96" t="s">
        <v>57</v>
      </c>
      <c r="E27" s="96" t="s">
        <v>57</v>
      </c>
      <c r="F27" s="96" t="s">
        <v>55</v>
      </c>
      <c r="G27" s="96" t="s">
        <v>55</v>
      </c>
      <c r="H27" s="96" t="s">
        <v>55</v>
      </c>
      <c r="I27" s="96" t="s">
        <v>55</v>
      </c>
      <c r="J27" s="96" t="s">
        <v>55</v>
      </c>
      <c r="K27" s="96" t="s">
        <v>55</v>
      </c>
      <c r="L27" s="96" t="s">
        <v>55</v>
      </c>
      <c r="M27" s="96" t="s">
        <v>55</v>
      </c>
      <c r="N27" s="96" t="s">
        <v>55</v>
      </c>
      <c r="O27" s="96" t="s">
        <v>55</v>
      </c>
      <c r="P27" s="96"/>
      <c r="Q27" s="96" t="s">
        <v>55</v>
      </c>
      <c r="R27" s="96"/>
      <c r="S27" s="96" t="s">
        <v>55</v>
      </c>
      <c r="T27" s="96"/>
      <c r="U27" s="96"/>
    </row>
    <row r="28" spans="1:40" x14ac:dyDescent="0.35">
      <c r="A28" s="97"/>
      <c r="B28" s="17">
        <v>2.99</v>
      </c>
      <c r="C28" s="12">
        <v>1.28</v>
      </c>
      <c r="D28" s="12">
        <v>0.36199999999999999</v>
      </c>
      <c r="E28" s="12">
        <v>2.9600000000000001E-2</v>
      </c>
      <c r="F28" s="12">
        <v>557</v>
      </c>
      <c r="G28" s="12">
        <v>46</v>
      </c>
      <c r="H28" s="12">
        <v>161</v>
      </c>
      <c r="I28" s="12">
        <v>6.2</v>
      </c>
      <c r="J28" s="12">
        <v>0.48</v>
      </c>
      <c r="K28" s="16">
        <v>1.34</v>
      </c>
      <c r="L28" s="12">
        <v>3.86</v>
      </c>
      <c r="M28" s="12">
        <v>4.3</v>
      </c>
      <c r="N28" s="12">
        <v>199000</v>
      </c>
      <c r="O28" s="12">
        <v>5400</v>
      </c>
      <c r="P28" s="12"/>
      <c r="Q28" s="12">
        <v>15300</v>
      </c>
      <c r="R28" s="12"/>
      <c r="S28" s="12">
        <v>17.899999999999999</v>
      </c>
      <c r="T28" s="12"/>
      <c r="U28" s="12"/>
    </row>
    <row r="29" spans="1:40" s="7" customFormat="1" ht="28" x14ac:dyDescent="0.35">
      <c r="A29" s="11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6" customFormat="1" ht="28" x14ac:dyDescent="0.35">
      <c r="A30" s="11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51" customFormat="1" ht="13" x14ac:dyDescent="0.35">
      <c r="A31" s="10" t="str">
        <f>C8</f>
        <v>Nant Y Croi 9</v>
      </c>
      <c r="B31" s="12">
        <v>0</v>
      </c>
      <c r="C31" s="68">
        <f>IF(C$27="%w/w SAR",((C$28*10)*$B31),IF(C$27="%w/w DM",(((C$28*10)*($B$28/100))*$B31),IF(C$27="kg/t SAR",(C$28*$B31),IF(C$27="kg/t DM",((C$28*($B$28/100))*$B31),IF(C$27="mg/kg SAR",((C$28*0.001)*$B31),IF(C$27="mg/kg DM",(((C$28*0.001)*($B$28/100))*$B31),0))))))</f>
        <v>0</v>
      </c>
      <c r="D31" s="68">
        <f>(IF(D$27="%w/w SAR",((D$28*10)*$B31),IF(D$27="%w/w DM",(((D$28*10)*($B$28/100))*$B31),IF(D$27="kg/t SAR",(D$28*$B31),IF(D$27="kg/t DM",((D$28*($B$28/100))*$B31),IF(D$27="mg/kg SAR",((D$28*0.001)*$B31),IF(D$27="mg/kg DM",(((D$28*0.001)*($B$28/100))*$B31),"0")))))))*2.291</f>
        <v>0</v>
      </c>
      <c r="E31" s="68">
        <f>(IF(E$27="%w/w SAR",((E$28*10)*$B31),IF(E$27="%w/w DM",(((E$28*10)*($B$28/100))*$B31),IF(E$27="kg/t SAR",(E$28*$B31),IF(E$27="kg/t DM",((E$28*($B$28/100))*$B31),IF(E$27="mg/kg SAR",((E$28*0.001)*$B31),IF(E$27="mg/kg DM",(((E$28*0.001)*($B$28/100))*$B31),"0")))))))*1.205</f>
        <v>0</v>
      </c>
      <c r="F31" s="68">
        <f>(IF(F$27="%w/w SAR",((F$28*10)*$B31),IF(F$27="%w/w DM",(((F$28*10)*($B$28/100))*$B31),IF(F$27="kg/t SAR",(F$28*$B31),IF(F$27="kg/t DM",((F$28*($B$28/100))*$B31),IF(F$27="mg/kg SAR",((F$28*0.001)*$B31),IF(F$27="mg/kg DM",(((F$28*0.001)*($B$28/100))*$B31),"0")))))))*1.658</f>
        <v>0</v>
      </c>
      <c r="G31" s="68">
        <f t="shared" ref="G31:P46" si="5">IF(G$27="%w/w SAR",((G$28*10)*$B31),IF(G$27="%w/w DM",(((G$28*10)*($B$28/100))*$B31),IF(G$27="kg/t SAR",(G$28*$B31),IF(G$27="kg/t DM",((G$28*($B$28/100))*$B31),IF(G$27="mg/kg SAR",((G$28*0.001)*$B31),IF(G$27="mg/kg DM",(((G$28*0.001)*($B$28/100))*$B31),0))))))</f>
        <v>0</v>
      </c>
      <c r="H31" s="68">
        <f t="shared" si="5"/>
        <v>0</v>
      </c>
      <c r="I31" s="68">
        <f t="shared" si="5"/>
        <v>0</v>
      </c>
      <c r="J31" s="68">
        <f t="shared" si="5"/>
        <v>0</v>
      </c>
      <c r="K31" s="68">
        <f t="shared" si="5"/>
        <v>0</v>
      </c>
      <c r="L31" s="68">
        <f t="shared" si="5"/>
        <v>0</v>
      </c>
      <c r="M31" s="68">
        <f t="shared" si="5"/>
        <v>0</v>
      </c>
      <c r="N31" s="68">
        <f t="shared" si="5"/>
        <v>0</v>
      </c>
      <c r="O31" s="68">
        <f t="shared" si="5"/>
        <v>0</v>
      </c>
      <c r="P31" s="68">
        <f t="shared" si="5"/>
        <v>0</v>
      </c>
      <c r="Q31" s="68">
        <f>(IF(Q$27="%w/w SAR",((Q$28*10)*$B31),IF(Q$27="%w/w DM",(((Q$28*10)*($B$28/100))*$B31),IF(Q$27="kg/t SAR",(Q$28*$B31),IF(Q$27="kg/t DM",((Q$28*($B$28/100))*$B31),IF(Q$27="mg/kg SAR",((Q$28*0.001)*$B31),IF(Q$27="mg/kg DM",(((Q$28*0.001)*($B$28/100))*$B31),0)))))))*2.5</f>
        <v>0</v>
      </c>
      <c r="R31" s="68">
        <f>IF(R$27="%w/w SAR",((R$28*10)*$B31),IF(R$27="%w/w DM",(((R$28*10)*($B$28/100))*$B31),IF(R$27="kg/t SAR",(R$28*$B31),IF(R$27="kg/t DM",((R$28*($B$28/100))*$B31),IF(R$27="mg/kg SAR",((R$28*0.001)*$B31),IF(R$27="mg/kg DM",(((R$28*0.001)*($B$28/100))*$B31),0))))))</f>
        <v>0</v>
      </c>
      <c r="S31" s="68">
        <f>IF(S$27="%w/w SAR",((S$28*10)*$B31),IF(S$27="%w/w DM",(((S$28*10)*($B$28/100))*$B31),IF(S$27="kg/t SAR",(S$28*$B31),IF(S$27="kg/t DM",((S$28*($B$28/100))*$B31),IF(S$27="mg/kg SAR",((S$28*0.001)*$B31),IF(S$27="mg/kg DM",(((S$28*0.001)*($B$28/100))*$B31),0))))))</f>
        <v>0</v>
      </c>
      <c r="T31" s="68">
        <f>IF(T$27="%w/w SAR",((T$28*10)*$B31),IF(T$27="%w/w DM",(((T$28*10)*($B$28/100))*$B31),IF(T$27="kg/t SAR",(T$28*$B31),IF(T$27="kg/t DM",((T$28*($B$28/100))*$B31),IF(T$27="mg/kg SAR",((T$28*0.001)*$B31),IF(T$27="mg/kg DM",(((T$28*0.001)*($B$28/100))*$B31),0))))))</f>
        <v>0</v>
      </c>
      <c r="U31" s="68">
        <f>IF(U$27="%w/w SAR",((U$28*10)*$B31),IF(U$27="%w/w DM",(((U$28*10)*($B$28/100))*$B31),IF(U$27="kg/t SAR",(U$28*$B31),IF(U$27="kg/t DM",((U$28*($B$28/100))*$B31),IF(U$27="mg/kg SAR",((U$28*0.001)*$B31),IF(U$27="mg/kg DM",(((U$28*0.001)*($B$28/100))*$B31),0))))))</f>
        <v>0</v>
      </c>
    </row>
    <row r="32" spans="1:40" s="51" customFormat="1" ht="13" x14ac:dyDescent="0.35">
      <c r="A32" s="10" t="str">
        <f>D8</f>
        <v>Hafod 4315</v>
      </c>
      <c r="B32" s="12">
        <v>250</v>
      </c>
      <c r="C32" s="68">
        <f t="shared" ref="C32:C50" si="6">IF(C$27="%w/w SAR",((C$28*10)*$B32),IF(C$27="%w/w DM",(((C$28*10)*($B$28/100))*$B32),IF(C$27="kg/t SAR",(C$28*$B32),IF(C$27="kg/t DM",((C$28*($B$28/100))*$B32),IF(C$27="mg/kg SAR",((C$28*0.001)*$B32),IF(C$27="mg/kg DM",(((C$28*0.001)*($B$28/100))*$B32),0))))))</f>
        <v>95.680000000000021</v>
      </c>
      <c r="D32" s="68">
        <f t="shared" ref="D32:D50" si="7">(IF(D$27="%w/w SAR",((D$28*10)*$B32),IF(D$27="%w/w DM",(((D$28*10)*($B$28/100))*$B32),IF(D$27="kg/t SAR",(D$28*$B32),IF(D$27="kg/t DM",((D$28*($B$28/100))*$B32),IF(D$27="mg/kg SAR",((D$28*0.001)*$B32),IF(D$27="mg/kg DM",(((D$28*0.001)*($B$28/100))*$B32),"0")))))))*2.291</f>
        <v>61.993314500000004</v>
      </c>
      <c r="E32" s="68">
        <f t="shared" ref="E32:E50" si="8">(IF(E$27="%w/w SAR",((E$28*10)*$B32),IF(E$27="%w/w DM",(((E$28*10)*($B$28/100))*$B32),IF(E$27="kg/t SAR",(E$28*$B32),IF(E$27="kg/t DM",((E$28*($B$28/100))*$B32),IF(E$27="mg/kg SAR",((E$28*0.001)*$B32),IF(E$27="mg/kg DM",(((E$28*0.001)*($B$28/100))*$B32),"0")))))))*1.205</f>
        <v>2.6661830000000002</v>
      </c>
      <c r="F32" s="68">
        <f t="shared" ref="F32:F50" si="9">(IF(F$27="%w/w SAR",((F$28*10)*$B32),IF(F$27="%w/w DM",(((F$28*10)*($B$28/100))*$B32),IF(F$27="kg/t SAR",(F$28*$B32),IF(F$27="kg/t DM",((F$28*($B$28/100))*$B32),IF(F$27="mg/kg SAR",((F$28*0.001)*$B32),IF(F$27="mg/kg DM",(((F$28*0.001)*($B$28/100))*$B32),"0")))))))*1.658</f>
        <v>6.9032073500000006</v>
      </c>
      <c r="G32" s="68">
        <f t="shared" si="5"/>
        <v>0.34385000000000004</v>
      </c>
      <c r="H32" s="68">
        <f t="shared" si="5"/>
        <v>1.2034750000000001</v>
      </c>
      <c r="I32" s="68">
        <f t="shared" si="5"/>
        <v>4.6345000000000011E-2</v>
      </c>
      <c r="J32" s="68">
        <f t="shared" si="5"/>
        <v>3.5880000000000005E-3</v>
      </c>
      <c r="K32" s="68">
        <f t="shared" si="5"/>
        <v>1.0016500000000001E-2</v>
      </c>
      <c r="L32" s="68">
        <f t="shared" si="5"/>
        <v>2.8853500000000004E-2</v>
      </c>
      <c r="M32" s="68">
        <f t="shared" si="5"/>
        <v>3.2142500000000004E-2</v>
      </c>
      <c r="N32" s="68">
        <f t="shared" si="5"/>
        <v>1487.5250000000003</v>
      </c>
      <c r="O32" s="68">
        <f t="shared" si="5"/>
        <v>40.365000000000002</v>
      </c>
      <c r="P32" s="68">
        <f t="shared" si="5"/>
        <v>0</v>
      </c>
      <c r="Q32" s="68">
        <f t="shared" ref="Q32:Q50" si="10">(IF(Q$27="%w/w SAR",((Q$28*10)*$B32),IF(Q$27="%w/w DM",(((Q$28*10)*($B$28/100))*$B32),IF(Q$27="kg/t SAR",(Q$28*$B32),IF(Q$27="kg/t DM",((Q$28*($B$28/100))*$B32),IF(Q$27="mg/kg SAR",((Q$28*0.001)*$B32),IF(Q$27="mg/kg DM",(((Q$28*0.001)*($B$28/100))*$B32),0)))))))*2.5</f>
        <v>285.91875000000005</v>
      </c>
      <c r="R32" s="68">
        <f t="shared" ref="R32:U50" si="11">IF(R$27="%w/w SAR",((R$28*10)*$B32),IF(R$27="%w/w DM",(((R$28*10)*($B$28/100))*$B32),IF(R$27="kg/t SAR",(R$28*$B32),IF(R$27="kg/t DM",((R$28*($B$28/100))*$B32),IF(R$27="mg/kg SAR",((R$28*0.001)*$B32),IF(R$27="mg/kg DM",(((R$28*0.001)*($B$28/100))*$B32),0))))))</f>
        <v>0</v>
      </c>
      <c r="S32" s="68">
        <f t="shared" si="11"/>
        <v>0.13380250000000002</v>
      </c>
      <c r="T32" s="68">
        <f t="shared" si="11"/>
        <v>0</v>
      </c>
      <c r="U32" s="68">
        <f t="shared" si="11"/>
        <v>0</v>
      </c>
    </row>
    <row r="33" spans="1:21" s="51" customFormat="1" ht="13" x14ac:dyDescent="0.35">
      <c r="A33" s="10" t="str">
        <f>E8</f>
        <v>Hafod 4734</v>
      </c>
      <c r="B33" s="12">
        <v>250</v>
      </c>
      <c r="C33" s="68">
        <f t="shared" si="6"/>
        <v>95.680000000000021</v>
      </c>
      <c r="D33" s="68">
        <f t="shared" si="7"/>
        <v>61.993314500000004</v>
      </c>
      <c r="E33" s="68">
        <f t="shared" si="8"/>
        <v>2.6661830000000002</v>
      </c>
      <c r="F33" s="68">
        <f t="shared" si="9"/>
        <v>6.9032073500000006</v>
      </c>
      <c r="G33" s="68">
        <f t="shared" si="5"/>
        <v>0.34385000000000004</v>
      </c>
      <c r="H33" s="68">
        <f t="shared" si="5"/>
        <v>1.2034750000000001</v>
      </c>
      <c r="I33" s="68">
        <f t="shared" si="5"/>
        <v>4.6345000000000011E-2</v>
      </c>
      <c r="J33" s="68">
        <f t="shared" si="5"/>
        <v>3.5880000000000005E-3</v>
      </c>
      <c r="K33" s="68">
        <f t="shared" si="5"/>
        <v>1.0016500000000001E-2</v>
      </c>
      <c r="L33" s="68">
        <f t="shared" si="5"/>
        <v>2.8853500000000004E-2</v>
      </c>
      <c r="M33" s="68">
        <f t="shared" si="5"/>
        <v>3.2142500000000004E-2</v>
      </c>
      <c r="N33" s="68">
        <f t="shared" si="5"/>
        <v>1487.5250000000003</v>
      </c>
      <c r="O33" s="68">
        <f t="shared" si="5"/>
        <v>40.365000000000002</v>
      </c>
      <c r="P33" s="68">
        <f t="shared" si="5"/>
        <v>0</v>
      </c>
      <c r="Q33" s="68">
        <f t="shared" si="10"/>
        <v>285.91875000000005</v>
      </c>
      <c r="R33" s="68">
        <f t="shared" si="11"/>
        <v>0</v>
      </c>
      <c r="S33" s="68">
        <f t="shared" si="11"/>
        <v>0.13380250000000002</v>
      </c>
      <c r="T33" s="68">
        <f t="shared" si="11"/>
        <v>0</v>
      </c>
      <c r="U33" s="68">
        <f t="shared" si="11"/>
        <v>0</v>
      </c>
    </row>
    <row r="34" spans="1:21" s="51" customFormat="1" ht="13" x14ac:dyDescent="0.35">
      <c r="A34" s="10" t="str">
        <f>F8</f>
        <v>Hafod 5761</v>
      </c>
      <c r="B34" s="12">
        <v>250</v>
      </c>
      <c r="C34" s="68">
        <f t="shared" si="6"/>
        <v>95.680000000000021</v>
      </c>
      <c r="D34" s="68">
        <f t="shared" si="7"/>
        <v>61.993314500000004</v>
      </c>
      <c r="E34" s="68">
        <f t="shared" si="8"/>
        <v>2.6661830000000002</v>
      </c>
      <c r="F34" s="68">
        <f t="shared" si="9"/>
        <v>6.9032073500000006</v>
      </c>
      <c r="G34" s="68">
        <f t="shared" si="5"/>
        <v>0.34385000000000004</v>
      </c>
      <c r="H34" s="68">
        <f t="shared" si="5"/>
        <v>1.2034750000000001</v>
      </c>
      <c r="I34" s="68">
        <f t="shared" si="5"/>
        <v>4.6345000000000011E-2</v>
      </c>
      <c r="J34" s="68">
        <f t="shared" si="5"/>
        <v>3.5880000000000005E-3</v>
      </c>
      <c r="K34" s="68">
        <f t="shared" si="5"/>
        <v>1.0016500000000001E-2</v>
      </c>
      <c r="L34" s="68">
        <f t="shared" si="5"/>
        <v>2.8853500000000004E-2</v>
      </c>
      <c r="M34" s="68">
        <f t="shared" si="5"/>
        <v>3.2142500000000004E-2</v>
      </c>
      <c r="N34" s="68">
        <f t="shared" si="5"/>
        <v>1487.5250000000003</v>
      </c>
      <c r="O34" s="68">
        <f t="shared" si="5"/>
        <v>40.365000000000002</v>
      </c>
      <c r="P34" s="68">
        <f t="shared" si="5"/>
        <v>0</v>
      </c>
      <c r="Q34" s="68">
        <f t="shared" si="10"/>
        <v>285.91875000000005</v>
      </c>
      <c r="R34" s="68">
        <f t="shared" si="11"/>
        <v>0</v>
      </c>
      <c r="S34" s="68">
        <f t="shared" si="11"/>
        <v>0.13380250000000002</v>
      </c>
      <c r="T34" s="68">
        <f t="shared" si="11"/>
        <v>0</v>
      </c>
      <c r="U34" s="68">
        <f t="shared" si="11"/>
        <v>0</v>
      </c>
    </row>
    <row r="35" spans="1:21" s="51" customFormat="1" ht="13" x14ac:dyDescent="0.35">
      <c r="A35" s="10" t="str">
        <f>G8</f>
        <v>Hafod 4067</v>
      </c>
      <c r="B35" s="12">
        <v>250</v>
      </c>
      <c r="C35" s="68">
        <f t="shared" si="6"/>
        <v>95.680000000000021</v>
      </c>
      <c r="D35" s="68">
        <f t="shared" si="7"/>
        <v>61.993314500000004</v>
      </c>
      <c r="E35" s="68">
        <f t="shared" si="8"/>
        <v>2.6661830000000002</v>
      </c>
      <c r="F35" s="68">
        <f t="shared" si="9"/>
        <v>6.9032073500000006</v>
      </c>
      <c r="G35" s="68">
        <f t="shared" si="5"/>
        <v>0.34385000000000004</v>
      </c>
      <c r="H35" s="68">
        <f t="shared" si="5"/>
        <v>1.2034750000000001</v>
      </c>
      <c r="I35" s="68">
        <f t="shared" si="5"/>
        <v>4.6345000000000011E-2</v>
      </c>
      <c r="J35" s="68">
        <f t="shared" si="5"/>
        <v>3.5880000000000005E-3</v>
      </c>
      <c r="K35" s="68">
        <f t="shared" si="5"/>
        <v>1.0016500000000001E-2</v>
      </c>
      <c r="L35" s="68">
        <f t="shared" si="5"/>
        <v>2.8853500000000004E-2</v>
      </c>
      <c r="M35" s="68">
        <f t="shared" si="5"/>
        <v>3.2142500000000004E-2</v>
      </c>
      <c r="N35" s="68">
        <f t="shared" si="5"/>
        <v>1487.5250000000003</v>
      </c>
      <c r="O35" s="68">
        <f t="shared" si="5"/>
        <v>40.365000000000002</v>
      </c>
      <c r="P35" s="68">
        <f t="shared" si="5"/>
        <v>0</v>
      </c>
      <c r="Q35" s="68">
        <f t="shared" si="10"/>
        <v>285.91875000000005</v>
      </c>
      <c r="R35" s="68">
        <f t="shared" si="11"/>
        <v>0</v>
      </c>
      <c r="S35" s="68">
        <f t="shared" si="11"/>
        <v>0.13380250000000002</v>
      </c>
      <c r="T35" s="68">
        <f t="shared" si="11"/>
        <v>0</v>
      </c>
      <c r="U35" s="68">
        <f t="shared" si="11"/>
        <v>0</v>
      </c>
    </row>
    <row r="36" spans="1:21" s="51" customFormat="1" ht="13" x14ac:dyDescent="0.35">
      <c r="A36" s="10" t="str">
        <f>H8</f>
        <v>Hafod 2455</v>
      </c>
      <c r="B36" s="12">
        <v>250</v>
      </c>
      <c r="C36" s="68">
        <f t="shared" si="6"/>
        <v>95.680000000000021</v>
      </c>
      <c r="D36" s="68">
        <f t="shared" si="7"/>
        <v>61.993314500000004</v>
      </c>
      <c r="E36" s="68">
        <f t="shared" si="8"/>
        <v>2.6661830000000002</v>
      </c>
      <c r="F36" s="68">
        <f t="shared" si="9"/>
        <v>6.9032073500000006</v>
      </c>
      <c r="G36" s="68">
        <f t="shared" si="5"/>
        <v>0.34385000000000004</v>
      </c>
      <c r="H36" s="68">
        <f t="shared" si="5"/>
        <v>1.2034750000000001</v>
      </c>
      <c r="I36" s="68">
        <f t="shared" si="5"/>
        <v>4.6345000000000011E-2</v>
      </c>
      <c r="J36" s="68">
        <f t="shared" si="5"/>
        <v>3.5880000000000005E-3</v>
      </c>
      <c r="K36" s="68">
        <f t="shared" si="5"/>
        <v>1.0016500000000001E-2</v>
      </c>
      <c r="L36" s="68">
        <f t="shared" si="5"/>
        <v>2.8853500000000004E-2</v>
      </c>
      <c r="M36" s="68">
        <f t="shared" si="5"/>
        <v>3.2142500000000004E-2</v>
      </c>
      <c r="N36" s="68">
        <f t="shared" si="5"/>
        <v>1487.5250000000003</v>
      </c>
      <c r="O36" s="68">
        <f t="shared" si="5"/>
        <v>40.365000000000002</v>
      </c>
      <c r="P36" s="68">
        <f t="shared" si="5"/>
        <v>0</v>
      </c>
      <c r="Q36" s="68">
        <f t="shared" si="10"/>
        <v>285.91875000000005</v>
      </c>
      <c r="R36" s="68">
        <f t="shared" si="11"/>
        <v>0</v>
      </c>
      <c r="S36" s="68">
        <f t="shared" si="11"/>
        <v>0.13380250000000002</v>
      </c>
      <c r="T36" s="68">
        <f t="shared" si="11"/>
        <v>0</v>
      </c>
      <c r="U36" s="68">
        <f t="shared" si="11"/>
        <v>0</v>
      </c>
    </row>
    <row r="37" spans="1:21" s="51" customFormat="1" ht="13" x14ac:dyDescent="0.35">
      <c r="A37" s="10" t="str">
        <f>I8</f>
        <v>Hafod 1741</v>
      </c>
      <c r="B37" s="12">
        <v>250</v>
      </c>
      <c r="C37" s="68">
        <f t="shared" si="6"/>
        <v>95.680000000000021</v>
      </c>
      <c r="D37" s="68">
        <f t="shared" si="7"/>
        <v>61.993314500000004</v>
      </c>
      <c r="E37" s="68">
        <f t="shared" si="8"/>
        <v>2.6661830000000002</v>
      </c>
      <c r="F37" s="68">
        <f t="shared" si="9"/>
        <v>6.9032073500000006</v>
      </c>
      <c r="G37" s="68">
        <f t="shared" si="5"/>
        <v>0.34385000000000004</v>
      </c>
      <c r="H37" s="68">
        <f t="shared" si="5"/>
        <v>1.2034750000000001</v>
      </c>
      <c r="I37" s="68">
        <f t="shared" si="5"/>
        <v>4.6345000000000011E-2</v>
      </c>
      <c r="J37" s="68">
        <f t="shared" si="5"/>
        <v>3.5880000000000005E-3</v>
      </c>
      <c r="K37" s="68">
        <f t="shared" si="5"/>
        <v>1.0016500000000001E-2</v>
      </c>
      <c r="L37" s="68">
        <f t="shared" si="5"/>
        <v>2.8853500000000004E-2</v>
      </c>
      <c r="M37" s="68">
        <f t="shared" si="5"/>
        <v>3.2142500000000004E-2</v>
      </c>
      <c r="N37" s="68">
        <f t="shared" si="5"/>
        <v>1487.5250000000003</v>
      </c>
      <c r="O37" s="68">
        <f t="shared" si="5"/>
        <v>40.365000000000002</v>
      </c>
      <c r="P37" s="68">
        <f t="shared" si="5"/>
        <v>0</v>
      </c>
      <c r="Q37" s="68">
        <f t="shared" si="10"/>
        <v>285.91875000000005</v>
      </c>
      <c r="R37" s="68">
        <f t="shared" si="11"/>
        <v>0</v>
      </c>
      <c r="S37" s="68">
        <f t="shared" si="11"/>
        <v>0.13380250000000002</v>
      </c>
      <c r="T37" s="68">
        <f t="shared" si="11"/>
        <v>0</v>
      </c>
      <c r="U37" s="68">
        <f t="shared" si="11"/>
        <v>0</v>
      </c>
    </row>
    <row r="38" spans="1:21" s="51" customFormat="1" ht="13" x14ac:dyDescent="0.35">
      <c r="A38" s="10" t="str">
        <f>J8</f>
        <v>Hafod 0720</v>
      </c>
      <c r="B38" s="12">
        <v>250</v>
      </c>
      <c r="C38" s="68">
        <f t="shared" si="6"/>
        <v>95.680000000000021</v>
      </c>
      <c r="D38" s="68">
        <f t="shared" si="7"/>
        <v>61.993314500000004</v>
      </c>
      <c r="E38" s="68">
        <f t="shared" si="8"/>
        <v>2.6661830000000002</v>
      </c>
      <c r="F38" s="68">
        <f t="shared" si="9"/>
        <v>6.9032073500000006</v>
      </c>
      <c r="G38" s="68">
        <f t="shared" si="5"/>
        <v>0.34385000000000004</v>
      </c>
      <c r="H38" s="68">
        <f t="shared" si="5"/>
        <v>1.2034750000000001</v>
      </c>
      <c r="I38" s="68">
        <f t="shared" si="5"/>
        <v>4.6345000000000011E-2</v>
      </c>
      <c r="J38" s="68">
        <f t="shared" si="5"/>
        <v>3.5880000000000005E-3</v>
      </c>
      <c r="K38" s="68">
        <f t="shared" si="5"/>
        <v>1.0016500000000001E-2</v>
      </c>
      <c r="L38" s="68">
        <f t="shared" si="5"/>
        <v>2.8853500000000004E-2</v>
      </c>
      <c r="M38" s="68">
        <f t="shared" si="5"/>
        <v>3.2142500000000004E-2</v>
      </c>
      <c r="N38" s="68">
        <f t="shared" si="5"/>
        <v>1487.5250000000003</v>
      </c>
      <c r="O38" s="68">
        <f t="shared" si="5"/>
        <v>40.365000000000002</v>
      </c>
      <c r="P38" s="68">
        <f t="shared" si="5"/>
        <v>0</v>
      </c>
      <c r="Q38" s="68">
        <f t="shared" si="10"/>
        <v>285.91875000000005</v>
      </c>
      <c r="R38" s="68">
        <f t="shared" si="11"/>
        <v>0</v>
      </c>
      <c r="S38" s="68">
        <f t="shared" si="11"/>
        <v>0.13380250000000002</v>
      </c>
      <c r="T38" s="68">
        <f t="shared" si="11"/>
        <v>0</v>
      </c>
      <c r="U38" s="68">
        <f t="shared" si="11"/>
        <v>0</v>
      </c>
    </row>
    <row r="39" spans="1:21" s="51" customFormat="1" ht="13" x14ac:dyDescent="0.35">
      <c r="A39" s="10" t="str">
        <f>K8</f>
        <v>Solafron 2893</v>
      </c>
      <c r="B39" s="12">
        <v>250</v>
      </c>
      <c r="C39" s="68">
        <f t="shared" si="6"/>
        <v>95.680000000000021</v>
      </c>
      <c r="D39" s="68">
        <f t="shared" si="7"/>
        <v>61.993314500000004</v>
      </c>
      <c r="E39" s="68">
        <f t="shared" si="8"/>
        <v>2.6661830000000002</v>
      </c>
      <c r="F39" s="68">
        <f t="shared" si="9"/>
        <v>6.9032073500000006</v>
      </c>
      <c r="G39" s="68">
        <f t="shared" si="5"/>
        <v>0.34385000000000004</v>
      </c>
      <c r="H39" s="68">
        <f t="shared" si="5"/>
        <v>1.2034750000000001</v>
      </c>
      <c r="I39" s="68">
        <f t="shared" si="5"/>
        <v>4.6345000000000011E-2</v>
      </c>
      <c r="J39" s="68">
        <f t="shared" si="5"/>
        <v>3.5880000000000005E-3</v>
      </c>
      <c r="K39" s="68">
        <f t="shared" si="5"/>
        <v>1.0016500000000001E-2</v>
      </c>
      <c r="L39" s="68">
        <f t="shared" si="5"/>
        <v>2.8853500000000004E-2</v>
      </c>
      <c r="M39" s="68">
        <f t="shared" si="5"/>
        <v>3.2142500000000004E-2</v>
      </c>
      <c r="N39" s="68">
        <f t="shared" si="5"/>
        <v>1487.5250000000003</v>
      </c>
      <c r="O39" s="68">
        <f t="shared" si="5"/>
        <v>40.365000000000002</v>
      </c>
      <c r="P39" s="68">
        <f t="shared" si="5"/>
        <v>0</v>
      </c>
      <c r="Q39" s="68">
        <f t="shared" si="10"/>
        <v>285.91875000000005</v>
      </c>
      <c r="R39" s="68">
        <f t="shared" si="11"/>
        <v>0</v>
      </c>
      <c r="S39" s="68">
        <f t="shared" si="11"/>
        <v>0.13380250000000002</v>
      </c>
      <c r="T39" s="68">
        <f t="shared" si="11"/>
        <v>0</v>
      </c>
      <c r="U39" s="68">
        <f t="shared" si="11"/>
        <v>0</v>
      </c>
    </row>
    <row r="40" spans="1:21" s="51" customFormat="1" ht="13" x14ac:dyDescent="0.35">
      <c r="A40" s="10" t="str">
        <f>L8</f>
        <v>Solafron 2611</v>
      </c>
      <c r="B40" s="12">
        <v>250</v>
      </c>
      <c r="C40" s="68">
        <f t="shared" si="6"/>
        <v>95.680000000000021</v>
      </c>
      <c r="D40" s="68">
        <f t="shared" si="7"/>
        <v>61.993314500000004</v>
      </c>
      <c r="E40" s="68">
        <f t="shared" si="8"/>
        <v>2.6661830000000002</v>
      </c>
      <c r="F40" s="68">
        <f t="shared" si="9"/>
        <v>6.9032073500000006</v>
      </c>
      <c r="G40" s="68">
        <f t="shared" si="5"/>
        <v>0.34385000000000004</v>
      </c>
      <c r="H40" s="68">
        <f t="shared" si="5"/>
        <v>1.2034750000000001</v>
      </c>
      <c r="I40" s="68">
        <f t="shared" si="5"/>
        <v>4.6345000000000011E-2</v>
      </c>
      <c r="J40" s="68">
        <f t="shared" si="5"/>
        <v>3.5880000000000005E-3</v>
      </c>
      <c r="K40" s="68">
        <f t="shared" si="5"/>
        <v>1.0016500000000001E-2</v>
      </c>
      <c r="L40" s="68">
        <f t="shared" si="5"/>
        <v>2.8853500000000004E-2</v>
      </c>
      <c r="M40" s="68">
        <f t="shared" si="5"/>
        <v>3.2142500000000004E-2</v>
      </c>
      <c r="N40" s="68">
        <f t="shared" si="5"/>
        <v>1487.5250000000003</v>
      </c>
      <c r="O40" s="68">
        <f t="shared" si="5"/>
        <v>40.365000000000002</v>
      </c>
      <c r="P40" s="68">
        <f t="shared" si="5"/>
        <v>0</v>
      </c>
      <c r="Q40" s="68">
        <f t="shared" si="10"/>
        <v>285.91875000000005</v>
      </c>
      <c r="R40" s="68">
        <f t="shared" si="11"/>
        <v>0</v>
      </c>
      <c r="S40" s="68">
        <f t="shared" si="11"/>
        <v>0.13380250000000002</v>
      </c>
      <c r="T40" s="68">
        <f t="shared" si="11"/>
        <v>0</v>
      </c>
      <c r="U40" s="68">
        <f t="shared" si="11"/>
        <v>0</v>
      </c>
    </row>
    <row r="41" spans="1:21" s="51" customFormat="1" ht="13" x14ac:dyDescent="0.35">
      <c r="A41" s="10" t="str">
        <f>M8</f>
        <v>Solafron 1404</v>
      </c>
      <c r="B41" s="12">
        <v>250</v>
      </c>
      <c r="C41" s="68">
        <f t="shared" si="6"/>
        <v>95.680000000000021</v>
      </c>
      <c r="D41" s="68">
        <f t="shared" si="7"/>
        <v>61.993314500000004</v>
      </c>
      <c r="E41" s="68">
        <f t="shared" si="8"/>
        <v>2.6661830000000002</v>
      </c>
      <c r="F41" s="68">
        <f t="shared" si="9"/>
        <v>6.9032073500000006</v>
      </c>
      <c r="G41" s="68">
        <f t="shared" si="5"/>
        <v>0.34385000000000004</v>
      </c>
      <c r="H41" s="68">
        <f t="shared" si="5"/>
        <v>1.2034750000000001</v>
      </c>
      <c r="I41" s="68">
        <f t="shared" si="5"/>
        <v>4.6345000000000011E-2</v>
      </c>
      <c r="J41" s="68">
        <f t="shared" si="5"/>
        <v>3.5880000000000005E-3</v>
      </c>
      <c r="K41" s="68">
        <f t="shared" si="5"/>
        <v>1.0016500000000001E-2</v>
      </c>
      <c r="L41" s="68">
        <f t="shared" si="5"/>
        <v>2.8853500000000004E-2</v>
      </c>
      <c r="M41" s="68">
        <f t="shared" si="5"/>
        <v>3.2142500000000004E-2</v>
      </c>
      <c r="N41" s="68">
        <f t="shared" si="5"/>
        <v>1487.5250000000003</v>
      </c>
      <c r="O41" s="68">
        <f t="shared" si="5"/>
        <v>40.365000000000002</v>
      </c>
      <c r="P41" s="68">
        <f t="shared" si="5"/>
        <v>0</v>
      </c>
      <c r="Q41" s="68">
        <f t="shared" si="10"/>
        <v>285.91875000000005</v>
      </c>
      <c r="R41" s="68">
        <f t="shared" si="11"/>
        <v>0</v>
      </c>
      <c r="S41" s="68">
        <f t="shared" si="11"/>
        <v>0.13380250000000002</v>
      </c>
      <c r="T41" s="68">
        <f t="shared" si="11"/>
        <v>0</v>
      </c>
      <c r="U41" s="68">
        <f t="shared" si="11"/>
        <v>0</v>
      </c>
    </row>
    <row r="42" spans="1:21" s="51" customFormat="1" ht="13" x14ac:dyDescent="0.35">
      <c r="A42" s="10">
        <f>N8</f>
        <v>0</v>
      </c>
      <c r="B42" s="12"/>
      <c r="C42" s="68">
        <f t="shared" si="6"/>
        <v>0</v>
      </c>
      <c r="D42" s="68">
        <f t="shared" si="7"/>
        <v>0</v>
      </c>
      <c r="E42" s="68">
        <f t="shared" si="8"/>
        <v>0</v>
      </c>
      <c r="F42" s="68">
        <f t="shared" si="9"/>
        <v>0</v>
      </c>
      <c r="G42" s="68">
        <f t="shared" si="5"/>
        <v>0</v>
      </c>
      <c r="H42" s="68">
        <f t="shared" si="5"/>
        <v>0</v>
      </c>
      <c r="I42" s="68">
        <f t="shared" si="5"/>
        <v>0</v>
      </c>
      <c r="J42" s="68">
        <f t="shared" si="5"/>
        <v>0</v>
      </c>
      <c r="K42" s="68">
        <f t="shared" si="5"/>
        <v>0</v>
      </c>
      <c r="L42" s="68">
        <f t="shared" si="5"/>
        <v>0</v>
      </c>
      <c r="M42" s="68">
        <f t="shared" si="5"/>
        <v>0</v>
      </c>
      <c r="N42" s="68">
        <f t="shared" si="5"/>
        <v>0</v>
      </c>
      <c r="O42" s="68">
        <f t="shared" si="5"/>
        <v>0</v>
      </c>
      <c r="P42" s="68">
        <f t="shared" si="5"/>
        <v>0</v>
      </c>
      <c r="Q42" s="68">
        <f t="shared" si="10"/>
        <v>0</v>
      </c>
      <c r="R42" s="68">
        <f t="shared" si="11"/>
        <v>0</v>
      </c>
      <c r="S42" s="68">
        <f t="shared" si="11"/>
        <v>0</v>
      </c>
      <c r="T42" s="68">
        <f t="shared" si="11"/>
        <v>0</v>
      </c>
      <c r="U42" s="68">
        <f t="shared" si="11"/>
        <v>0</v>
      </c>
    </row>
    <row r="43" spans="1:21" s="51" customFormat="1" ht="13" x14ac:dyDescent="0.35">
      <c r="A43" s="10">
        <f>O8</f>
        <v>0</v>
      </c>
      <c r="B43" s="12"/>
      <c r="C43" s="68">
        <f t="shared" si="6"/>
        <v>0</v>
      </c>
      <c r="D43" s="68">
        <f t="shared" si="7"/>
        <v>0</v>
      </c>
      <c r="E43" s="68">
        <f t="shared" si="8"/>
        <v>0</v>
      </c>
      <c r="F43" s="68">
        <f t="shared" si="9"/>
        <v>0</v>
      </c>
      <c r="G43" s="68">
        <f t="shared" si="5"/>
        <v>0</v>
      </c>
      <c r="H43" s="68">
        <f t="shared" si="5"/>
        <v>0</v>
      </c>
      <c r="I43" s="68">
        <f t="shared" si="5"/>
        <v>0</v>
      </c>
      <c r="J43" s="68">
        <f t="shared" si="5"/>
        <v>0</v>
      </c>
      <c r="K43" s="68">
        <f t="shared" si="5"/>
        <v>0</v>
      </c>
      <c r="L43" s="68">
        <f t="shared" si="5"/>
        <v>0</v>
      </c>
      <c r="M43" s="68">
        <f t="shared" si="5"/>
        <v>0</v>
      </c>
      <c r="N43" s="68">
        <f t="shared" si="5"/>
        <v>0</v>
      </c>
      <c r="O43" s="68">
        <f t="shared" si="5"/>
        <v>0</v>
      </c>
      <c r="P43" s="68">
        <f t="shared" si="5"/>
        <v>0</v>
      </c>
      <c r="Q43" s="68">
        <f t="shared" si="10"/>
        <v>0</v>
      </c>
      <c r="R43" s="68">
        <f t="shared" si="11"/>
        <v>0</v>
      </c>
      <c r="S43" s="68">
        <f t="shared" si="11"/>
        <v>0</v>
      </c>
      <c r="T43" s="68">
        <f t="shared" si="11"/>
        <v>0</v>
      </c>
      <c r="U43" s="68">
        <f t="shared" si="11"/>
        <v>0</v>
      </c>
    </row>
    <row r="44" spans="1:21" s="51" customFormat="1" ht="13" x14ac:dyDescent="0.35">
      <c r="A44" s="10">
        <f>P8</f>
        <v>0</v>
      </c>
      <c r="B44" s="12"/>
      <c r="C44" s="68">
        <f t="shared" si="6"/>
        <v>0</v>
      </c>
      <c r="D44" s="68">
        <f t="shared" si="7"/>
        <v>0</v>
      </c>
      <c r="E44" s="68">
        <f t="shared" si="8"/>
        <v>0</v>
      </c>
      <c r="F44" s="68">
        <f t="shared" si="9"/>
        <v>0</v>
      </c>
      <c r="G44" s="68">
        <f t="shared" si="5"/>
        <v>0</v>
      </c>
      <c r="H44" s="68">
        <f t="shared" si="5"/>
        <v>0</v>
      </c>
      <c r="I44" s="68">
        <f t="shared" si="5"/>
        <v>0</v>
      </c>
      <c r="J44" s="68">
        <f t="shared" si="5"/>
        <v>0</v>
      </c>
      <c r="K44" s="68">
        <f t="shared" si="5"/>
        <v>0</v>
      </c>
      <c r="L44" s="68">
        <f t="shared" si="5"/>
        <v>0</v>
      </c>
      <c r="M44" s="68">
        <f t="shared" si="5"/>
        <v>0</v>
      </c>
      <c r="N44" s="68">
        <f t="shared" si="5"/>
        <v>0</v>
      </c>
      <c r="O44" s="68">
        <f t="shared" si="5"/>
        <v>0</v>
      </c>
      <c r="P44" s="68">
        <f t="shared" si="5"/>
        <v>0</v>
      </c>
      <c r="Q44" s="68">
        <f t="shared" si="10"/>
        <v>0</v>
      </c>
      <c r="R44" s="68">
        <f t="shared" si="11"/>
        <v>0</v>
      </c>
      <c r="S44" s="68">
        <f t="shared" si="11"/>
        <v>0</v>
      </c>
      <c r="T44" s="68">
        <f t="shared" si="11"/>
        <v>0</v>
      </c>
      <c r="U44" s="68">
        <f t="shared" si="11"/>
        <v>0</v>
      </c>
    </row>
    <row r="45" spans="1:21" s="51" customFormat="1" ht="13" x14ac:dyDescent="0.35">
      <c r="A45" s="10">
        <f>Q8</f>
        <v>0</v>
      </c>
      <c r="B45" s="12"/>
      <c r="C45" s="68">
        <f t="shared" si="6"/>
        <v>0</v>
      </c>
      <c r="D45" s="68">
        <f t="shared" si="7"/>
        <v>0</v>
      </c>
      <c r="E45" s="68">
        <f t="shared" si="8"/>
        <v>0</v>
      </c>
      <c r="F45" s="68">
        <f t="shared" si="9"/>
        <v>0</v>
      </c>
      <c r="G45" s="68">
        <f t="shared" si="5"/>
        <v>0</v>
      </c>
      <c r="H45" s="68">
        <f t="shared" si="5"/>
        <v>0</v>
      </c>
      <c r="I45" s="68">
        <f t="shared" si="5"/>
        <v>0</v>
      </c>
      <c r="J45" s="68">
        <f t="shared" si="5"/>
        <v>0</v>
      </c>
      <c r="K45" s="68">
        <f t="shared" si="5"/>
        <v>0</v>
      </c>
      <c r="L45" s="68">
        <f t="shared" si="5"/>
        <v>0</v>
      </c>
      <c r="M45" s="68">
        <f t="shared" si="5"/>
        <v>0</v>
      </c>
      <c r="N45" s="68">
        <f t="shared" si="5"/>
        <v>0</v>
      </c>
      <c r="O45" s="68">
        <f t="shared" si="5"/>
        <v>0</v>
      </c>
      <c r="P45" s="68">
        <f t="shared" si="5"/>
        <v>0</v>
      </c>
      <c r="Q45" s="68">
        <f t="shared" si="10"/>
        <v>0</v>
      </c>
      <c r="R45" s="68">
        <f t="shared" si="11"/>
        <v>0</v>
      </c>
      <c r="S45" s="68">
        <f t="shared" si="11"/>
        <v>0</v>
      </c>
      <c r="T45" s="68">
        <f t="shared" si="11"/>
        <v>0</v>
      </c>
      <c r="U45" s="68">
        <f t="shared" si="11"/>
        <v>0</v>
      </c>
    </row>
    <row r="46" spans="1:21" s="51" customFormat="1" ht="13" x14ac:dyDescent="0.35">
      <c r="A46" s="10">
        <f>R8</f>
        <v>0</v>
      </c>
      <c r="B46" s="12"/>
      <c r="C46" s="68">
        <f t="shared" si="6"/>
        <v>0</v>
      </c>
      <c r="D46" s="68">
        <f t="shared" si="7"/>
        <v>0</v>
      </c>
      <c r="E46" s="68">
        <f t="shared" si="8"/>
        <v>0</v>
      </c>
      <c r="F46" s="68">
        <f t="shared" si="9"/>
        <v>0</v>
      </c>
      <c r="G46" s="68">
        <f t="shared" si="5"/>
        <v>0</v>
      </c>
      <c r="H46" s="68">
        <f t="shared" si="5"/>
        <v>0</v>
      </c>
      <c r="I46" s="68">
        <f t="shared" si="5"/>
        <v>0</v>
      </c>
      <c r="J46" s="68">
        <f t="shared" si="5"/>
        <v>0</v>
      </c>
      <c r="K46" s="68">
        <f t="shared" si="5"/>
        <v>0</v>
      </c>
      <c r="L46" s="68">
        <f t="shared" si="5"/>
        <v>0</v>
      </c>
      <c r="M46" s="68">
        <f t="shared" si="5"/>
        <v>0</v>
      </c>
      <c r="N46" s="68">
        <f t="shared" si="5"/>
        <v>0</v>
      </c>
      <c r="O46" s="68">
        <f t="shared" si="5"/>
        <v>0</v>
      </c>
      <c r="P46" s="68">
        <f t="shared" si="5"/>
        <v>0</v>
      </c>
      <c r="Q46" s="68">
        <f t="shared" si="10"/>
        <v>0</v>
      </c>
      <c r="R46" s="68">
        <f t="shared" si="11"/>
        <v>0</v>
      </c>
      <c r="S46" s="68">
        <f t="shared" si="11"/>
        <v>0</v>
      </c>
      <c r="T46" s="68">
        <f t="shared" si="11"/>
        <v>0</v>
      </c>
      <c r="U46" s="68">
        <f t="shared" si="11"/>
        <v>0</v>
      </c>
    </row>
    <row r="47" spans="1:21" s="51" customFormat="1" ht="13" x14ac:dyDescent="0.35">
      <c r="A47" s="10">
        <f>S8</f>
        <v>0</v>
      </c>
      <c r="B47" s="12"/>
      <c r="C47" s="68">
        <f t="shared" si="6"/>
        <v>0</v>
      </c>
      <c r="D47" s="68">
        <f t="shared" si="7"/>
        <v>0</v>
      </c>
      <c r="E47" s="68">
        <f t="shared" si="8"/>
        <v>0</v>
      </c>
      <c r="F47" s="68">
        <f t="shared" si="9"/>
        <v>0</v>
      </c>
      <c r="G47" s="68">
        <f t="shared" ref="G47:P50" si="12">IF(G$27="%w/w SAR",((G$28*10)*$B47),IF(G$27="%w/w DM",(((G$28*10)*($B$28/100))*$B47),IF(G$27="kg/t SAR",(G$28*$B47),IF(G$27="kg/t DM",((G$28*($B$28/100))*$B47),IF(G$27="mg/kg SAR",((G$28*0.001)*$B47),IF(G$27="mg/kg DM",(((G$28*0.001)*($B$28/100))*$B47),0))))))</f>
        <v>0</v>
      </c>
      <c r="H47" s="68">
        <f t="shared" si="12"/>
        <v>0</v>
      </c>
      <c r="I47" s="68">
        <f t="shared" si="12"/>
        <v>0</v>
      </c>
      <c r="J47" s="68">
        <f t="shared" si="12"/>
        <v>0</v>
      </c>
      <c r="K47" s="68">
        <f t="shared" si="12"/>
        <v>0</v>
      </c>
      <c r="L47" s="68">
        <f t="shared" si="12"/>
        <v>0</v>
      </c>
      <c r="M47" s="68">
        <f t="shared" si="12"/>
        <v>0</v>
      </c>
      <c r="N47" s="68">
        <f t="shared" si="12"/>
        <v>0</v>
      </c>
      <c r="O47" s="68">
        <f t="shared" si="12"/>
        <v>0</v>
      </c>
      <c r="P47" s="68">
        <f t="shared" si="12"/>
        <v>0</v>
      </c>
      <c r="Q47" s="68">
        <f t="shared" si="10"/>
        <v>0</v>
      </c>
      <c r="R47" s="68">
        <f t="shared" si="11"/>
        <v>0</v>
      </c>
      <c r="S47" s="68">
        <f t="shared" si="11"/>
        <v>0</v>
      </c>
      <c r="T47" s="68">
        <f t="shared" si="11"/>
        <v>0</v>
      </c>
      <c r="U47" s="68">
        <f t="shared" si="11"/>
        <v>0</v>
      </c>
    </row>
    <row r="48" spans="1:21" s="51" customFormat="1" ht="13" x14ac:dyDescent="0.35">
      <c r="A48" s="10">
        <f>T8</f>
        <v>0</v>
      </c>
      <c r="B48" s="12"/>
      <c r="C48" s="68">
        <f t="shared" si="6"/>
        <v>0</v>
      </c>
      <c r="D48" s="68">
        <f t="shared" si="7"/>
        <v>0</v>
      </c>
      <c r="E48" s="68">
        <f t="shared" si="8"/>
        <v>0</v>
      </c>
      <c r="F48" s="68">
        <f t="shared" si="9"/>
        <v>0</v>
      </c>
      <c r="G48" s="68">
        <f t="shared" si="12"/>
        <v>0</v>
      </c>
      <c r="H48" s="68">
        <f t="shared" si="12"/>
        <v>0</v>
      </c>
      <c r="I48" s="68">
        <f t="shared" si="12"/>
        <v>0</v>
      </c>
      <c r="J48" s="68">
        <f t="shared" si="12"/>
        <v>0</v>
      </c>
      <c r="K48" s="68">
        <f t="shared" si="12"/>
        <v>0</v>
      </c>
      <c r="L48" s="68">
        <f t="shared" si="12"/>
        <v>0</v>
      </c>
      <c r="M48" s="68">
        <f t="shared" si="12"/>
        <v>0</v>
      </c>
      <c r="N48" s="68">
        <f t="shared" si="12"/>
        <v>0</v>
      </c>
      <c r="O48" s="68">
        <f t="shared" si="12"/>
        <v>0</v>
      </c>
      <c r="P48" s="68">
        <f t="shared" si="12"/>
        <v>0</v>
      </c>
      <c r="Q48" s="68">
        <f t="shared" si="10"/>
        <v>0</v>
      </c>
      <c r="R48" s="68">
        <f t="shared" si="11"/>
        <v>0</v>
      </c>
      <c r="S48" s="68">
        <f t="shared" si="11"/>
        <v>0</v>
      </c>
      <c r="T48" s="68">
        <f t="shared" si="11"/>
        <v>0</v>
      </c>
      <c r="U48" s="68">
        <f t="shared" si="11"/>
        <v>0</v>
      </c>
    </row>
    <row r="49" spans="1:21" s="51" customFormat="1" ht="13" x14ac:dyDescent="0.35">
      <c r="A49" s="10">
        <f>U8</f>
        <v>0</v>
      </c>
      <c r="B49" s="12"/>
      <c r="C49" s="68">
        <f t="shared" si="6"/>
        <v>0</v>
      </c>
      <c r="D49" s="68">
        <f t="shared" si="7"/>
        <v>0</v>
      </c>
      <c r="E49" s="68">
        <f t="shared" si="8"/>
        <v>0</v>
      </c>
      <c r="F49" s="68">
        <f t="shared" si="9"/>
        <v>0</v>
      </c>
      <c r="G49" s="68">
        <f t="shared" si="12"/>
        <v>0</v>
      </c>
      <c r="H49" s="68">
        <f t="shared" si="12"/>
        <v>0</v>
      </c>
      <c r="I49" s="68">
        <f t="shared" si="12"/>
        <v>0</v>
      </c>
      <c r="J49" s="68">
        <f t="shared" si="12"/>
        <v>0</v>
      </c>
      <c r="K49" s="68">
        <f t="shared" si="12"/>
        <v>0</v>
      </c>
      <c r="L49" s="68">
        <f t="shared" si="12"/>
        <v>0</v>
      </c>
      <c r="M49" s="68">
        <f t="shared" si="12"/>
        <v>0</v>
      </c>
      <c r="N49" s="68">
        <f t="shared" si="12"/>
        <v>0</v>
      </c>
      <c r="O49" s="68">
        <f t="shared" si="12"/>
        <v>0</v>
      </c>
      <c r="P49" s="68">
        <f t="shared" si="12"/>
        <v>0</v>
      </c>
      <c r="Q49" s="68">
        <f t="shared" si="10"/>
        <v>0</v>
      </c>
      <c r="R49" s="68">
        <f t="shared" si="11"/>
        <v>0</v>
      </c>
      <c r="S49" s="68">
        <f t="shared" si="11"/>
        <v>0</v>
      </c>
      <c r="T49" s="68">
        <f t="shared" si="11"/>
        <v>0</v>
      </c>
      <c r="U49" s="68">
        <f t="shared" si="11"/>
        <v>0</v>
      </c>
    </row>
    <row r="50" spans="1:21" s="51" customFormat="1" ht="13.5" thickBot="1" x14ac:dyDescent="0.4">
      <c r="A50" s="11">
        <f>V8</f>
        <v>0</v>
      </c>
      <c r="B50" s="12"/>
      <c r="C50" s="87">
        <f t="shared" si="6"/>
        <v>0</v>
      </c>
      <c r="D50" s="87">
        <f t="shared" si="7"/>
        <v>0</v>
      </c>
      <c r="E50" s="87">
        <f t="shared" si="8"/>
        <v>0</v>
      </c>
      <c r="F50" s="87">
        <f t="shared" si="9"/>
        <v>0</v>
      </c>
      <c r="G50" s="87">
        <f t="shared" si="12"/>
        <v>0</v>
      </c>
      <c r="H50" s="87">
        <f t="shared" si="12"/>
        <v>0</v>
      </c>
      <c r="I50" s="87">
        <f t="shared" si="12"/>
        <v>0</v>
      </c>
      <c r="J50" s="87">
        <f t="shared" si="12"/>
        <v>0</v>
      </c>
      <c r="K50" s="87">
        <f t="shared" si="12"/>
        <v>0</v>
      </c>
      <c r="L50" s="87">
        <f t="shared" si="12"/>
        <v>0</v>
      </c>
      <c r="M50" s="87">
        <f t="shared" si="12"/>
        <v>0</v>
      </c>
      <c r="N50" s="87">
        <f t="shared" si="12"/>
        <v>0</v>
      </c>
      <c r="O50" s="87">
        <f t="shared" si="12"/>
        <v>0</v>
      </c>
      <c r="P50" s="87">
        <f t="shared" si="12"/>
        <v>0</v>
      </c>
      <c r="Q50" s="87">
        <f t="shared" si="10"/>
        <v>0</v>
      </c>
      <c r="R50" s="87">
        <f t="shared" si="11"/>
        <v>0</v>
      </c>
      <c r="S50" s="87">
        <f t="shared" si="11"/>
        <v>0</v>
      </c>
      <c r="T50" s="87">
        <f t="shared" si="11"/>
        <v>0</v>
      </c>
      <c r="U50" s="87">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5">
        <v>20</v>
      </c>
    </row>
    <row r="53" spans="1:21" ht="13" x14ac:dyDescent="0.35">
      <c r="A53" s="7" t="s">
        <v>130</v>
      </c>
    </row>
    <row r="54" spans="1:21" ht="26" x14ac:dyDescent="0.3">
      <c r="A54" s="98"/>
      <c r="B54" s="102" t="s">
        <v>149</v>
      </c>
      <c r="C54" s="102" t="s">
        <v>150</v>
      </c>
      <c r="D54" s="102" t="s">
        <v>127</v>
      </c>
      <c r="E54" s="102" t="s">
        <v>128</v>
      </c>
      <c r="F54" s="102" t="s">
        <v>151</v>
      </c>
      <c r="G54" s="102" t="s">
        <v>129</v>
      </c>
      <c r="H54" s="51"/>
      <c r="I54" s="51"/>
      <c r="J54" s="51"/>
      <c r="K54" s="51"/>
      <c r="L54" s="51"/>
      <c r="M54" s="51"/>
      <c r="N54" s="51"/>
      <c r="O54" s="51"/>
      <c r="P54" s="51"/>
      <c r="Q54" s="51"/>
      <c r="R54" s="51"/>
      <c r="S54" s="51"/>
      <c r="T54" s="51"/>
      <c r="U54" s="51"/>
    </row>
    <row r="55" spans="1:21" x14ac:dyDescent="0.25">
      <c r="A55" s="99"/>
      <c r="B55" s="103"/>
      <c r="C55" s="104"/>
      <c r="D55" s="105">
        <f>(B55/100)*C55</f>
        <v>0</v>
      </c>
      <c r="E55" s="105">
        <f>G55</f>
        <v>0</v>
      </c>
      <c r="F55" s="104"/>
      <c r="G55" s="105">
        <f>(B55/100)*F55</f>
        <v>0</v>
      </c>
      <c r="H55" s="51"/>
      <c r="I55" s="51"/>
      <c r="J55" s="51"/>
      <c r="K55" s="51"/>
      <c r="L55" s="51"/>
      <c r="M55" s="51"/>
      <c r="N55" s="51"/>
      <c r="O55" s="51"/>
      <c r="P55" s="51"/>
      <c r="Q55" s="51"/>
      <c r="R55" s="51"/>
      <c r="S55" s="51"/>
      <c r="T55" s="51"/>
      <c r="U55" s="51"/>
    </row>
    <row r="56" spans="1:21" ht="13" x14ac:dyDescent="0.3">
      <c r="A56" s="82" t="s">
        <v>63</v>
      </c>
      <c r="B56" s="8">
        <v>1</v>
      </c>
      <c r="C56" s="64">
        <v>2</v>
      </c>
      <c r="D56" s="65">
        <v>3</v>
      </c>
      <c r="E56" s="65">
        <v>4</v>
      </c>
      <c r="F56" s="64">
        <v>5</v>
      </c>
      <c r="G56" s="65">
        <v>6</v>
      </c>
      <c r="H56" s="66">
        <v>7</v>
      </c>
      <c r="I56" s="66">
        <v>8</v>
      </c>
      <c r="J56" s="66">
        <v>9</v>
      </c>
      <c r="K56" s="64">
        <v>10</v>
      </c>
      <c r="L56" s="64">
        <v>11</v>
      </c>
      <c r="M56" s="65">
        <v>12</v>
      </c>
      <c r="N56" s="65">
        <v>13</v>
      </c>
      <c r="O56" s="64">
        <v>14</v>
      </c>
      <c r="P56" s="65">
        <v>15</v>
      </c>
      <c r="Q56" s="66">
        <v>16</v>
      </c>
      <c r="R56" s="66">
        <v>17</v>
      </c>
      <c r="S56" s="66">
        <v>18</v>
      </c>
      <c r="T56" s="64">
        <v>19</v>
      </c>
      <c r="U56" s="64">
        <v>20</v>
      </c>
    </row>
    <row r="57" spans="1:21" ht="13" x14ac:dyDescent="0.35">
      <c r="A57" s="82" t="s">
        <v>2</v>
      </c>
      <c r="B57" s="8" t="str">
        <f>C8</f>
        <v>Nant Y Croi 9</v>
      </c>
      <c r="C57" s="8" t="str">
        <f t="shared" ref="C57:U57" si="13">D8</f>
        <v>Hafod 4315</v>
      </c>
      <c r="D57" s="8" t="str">
        <f t="shared" si="13"/>
        <v>Hafod 4734</v>
      </c>
      <c r="E57" s="8" t="str">
        <f t="shared" si="13"/>
        <v>Hafod 5761</v>
      </c>
      <c r="F57" s="8" t="str">
        <f t="shared" si="13"/>
        <v>Hafod 4067</v>
      </c>
      <c r="G57" s="8" t="str">
        <f t="shared" si="13"/>
        <v>Hafod 2455</v>
      </c>
      <c r="H57" s="8" t="str">
        <f t="shared" si="13"/>
        <v>Hafod 1741</v>
      </c>
      <c r="I57" s="8" t="str">
        <f t="shared" si="13"/>
        <v>Hafod 0720</v>
      </c>
      <c r="J57" s="8" t="str">
        <f t="shared" si="13"/>
        <v>Solafron 2893</v>
      </c>
      <c r="K57" s="8" t="str">
        <f t="shared" si="13"/>
        <v>Solafron 2611</v>
      </c>
      <c r="L57" s="8" t="str">
        <f t="shared" si="13"/>
        <v>Solafron 1404</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82" t="s">
        <v>136</v>
      </c>
      <c r="B58" s="10" t="str">
        <f>C16&amp;" I "&amp;(VLOOKUP(C14,Table24581113[],6,FALSE))</f>
        <v>Medium/Clay I Grass</v>
      </c>
      <c r="C58" s="10" t="str">
        <f>D16&amp;" I "&amp;(VLOOKUP(D14,Table24581113[],6,FALSE))</f>
        <v>Medium/Clay I Grass</v>
      </c>
      <c r="D58" s="10" t="str">
        <f>E16&amp;" I "&amp;(VLOOKUP(E14,Table24581113[],6,FALSE))</f>
        <v>Medium/Clay I Grass</v>
      </c>
      <c r="E58" s="10" t="str">
        <f>F16&amp;" I "&amp;(VLOOKUP(F14,Table24581113[],6,FALSE))</f>
        <v>Medium/Clay I Grass</v>
      </c>
      <c r="F58" s="10" t="str">
        <f>G16&amp;" I "&amp;(VLOOKUP(G14,Table24581113[],6,FALSE))</f>
        <v>Medium/Clay I Grass</v>
      </c>
      <c r="G58" s="10" t="str">
        <f>H16&amp;" I "&amp;(VLOOKUP(H14,Table24581113[],6,FALSE))</f>
        <v>Medium/Clay I Grass</v>
      </c>
      <c r="H58" s="10" t="str">
        <f>I16&amp;" I "&amp;(VLOOKUP(I14,Table24581113[],6,FALSE))</f>
        <v>Medium/Clay I Grass</v>
      </c>
      <c r="I58" s="10" t="str">
        <f>J16&amp;" I "&amp;(VLOOKUP(J14,Table24581113[],6,FALSE))</f>
        <v>Medium/Clay I Grass</v>
      </c>
      <c r="J58" s="10" t="str">
        <f>K16&amp;" I "&amp;(VLOOKUP(K14,Table24581113[],6,FALSE))</f>
        <v>Medium/Clay I Grass</v>
      </c>
      <c r="K58" s="10" t="str">
        <f>L16&amp;" I "&amp;(VLOOKUP(L14,Table24581113[],6,FALSE))</f>
        <v>Medium/Clay I Grass</v>
      </c>
      <c r="L58" s="10" t="str">
        <f>M16&amp;" I "&amp;(VLOOKUP(M14,Table24581113[],6,FALSE))</f>
        <v>Medium/Clay I Grass</v>
      </c>
      <c r="M58" s="10" t="e">
        <f>N16&amp;" I "&amp;(VLOOKUP(N14,Table24581113[],6,FALSE))</f>
        <v>#N/A</v>
      </c>
      <c r="N58" s="10" t="e">
        <f>O16&amp;" I "&amp;(VLOOKUP(O14,Table24581113[],6,FALSE))</f>
        <v>#N/A</v>
      </c>
      <c r="O58" s="10" t="e">
        <f>P16&amp;" I "&amp;(VLOOKUP(P14,Table24581113[],6,FALSE))</f>
        <v>#N/A</v>
      </c>
      <c r="P58" s="10" t="e">
        <f>Q16&amp;" I "&amp;(VLOOKUP(Q14,Table24581113[],6,FALSE))</f>
        <v>#N/A</v>
      </c>
      <c r="Q58" s="10" t="e">
        <f>R16&amp;" I "&amp;(VLOOKUP(R14,Table24581113[],6,FALSE))</f>
        <v>#N/A</v>
      </c>
      <c r="R58" s="10" t="e">
        <f>S16&amp;" I "&amp;(VLOOKUP(S14,Table24581113[],6,FALSE))</f>
        <v>#N/A</v>
      </c>
      <c r="S58" s="10" t="e">
        <f>T16&amp;" I "&amp;(VLOOKUP(T14,Table24581113[],6,FALSE))</f>
        <v>#N/A</v>
      </c>
      <c r="T58" s="10" t="e">
        <f>U16&amp;" I "&amp;(VLOOKUP(U14,Table24581113[],6,FALSE))</f>
        <v>#N/A</v>
      </c>
      <c r="U58" s="10" t="e">
        <f>V16&amp;" I "&amp;(VLOOKUP(V14,Table24581113[],6,FALSE))</f>
        <v>#N/A</v>
      </c>
    </row>
    <row r="59" spans="1:21" ht="13" x14ac:dyDescent="0.3">
      <c r="A59" s="100" t="s">
        <v>132</v>
      </c>
      <c r="B59" s="67">
        <f>VLOOKUP(C$14,Table24581113[],5,FALSE)</f>
        <v>6.2</v>
      </c>
      <c r="C59" s="67">
        <f>VLOOKUP(D$14,Table24581113[],5,FALSE)</f>
        <v>6.2</v>
      </c>
      <c r="D59" s="67">
        <f>VLOOKUP(E$14,Table24581113[],5,FALSE)</f>
        <v>6.2</v>
      </c>
      <c r="E59" s="67">
        <f>VLOOKUP(F$14,Table24581113[],5,FALSE)</f>
        <v>6.2</v>
      </c>
      <c r="F59" s="67">
        <f>VLOOKUP(G$14,Table24581113[],5,FALSE)</f>
        <v>6.2</v>
      </c>
      <c r="G59" s="67">
        <f>VLOOKUP(H$14,Table24581113[],5,FALSE)</f>
        <v>6.2</v>
      </c>
      <c r="H59" s="67">
        <f>VLOOKUP(I$14,Table24581113[],5,FALSE)</f>
        <v>6.2</v>
      </c>
      <c r="I59" s="67">
        <f>VLOOKUP(J$14,Table24581113[],5,FALSE)</f>
        <v>6.2</v>
      </c>
      <c r="J59" s="67">
        <f>VLOOKUP(K$14,Table24581113[],5,FALSE)</f>
        <v>6.2</v>
      </c>
      <c r="K59" s="67">
        <f>VLOOKUP(L$14,Table24581113[],5,FALSE)</f>
        <v>6.2</v>
      </c>
      <c r="L59" s="67">
        <f>VLOOKUP(M$14,Table24581113[],5,FALSE)</f>
        <v>6.2</v>
      </c>
      <c r="M59" s="67" t="e">
        <f>VLOOKUP(N$14,Table24581113[],5,FALSE)</f>
        <v>#N/A</v>
      </c>
      <c r="N59" s="67" t="e">
        <f>VLOOKUP(O$14,Table24581113[],5,FALSE)</f>
        <v>#N/A</v>
      </c>
      <c r="O59" s="67" t="e">
        <f>VLOOKUP(P$14,Table24581113[],5,FALSE)</f>
        <v>#N/A</v>
      </c>
      <c r="P59" s="67" t="e">
        <f>VLOOKUP(Q$14,Table24581113[],5,FALSE)</f>
        <v>#N/A</v>
      </c>
      <c r="Q59" s="67" t="e">
        <f>VLOOKUP(R$14,Table24581113[],5,FALSE)</f>
        <v>#N/A</v>
      </c>
      <c r="R59" s="67" t="e">
        <f>VLOOKUP(S$14,Table24581113[],5,FALSE)</f>
        <v>#N/A</v>
      </c>
      <c r="S59" s="67" t="e">
        <f>VLOOKUP(T$14,Table24581113[],5,FALSE)</f>
        <v>#N/A</v>
      </c>
      <c r="T59" s="67" t="e">
        <f>VLOOKUP(U$14,Table24581113[],5,FALSE)</f>
        <v>#N/A</v>
      </c>
      <c r="U59" s="67" t="e">
        <f>VLOOKUP(V$14,Table24581113[],5,FALSE)</f>
        <v>#N/A</v>
      </c>
    </row>
    <row r="60" spans="1:21" ht="13" x14ac:dyDescent="0.3">
      <c r="A60" s="100" t="s">
        <v>4</v>
      </c>
      <c r="B60" s="67">
        <f>C10</f>
        <v>5.4</v>
      </c>
      <c r="C60" s="67">
        <f t="shared" ref="C60:U60" si="14">D10</f>
        <v>6.3</v>
      </c>
      <c r="D60" s="67">
        <f t="shared" si="14"/>
        <v>6.3</v>
      </c>
      <c r="E60" s="67">
        <f t="shared" si="14"/>
        <v>6.2</v>
      </c>
      <c r="F60" s="67">
        <f t="shared" si="14"/>
        <v>6.2</v>
      </c>
      <c r="G60" s="67">
        <f t="shared" si="14"/>
        <v>6.3</v>
      </c>
      <c r="H60" s="67">
        <f t="shared" si="14"/>
        <v>6.3</v>
      </c>
      <c r="I60" s="67">
        <f t="shared" si="14"/>
        <v>6.2</v>
      </c>
      <c r="J60" s="67">
        <f t="shared" si="14"/>
        <v>6.3</v>
      </c>
      <c r="K60" s="67">
        <f t="shared" si="14"/>
        <v>6.3</v>
      </c>
      <c r="L60" s="67">
        <f t="shared" si="14"/>
        <v>6.3</v>
      </c>
      <c r="M60" s="67">
        <f t="shared" si="14"/>
        <v>0</v>
      </c>
      <c r="N60" s="67">
        <f t="shared" si="14"/>
        <v>0</v>
      </c>
      <c r="O60" s="67">
        <f t="shared" si="14"/>
        <v>0</v>
      </c>
      <c r="P60" s="67">
        <f t="shared" si="14"/>
        <v>0</v>
      </c>
      <c r="Q60" s="67">
        <f t="shared" si="14"/>
        <v>0</v>
      </c>
      <c r="R60" s="67">
        <f t="shared" si="14"/>
        <v>0</v>
      </c>
      <c r="S60" s="67">
        <f t="shared" si="14"/>
        <v>0</v>
      </c>
      <c r="T60" s="67">
        <f t="shared" si="14"/>
        <v>0</v>
      </c>
      <c r="U60" s="67">
        <f t="shared" si="14"/>
        <v>0</v>
      </c>
    </row>
    <row r="61" spans="1:21" ht="13" x14ac:dyDescent="0.3">
      <c r="A61" s="100" t="s">
        <v>133</v>
      </c>
      <c r="B61" s="67">
        <f t="shared" ref="B61:U61" si="15">VLOOKUP(B58,$AD9:$AE18,2,FALSE)</f>
        <v>6</v>
      </c>
      <c r="C61" s="67">
        <f t="shared" si="15"/>
        <v>6</v>
      </c>
      <c r="D61" s="67">
        <f t="shared" si="15"/>
        <v>6</v>
      </c>
      <c r="E61" s="67">
        <f t="shared" si="15"/>
        <v>6</v>
      </c>
      <c r="F61" s="67">
        <f t="shared" si="15"/>
        <v>6</v>
      </c>
      <c r="G61" s="67">
        <f t="shared" si="15"/>
        <v>6</v>
      </c>
      <c r="H61" s="67">
        <f t="shared" si="15"/>
        <v>6</v>
      </c>
      <c r="I61" s="67">
        <f t="shared" si="15"/>
        <v>6</v>
      </c>
      <c r="J61" s="67">
        <f t="shared" si="15"/>
        <v>6</v>
      </c>
      <c r="K61" s="67">
        <f t="shared" si="15"/>
        <v>6</v>
      </c>
      <c r="L61" s="67">
        <f t="shared" si="15"/>
        <v>6</v>
      </c>
      <c r="M61" s="67" t="e">
        <f t="shared" si="15"/>
        <v>#N/A</v>
      </c>
      <c r="N61" s="67" t="e">
        <f t="shared" si="15"/>
        <v>#N/A</v>
      </c>
      <c r="O61" s="67" t="e">
        <f t="shared" si="15"/>
        <v>#N/A</v>
      </c>
      <c r="P61" s="67" t="e">
        <f t="shared" si="15"/>
        <v>#N/A</v>
      </c>
      <c r="Q61" s="67" t="e">
        <f t="shared" si="15"/>
        <v>#N/A</v>
      </c>
      <c r="R61" s="67" t="e">
        <f t="shared" si="15"/>
        <v>#N/A</v>
      </c>
      <c r="S61" s="67" t="e">
        <f t="shared" si="15"/>
        <v>#N/A</v>
      </c>
      <c r="T61" s="67" t="e">
        <f t="shared" si="15"/>
        <v>#N/A</v>
      </c>
      <c r="U61" s="67" t="e">
        <f t="shared" si="15"/>
        <v>#N/A</v>
      </c>
    </row>
    <row r="62" spans="1:21" ht="13" x14ac:dyDescent="0.3">
      <c r="A62" s="100" t="s">
        <v>134</v>
      </c>
      <c r="B62" s="68">
        <f>B31</f>
        <v>0</v>
      </c>
      <c r="C62" s="68">
        <f>B32</f>
        <v>250</v>
      </c>
      <c r="D62" s="68">
        <f>B33</f>
        <v>250</v>
      </c>
      <c r="E62" s="68">
        <f>B34</f>
        <v>250</v>
      </c>
      <c r="F62" s="68">
        <f>B35</f>
        <v>250</v>
      </c>
      <c r="G62" s="68">
        <f>B36</f>
        <v>250</v>
      </c>
      <c r="H62" s="68">
        <f>B37</f>
        <v>250</v>
      </c>
      <c r="I62" s="68">
        <f>B38</f>
        <v>250</v>
      </c>
      <c r="J62" s="68">
        <f>B39</f>
        <v>250</v>
      </c>
      <c r="K62" s="68">
        <f>B40</f>
        <v>250</v>
      </c>
      <c r="L62" s="68">
        <f>B41</f>
        <v>250</v>
      </c>
      <c r="M62" s="68">
        <f>B42</f>
        <v>0</v>
      </c>
      <c r="N62" s="68">
        <f>B43</f>
        <v>0</v>
      </c>
      <c r="O62" s="68">
        <f>B44</f>
        <v>0</v>
      </c>
      <c r="P62" s="68">
        <f>B45</f>
        <v>0</v>
      </c>
      <c r="Q62" s="68">
        <f>B46</f>
        <v>0</v>
      </c>
      <c r="R62" s="68">
        <f>B47</f>
        <v>0</v>
      </c>
      <c r="S62" s="68">
        <f>B48</f>
        <v>0</v>
      </c>
      <c r="T62" s="68">
        <f>B49</f>
        <v>0</v>
      </c>
      <c r="U62" s="68">
        <f>B50</f>
        <v>0</v>
      </c>
    </row>
    <row r="63" spans="1:21" ht="39" x14ac:dyDescent="0.3">
      <c r="A63" s="101" t="s">
        <v>155</v>
      </c>
      <c r="B63" s="68">
        <f>$E55*(B62/100)</f>
        <v>0</v>
      </c>
      <c r="C63" s="68">
        <f t="shared" ref="C63:U63" si="16">$E55*(C62/100)</f>
        <v>0</v>
      </c>
      <c r="D63" s="68">
        <f t="shared" si="16"/>
        <v>0</v>
      </c>
      <c r="E63" s="68">
        <f t="shared" si="16"/>
        <v>0</v>
      </c>
      <c r="F63" s="68">
        <f>$E55*(F62/100)</f>
        <v>0</v>
      </c>
      <c r="G63" s="68">
        <f t="shared" si="16"/>
        <v>0</v>
      </c>
      <c r="H63" s="68">
        <f t="shared" si="16"/>
        <v>0</v>
      </c>
      <c r="I63" s="68">
        <f t="shared" si="16"/>
        <v>0</v>
      </c>
      <c r="J63" s="68">
        <f t="shared" si="16"/>
        <v>0</v>
      </c>
      <c r="K63" s="68">
        <f t="shared" si="16"/>
        <v>0</v>
      </c>
      <c r="L63" s="68">
        <f t="shared" si="16"/>
        <v>0</v>
      </c>
      <c r="M63" s="68">
        <f t="shared" si="16"/>
        <v>0</v>
      </c>
      <c r="N63" s="68">
        <f t="shared" si="16"/>
        <v>0</v>
      </c>
      <c r="O63" s="68">
        <f t="shared" si="16"/>
        <v>0</v>
      </c>
      <c r="P63" s="68">
        <f t="shared" si="16"/>
        <v>0</v>
      </c>
      <c r="Q63" s="68">
        <f t="shared" si="16"/>
        <v>0</v>
      </c>
      <c r="R63" s="68">
        <f t="shared" si="16"/>
        <v>0</v>
      </c>
      <c r="S63" s="68">
        <f t="shared" si="16"/>
        <v>0</v>
      </c>
      <c r="T63" s="68">
        <f t="shared" si="16"/>
        <v>0</v>
      </c>
      <c r="U63" s="68">
        <f t="shared" si="16"/>
        <v>0</v>
      </c>
    </row>
    <row r="64" spans="1:21" ht="52" x14ac:dyDescent="0.3">
      <c r="A64" s="101" t="s">
        <v>156</v>
      </c>
      <c r="B64" s="68">
        <f>(B59-B60)*B61</f>
        <v>4.7999999999999989</v>
      </c>
      <c r="C64" s="68">
        <f t="shared" ref="C64:U64" si="17">(C59-C60)*C61</f>
        <v>-0.59999999999999787</v>
      </c>
      <c r="D64" s="68">
        <f t="shared" si="17"/>
        <v>-0.59999999999999787</v>
      </c>
      <c r="E64" s="68">
        <f t="shared" si="17"/>
        <v>0</v>
      </c>
      <c r="F64" s="68">
        <f t="shared" si="17"/>
        <v>0</v>
      </c>
      <c r="G64" s="68">
        <f t="shared" si="17"/>
        <v>-0.59999999999999787</v>
      </c>
      <c r="H64" s="68">
        <f t="shared" si="17"/>
        <v>-0.59999999999999787</v>
      </c>
      <c r="I64" s="68">
        <f t="shared" si="17"/>
        <v>0</v>
      </c>
      <c r="J64" s="68">
        <f t="shared" si="17"/>
        <v>-0.59999999999999787</v>
      </c>
      <c r="K64" s="68">
        <f t="shared" si="17"/>
        <v>-0.59999999999999787</v>
      </c>
      <c r="L64" s="68">
        <f t="shared" si="17"/>
        <v>-0.59999999999999787</v>
      </c>
      <c r="M64" s="68" t="e">
        <f t="shared" si="17"/>
        <v>#N/A</v>
      </c>
      <c r="N64" s="68" t="e">
        <f t="shared" si="17"/>
        <v>#N/A</v>
      </c>
      <c r="O64" s="68" t="e">
        <f t="shared" si="17"/>
        <v>#N/A</v>
      </c>
      <c r="P64" s="68" t="e">
        <f t="shared" si="17"/>
        <v>#N/A</v>
      </c>
      <c r="Q64" s="68" t="e">
        <f t="shared" si="17"/>
        <v>#N/A</v>
      </c>
      <c r="R64" s="68" t="e">
        <f t="shared" si="17"/>
        <v>#N/A</v>
      </c>
      <c r="S64" s="68" t="e">
        <f t="shared" si="17"/>
        <v>#N/A</v>
      </c>
      <c r="T64" s="68" t="e">
        <f t="shared" si="17"/>
        <v>#N/A</v>
      </c>
      <c r="U64" s="68" t="e">
        <f t="shared" si="17"/>
        <v>#N/A</v>
      </c>
    </row>
    <row r="65" spans="1:21" ht="52" x14ac:dyDescent="0.3">
      <c r="A65" s="101" t="s">
        <v>157</v>
      </c>
      <c r="B65" s="68">
        <f>B63-B64</f>
        <v>-4.7999999999999989</v>
      </c>
      <c r="C65" s="68">
        <f t="shared" ref="C65:U65" si="18">C63-C64</f>
        <v>0.59999999999999787</v>
      </c>
      <c r="D65" s="68">
        <f t="shared" si="18"/>
        <v>0.59999999999999787</v>
      </c>
      <c r="E65" s="68">
        <f t="shared" si="18"/>
        <v>0</v>
      </c>
      <c r="F65" s="68">
        <f t="shared" si="18"/>
        <v>0</v>
      </c>
      <c r="G65" s="68">
        <f t="shared" si="18"/>
        <v>0.59999999999999787</v>
      </c>
      <c r="H65" s="68">
        <f t="shared" si="18"/>
        <v>0.59999999999999787</v>
      </c>
      <c r="I65" s="68">
        <f t="shared" si="18"/>
        <v>0</v>
      </c>
      <c r="J65" s="68">
        <f t="shared" si="18"/>
        <v>0.59999999999999787</v>
      </c>
      <c r="K65" s="68">
        <f t="shared" si="18"/>
        <v>0.59999999999999787</v>
      </c>
      <c r="L65" s="68">
        <f t="shared" si="18"/>
        <v>0.59999999999999787</v>
      </c>
      <c r="M65" s="68" t="e">
        <f t="shared" si="18"/>
        <v>#N/A</v>
      </c>
      <c r="N65" s="68" t="e">
        <f t="shared" si="18"/>
        <v>#N/A</v>
      </c>
      <c r="O65" s="68" t="e">
        <f t="shared" si="18"/>
        <v>#N/A</v>
      </c>
      <c r="P65" s="68" t="e">
        <f t="shared" si="18"/>
        <v>#N/A</v>
      </c>
      <c r="Q65" s="68" t="e">
        <f t="shared" si="18"/>
        <v>#N/A</v>
      </c>
      <c r="R65" s="68" t="e">
        <f t="shared" si="18"/>
        <v>#N/A</v>
      </c>
      <c r="S65" s="68" t="e">
        <f t="shared" si="18"/>
        <v>#N/A</v>
      </c>
      <c r="T65" s="68" t="e">
        <f t="shared" si="18"/>
        <v>#N/A</v>
      </c>
      <c r="U65" s="68" t="e">
        <f t="shared" si="18"/>
        <v>#N/A</v>
      </c>
    </row>
    <row r="66" spans="1:21" ht="26" x14ac:dyDescent="0.3">
      <c r="A66" s="101" t="s">
        <v>148</v>
      </c>
      <c r="B66" s="69" t="str">
        <f>IF(B64&lt;=B63,"OVER","UNDER")</f>
        <v>UNDER</v>
      </c>
      <c r="C66" s="69" t="str">
        <f t="shared" ref="C66:U66" si="19">IF(C64&lt;=C63,"OVER","UNDER")</f>
        <v>OVER</v>
      </c>
      <c r="D66" s="69" t="str">
        <f t="shared" si="19"/>
        <v>OVER</v>
      </c>
      <c r="E66" s="69" t="str">
        <f t="shared" si="19"/>
        <v>OVER</v>
      </c>
      <c r="F66" s="69" t="str">
        <f t="shared" si="19"/>
        <v>OVER</v>
      </c>
      <c r="G66" s="69" t="str">
        <f t="shared" si="19"/>
        <v>OVER</v>
      </c>
      <c r="H66" s="69" t="str">
        <f t="shared" si="19"/>
        <v>OVER</v>
      </c>
      <c r="I66" s="69" t="str">
        <f t="shared" si="19"/>
        <v>OVER</v>
      </c>
      <c r="J66" s="69" t="str">
        <f t="shared" si="19"/>
        <v>OVER</v>
      </c>
      <c r="K66" s="69" t="str">
        <f t="shared" si="19"/>
        <v>OVER</v>
      </c>
      <c r="L66" s="69" t="str">
        <f t="shared" si="19"/>
        <v>OVER</v>
      </c>
      <c r="M66" s="69" t="e">
        <f t="shared" si="19"/>
        <v>#N/A</v>
      </c>
      <c r="N66" s="69" t="e">
        <f t="shared" si="19"/>
        <v>#N/A</v>
      </c>
      <c r="O66" s="69" t="e">
        <f t="shared" si="19"/>
        <v>#N/A</v>
      </c>
      <c r="P66" s="69" t="e">
        <f t="shared" si="19"/>
        <v>#N/A</v>
      </c>
      <c r="Q66" s="69" t="e">
        <f t="shared" si="19"/>
        <v>#N/A</v>
      </c>
      <c r="R66" s="69" t="e">
        <f t="shared" si="19"/>
        <v>#N/A</v>
      </c>
      <c r="S66" s="69" t="e">
        <f t="shared" si="19"/>
        <v>#N/A</v>
      </c>
      <c r="T66" s="69" t="e">
        <f t="shared" si="19"/>
        <v>#N/A</v>
      </c>
      <c r="U66" s="69" t="e">
        <f t="shared" si="19"/>
        <v>#N/A</v>
      </c>
    </row>
  </sheetData>
  <sheetProtection algorithmName="SHA-512" hashValue="O8/b7DXBL/Nj6nccu4LefnDo/mM+EHj7798jAq9a6UyS7funsKzsiT6BGaobuiBjAASKO0StqVhGp5lsYW/G1A==" saltValue="+2SvsxWpO8Tod2DXT6brKA=="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83" priority="36" operator="greaterThan">
      <formula>$B$51</formula>
    </cfRule>
  </conditionalFormatting>
  <conditionalFormatting sqref="B66:U66">
    <cfRule type="cellIs" dxfId="82" priority="11" operator="equal">
      <formula>"UNDER"</formula>
    </cfRule>
    <cfRule type="cellIs" dxfId="81" priority="12" operator="equal">
      <formula>"OVER"</formula>
    </cfRule>
  </conditionalFormatting>
  <conditionalFormatting sqref="C31:C50">
    <cfRule type="cellIs" dxfId="80" priority="35" operator="greaterThan">
      <formula>$C$51</formula>
    </cfRule>
  </conditionalFormatting>
  <conditionalFormatting sqref="C17:V19">
    <cfRule type="cellIs" dxfId="79" priority="32" operator="equal">
      <formula>0</formula>
    </cfRule>
  </conditionalFormatting>
  <conditionalFormatting sqref="C20:V21">
    <cfRule type="cellIs" dxfId="78" priority="37" operator="equal">
      <formula>"DECREASE"</formula>
    </cfRule>
    <cfRule type="cellIs" dxfId="77" priority="38" operator="equal">
      <formula>"INCREASE"</formula>
    </cfRule>
  </conditionalFormatting>
  <conditionalFormatting sqref="C21:V21">
    <cfRule type="cellIs" dxfId="76" priority="13" operator="equal">
      <formula>0</formula>
    </cfRule>
  </conditionalFormatting>
  <conditionalFormatting sqref="C22:V23">
    <cfRule type="cellIs" dxfId="75" priority="17" operator="equal">
      <formula>0</formula>
    </cfRule>
  </conditionalFormatting>
  <conditionalFormatting sqref="C24:V24">
    <cfRule type="cellIs" dxfId="74" priority="18" operator="equal">
      <formula>"DECREASE"</formula>
    </cfRule>
    <cfRule type="cellIs" dxfId="73" priority="19" operator="equal">
      <formula>"INCREASE"</formula>
    </cfRule>
  </conditionalFormatting>
  <conditionalFormatting sqref="G31:G50">
    <cfRule type="cellIs" dxfId="72" priority="31" operator="greaterThan">
      <formula>$G$51</formula>
    </cfRule>
  </conditionalFormatting>
  <conditionalFormatting sqref="H31:H50">
    <cfRule type="cellIs" dxfId="71" priority="30" operator="greaterThan">
      <formula>$H$51</formula>
    </cfRule>
  </conditionalFormatting>
  <conditionalFormatting sqref="I1">
    <cfRule type="cellIs" dxfId="70" priority="3" operator="between">
      <formula>0.1</formula>
      <formula>5</formula>
    </cfRule>
  </conditionalFormatting>
  <conditionalFormatting sqref="I2">
    <cfRule type="cellIs" dxfId="69" priority="2" operator="greaterThan">
      <formula>5000.1</formula>
    </cfRule>
  </conditionalFormatting>
  <conditionalFormatting sqref="I3">
    <cfRule type="cellIs" dxfId="68" priority="1" operator="greaterThan">
      <formula>40000.01</formula>
    </cfRule>
  </conditionalFormatting>
  <conditionalFormatting sqref="I31:I50">
    <cfRule type="cellIs" dxfId="67" priority="29" operator="greaterThan">
      <formula>$I$51</formula>
    </cfRule>
  </conditionalFormatting>
  <conditionalFormatting sqref="J31:J50">
    <cfRule type="cellIs" dxfId="66" priority="8" operator="greaterThan">
      <formula>$J$51</formula>
    </cfRule>
  </conditionalFormatting>
  <conditionalFormatting sqref="K31:K50">
    <cfRule type="cellIs" dxfId="65" priority="28" operator="greaterThan">
      <formula>$K$51</formula>
    </cfRule>
  </conditionalFormatting>
  <conditionalFormatting sqref="L3">
    <cfRule type="cellIs" dxfId="64" priority="4" operator="lessThan">
      <formula>30</formula>
    </cfRule>
    <cfRule type="cellIs" dxfId="63" priority="5" operator="greaterThanOrEqual">
      <formula>30</formula>
    </cfRule>
  </conditionalFormatting>
  <conditionalFormatting sqref="L31:L50">
    <cfRule type="cellIs" dxfId="62" priority="27" operator="greaterThan">
      <formula>$L$51</formula>
    </cfRule>
  </conditionalFormatting>
  <conditionalFormatting sqref="M31:M50">
    <cfRule type="cellIs" dxfId="61" priority="26" operator="greaterThan">
      <formula>$M$51</formula>
    </cfRule>
  </conditionalFormatting>
  <conditionalFormatting sqref="P31:P50">
    <cfRule type="cellIs" dxfId="60" priority="25" operator="greaterThan">
      <formula>$P$51</formula>
    </cfRule>
  </conditionalFormatting>
  <conditionalFormatting sqref="R31:R50">
    <cfRule type="cellIs" dxfId="59" priority="24" operator="greaterThan">
      <formula>$R$51</formula>
    </cfRule>
  </conditionalFormatting>
  <conditionalFormatting sqref="S31:S50">
    <cfRule type="cellIs" dxfId="58" priority="23" operator="greaterThan">
      <formula>$S$51</formula>
    </cfRule>
  </conditionalFormatting>
  <conditionalFormatting sqref="T31:T50">
    <cfRule type="cellIs" dxfId="57" priority="22" operator="greaterThan">
      <formula>$T$51</formula>
    </cfRule>
  </conditionalFormatting>
  <conditionalFormatting sqref="U31:U50">
    <cfRule type="cellIs" dxfId="56" priority="21" operator="greaterThan">
      <formula>$U$51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zoomScale="90" zoomScaleNormal="90" workbookViewId="0">
      <selection activeCell="T30" sqref="T30"/>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06" t="s">
        <v>41</v>
      </c>
      <c r="B1" s="106"/>
      <c r="C1" s="127" t="str">
        <f>Newcastle!C1:D1</f>
        <v>PAN-026945</v>
      </c>
      <c r="D1" s="128"/>
      <c r="E1" s="83" t="s">
        <v>45</v>
      </c>
      <c r="F1" s="32">
        <f>Newcastle!F1</f>
        <v>47.3</v>
      </c>
      <c r="G1" s="107" t="s">
        <v>43</v>
      </c>
      <c r="H1" s="108"/>
      <c r="I1" s="86">
        <v>6.7</v>
      </c>
      <c r="J1" s="106" t="s">
        <v>153</v>
      </c>
      <c r="K1" s="106"/>
      <c r="L1" s="86">
        <v>310</v>
      </c>
      <c r="AB1" s="14"/>
      <c r="AC1" s="14"/>
      <c r="AD1" s="23" t="s">
        <v>126</v>
      </c>
      <c r="AE1" s="14"/>
      <c r="AF1" s="14"/>
      <c r="AG1" s="14"/>
      <c r="AH1" s="14"/>
      <c r="AI1" s="33" t="s">
        <v>79</v>
      </c>
      <c r="AJ1" s="34" t="s">
        <v>94</v>
      </c>
      <c r="AK1" s="35" t="s">
        <v>95</v>
      </c>
      <c r="AL1" s="36" t="s">
        <v>125</v>
      </c>
      <c r="AM1" s="36" t="s">
        <v>131</v>
      </c>
      <c r="AN1" s="36" t="s">
        <v>111</v>
      </c>
    </row>
    <row r="2" spans="1:41" ht="12.75" customHeight="1" x14ac:dyDescent="0.3">
      <c r="A2" s="106" t="s">
        <v>87</v>
      </c>
      <c r="B2" s="106"/>
      <c r="C2" s="129" t="str">
        <f>Newcastle!C2:D2</f>
        <v>EPR/AB3891CX</v>
      </c>
      <c r="D2" s="130"/>
      <c r="E2" s="83" t="s">
        <v>109</v>
      </c>
      <c r="F2" s="86" t="s">
        <v>180</v>
      </c>
      <c r="G2" s="125" t="s">
        <v>110</v>
      </c>
      <c r="H2" s="126"/>
      <c r="I2" s="86"/>
      <c r="J2" s="106" t="s">
        <v>158</v>
      </c>
      <c r="K2" s="106"/>
      <c r="L2" s="86">
        <v>1.52</v>
      </c>
      <c r="AB2" s="23" t="s">
        <v>56</v>
      </c>
      <c r="AC2" s="14"/>
      <c r="AD2" s="23" t="s">
        <v>70</v>
      </c>
      <c r="AE2" s="14"/>
      <c r="AF2" s="14"/>
      <c r="AG2" s="37" t="s">
        <v>76</v>
      </c>
      <c r="AH2" s="14"/>
      <c r="AI2" s="38" t="s">
        <v>126</v>
      </c>
      <c r="AJ2" s="39">
        <v>0</v>
      </c>
      <c r="AK2" s="40">
        <v>0</v>
      </c>
      <c r="AL2" s="7">
        <v>0</v>
      </c>
      <c r="AM2" s="9">
        <v>0</v>
      </c>
      <c r="AN2" s="9">
        <v>0</v>
      </c>
    </row>
    <row r="3" spans="1:41" ht="13" x14ac:dyDescent="0.25">
      <c r="A3" s="107" t="s">
        <v>42</v>
      </c>
      <c r="B3" s="108"/>
      <c r="C3" s="129" t="str">
        <f>Newcastle!C3:D3</f>
        <v xml:space="preserve">Mr Daniel James and Mrs Carys James </v>
      </c>
      <c r="D3" s="130"/>
      <c r="E3" s="83" t="s">
        <v>108</v>
      </c>
      <c r="F3" s="24" t="s">
        <v>78</v>
      </c>
      <c r="G3" s="106" t="s">
        <v>159</v>
      </c>
      <c r="H3" s="106"/>
      <c r="I3" s="86"/>
      <c r="J3" s="107" t="s">
        <v>154</v>
      </c>
      <c r="K3" s="108"/>
      <c r="L3" s="86">
        <f>(L1/(L2*10000))*100</f>
        <v>2.0394736842105265</v>
      </c>
      <c r="AB3" s="23" t="s">
        <v>57</v>
      </c>
      <c r="AC3" s="14"/>
      <c r="AD3" s="23" t="s">
        <v>71</v>
      </c>
      <c r="AE3" s="14"/>
      <c r="AF3" s="14"/>
      <c r="AG3" s="37" t="s">
        <v>77</v>
      </c>
      <c r="AH3" s="14"/>
      <c r="AI3" s="41" t="s">
        <v>113</v>
      </c>
      <c r="AJ3" s="42">
        <v>1.7</v>
      </c>
      <c r="AK3" s="43">
        <v>6</v>
      </c>
      <c r="AL3" s="44">
        <v>1</v>
      </c>
      <c r="AM3" s="9">
        <v>6.2</v>
      </c>
      <c r="AN3" s="9" t="s">
        <v>112</v>
      </c>
    </row>
    <row r="4" spans="1:41" ht="13" x14ac:dyDescent="0.25">
      <c r="A4" s="106" t="s">
        <v>0</v>
      </c>
      <c r="B4" s="106"/>
      <c r="C4" s="127" t="str">
        <f>Newcastle!C4:D4</f>
        <v>Hafod Fram, Ferwig, Cardigan, Ceredigion, SA43 1PU</v>
      </c>
      <c r="D4" s="128"/>
      <c r="E4" s="84" t="s">
        <v>1</v>
      </c>
      <c r="F4" s="86" t="s">
        <v>185</v>
      </c>
      <c r="G4" s="107"/>
      <c r="H4" s="108"/>
      <c r="I4" s="32"/>
      <c r="J4" s="107"/>
      <c r="K4" s="108"/>
      <c r="L4" s="86"/>
      <c r="AB4" s="23" t="s">
        <v>52</v>
      </c>
      <c r="AC4" s="14"/>
      <c r="AD4" s="45" t="s">
        <v>72</v>
      </c>
      <c r="AE4" s="14"/>
      <c r="AF4" s="14"/>
      <c r="AG4" s="37" t="s">
        <v>78</v>
      </c>
      <c r="AH4" s="14"/>
      <c r="AI4" s="46" t="s">
        <v>124</v>
      </c>
      <c r="AJ4" s="47">
        <v>7</v>
      </c>
      <c r="AK4" s="48">
        <v>10.5</v>
      </c>
      <c r="AL4" s="9">
        <v>2</v>
      </c>
      <c r="AM4" s="9">
        <v>6.7</v>
      </c>
      <c r="AN4" s="9" t="s">
        <v>135</v>
      </c>
    </row>
    <row r="5" spans="1:41" ht="13" x14ac:dyDescent="0.25">
      <c r="A5" s="106" t="s">
        <v>47</v>
      </c>
      <c r="B5" s="106"/>
      <c r="C5" s="127" t="str">
        <f>Newcastle!C5:D5</f>
        <v>Megan Tucker</v>
      </c>
      <c r="D5" s="128"/>
      <c r="E5" s="83"/>
      <c r="F5" s="32"/>
      <c r="G5" s="107"/>
      <c r="H5" s="108"/>
      <c r="I5" s="32"/>
      <c r="J5" s="107"/>
      <c r="K5" s="108"/>
      <c r="L5" s="86"/>
      <c r="AB5" s="23" t="s">
        <v>53</v>
      </c>
      <c r="AC5" s="14"/>
      <c r="AD5" s="45" t="s">
        <v>73</v>
      </c>
      <c r="AE5" s="14"/>
      <c r="AF5" s="14"/>
      <c r="AG5" s="37" t="s">
        <v>104</v>
      </c>
      <c r="AH5" s="14"/>
      <c r="AI5" s="46" t="s">
        <v>123</v>
      </c>
      <c r="AJ5" s="47">
        <v>6.5</v>
      </c>
      <c r="AK5" s="48">
        <v>5.5</v>
      </c>
      <c r="AL5" s="9">
        <v>3</v>
      </c>
      <c r="AM5" s="9">
        <v>6.7</v>
      </c>
      <c r="AN5" s="9" t="s">
        <v>135</v>
      </c>
    </row>
    <row r="6" spans="1:41" x14ac:dyDescent="0.25">
      <c r="A6" s="49"/>
      <c r="B6" s="49"/>
      <c r="F6" s="50"/>
      <c r="G6" s="50"/>
      <c r="H6" s="51"/>
      <c r="I6" s="51"/>
      <c r="J6" s="51"/>
      <c r="AB6" s="23" t="s">
        <v>54</v>
      </c>
      <c r="AC6" s="14"/>
      <c r="AD6" s="45" t="s">
        <v>74</v>
      </c>
      <c r="AE6" s="14"/>
      <c r="AF6" s="14"/>
      <c r="AG6" s="14"/>
      <c r="AH6" s="14"/>
      <c r="AI6" s="46" t="s">
        <v>68</v>
      </c>
      <c r="AJ6" s="47">
        <v>8.5</v>
      </c>
      <c r="AK6" s="48">
        <v>12</v>
      </c>
      <c r="AL6" s="9">
        <v>4</v>
      </c>
      <c r="AM6" s="9">
        <v>6.7</v>
      </c>
      <c r="AN6" s="9" t="s">
        <v>135</v>
      </c>
    </row>
    <row r="7" spans="1:41" s="7" customFormat="1" ht="13" x14ac:dyDescent="0.25">
      <c r="A7" s="112" t="s">
        <v>63</v>
      </c>
      <c r="B7" s="112"/>
      <c r="C7" s="10">
        <v>1</v>
      </c>
      <c r="D7" s="10">
        <v>2</v>
      </c>
      <c r="E7" s="10">
        <v>3</v>
      </c>
      <c r="F7" s="10">
        <v>4</v>
      </c>
      <c r="G7" s="10">
        <v>5</v>
      </c>
      <c r="H7" s="10">
        <v>6</v>
      </c>
      <c r="I7" s="10">
        <v>7</v>
      </c>
      <c r="J7" s="10">
        <v>8</v>
      </c>
      <c r="K7" s="10">
        <v>9</v>
      </c>
      <c r="L7" s="10">
        <v>10</v>
      </c>
      <c r="M7" s="10">
        <v>11</v>
      </c>
      <c r="N7" s="10">
        <v>12</v>
      </c>
      <c r="O7" s="10">
        <v>13</v>
      </c>
      <c r="P7" s="10">
        <v>14</v>
      </c>
      <c r="Q7" s="10">
        <v>15</v>
      </c>
      <c r="R7" s="10">
        <v>16</v>
      </c>
      <c r="S7" s="10">
        <v>17</v>
      </c>
      <c r="T7" s="10">
        <v>18</v>
      </c>
      <c r="U7" s="10">
        <v>19</v>
      </c>
      <c r="V7" s="10">
        <v>20</v>
      </c>
      <c r="AB7" s="23" t="s">
        <v>55</v>
      </c>
      <c r="AC7" s="14"/>
      <c r="AD7" s="14"/>
      <c r="AE7" s="14"/>
      <c r="AF7" s="14"/>
      <c r="AG7" s="14"/>
      <c r="AH7" s="14"/>
      <c r="AI7" s="46" t="s">
        <v>96</v>
      </c>
      <c r="AJ7" s="47">
        <v>8.5</v>
      </c>
      <c r="AK7" s="48">
        <v>10.5</v>
      </c>
      <c r="AL7" s="9">
        <v>5</v>
      </c>
      <c r="AM7" s="7">
        <v>6.7</v>
      </c>
      <c r="AN7" s="9" t="s">
        <v>135</v>
      </c>
      <c r="AO7" s="88"/>
    </row>
    <row r="8" spans="1:41" ht="13" x14ac:dyDescent="0.25">
      <c r="A8" s="106" t="s">
        <v>2</v>
      </c>
      <c r="B8" s="106"/>
      <c r="C8" s="52" t="str">
        <f>Newcastle!C8</f>
        <v>Nant Y Croi 9</v>
      </c>
      <c r="D8" s="52" t="str">
        <f>Newcastle!D8</f>
        <v>Hafod 4315</v>
      </c>
      <c r="E8" s="52" t="str">
        <f>Newcastle!E8</f>
        <v>Hafod 4734</v>
      </c>
      <c r="F8" s="52" t="str">
        <f>Newcastle!F8</f>
        <v>Hafod 5761</v>
      </c>
      <c r="G8" s="52" t="str">
        <f>Newcastle!G8</f>
        <v>Hafod 4067</v>
      </c>
      <c r="H8" s="52" t="str">
        <f>Newcastle!H8</f>
        <v>Hafod 2455</v>
      </c>
      <c r="I8" s="52" t="str">
        <f>Newcastle!I8</f>
        <v>Hafod 1741</v>
      </c>
      <c r="J8" s="52" t="str">
        <f>Newcastle!J8</f>
        <v>Hafod 0720</v>
      </c>
      <c r="K8" s="52" t="str">
        <f>Newcastle!K8</f>
        <v>Solafron 2893</v>
      </c>
      <c r="L8" s="52" t="str">
        <f>Newcastle!L8</f>
        <v>Solafron 2611</v>
      </c>
      <c r="M8" s="52" t="str">
        <f>Newcastle!M8</f>
        <v>Solafron 1404</v>
      </c>
      <c r="N8" s="52">
        <f>Newcastle!N8</f>
        <v>0</v>
      </c>
      <c r="O8" s="52">
        <f>Newcastle!O8</f>
        <v>0</v>
      </c>
      <c r="P8" s="52">
        <f>Newcastle!P8</f>
        <v>0</v>
      </c>
      <c r="Q8" s="52">
        <f>Newcastle!Q8</f>
        <v>0</v>
      </c>
      <c r="R8" s="52">
        <f>Newcastle!R8</f>
        <v>0</v>
      </c>
      <c r="S8" s="52">
        <f>Newcastle!S8</f>
        <v>0</v>
      </c>
      <c r="T8" s="52">
        <f>Newcastle!T8</f>
        <v>0</v>
      </c>
      <c r="U8" s="52">
        <f>Newcastle!U8</f>
        <v>0</v>
      </c>
      <c r="V8" s="52">
        <f>Newcastle!V8</f>
        <v>0</v>
      </c>
      <c r="AB8" s="53"/>
      <c r="AC8" s="53"/>
      <c r="AD8" s="14"/>
      <c r="AE8" s="14" t="s">
        <v>139</v>
      </c>
      <c r="AF8" s="14"/>
      <c r="AG8" s="14"/>
      <c r="AH8" s="14"/>
      <c r="AI8" s="46" t="s">
        <v>105</v>
      </c>
      <c r="AJ8" s="54">
        <v>1.4</v>
      </c>
      <c r="AK8" s="48">
        <v>4.4000000000000004</v>
      </c>
      <c r="AL8" s="9">
        <v>6</v>
      </c>
      <c r="AM8" s="9">
        <v>6.7</v>
      </c>
      <c r="AN8" s="9" t="s">
        <v>135</v>
      </c>
      <c r="AO8" s="14"/>
    </row>
    <row r="9" spans="1:41" ht="13" x14ac:dyDescent="0.25">
      <c r="A9" s="106" t="s">
        <v>3</v>
      </c>
      <c r="B9" s="106"/>
      <c r="C9" s="52" t="str">
        <f>Newcastle!C9</f>
        <v xml:space="preserve">Moderate </v>
      </c>
      <c r="D9" s="52" t="str">
        <f>Newcastle!D9</f>
        <v xml:space="preserve">Moderate </v>
      </c>
      <c r="E9" s="52" t="str">
        <f>Newcastle!E9</f>
        <v xml:space="preserve">Moderate </v>
      </c>
      <c r="F9" s="52" t="str">
        <f>Newcastle!F9</f>
        <v xml:space="preserve">Moderate </v>
      </c>
      <c r="G9" s="52" t="str">
        <f>Newcastle!G9</f>
        <v xml:space="preserve">Moderate </v>
      </c>
      <c r="H9" s="52" t="str">
        <f>Newcastle!H9</f>
        <v xml:space="preserve">Moderate </v>
      </c>
      <c r="I9" s="52" t="str">
        <f>Newcastle!I9</f>
        <v xml:space="preserve">Moderate </v>
      </c>
      <c r="J9" s="52" t="str">
        <f>Newcastle!J9</f>
        <v xml:space="preserve">Moderate </v>
      </c>
      <c r="K9" s="52" t="str">
        <f>Newcastle!K9</f>
        <v xml:space="preserve">Moderate </v>
      </c>
      <c r="L9" s="52" t="str">
        <f>Newcastle!L9</f>
        <v xml:space="preserve">Moderate </v>
      </c>
      <c r="M9" s="52" t="str">
        <f>Newcastle!M9</f>
        <v xml:space="preserve">Moderate </v>
      </c>
      <c r="N9" s="52">
        <f>Newcastle!N9</f>
        <v>0</v>
      </c>
      <c r="O9" s="52">
        <f>Newcastle!O9</f>
        <v>0</v>
      </c>
      <c r="P9" s="52">
        <f>Newcastle!P9</f>
        <v>0</v>
      </c>
      <c r="Q9" s="52">
        <f>Newcastle!Q9</f>
        <v>0</v>
      </c>
      <c r="R9" s="52">
        <f>Newcastle!R9</f>
        <v>0</v>
      </c>
      <c r="S9" s="52">
        <f>Newcastle!S9</f>
        <v>0</v>
      </c>
      <c r="T9" s="52">
        <f>Newcastle!T9</f>
        <v>0</v>
      </c>
      <c r="U9" s="52">
        <f>Newcastle!U9</f>
        <v>0</v>
      </c>
      <c r="V9" s="52">
        <f>Newcastle!V9</f>
        <v>0</v>
      </c>
      <c r="AB9" s="14"/>
      <c r="AC9" s="14"/>
      <c r="AD9" s="23" t="s">
        <v>137</v>
      </c>
      <c r="AE9" s="23">
        <v>4.5</v>
      </c>
      <c r="AF9" s="14"/>
      <c r="AG9" s="14"/>
      <c r="AH9" s="14"/>
      <c r="AI9" s="55" t="s">
        <v>103</v>
      </c>
      <c r="AJ9" s="56">
        <v>0.7</v>
      </c>
      <c r="AK9" s="57">
        <v>4</v>
      </c>
      <c r="AL9" s="22">
        <v>7</v>
      </c>
      <c r="AM9" s="9">
        <v>6.7</v>
      </c>
      <c r="AN9" s="9" t="s">
        <v>135</v>
      </c>
      <c r="AO9" s="88"/>
    </row>
    <row r="10" spans="1:41" ht="13" x14ac:dyDescent="0.25">
      <c r="A10" s="106" t="s">
        <v>4</v>
      </c>
      <c r="B10" s="106"/>
      <c r="C10" s="52">
        <f>Newcastle!C10</f>
        <v>5.4</v>
      </c>
      <c r="D10" s="52">
        <f>Newcastle!D10</f>
        <v>6.3</v>
      </c>
      <c r="E10" s="52">
        <f>Newcastle!E10</f>
        <v>6.3</v>
      </c>
      <c r="F10" s="52">
        <f>Newcastle!F10</f>
        <v>6.2</v>
      </c>
      <c r="G10" s="52">
        <f>Newcastle!G10</f>
        <v>6.2</v>
      </c>
      <c r="H10" s="52">
        <f>Newcastle!H10</f>
        <v>6.3</v>
      </c>
      <c r="I10" s="52">
        <f>Newcastle!I10</f>
        <v>6.3</v>
      </c>
      <c r="J10" s="52">
        <f>Newcastle!J10</f>
        <v>6.2</v>
      </c>
      <c r="K10" s="52">
        <f>Newcastle!K10</f>
        <v>6.3</v>
      </c>
      <c r="L10" s="52">
        <f>Newcastle!L10</f>
        <v>6.3</v>
      </c>
      <c r="M10" s="52">
        <f>Newcastle!M10</f>
        <v>6.3</v>
      </c>
      <c r="N10" s="52">
        <f>Newcastle!N10</f>
        <v>0</v>
      </c>
      <c r="O10" s="52">
        <f>Newcastle!O10</f>
        <v>0</v>
      </c>
      <c r="P10" s="52">
        <f>Newcastle!P10</f>
        <v>0</v>
      </c>
      <c r="Q10" s="52">
        <f>Newcastle!Q10</f>
        <v>0</v>
      </c>
      <c r="R10" s="52">
        <f>Newcastle!R10</f>
        <v>0</v>
      </c>
      <c r="S10" s="52">
        <f>Newcastle!S10</f>
        <v>0</v>
      </c>
      <c r="T10" s="52">
        <f>Newcastle!T10</f>
        <v>0</v>
      </c>
      <c r="U10" s="52">
        <f>Newcastle!U10</f>
        <v>0</v>
      </c>
      <c r="V10" s="52">
        <f>Newcastle!V10</f>
        <v>0</v>
      </c>
      <c r="AB10" s="14"/>
      <c r="AC10" s="14"/>
      <c r="AD10" s="23" t="s">
        <v>140</v>
      </c>
      <c r="AE10" s="23">
        <v>5</v>
      </c>
      <c r="AF10" s="14"/>
      <c r="AG10" s="14"/>
      <c r="AH10" s="14"/>
      <c r="AI10" s="46" t="s">
        <v>97</v>
      </c>
      <c r="AJ10" s="47">
        <v>9</v>
      </c>
      <c r="AK10" s="48">
        <v>16.5</v>
      </c>
      <c r="AL10" s="9">
        <v>8</v>
      </c>
      <c r="AM10" s="9">
        <v>6.7</v>
      </c>
      <c r="AN10" s="9" t="s">
        <v>135</v>
      </c>
    </row>
    <row r="11" spans="1:41" ht="13" x14ac:dyDescent="0.25">
      <c r="A11" s="106" t="s">
        <v>5</v>
      </c>
      <c r="B11" s="106"/>
      <c r="C11" s="52">
        <f>Newcastle!C11</f>
        <v>2</v>
      </c>
      <c r="D11" s="52">
        <f>Newcastle!D11</f>
        <v>2</v>
      </c>
      <c r="E11" s="52">
        <f>Newcastle!E11</f>
        <v>2</v>
      </c>
      <c r="F11" s="52">
        <f>Newcastle!F11</f>
        <v>1</v>
      </c>
      <c r="G11" s="52">
        <f>Newcastle!G11</f>
        <v>2</v>
      </c>
      <c r="H11" s="52">
        <f>Newcastle!H11</f>
        <v>2</v>
      </c>
      <c r="I11" s="52">
        <f>Newcastle!I11</f>
        <v>2</v>
      </c>
      <c r="J11" s="52">
        <f>Newcastle!J11</f>
        <v>2</v>
      </c>
      <c r="K11" s="52">
        <f>Newcastle!K11</f>
        <v>2</v>
      </c>
      <c r="L11" s="52">
        <f>Newcastle!L11</f>
        <v>2</v>
      </c>
      <c r="M11" s="52">
        <f>Newcastle!M11</f>
        <v>2</v>
      </c>
      <c r="N11" s="52">
        <f>Newcastle!N11</f>
        <v>0</v>
      </c>
      <c r="O11" s="52">
        <f>Newcastle!O11</f>
        <v>0</v>
      </c>
      <c r="P11" s="52">
        <f>Newcastle!P11</f>
        <v>0</v>
      </c>
      <c r="Q11" s="52">
        <f>Newcastle!Q11</f>
        <v>0</v>
      </c>
      <c r="R11" s="52">
        <f>Newcastle!R11</f>
        <v>0</v>
      </c>
      <c r="S11" s="52">
        <f>Newcastle!S11</f>
        <v>0</v>
      </c>
      <c r="T11" s="52">
        <f>Newcastle!T11</f>
        <v>0</v>
      </c>
      <c r="U11" s="52">
        <f>Newcastle!U11</f>
        <v>0</v>
      </c>
      <c r="V11" s="52">
        <f>Newcastle!V11</f>
        <v>0</v>
      </c>
      <c r="AB11" s="14"/>
      <c r="AC11" s="14"/>
      <c r="AD11" s="45" t="s">
        <v>141</v>
      </c>
      <c r="AE11" s="23">
        <v>6</v>
      </c>
      <c r="AF11" s="14"/>
      <c r="AG11" s="14"/>
      <c r="AH11" s="14"/>
      <c r="AI11" s="46" t="s">
        <v>122</v>
      </c>
      <c r="AJ11" s="47">
        <v>15</v>
      </c>
      <c r="AK11" s="48">
        <v>17.5</v>
      </c>
      <c r="AL11" s="9">
        <v>9</v>
      </c>
      <c r="AM11" s="9">
        <v>7</v>
      </c>
      <c r="AN11" s="9" t="s">
        <v>135</v>
      </c>
    </row>
    <row r="12" spans="1:41" ht="13" x14ac:dyDescent="0.25">
      <c r="A12" s="106" t="s">
        <v>6</v>
      </c>
      <c r="B12" s="106"/>
      <c r="C12" s="52">
        <f>Newcastle!C12</f>
        <v>1</v>
      </c>
      <c r="D12" s="52">
        <f>Newcastle!D12</f>
        <v>2</v>
      </c>
      <c r="E12" s="52">
        <f>Newcastle!E12</f>
        <v>1</v>
      </c>
      <c r="F12" s="52">
        <f>Newcastle!F12</f>
        <v>2</v>
      </c>
      <c r="G12" s="52">
        <f>Newcastle!G12</f>
        <v>2</v>
      </c>
      <c r="H12" s="52">
        <f>Newcastle!H12</f>
        <v>1</v>
      </c>
      <c r="I12" s="52">
        <f>Newcastle!I12</f>
        <v>2</v>
      </c>
      <c r="J12" s="52">
        <f>Newcastle!J12</f>
        <v>1</v>
      </c>
      <c r="K12" s="52">
        <f>Newcastle!K12</f>
        <v>2</v>
      </c>
      <c r="L12" s="52">
        <f>Newcastle!L12</f>
        <v>2</v>
      </c>
      <c r="M12" s="52">
        <f>Newcastle!M12</f>
        <v>1</v>
      </c>
      <c r="N12" s="52">
        <f>Newcastle!N12</f>
        <v>0</v>
      </c>
      <c r="O12" s="52">
        <f>Newcastle!O12</f>
        <v>0</v>
      </c>
      <c r="P12" s="52">
        <f>Newcastle!P12</f>
        <v>0</v>
      </c>
      <c r="Q12" s="52">
        <f>Newcastle!Q12</f>
        <v>0</v>
      </c>
      <c r="R12" s="52">
        <f>Newcastle!R12</f>
        <v>0</v>
      </c>
      <c r="S12" s="52">
        <f>Newcastle!S12</f>
        <v>0</v>
      </c>
      <c r="T12" s="52">
        <f>Newcastle!T12</f>
        <v>0</v>
      </c>
      <c r="U12" s="52">
        <f>Newcastle!U12</f>
        <v>0</v>
      </c>
      <c r="V12" s="52">
        <f>Newcastle!V12</f>
        <v>0</v>
      </c>
      <c r="AB12" s="14"/>
      <c r="AC12" s="14"/>
      <c r="AD12" s="45" t="s">
        <v>142</v>
      </c>
      <c r="AE12" s="23">
        <v>7.5</v>
      </c>
      <c r="AF12" s="14"/>
      <c r="AG12" s="14"/>
      <c r="AH12" s="14"/>
      <c r="AI12" s="46" t="s">
        <v>121</v>
      </c>
      <c r="AJ12" s="47">
        <v>14</v>
      </c>
      <c r="AK12" s="48">
        <v>11</v>
      </c>
      <c r="AL12" s="9">
        <v>10</v>
      </c>
      <c r="AM12" s="9">
        <v>7</v>
      </c>
      <c r="AN12" s="9" t="s">
        <v>135</v>
      </c>
    </row>
    <row r="13" spans="1:41" ht="13" x14ac:dyDescent="0.25">
      <c r="A13" s="106" t="s">
        <v>7</v>
      </c>
      <c r="B13" s="106"/>
      <c r="C13" s="52">
        <f>Newcastle!C13</f>
        <v>3</v>
      </c>
      <c r="D13" s="52">
        <f>Newcastle!D13</f>
        <v>5</v>
      </c>
      <c r="E13" s="52">
        <f>Newcastle!E13</f>
        <v>5</v>
      </c>
      <c r="F13" s="52">
        <f>Newcastle!F13</f>
        <v>5</v>
      </c>
      <c r="G13" s="52">
        <f>Newcastle!G13</f>
        <v>5</v>
      </c>
      <c r="H13" s="52">
        <f>Newcastle!H13</f>
        <v>5</v>
      </c>
      <c r="I13" s="52">
        <f>Newcastle!I13</f>
        <v>5</v>
      </c>
      <c r="J13" s="52">
        <f>Newcastle!J13</f>
        <v>5</v>
      </c>
      <c r="K13" s="52">
        <f>Newcastle!K13</f>
        <v>5</v>
      </c>
      <c r="L13" s="52">
        <f>Newcastle!L13</f>
        <v>5</v>
      </c>
      <c r="M13" s="52">
        <f>Newcastle!M13</f>
        <v>5</v>
      </c>
      <c r="N13" s="52">
        <f>Newcastle!N13</f>
        <v>0</v>
      </c>
      <c r="O13" s="52">
        <f>Newcastle!O13</f>
        <v>0</v>
      </c>
      <c r="P13" s="52">
        <f>Newcastle!P13</f>
        <v>0</v>
      </c>
      <c r="Q13" s="52">
        <f>Newcastle!Q13</f>
        <v>0</v>
      </c>
      <c r="R13" s="52">
        <f>Newcastle!R13</f>
        <v>0</v>
      </c>
      <c r="S13" s="52">
        <f>Newcastle!S13</f>
        <v>0</v>
      </c>
      <c r="T13" s="52">
        <f>Newcastle!T13</f>
        <v>0</v>
      </c>
      <c r="U13" s="52">
        <f>Newcastle!U13</f>
        <v>0</v>
      </c>
      <c r="V13" s="52">
        <f>Newcastle!V13</f>
        <v>0</v>
      </c>
      <c r="AB13" s="14"/>
      <c r="AC13" s="14"/>
      <c r="AD13" s="45" t="s">
        <v>143</v>
      </c>
      <c r="AE13" s="23">
        <v>12</v>
      </c>
      <c r="AF13" s="14"/>
      <c r="AG13" s="14"/>
      <c r="AH13" s="14"/>
      <c r="AI13" s="46" t="s">
        <v>120</v>
      </c>
      <c r="AJ13" s="47">
        <v>1.9</v>
      </c>
      <c r="AK13" s="48">
        <v>7.5</v>
      </c>
      <c r="AL13" s="9">
        <v>11</v>
      </c>
      <c r="AM13" s="9">
        <v>6.7</v>
      </c>
      <c r="AN13" s="9" t="s">
        <v>135</v>
      </c>
    </row>
    <row r="14" spans="1:41" ht="13" x14ac:dyDescent="0.25">
      <c r="A14" s="118" t="s">
        <v>8</v>
      </c>
      <c r="B14" s="118"/>
      <c r="C14" s="91" t="str">
        <f>Newcastle!C14</f>
        <v xml:space="preserve">Grass Silage (25% DM) </v>
      </c>
      <c r="D14" s="91" t="str">
        <f>Newcastle!D14</f>
        <v xml:space="preserve">Grass Silage (25% DM) </v>
      </c>
      <c r="E14" s="91" t="str">
        <f>Newcastle!E14</f>
        <v xml:space="preserve">Grass Silage (25% DM) </v>
      </c>
      <c r="F14" s="91" t="str">
        <f>Newcastle!F14</f>
        <v xml:space="preserve">Grass Silage (25% DM) </v>
      </c>
      <c r="G14" s="91" t="str">
        <f>Newcastle!G14</f>
        <v xml:space="preserve">Grass Silage (25% DM) </v>
      </c>
      <c r="H14" s="91" t="str">
        <f>Newcastle!H14</f>
        <v xml:space="preserve">Grass Silage (25% DM) </v>
      </c>
      <c r="I14" s="91" t="str">
        <f>Newcastle!I14</f>
        <v xml:space="preserve">Grass Silage (25% DM) </v>
      </c>
      <c r="J14" s="91" t="str">
        <f>Newcastle!J14</f>
        <v xml:space="preserve">Grass Silage (25% DM) </v>
      </c>
      <c r="K14" s="91" t="str">
        <f>Newcastle!K14</f>
        <v xml:space="preserve">Grass Silage (25% DM) </v>
      </c>
      <c r="L14" s="91" t="str">
        <f>Newcastle!L14</f>
        <v xml:space="preserve">Grass Silage (25% DM) </v>
      </c>
      <c r="M14" s="91" t="str">
        <f>Newcastle!M14</f>
        <v xml:space="preserve">Grass Silage (25% DM) </v>
      </c>
      <c r="N14" s="91">
        <f>Newcastle!N14</f>
        <v>0</v>
      </c>
      <c r="O14" s="91">
        <f>Newcastle!O14</f>
        <v>0</v>
      </c>
      <c r="P14" s="91">
        <f>Newcastle!P14</f>
        <v>0</v>
      </c>
      <c r="Q14" s="91">
        <f>Newcastle!Q14</f>
        <v>0</v>
      </c>
      <c r="R14" s="91">
        <f>Newcastle!R14</f>
        <v>0</v>
      </c>
      <c r="S14" s="91">
        <f>Newcastle!S14</f>
        <v>0</v>
      </c>
      <c r="T14" s="91">
        <f>Newcastle!T14</f>
        <v>0</v>
      </c>
      <c r="U14" s="91">
        <f>Newcastle!U14</f>
        <v>0</v>
      </c>
      <c r="V14" s="91">
        <f>Newcastle!V14</f>
        <v>0</v>
      </c>
      <c r="AD14" s="23" t="s">
        <v>138</v>
      </c>
      <c r="AE14" s="23">
        <v>6</v>
      </c>
      <c r="AI14" s="46" t="s">
        <v>119</v>
      </c>
      <c r="AJ14" s="47">
        <v>0.8</v>
      </c>
      <c r="AK14" s="48">
        <v>1.7</v>
      </c>
      <c r="AL14" s="9">
        <v>12</v>
      </c>
      <c r="AM14" s="9">
        <v>6.7</v>
      </c>
      <c r="AN14" s="9" t="s">
        <v>135</v>
      </c>
    </row>
    <row r="15" spans="1:41" ht="13" x14ac:dyDescent="0.25">
      <c r="A15" s="117" t="s">
        <v>9</v>
      </c>
      <c r="B15" s="117"/>
      <c r="C15" s="52">
        <f>Newcastle!C15</f>
        <v>47</v>
      </c>
      <c r="D15" s="52">
        <f>Newcastle!D15</f>
        <v>47</v>
      </c>
      <c r="E15" s="52">
        <f>Newcastle!E15</f>
        <v>47</v>
      </c>
      <c r="F15" s="52">
        <f>Newcastle!F15</f>
        <v>47</v>
      </c>
      <c r="G15" s="52">
        <f>Newcastle!G15</f>
        <v>47</v>
      </c>
      <c r="H15" s="52">
        <f>Newcastle!H15</f>
        <v>47</v>
      </c>
      <c r="I15" s="52">
        <f>Newcastle!I15</f>
        <v>47</v>
      </c>
      <c r="J15" s="52">
        <f>Newcastle!J15</f>
        <v>47</v>
      </c>
      <c r="K15" s="52">
        <f>Newcastle!K15</f>
        <v>47</v>
      </c>
      <c r="L15" s="52">
        <f>Newcastle!L15</f>
        <v>47</v>
      </c>
      <c r="M15" s="52">
        <f>Newcastle!M15</f>
        <v>47</v>
      </c>
      <c r="N15" s="52">
        <f>Newcastle!N15</f>
        <v>0</v>
      </c>
      <c r="O15" s="52">
        <f>Newcastle!O15</f>
        <v>0</v>
      </c>
      <c r="P15" s="52">
        <f>Newcastle!P15</f>
        <v>0</v>
      </c>
      <c r="Q15" s="52">
        <f>Newcastle!Q15</f>
        <v>0</v>
      </c>
      <c r="R15" s="52">
        <f>Newcastle!R15</f>
        <v>0</v>
      </c>
      <c r="S15" s="52">
        <f>Newcastle!S15</f>
        <v>0</v>
      </c>
      <c r="T15" s="52">
        <f>Newcastle!T15</f>
        <v>0</v>
      </c>
      <c r="U15" s="52">
        <f>Newcastle!U15</f>
        <v>0</v>
      </c>
      <c r="V15" s="52">
        <f>Newcastle!V15</f>
        <v>0</v>
      </c>
      <c r="AD15" s="23" t="s">
        <v>144</v>
      </c>
      <c r="AE15" s="23">
        <v>7</v>
      </c>
      <c r="AI15" s="46" t="s">
        <v>101</v>
      </c>
      <c r="AJ15" s="54">
        <v>1.8</v>
      </c>
      <c r="AK15" s="48">
        <v>5.4</v>
      </c>
      <c r="AL15" s="9">
        <v>13</v>
      </c>
      <c r="AM15" s="9">
        <v>6.7</v>
      </c>
      <c r="AN15" s="9" t="s">
        <v>135</v>
      </c>
    </row>
    <row r="16" spans="1:41" ht="13.5" thickBot="1" x14ac:dyDescent="0.3">
      <c r="A16" s="119" t="s">
        <v>44</v>
      </c>
      <c r="B16" s="119"/>
      <c r="C16" s="92" t="str">
        <f>Newcastle!C16</f>
        <v>Medium/Clay</v>
      </c>
      <c r="D16" s="92" t="str">
        <f>Newcastle!D16</f>
        <v>Medium/Clay</v>
      </c>
      <c r="E16" s="92" t="str">
        <f>Newcastle!E16</f>
        <v>Medium/Clay</v>
      </c>
      <c r="F16" s="92" t="str">
        <f>Newcastle!F16</f>
        <v>Medium/Clay</v>
      </c>
      <c r="G16" s="92" t="str">
        <f>Newcastle!G16</f>
        <v>Medium/Clay</v>
      </c>
      <c r="H16" s="92" t="str">
        <f>Newcastle!H16</f>
        <v>Medium/Clay</v>
      </c>
      <c r="I16" s="92" t="str">
        <f>Newcastle!I16</f>
        <v>Medium/Clay</v>
      </c>
      <c r="J16" s="92" t="str">
        <f>Newcastle!J16</f>
        <v>Medium/Clay</v>
      </c>
      <c r="K16" s="92" t="str">
        <f>Newcastle!K16</f>
        <v>Medium/Clay</v>
      </c>
      <c r="L16" s="92" t="str">
        <f>Newcastle!L16</f>
        <v>Medium/Clay</v>
      </c>
      <c r="M16" s="92" t="str">
        <f>Newcastle!M16</f>
        <v>Medium/Clay</v>
      </c>
      <c r="N16" s="92">
        <f>Newcastle!N16</f>
        <v>0</v>
      </c>
      <c r="O16" s="92">
        <f>Newcastle!O16</f>
        <v>0</v>
      </c>
      <c r="P16" s="92">
        <f>Newcastle!P16</f>
        <v>0</v>
      </c>
      <c r="Q16" s="92">
        <f>Newcastle!Q16</f>
        <v>0</v>
      </c>
      <c r="R16" s="92">
        <f>Newcastle!R16</f>
        <v>0</v>
      </c>
      <c r="S16" s="92">
        <f>Newcastle!S16</f>
        <v>0</v>
      </c>
      <c r="T16" s="92">
        <f>Newcastle!T16</f>
        <v>0</v>
      </c>
      <c r="U16" s="92">
        <f>Newcastle!U16</f>
        <v>0</v>
      </c>
      <c r="V16" s="92">
        <f>Newcastle!V16</f>
        <v>0</v>
      </c>
      <c r="AD16" s="45" t="s">
        <v>145</v>
      </c>
      <c r="AE16" s="23">
        <v>8</v>
      </c>
      <c r="AI16" s="46" t="s">
        <v>118</v>
      </c>
      <c r="AJ16" s="47">
        <v>8</v>
      </c>
      <c r="AK16" s="48">
        <v>5.5</v>
      </c>
      <c r="AL16" s="7">
        <v>14</v>
      </c>
      <c r="AM16" s="9">
        <v>6.7</v>
      </c>
      <c r="AN16" s="9" t="s">
        <v>135</v>
      </c>
    </row>
    <row r="17" spans="1:40" ht="13" x14ac:dyDescent="0.25">
      <c r="A17" s="109" t="s">
        <v>69</v>
      </c>
      <c r="B17" s="110"/>
      <c r="C17" s="21">
        <f>(VLOOKUP(C$14,$AI2:$AK26,2,FALSE))*C$15</f>
        <v>79.899999999999991</v>
      </c>
      <c r="D17" s="21">
        <f t="shared" ref="D17:V17" si="0">(VLOOKUP(D$14,$AI2:$AK26,2,FALSE))*D$15</f>
        <v>79.899999999999991</v>
      </c>
      <c r="E17" s="21">
        <f t="shared" si="0"/>
        <v>79.899999999999991</v>
      </c>
      <c r="F17" s="21">
        <f t="shared" si="0"/>
        <v>79.899999999999991</v>
      </c>
      <c r="G17" s="21">
        <f t="shared" si="0"/>
        <v>79.899999999999991</v>
      </c>
      <c r="H17" s="21">
        <f t="shared" si="0"/>
        <v>79.899999999999991</v>
      </c>
      <c r="I17" s="21">
        <f t="shared" si="0"/>
        <v>79.899999999999991</v>
      </c>
      <c r="J17" s="21">
        <f t="shared" si="0"/>
        <v>79.899999999999991</v>
      </c>
      <c r="K17" s="21">
        <f t="shared" si="0"/>
        <v>79.899999999999991</v>
      </c>
      <c r="L17" s="21">
        <f t="shared" si="0"/>
        <v>79.899999999999991</v>
      </c>
      <c r="M17" s="21">
        <f t="shared" si="0"/>
        <v>79.899999999999991</v>
      </c>
      <c r="N17" s="21" t="e">
        <f t="shared" si="0"/>
        <v>#N/A</v>
      </c>
      <c r="O17" s="21" t="e">
        <f t="shared" si="0"/>
        <v>#N/A</v>
      </c>
      <c r="P17" s="21" t="e">
        <f t="shared" si="0"/>
        <v>#N/A</v>
      </c>
      <c r="Q17" s="21" t="e">
        <f t="shared" si="0"/>
        <v>#N/A</v>
      </c>
      <c r="R17" s="21" t="e">
        <f t="shared" si="0"/>
        <v>#N/A</v>
      </c>
      <c r="S17" s="21" t="e">
        <f t="shared" si="0"/>
        <v>#N/A</v>
      </c>
      <c r="T17" s="21" t="e">
        <f t="shared" si="0"/>
        <v>#N/A</v>
      </c>
      <c r="U17" s="21" t="e">
        <f t="shared" si="0"/>
        <v>#N/A</v>
      </c>
      <c r="V17" s="21" t="e">
        <f t="shared" si="0"/>
        <v>#N/A</v>
      </c>
      <c r="AD17" s="45" t="s">
        <v>146</v>
      </c>
      <c r="AE17" s="23">
        <v>10</v>
      </c>
      <c r="AI17" s="41" t="s">
        <v>115</v>
      </c>
      <c r="AJ17" s="42">
        <v>1.4</v>
      </c>
      <c r="AK17" s="43">
        <v>4.8</v>
      </c>
      <c r="AL17" s="44">
        <v>15</v>
      </c>
      <c r="AM17" s="9">
        <v>6.2</v>
      </c>
      <c r="AN17" s="9" t="s">
        <v>112</v>
      </c>
    </row>
    <row r="18" spans="1:40" ht="13" x14ac:dyDescent="0.25">
      <c r="A18" s="111" t="s">
        <v>23</v>
      </c>
      <c r="B18" s="112"/>
      <c r="C18" s="13">
        <f>$D31</f>
        <v>0</v>
      </c>
      <c r="D18" s="13">
        <f>$D32</f>
        <v>67.630319999999983</v>
      </c>
      <c r="E18" s="13">
        <f>$D33</f>
        <v>67.630319999999983</v>
      </c>
      <c r="F18" s="13">
        <f>$D34</f>
        <v>67.630319999999983</v>
      </c>
      <c r="G18" s="13">
        <f>$D35</f>
        <v>67.630319999999983</v>
      </c>
      <c r="H18" s="13">
        <f>$D36</f>
        <v>67.630319999999983</v>
      </c>
      <c r="I18" s="13">
        <f>$D37</f>
        <v>67.630319999999983</v>
      </c>
      <c r="J18" s="13">
        <f>$D38</f>
        <v>67.630319999999983</v>
      </c>
      <c r="K18" s="13">
        <f>$D39</f>
        <v>67.630319999999983</v>
      </c>
      <c r="L18" s="13">
        <f>$D40</f>
        <v>67.630319999999983</v>
      </c>
      <c r="M18" s="13">
        <f>$D41</f>
        <v>67.630319999999983</v>
      </c>
      <c r="N18" s="13">
        <f>$D42</f>
        <v>0</v>
      </c>
      <c r="O18" s="13">
        <f>$D43</f>
        <v>0</v>
      </c>
      <c r="P18" s="13">
        <f>$D44</f>
        <v>0</v>
      </c>
      <c r="Q18" s="13">
        <f>$D45</f>
        <v>0</v>
      </c>
      <c r="R18" s="13">
        <f>$D46</f>
        <v>0</v>
      </c>
      <c r="S18" s="13">
        <f>$D47</f>
        <v>0</v>
      </c>
      <c r="T18" s="13">
        <f>$D48</f>
        <v>0</v>
      </c>
      <c r="U18" s="13">
        <f>$D49</f>
        <v>0</v>
      </c>
      <c r="V18" s="18">
        <f>$D50</f>
        <v>0</v>
      </c>
      <c r="AD18" s="45" t="s">
        <v>147</v>
      </c>
      <c r="AE18" s="23">
        <v>16</v>
      </c>
      <c r="AI18" s="41" t="s">
        <v>106</v>
      </c>
      <c r="AJ18" s="42">
        <v>5.9</v>
      </c>
      <c r="AK18" s="43">
        <v>18</v>
      </c>
      <c r="AL18" s="44">
        <v>16</v>
      </c>
      <c r="AM18" s="9">
        <v>6.2</v>
      </c>
      <c r="AN18" s="9" t="s">
        <v>112</v>
      </c>
    </row>
    <row r="19" spans="1:40" ht="13" x14ac:dyDescent="0.25">
      <c r="A19" s="111" t="s">
        <v>90</v>
      </c>
      <c r="B19" s="112"/>
      <c r="C19" s="13">
        <f>C18-C17</f>
        <v>-79.899999999999991</v>
      </c>
      <c r="D19" s="13">
        <f t="shared" ref="D19:V19" si="1">D18-D17</f>
        <v>-12.269680000000008</v>
      </c>
      <c r="E19" s="13">
        <f t="shared" si="1"/>
        <v>-12.269680000000008</v>
      </c>
      <c r="F19" s="13">
        <f t="shared" si="1"/>
        <v>-12.269680000000008</v>
      </c>
      <c r="G19" s="13">
        <f t="shared" si="1"/>
        <v>-12.269680000000008</v>
      </c>
      <c r="H19" s="13">
        <f t="shared" si="1"/>
        <v>-12.269680000000008</v>
      </c>
      <c r="I19" s="13">
        <f t="shared" si="1"/>
        <v>-12.269680000000008</v>
      </c>
      <c r="J19" s="13">
        <f t="shared" si="1"/>
        <v>-12.269680000000008</v>
      </c>
      <c r="K19" s="13">
        <f t="shared" si="1"/>
        <v>-12.269680000000008</v>
      </c>
      <c r="L19" s="13">
        <f t="shared" si="1"/>
        <v>-12.269680000000008</v>
      </c>
      <c r="M19" s="13">
        <f t="shared" si="1"/>
        <v>-12.269680000000008</v>
      </c>
      <c r="N19" s="13" t="e">
        <f t="shared" si="1"/>
        <v>#N/A</v>
      </c>
      <c r="O19" s="13" t="e">
        <f t="shared" si="1"/>
        <v>#N/A</v>
      </c>
      <c r="P19" s="13" t="e">
        <f t="shared" si="1"/>
        <v>#N/A</v>
      </c>
      <c r="Q19" s="13" t="e">
        <f t="shared" si="1"/>
        <v>#N/A</v>
      </c>
      <c r="R19" s="13" t="e">
        <f t="shared" si="1"/>
        <v>#N/A</v>
      </c>
      <c r="S19" s="13" t="e">
        <f t="shared" si="1"/>
        <v>#N/A</v>
      </c>
      <c r="T19" s="13" t="e">
        <f t="shared" si="1"/>
        <v>#N/A</v>
      </c>
      <c r="U19" s="13" t="e">
        <f t="shared" si="1"/>
        <v>#N/A</v>
      </c>
      <c r="V19" s="18" t="e">
        <f t="shared" si="1"/>
        <v>#N/A</v>
      </c>
      <c r="AI19" s="41" t="s">
        <v>107</v>
      </c>
      <c r="AJ19" s="42">
        <v>3.2</v>
      </c>
      <c r="AK19" s="43">
        <v>10.5</v>
      </c>
      <c r="AL19" s="44">
        <v>17</v>
      </c>
      <c r="AM19" s="9">
        <v>6.2</v>
      </c>
      <c r="AN19" s="9" t="s">
        <v>112</v>
      </c>
    </row>
    <row r="20" spans="1:40" ht="13.5" thickBot="1" x14ac:dyDescent="0.3">
      <c r="A20" s="113" t="s">
        <v>91</v>
      </c>
      <c r="B20" s="114"/>
      <c r="C20" s="19" t="str">
        <f>IF($B31="","",IF(C$19&gt;=0,"INCREASE","DECREASE"))</f>
        <v>DECREASE</v>
      </c>
      <c r="D20" s="19" t="str">
        <f>IF($B32="","",IF(D$19&gt;=0,"INCREASE","DECREASE"))</f>
        <v>DECREASE</v>
      </c>
      <c r="E20" s="19" t="str">
        <f>IF($B33="","",IF(E$19&gt;=0,"INCREASE","DECREASE"))</f>
        <v>DECREASE</v>
      </c>
      <c r="F20" s="19" t="str">
        <f>IF($B34="","",IF(F$19&gt;=0,"INCREASE","DECREASE"))</f>
        <v>DECREASE</v>
      </c>
      <c r="G20" s="19" t="str">
        <f>IF($B35="","",IF(G$19&gt;=0,"INCREASE","DECREASE"))</f>
        <v>DECREASE</v>
      </c>
      <c r="H20" s="19" t="str">
        <f>IF($B36="","",IF(H$19&gt;=0,"INCREASE","DECREASE"))</f>
        <v>DECREASE</v>
      </c>
      <c r="I20" s="19" t="str">
        <f>IF($B37="","",IF(I$19&gt;=0,"INCREASE","DECREASE"))</f>
        <v>DECREASE</v>
      </c>
      <c r="J20" s="19" t="str">
        <f>IF($B38="","",IF(J$19&gt;=0,"INCREASE","DECREASE"))</f>
        <v>DECREASE</v>
      </c>
      <c r="K20" s="19" t="str">
        <f>IF($B39="","",IF(K$19&gt;=0,"INCREASE","DECREASE"))</f>
        <v>DECREASE</v>
      </c>
      <c r="L20" s="19" t="str">
        <f>IF($B40="","",IF(L$19&gt;=0,"INCREASE","DECREASE"))</f>
        <v>DECREASE</v>
      </c>
      <c r="M20" s="19" t="str">
        <f>IF($B41="","",IF(M$19&gt;=0,"INCREASE","DECREASE"))</f>
        <v>DECREASE</v>
      </c>
      <c r="N20" s="19" t="str">
        <f>IF($B42="","",IF(N$19&gt;=0,"INCREASE","DECREASE"))</f>
        <v/>
      </c>
      <c r="O20" s="19" t="str">
        <f>IF($B43="","",IF(O$19&gt;=0,"INCREASE","DECREASE"))</f>
        <v/>
      </c>
      <c r="P20" s="19" t="str">
        <f>IF($B44="","",IF(P$19&gt;=0,"INCREASE","DECREASE"))</f>
        <v/>
      </c>
      <c r="Q20" s="19" t="str">
        <f>IF($B45="","",IF(Q$19&gt;=0,"INCREASE","DECREASE"))</f>
        <v/>
      </c>
      <c r="R20" s="19" t="str">
        <f>IF($B46="","",IF(R$19&gt;=0,"INCREASE","DECREASE"))</f>
        <v/>
      </c>
      <c r="S20" s="19" t="str">
        <f>IF($B47="","",IF(S$19&gt;=0,"INCREASE","DECREASE"))</f>
        <v/>
      </c>
      <c r="T20" s="19" t="str">
        <f>IF($B48="","",IF(T$19&gt;=0,"INCREASE","DECREASE"))</f>
        <v/>
      </c>
      <c r="U20" s="19" t="str">
        <f>IF($B49="","",IF(U$19&gt;=0,"INCREASE","DECREASE"))</f>
        <v/>
      </c>
      <c r="V20" s="20" t="str">
        <f>IF($B50="","",IF(V$19&gt;=0,"INCREASE","DECREASE"))</f>
        <v/>
      </c>
      <c r="AI20" s="41" t="s">
        <v>114</v>
      </c>
      <c r="AJ20" s="42">
        <v>2.1</v>
      </c>
      <c r="AK20" s="43">
        <v>7.2</v>
      </c>
      <c r="AL20" s="44">
        <v>18</v>
      </c>
      <c r="AM20" s="9">
        <v>6.2</v>
      </c>
      <c r="AN20" s="9" t="s">
        <v>112</v>
      </c>
    </row>
    <row r="21" spans="1:40" ht="13" x14ac:dyDescent="0.25">
      <c r="A21" s="109" t="s">
        <v>88</v>
      </c>
      <c r="B21" s="110"/>
      <c r="C21" s="21">
        <f>(VLOOKUP(C$14,$AI2:$AK26,3,FALSE))*C$15</f>
        <v>282</v>
      </c>
      <c r="D21" s="21">
        <f t="shared" ref="D21:V21" si="2">(VLOOKUP(D$14,$AI2:$AK26,3,FALSE))*D$15</f>
        <v>282</v>
      </c>
      <c r="E21" s="21">
        <f t="shared" si="2"/>
        <v>282</v>
      </c>
      <c r="F21" s="21">
        <f t="shared" si="2"/>
        <v>282</v>
      </c>
      <c r="G21" s="21">
        <f t="shared" si="2"/>
        <v>282</v>
      </c>
      <c r="H21" s="21">
        <f t="shared" si="2"/>
        <v>282</v>
      </c>
      <c r="I21" s="21">
        <f t="shared" si="2"/>
        <v>282</v>
      </c>
      <c r="J21" s="21">
        <f t="shared" si="2"/>
        <v>282</v>
      </c>
      <c r="K21" s="21">
        <f t="shared" si="2"/>
        <v>282</v>
      </c>
      <c r="L21" s="21">
        <f t="shared" si="2"/>
        <v>282</v>
      </c>
      <c r="M21" s="21">
        <f t="shared" si="2"/>
        <v>282</v>
      </c>
      <c r="N21" s="21" t="e">
        <f t="shared" si="2"/>
        <v>#N/A</v>
      </c>
      <c r="O21" s="21" t="e">
        <f t="shared" si="2"/>
        <v>#N/A</v>
      </c>
      <c r="P21" s="21" t="e">
        <f t="shared" si="2"/>
        <v>#N/A</v>
      </c>
      <c r="Q21" s="21" t="e">
        <f t="shared" si="2"/>
        <v>#N/A</v>
      </c>
      <c r="R21" s="21" t="e">
        <f t="shared" si="2"/>
        <v>#N/A</v>
      </c>
      <c r="S21" s="21" t="e">
        <f t="shared" si="2"/>
        <v>#N/A</v>
      </c>
      <c r="T21" s="21" t="e">
        <f t="shared" si="2"/>
        <v>#N/A</v>
      </c>
      <c r="U21" s="21" t="e">
        <f t="shared" si="2"/>
        <v>#N/A</v>
      </c>
      <c r="V21" s="21" t="e">
        <f t="shared" si="2"/>
        <v>#N/A</v>
      </c>
      <c r="AI21" s="55" t="s">
        <v>100</v>
      </c>
      <c r="AJ21" s="58">
        <v>11</v>
      </c>
      <c r="AK21" s="57">
        <v>12</v>
      </c>
      <c r="AL21" s="22">
        <v>19</v>
      </c>
      <c r="AM21" s="9">
        <v>6.7</v>
      </c>
      <c r="AN21" s="9" t="s">
        <v>135</v>
      </c>
    </row>
    <row r="22" spans="1:40" ht="13" x14ac:dyDescent="0.25">
      <c r="A22" s="111" t="s">
        <v>89</v>
      </c>
      <c r="B22" s="112"/>
      <c r="C22" s="13">
        <f>$E31</f>
        <v>0</v>
      </c>
      <c r="D22" s="13">
        <f>$E32</f>
        <v>2.9148949999999996</v>
      </c>
      <c r="E22" s="13">
        <f>$E33</f>
        <v>2.9148949999999996</v>
      </c>
      <c r="F22" s="13">
        <f>$E34</f>
        <v>2.9148949999999996</v>
      </c>
      <c r="G22" s="13">
        <f>$E35</f>
        <v>2.9148949999999996</v>
      </c>
      <c r="H22" s="13">
        <f>$E36</f>
        <v>2.9148949999999996</v>
      </c>
      <c r="I22" s="13">
        <f>$E37</f>
        <v>2.9148949999999996</v>
      </c>
      <c r="J22" s="13">
        <f>$E38</f>
        <v>2.9148949999999996</v>
      </c>
      <c r="K22" s="13">
        <f>$E39</f>
        <v>2.9148949999999996</v>
      </c>
      <c r="L22" s="13">
        <f>$E40</f>
        <v>2.9148949999999996</v>
      </c>
      <c r="M22" s="13">
        <f>$E41</f>
        <v>2.9148949999999996</v>
      </c>
      <c r="N22" s="13">
        <f>$E42</f>
        <v>0</v>
      </c>
      <c r="O22" s="13">
        <f>$E43</f>
        <v>0</v>
      </c>
      <c r="P22" s="13">
        <f>$E44</f>
        <v>0</v>
      </c>
      <c r="Q22" s="13">
        <f>$E45</f>
        <v>0</v>
      </c>
      <c r="R22" s="13">
        <f>$E46</f>
        <v>0</v>
      </c>
      <c r="S22" s="13">
        <f>$E47</f>
        <v>0</v>
      </c>
      <c r="T22" s="13">
        <f>$E48</f>
        <v>0</v>
      </c>
      <c r="U22" s="13">
        <f>$E49</f>
        <v>0</v>
      </c>
      <c r="V22" s="13">
        <f>$E50</f>
        <v>0</v>
      </c>
      <c r="AI22" s="55" t="s">
        <v>102</v>
      </c>
      <c r="AJ22" s="56">
        <v>1.2</v>
      </c>
      <c r="AK22" s="57">
        <v>5</v>
      </c>
      <c r="AL22" s="22">
        <v>20</v>
      </c>
      <c r="AM22" s="9">
        <v>6.7</v>
      </c>
      <c r="AN22" s="9" t="s">
        <v>135</v>
      </c>
    </row>
    <row r="23" spans="1:40" ht="13" x14ac:dyDescent="0.25">
      <c r="A23" s="111" t="s">
        <v>92</v>
      </c>
      <c r="B23" s="112"/>
      <c r="C23" s="13">
        <f>C22-C21</f>
        <v>-282</v>
      </c>
      <c r="D23" s="13">
        <f t="shared" ref="D23:V23" si="3">D22-D21</f>
        <v>-279.085105</v>
      </c>
      <c r="E23" s="13">
        <f t="shared" si="3"/>
        <v>-279.085105</v>
      </c>
      <c r="F23" s="13">
        <f t="shared" si="3"/>
        <v>-279.085105</v>
      </c>
      <c r="G23" s="13">
        <f t="shared" si="3"/>
        <v>-279.085105</v>
      </c>
      <c r="H23" s="13">
        <f t="shared" si="3"/>
        <v>-279.085105</v>
      </c>
      <c r="I23" s="13">
        <f t="shared" si="3"/>
        <v>-279.085105</v>
      </c>
      <c r="J23" s="13">
        <f t="shared" si="3"/>
        <v>-279.085105</v>
      </c>
      <c r="K23" s="13">
        <f t="shared" si="3"/>
        <v>-279.085105</v>
      </c>
      <c r="L23" s="13">
        <f t="shared" si="3"/>
        <v>-279.085105</v>
      </c>
      <c r="M23" s="13">
        <f t="shared" si="3"/>
        <v>-279.085105</v>
      </c>
      <c r="N23" s="13" t="e">
        <f t="shared" si="3"/>
        <v>#N/A</v>
      </c>
      <c r="O23" s="13" t="e">
        <f t="shared" si="3"/>
        <v>#N/A</v>
      </c>
      <c r="P23" s="13" t="e">
        <f t="shared" si="3"/>
        <v>#N/A</v>
      </c>
      <c r="Q23" s="13" t="e">
        <f t="shared" si="3"/>
        <v>#N/A</v>
      </c>
      <c r="R23" s="13" t="e">
        <f t="shared" si="3"/>
        <v>#N/A</v>
      </c>
      <c r="S23" s="13" t="e">
        <f t="shared" si="3"/>
        <v>#N/A</v>
      </c>
      <c r="T23" s="13" t="e">
        <f t="shared" si="3"/>
        <v>#N/A</v>
      </c>
      <c r="U23" s="13" t="e">
        <f t="shared" si="3"/>
        <v>#N/A</v>
      </c>
      <c r="V23" s="13" t="e">
        <f t="shared" si="3"/>
        <v>#N/A</v>
      </c>
      <c r="AI23" s="55" t="s">
        <v>98</v>
      </c>
      <c r="AJ23" s="58">
        <v>9</v>
      </c>
      <c r="AK23" s="57">
        <v>10</v>
      </c>
      <c r="AL23" s="22">
        <v>21</v>
      </c>
      <c r="AM23" s="9">
        <v>6.7</v>
      </c>
      <c r="AN23" s="9" t="s">
        <v>135</v>
      </c>
    </row>
    <row r="24" spans="1:40" ht="13.5" thickBot="1" x14ac:dyDescent="0.3">
      <c r="A24" s="113" t="s">
        <v>93</v>
      </c>
      <c r="B24" s="114"/>
      <c r="C24" s="19" t="str">
        <f>IF($B31="","",IF(C$23&gt;=0,"INCREASE","DECREASE"))</f>
        <v>DECREASE</v>
      </c>
      <c r="D24" s="19" t="str">
        <f t="shared" ref="D24:V24" si="4">IF($B31="","",IF(D$23&gt;=0,"INCREASE","DECREASE"))</f>
        <v>DECREASE</v>
      </c>
      <c r="E24" s="19" t="str">
        <f t="shared" si="4"/>
        <v>DECREASE</v>
      </c>
      <c r="F24" s="19" t="str">
        <f t="shared" si="4"/>
        <v>DECREASE</v>
      </c>
      <c r="G24" s="19" t="str">
        <f t="shared" si="4"/>
        <v>DECREASE</v>
      </c>
      <c r="H24" s="19" t="str">
        <f t="shared" si="4"/>
        <v>DECREASE</v>
      </c>
      <c r="I24" s="19" t="str">
        <f t="shared" si="4"/>
        <v>DECREASE</v>
      </c>
      <c r="J24" s="19" t="str">
        <f t="shared" si="4"/>
        <v>DECREASE</v>
      </c>
      <c r="K24" s="19" t="str">
        <f t="shared" si="4"/>
        <v>DECREASE</v>
      </c>
      <c r="L24" s="19" t="str">
        <f t="shared" si="4"/>
        <v>DECREASE</v>
      </c>
      <c r="M24" s="19" t="str">
        <f t="shared" si="4"/>
        <v>DECREASE</v>
      </c>
      <c r="N24" s="19" t="e">
        <f t="shared" si="4"/>
        <v>#N/A</v>
      </c>
      <c r="O24" s="19" t="e">
        <f t="shared" si="4"/>
        <v>#N/A</v>
      </c>
      <c r="P24" s="19" t="e">
        <f t="shared" si="4"/>
        <v>#N/A</v>
      </c>
      <c r="Q24" s="19" t="e">
        <f t="shared" si="4"/>
        <v>#N/A</v>
      </c>
      <c r="R24" s="19" t="e">
        <f t="shared" si="4"/>
        <v>#N/A</v>
      </c>
      <c r="S24" s="19" t="e">
        <f t="shared" si="4"/>
        <v>#N/A</v>
      </c>
      <c r="T24" s="19" t="e">
        <f t="shared" si="4"/>
        <v>#N/A</v>
      </c>
      <c r="U24" s="19" t="e">
        <f t="shared" si="4"/>
        <v>#N/A</v>
      </c>
      <c r="V24" s="19" t="e">
        <f t="shared" si="4"/>
        <v>#N/A</v>
      </c>
      <c r="AI24" s="55" t="s">
        <v>99</v>
      </c>
      <c r="AJ24" s="58">
        <v>1.5</v>
      </c>
      <c r="AK24" s="57">
        <v>3</v>
      </c>
      <c r="AL24" s="22">
        <v>22</v>
      </c>
      <c r="AM24" s="9">
        <v>6.7</v>
      </c>
      <c r="AN24" s="9" t="s">
        <v>135</v>
      </c>
    </row>
    <row r="25" spans="1:40" x14ac:dyDescent="0.25">
      <c r="D25" s="59"/>
      <c r="E25" s="59"/>
      <c r="F25" s="59"/>
      <c r="AI25" s="55" t="s">
        <v>117</v>
      </c>
      <c r="AJ25" s="58">
        <v>1</v>
      </c>
      <c r="AK25" s="57">
        <v>5.8</v>
      </c>
      <c r="AL25" s="22">
        <v>23</v>
      </c>
      <c r="AM25" s="9">
        <v>6.7</v>
      </c>
      <c r="AN25" s="9" t="s">
        <v>135</v>
      </c>
    </row>
    <row r="26" spans="1:40" s="7" customFormat="1" ht="13" x14ac:dyDescent="0.25">
      <c r="A26" s="93"/>
      <c r="B26" s="3" t="s">
        <v>10</v>
      </c>
      <c r="C26" s="3" t="s">
        <v>75</v>
      </c>
      <c r="D26" s="94" t="s">
        <v>11</v>
      </c>
      <c r="E26" s="94" t="s">
        <v>12</v>
      </c>
      <c r="F26" s="94" t="s">
        <v>13</v>
      </c>
      <c r="G26" s="3" t="s">
        <v>14</v>
      </c>
      <c r="H26" s="94" t="s">
        <v>15</v>
      </c>
      <c r="I26" s="94" t="s">
        <v>16</v>
      </c>
      <c r="J26" s="3" t="s">
        <v>17</v>
      </c>
      <c r="K26" s="3" t="s">
        <v>18</v>
      </c>
      <c r="L26" s="3" t="s">
        <v>19</v>
      </c>
      <c r="M26" s="3" t="s">
        <v>20</v>
      </c>
      <c r="N26" s="3" t="s">
        <v>61</v>
      </c>
      <c r="O26" s="3" t="s">
        <v>62</v>
      </c>
      <c r="P26" s="94" t="s">
        <v>39</v>
      </c>
      <c r="Q26" s="94" t="s">
        <v>40</v>
      </c>
      <c r="R26" s="94" t="s">
        <v>35</v>
      </c>
      <c r="S26" s="94" t="s">
        <v>36</v>
      </c>
      <c r="T26" s="94" t="s">
        <v>37</v>
      </c>
      <c r="U26" s="94" t="s">
        <v>38</v>
      </c>
      <c r="AI26" s="60" t="s">
        <v>116</v>
      </c>
      <c r="AJ26" s="61">
        <v>0.7</v>
      </c>
      <c r="AK26" s="62">
        <v>2.4</v>
      </c>
      <c r="AL26" s="22">
        <v>24</v>
      </c>
      <c r="AM26" s="7">
        <v>6.7</v>
      </c>
      <c r="AN26" s="9" t="s">
        <v>135</v>
      </c>
    </row>
    <row r="27" spans="1:40" x14ac:dyDescent="0.35">
      <c r="A27" s="95"/>
      <c r="B27" s="63" t="s">
        <v>46</v>
      </c>
      <c r="C27" s="96" t="s">
        <v>57</v>
      </c>
      <c r="D27" s="96" t="s">
        <v>57</v>
      </c>
      <c r="E27" s="96" t="s">
        <v>57</v>
      </c>
      <c r="F27" s="96" t="s">
        <v>55</v>
      </c>
      <c r="G27" s="96" t="s">
        <v>55</v>
      </c>
      <c r="H27" s="96" t="s">
        <v>55</v>
      </c>
      <c r="I27" s="96" t="s">
        <v>55</v>
      </c>
      <c r="J27" s="96" t="s">
        <v>55</v>
      </c>
      <c r="K27" s="96" t="s">
        <v>55</v>
      </c>
      <c r="L27" s="96" t="s">
        <v>55</v>
      </c>
      <c r="M27" s="96" t="s">
        <v>55</v>
      </c>
      <c r="N27" s="96" t="s">
        <v>55</v>
      </c>
      <c r="O27" s="96" t="s">
        <v>55</v>
      </c>
      <c r="P27" s="96"/>
      <c r="Q27" s="96" t="s">
        <v>55</v>
      </c>
      <c r="R27" s="96"/>
      <c r="S27" s="96" t="s">
        <v>55</v>
      </c>
      <c r="T27" s="96"/>
      <c r="U27" s="96"/>
    </row>
    <row r="28" spans="1:40" x14ac:dyDescent="0.35">
      <c r="A28" s="97"/>
      <c r="B28" s="17">
        <v>3.28</v>
      </c>
      <c r="C28" s="12">
        <v>1.52</v>
      </c>
      <c r="D28" s="12">
        <v>0.36</v>
      </c>
      <c r="E28" s="12">
        <v>2.9499999999999998E-2</v>
      </c>
      <c r="F28" s="12">
        <v>519</v>
      </c>
      <c r="G28" s="12">
        <v>63.7</v>
      </c>
      <c r="H28" s="12">
        <v>165</v>
      </c>
      <c r="I28" s="12">
        <v>6.2</v>
      </c>
      <c r="J28" s="12">
        <v>0.64</v>
      </c>
      <c r="K28" s="16">
        <v>1.23</v>
      </c>
      <c r="L28" s="12">
        <v>5.0599999999999996</v>
      </c>
      <c r="M28" s="12">
        <v>4.3</v>
      </c>
      <c r="N28" s="12">
        <v>178000</v>
      </c>
      <c r="O28" s="12">
        <v>4880</v>
      </c>
      <c r="P28" s="12"/>
      <c r="Q28" s="12">
        <v>10500</v>
      </c>
      <c r="R28" s="12"/>
      <c r="S28" s="12">
        <v>14.2</v>
      </c>
      <c r="T28" s="12"/>
      <c r="U28" s="12"/>
    </row>
    <row r="29" spans="1:40" s="7" customFormat="1" ht="28" x14ac:dyDescent="0.35">
      <c r="A29" s="11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6" customFormat="1" ht="28" x14ac:dyDescent="0.35">
      <c r="A30" s="11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51" customFormat="1" ht="13" x14ac:dyDescent="0.35">
      <c r="A31" s="10" t="str">
        <f>C8</f>
        <v>Nant Y Croi 9</v>
      </c>
      <c r="B31" s="12">
        <v>0</v>
      </c>
      <c r="C31" s="68">
        <f>IF(C$27="%w/w SAR",((C$28*10)*$B31),IF(C$27="%w/w DM",(((C$28*10)*($B$28/100))*$B31),IF(C$27="kg/t SAR",(C$28*$B31),IF(C$27="kg/t DM",((C$28*($B$28/100))*$B31),IF(C$27="mg/kg SAR",((C$28*0.001)*$B31),IF(C$27="mg/kg DM",(((C$28*0.001)*($B$28/100))*$B31),0))))))</f>
        <v>0</v>
      </c>
      <c r="D31" s="68">
        <f>(IF(D$27="%w/w SAR",((D$28*10)*$B31),IF(D$27="%w/w DM",(((D$28*10)*($B$28/100))*$B31),IF(D$27="kg/t SAR",(D$28*$B31),IF(D$27="kg/t DM",((D$28*($B$28/100))*$B31),IF(D$27="mg/kg SAR",((D$28*0.001)*$B31),IF(D$27="mg/kg DM",(((D$28*0.001)*($B$28/100))*$B31),"0")))))))*2.291</f>
        <v>0</v>
      </c>
      <c r="E31" s="68">
        <f>(IF(E$27="%w/w SAR",((E$28*10)*$B31),IF(E$27="%w/w DM",(((E$28*10)*($B$28/100))*$B31),IF(E$27="kg/t SAR",(E$28*$B31),IF(E$27="kg/t DM",((E$28*($B$28/100))*$B31),IF(E$27="mg/kg SAR",((E$28*0.001)*$B31),IF(E$27="mg/kg DM",(((E$28*0.001)*($B$28/100))*$B31),"0")))))))*1.205</f>
        <v>0</v>
      </c>
      <c r="F31" s="68">
        <f>(IF(F$27="%w/w SAR",((F$28*10)*$B31),IF(F$27="%w/w DM",(((F$28*10)*($B$28/100))*$B31),IF(F$27="kg/t SAR",(F$28*$B31),IF(F$27="kg/t DM",((F$28*($B$28/100))*$B31),IF(F$27="mg/kg SAR",((F$28*0.001)*$B31),IF(F$27="mg/kg DM",(((F$28*0.001)*($B$28/100))*$B31),"0")))))))*1.658</f>
        <v>0</v>
      </c>
      <c r="G31" s="68">
        <f t="shared" ref="G31:P46" si="5">IF(G$27="%w/w SAR",((G$28*10)*$B31),IF(G$27="%w/w DM",(((G$28*10)*($B$28/100))*$B31),IF(G$27="kg/t SAR",(G$28*$B31),IF(G$27="kg/t DM",((G$28*($B$28/100))*$B31),IF(G$27="mg/kg SAR",((G$28*0.001)*$B31),IF(G$27="mg/kg DM",(((G$28*0.001)*($B$28/100))*$B31),0))))))</f>
        <v>0</v>
      </c>
      <c r="H31" s="68">
        <f t="shared" si="5"/>
        <v>0</v>
      </c>
      <c r="I31" s="68">
        <f t="shared" si="5"/>
        <v>0</v>
      </c>
      <c r="J31" s="68">
        <f t="shared" si="5"/>
        <v>0</v>
      </c>
      <c r="K31" s="68">
        <f t="shared" si="5"/>
        <v>0</v>
      </c>
      <c r="L31" s="68">
        <f t="shared" si="5"/>
        <v>0</v>
      </c>
      <c r="M31" s="68">
        <f t="shared" si="5"/>
        <v>0</v>
      </c>
      <c r="N31" s="68">
        <f t="shared" si="5"/>
        <v>0</v>
      </c>
      <c r="O31" s="68">
        <f t="shared" si="5"/>
        <v>0</v>
      </c>
      <c r="P31" s="68">
        <f t="shared" si="5"/>
        <v>0</v>
      </c>
      <c r="Q31" s="68">
        <f>(IF(Q$27="%w/w SAR",((Q$28*10)*$B31),IF(Q$27="%w/w DM",(((Q$28*10)*($B$28/100))*$B31),IF(Q$27="kg/t SAR",(Q$28*$B31),IF(Q$27="kg/t DM",((Q$28*($B$28/100))*$B31),IF(Q$27="mg/kg SAR",((Q$28*0.001)*$B31),IF(Q$27="mg/kg DM",(((Q$28*0.001)*($B$28/100))*$B31),0)))))))*2.5</f>
        <v>0</v>
      </c>
      <c r="R31" s="68">
        <f>IF(R$27="%w/w SAR",((R$28*10)*$B31),IF(R$27="%w/w DM",(((R$28*10)*($B$28/100))*$B31),IF(R$27="kg/t SAR",(R$28*$B31),IF(R$27="kg/t DM",((R$28*($B$28/100))*$B31),IF(R$27="mg/kg SAR",((R$28*0.001)*$B31),IF(R$27="mg/kg DM",(((R$28*0.001)*($B$28/100))*$B31),0))))))</f>
        <v>0</v>
      </c>
      <c r="S31" s="68">
        <f>IF(S$27="%w/w SAR",((S$28*10)*$B31),IF(S$27="%w/w DM",(((S$28*10)*($B$28/100))*$B31),IF(S$27="kg/t SAR",(S$28*$B31),IF(S$27="kg/t DM",((S$28*($B$28/100))*$B31),IF(S$27="mg/kg SAR",((S$28*0.001)*$B31),IF(S$27="mg/kg DM",(((S$28*0.001)*($B$28/100))*$B31),0))))))</f>
        <v>0</v>
      </c>
      <c r="T31" s="68">
        <f>IF(T$27="%w/w SAR",((T$28*10)*$B31),IF(T$27="%w/w DM",(((T$28*10)*($B$28/100))*$B31),IF(T$27="kg/t SAR",(T$28*$B31),IF(T$27="kg/t DM",((T$28*($B$28/100))*$B31),IF(T$27="mg/kg SAR",((T$28*0.001)*$B31),IF(T$27="mg/kg DM",(((T$28*0.001)*($B$28/100))*$B31),0))))))</f>
        <v>0</v>
      </c>
      <c r="U31" s="68">
        <f>IF(U$27="%w/w SAR",((U$28*10)*$B31),IF(U$27="%w/w DM",(((U$28*10)*($B$28/100))*$B31),IF(U$27="kg/t SAR",(U$28*$B31),IF(U$27="kg/t DM",((U$28*($B$28/100))*$B31),IF(U$27="mg/kg SAR",((U$28*0.001)*$B31),IF(U$27="mg/kg DM",(((U$28*0.001)*($B$28/100))*$B31),0))))))</f>
        <v>0</v>
      </c>
    </row>
    <row r="32" spans="1:40" s="51" customFormat="1" ht="13" x14ac:dyDescent="0.35">
      <c r="A32" s="10" t="str">
        <f>D8</f>
        <v>Hafod 4315</v>
      </c>
      <c r="B32" s="12">
        <v>250</v>
      </c>
      <c r="C32" s="68">
        <f t="shared" ref="C32:C50" si="6">IF(C$27="%w/w SAR",((C$28*10)*$B32),IF(C$27="%w/w DM",(((C$28*10)*($B$28/100))*$B32),IF(C$27="kg/t SAR",(C$28*$B32),IF(C$27="kg/t DM",((C$28*($B$28/100))*$B32),IF(C$27="mg/kg SAR",((C$28*0.001)*$B32),IF(C$27="mg/kg DM",(((C$28*0.001)*($B$28/100))*$B32),0))))))</f>
        <v>124.63999999999997</v>
      </c>
      <c r="D32" s="68">
        <f t="shared" ref="D32:D50" si="7">(IF(D$27="%w/w SAR",((D$28*10)*$B32),IF(D$27="%w/w DM",(((D$28*10)*($B$28/100))*$B32),IF(D$27="kg/t SAR",(D$28*$B32),IF(D$27="kg/t DM",((D$28*($B$28/100))*$B32),IF(D$27="mg/kg SAR",((D$28*0.001)*$B32),IF(D$27="mg/kg DM",(((D$28*0.001)*($B$28/100))*$B32),"0")))))))*2.291</f>
        <v>67.630319999999983</v>
      </c>
      <c r="E32" s="68">
        <f t="shared" ref="E32:E50" si="8">(IF(E$27="%w/w SAR",((E$28*10)*$B32),IF(E$27="%w/w DM",(((E$28*10)*($B$28/100))*$B32),IF(E$27="kg/t SAR",(E$28*$B32),IF(E$27="kg/t DM",((E$28*($B$28/100))*$B32),IF(E$27="mg/kg SAR",((E$28*0.001)*$B32),IF(E$27="mg/kg DM",(((E$28*0.001)*($B$28/100))*$B32),"0")))))))*1.205</f>
        <v>2.9148949999999996</v>
      </c>
      <c r="F32" s="68">
        <f t="shared" ref="F32:F50" si="9">(IF(F$27="%w/w SAR",((F$28*10)*$B32),IF(F$27="%w/w DM",(((F$28*10)*($B$28/100))*$B32),IF(F$27="kg/t SAR",(F$28*$B32),IF(F$27="kg/t DM",((F$28*($B$28/100))*$B32),IF(F$27="mg/kg SAR",((F$28*0.001)*$B32),IF(F$27="mg/kg DM",(((F$28*0.001)*($B$28/100))*$B32),"0")))))))*1.658</f>
        <v>7.0561163999999996</v>
      </c>
      <c r="G32" s="68">
        <f t="shared" si="5"/>
        <v>0.52233999999999992</v>
      </c>
      <c r="H32" s="68">
        <f t="shared" si="5"/>
        <v>1.3529999999999998</v>
      </c>
      <c r="I32" s="68">
        <f t="shared" si="5"/>
        <v>5.0840000000000003E-2</v>
      </c>
      <c r="J32" s="68">
        <f t="shared" si="5"/>
        <v>5.2479999999999992E-3</v>
      </c>
      <c r="K32" s="68">
        <f t="shared" si="5"/>
        <v>1.0085999999999998E-2</v>
      </c>
      <c r="L32" s="68">
        <f t="shared" si="5"/>
        <v>4.1491999999999987E-2</v>
      </c>
      <c r="M32" s="68">
        <f t="shared" si="5"/>
        <v>3.526E-2</v>
      </c>
      <c r="N32" s="68">
        <f t="shared" si="5"/>
        <v>1459.5999999999997</v>
      </c>
      <c r="O32" s="68">
        <f t="shared" si="5"/>
        <v>40.015999999999998</v>
      </c>
      <c r="P32" s="68">
        <f t="shared" si="5"/>
        <v>0</v>
      </c>
      <c r="Q32" s="68">
        <f t="shared" ref="Q32:Q50" si="10">(IF(Q$27="%w/w SAR",((Q$28*10)*$B32),IF(Q$27="%w/w DM",(((Q$28*10)*($B$28/100))*$B32),IF(Q$27="kg/t SAR",(Q$28*$B32),IF(Q$27="kg/t DM",((Q$28*($B$28/100))*$B32),IF(Q$27="mg/kg SAR",((Q$28*0.001)*$B32),IF(Q$27="mg/kg DM",(((Q$28*0.001)*($B$28/100))*$B32),0)))))))*2.5</f>
        <v>215.24999999999994</v>
      </c>
      <c r="R32" s="68">
        <f t="shared" ref="R32:U50" si="11">IF(R$27="%w/w SAR",((R$28*10)*$B32),IF(R$27="%w/w DM",(((R$28*10)*($B$28/100))*$B32),IF(R$27="kg/t SAR",(R$28*$B32),IF(R$27="kg/t DM",((R$28*($B$28/100))*$B32),IF(R$27="mg/kg SAR",((R$28*0.001)*$B32),IF(R$27="mg/kg DM",(((R$28*0.001)*($B$28/100))*$B32),0))))))</f>
        <v>0</v>
      </c>
      <c r="S32" s="68">
        <f t="shared" si="11"/>
        <v>0.11643999999999997</v>
      </c>
      <c r="T32" s="68">
        <f t="shared" si="11"/>
        <v>0</v>
      </c>
      <c r="U32" s="68">
        <f t="shared" si="11"/>
        <v>0</v>
      </c>
    </row>
    <row r="33" spans="1:21" s="51" customFormat="1" ht="13" x14ac:dyDescent="0.35">
      <c r="A33" s="10" t="str">
        <f>E8</f>
        <v>Hafod 4734</v>
      </c>
      <c r="B33" s="12">
        <v>250</v>
      </c>
      <c r="C33" s="68">
        <f t="shared" si="6"/>
        <v>124.63999999999997</v>
      </c>
      <c r="D33" s="68">
        <f t="shared" si="7"/>
        <v>67.630319999999983</v>
      </c>
      <c r="E33" s="68">
        <f t="shared" si="8"/>
        <v>2.9148949999999996</v>
      </c>
      <c r="F33" s="68">
        <f t="shared" si="9"/>
        <v>7.0561163999999996</v>
      </c>
      <c r="G33" s="68">
        <f t="shared" si="5"/>
        <v>0.52233999999999992</v>
      </c>
      <c r="H33" s="68">
        <f t="shared" si="5"/>
        <v>1.3529999999999998</v>
      </c>
      <c r="I33" s="68">
        <f t="shared" si="5"/>
        <v>5.0840000000000003E-2</v>
      </c>
      <c r="J33" s="68">
        <f t="shared" si="5"/>
        <v>5.2479999999999992E-3</v>
      </c>
      <c r="K33" s="68">
        <f t="shared" si="5"/>
        <v>1.0085999999999998E-2</v>
      </c>
      <c r="L33" s="68">
        <f t="shared" si="5"/>
        <v>4.1491999999999987E-2</v>
      </c>
      <c r="M33" s="68">
        <f t="shared" si="5"/>
        <v>3.526E-2</v>
      </c>
      <c r="N33" s="68">
        <f t="shared" si="5"/>
        <v>1459.5999999999997</v>
      </c>
      <c r="O33" s="68">
        <f t="shared" si="5"/>
        <v>40.015999999999998</v>
      </c>
      <c r="P33" s="68">
        <f t="shared" si="5"/>
        <v>0</v>
      </c>
      <c r="Q33" s="68">
        <f t="shared" si="10"/>
        <v>215.24999999999994</v>
      </c>
      <c r="R33" s="68">
        <f t="shared" si="11"/>
        <v>0</v>
      </c>
      <c r="S33" s="68">
        <f t="shared" si="11"/>
        <v>0.11643999999999997</v>
      </c>
      <c r="T33" s="68">
        <f t="shared" si="11"/>
        <v>0</v>
      </c>
      <c r="U33" s="68">
        <f t="shared" si="11"/>
        <v>0</v>
      </c>
    </row>
    <row r="34" spans="1:21" s="51" customFormat="1" ht="13" x14ac:dyDescent="0.35">
      <c r="A34" s="10" t="str">
        <f>F8</f>
        <v>Hafod 5761</v>
      </c>
      <c r="B34" s="12">
        <v>250</v>
      </c>
      <c r="C34" s="68">
        <f t="shared" si="6"/>
        <v>124.63999999999997</v>
      </c>
      <c r="D34" s="68">
        <f t="shared" si="7"/>
        <v>67.630319999999983</v>
      </c>
      <c r="E34" s="68">
        <f t="shared" si="8"/>
        <v>2.9148949999999996</v>
      </c>
      <c r="F34" s="68">
        <f t="shared" si="9"/>
        <v>7.0561163999999996</v>
      </c>
      <c r="G34" s="68">
        <f t="shared" si="5"/>
        <v>0.52233999999999992</v>
      </c>
      <c r="H34" s="68">
        <f t="shared" si="5"/>
        <v>1.3529999999999998</v>
      </c>
      <c r="I34" s="68">
        <f t="shared" si="5"/>
        <v>5.0840000000000003E-2</v>
      </c>
      <c r="J34" s="68">
        <f t="shared" si="5"/>
        <v>5.2479999999999992E-3</v>
      </c>
      <c r="K34" s="68">
        <f t="shared" si="5"/>
        <v>1.0085999999999998E-2</v>
      </c>
      <c r="L34" s="68">
        <f t="shared" si="5"/>
        <v>4.1491999999999987E-2</v>
      </c>
      <c r="M34" s="68">
        <f t="shared" si="5"/>
        <v>3.526E-2</v>
      </c>
      <c r="N34" s="68">
        <f t="shared" si="5"/>
        <v>1459.5999999999997</v>
      </c>
      <c r="O34" s="68">
        <f t="shared" si="5"/>
        <v>40.015999999999998</v>
      </c>
      <c r="P34" s="68">
        <f t="shared" si="5"/>
        <v>0</v>
      </c>
      <c r="Q34" s="68">
        <f t="shared" si="10"/>
        <v>215.24999999999994</v>
      </c>
      <c r="R34" s="68">
        <f t="shared" si="11"/>
        <v>0</v>
      </c>
      <c r="S34" s="68">
        <f t="shared" si="11"/>
        <v>0.11643999999999997</v>
      </c>
      <c r="T34" s="68">
        <f t="shared" si="11"/>
        <v>0</v>
      </c>
      <c r="U34" s="68">
        <f t="shared" si="11"/>
        <v>0</v>
      </c>
    </row>
    <row r="35" spans="1:21" s="51" customFormat="1" ht="13" x14ac:dyDescent="0.35">
      <c r="A35" s="10" t="str">
        <f>G8</f>
        <v>Hafod 4067</v>
      </c>
      <c r="B35" s="12">
        <v>250</v>
      </c>
      <c r="C35" s="68">
        <f t="shared" si="6"/>
        <v>124.63999999999997</v>
      </c>
      <c r="D35" s="68">
        <f t="shared" si="7"/>
        <v>67.630319999999983</v>
      </c>
      <c r="E35" s="68">
        <f t="shared" si="8"/>
        <v>2.9148949999999996</v>
      </c>
      <c r="F35" s="68">
        <f t="shared" si="9"/>
        <v>7.0561163999999996</v>
      </c>
      <c r="G35" s="68">
        <f t="shared" si="5"/>
        <v>0.52233999999999992</v>
      </c>
      <c r="H35" s="68">
        <f t="shared" si="5"/>
        <v>1.3529999999999998</v>
      </c>
      <c r="I35" s="68">
        <f t="shared" si="5"/>
        <v>5.0840000000000003E-2</v>
      </c>
      <c r="J35" s="68">
        <f t="shared" si="5"/>
        <v>5.2479999999999992E-3</v>
      </c>
      <c r="K35" s="68">
        <f t="shared" si="5"/>
        <v>1.0085999999999998E-2</v>
      </c>
      <c r="L35" s="68">
        <f t="shared" si="5"/>
        <v>4.1491999999999987E-2</v>
      </c>
      <c r="M35" s="68">
        <f t="shared" si="5"/>
        <v>3.526E-2</v>
      </c>
      <c r="N35" s="68">
        <f t="shared" si="5"/>
        <v>1459.5999999999997</v>
      </c>
      <c r="O35" s="68">
        <f t="shared" si="5"/>
        <v>40.015999999999998</v>
      </c>
      <c r="P35" s="68">
        <f t="shared" si="5"/>
        <v>0</v>
      </c>
      <c r="Q35" s="68">
        <f t="shared" si="10"/>
        <v>215.24999999999994</v>
      </c>
      <c r="R35" s="68">
        <f t="shared" si="11"/>
        <v>0</v>
      </c>
      <c r="S35" s="68">
        <f t="shared" si="11"/>
        <v>0.11643999999999997</v>
      </c>
      <c r="T35" s="68">
        <f t="shared" si="11"/>
        <v>0</v>
      </c>
      <c r="U35" s="68">
        <f t="shared" si="11"/>
        <v>0</v>
      </c>
    </row>
    <row r="36" spans="1:21" s="51" customFormat="1" ht="13" x14ac:dyDescent="0.35">
      <c r="A36" s="10" t="str">
        <f>H8</f>
        <v>Hafod 2455</v>
      </c>
      <c r="B36" s="12">
        <v>250</v>
      </c>
      <c r="C36" s="68">
        <f t="shared" si="6"/>
        <v>124.63999999999997</v>
      </c>
      <c r="D36" s="68">
        <f t="shared" si="7"/>
        <v>67.630319999999983</v>
      </c>
      <c r="E36" s="68">
        <f t="shared" si="8"/>
        <v>2.9148949999999996</v>
      </c>
      <c r="F36" s="68">
        <f t="shared" si="9"/>
        <v>7.0561163999999996</v>
      </c>
      <c r="G36" s="68">
        <f t="shared" si="5"/>
        <v>0.52233999999999992</v>
      </c>
      <c r="H36" s="68">
        <f t="shared" si="5"/>
        <v>1.3529999999999998</v>
      </c>
      <c r="I36" s="68">
        <f t="shared" si="5"/>
        <v>5.0840000000000003E-2</v>
      </c>
      <c r="J36" s="68">
        <f t="shared" si="5"/>
        <v>5.2479999999999992E-3</v>
      </c>
      <c r="K36" s="68">
        <f t="shared" si="5"/>
        <v>1.0085999999999998E-2</v>
      </c>
      <c r="L36" s="68">
        <f t="shared" si="5"/>
        <v>4.1491999999999987E-2</v>
      </c>
      <c r="M36" s="68">
        <f t="shared" si="5"/>
        <v>3.526E-2</v>
      </c>
      <c r="N36" s="68">
        <f t="shared" si="5"/>
        <v>1459.5999999999997</v>
      </c>
      <c r="O36" s="68">
        <f t="shared" si="5"/>
        <v>40.015999999999998</v>
      </c>
      <c r="P36" s="68">
        <f t="shared" si="5"/>
        <v>0</v>
      </c>
      <c r="Q36" s="68">
        <f t="shared" si="10"/>
        <v>215.24999999999994</v>
      </c>
      <c r="R36" s="68">
        <f t="shared" si="11"/>
        <v>0</v>
      </c>
      <c r="S36" s="68">
        <f t="shared" si="11"/>
        <v>0.11643999999999997</v>
      </c>
      <c r="T36" s="68">
        <f t="shared" si="11"/>
        <v>0</v>
      </c>
      <c r="U36" s="68">
        <f t="shared" si="11"/>
        <v>0</v>
      </c>
    </row>
    <row r="37" spans="1:21" s="51" customFormat="1" ht="13" x14ac:dyDescent="0.35">
      <c r="A37" s="10" t="str">
        <f>I8</f>
        <v>Hafod 1741</v>
      </c>
      <c r="B37" s="12">
        <v>250</v>
      </c>
      <c r="C37" s="68">
        <f t="shared" si="6"/>
        <v>124.63999999999997</v>
      </c>
      <c r="D37" s="68">
        <f t="shared" si="7"/>
        <v>67.630319999999983</v>
      </c>
      <c r="E37" s="68">
        <f t="shared" si="8"/>
        <v>2.9148949999999996</v>
      </c>
      <c r="F37" s="68">
        <f t="shared" si="9"/>
        <v>7.0561163999999996</v>
      </c>
      <c r="G37" s="68">
        <f t="shared" si="5"/>
        <v>0.52233999999999992</v>
      </c>
      <c r="H37" s="68">
        <f t="shared" si="5"/>
        <v>1.3529999999999998</v>
      </c>
      <c r="I37" s="68">
        <f t="shared" si="5"/>
        <v>5.0840000000000003E-2</v>
      </c>
      <c r="J37" s="68">
        <f t="shared" si="5"/>
        <v>5.2479999999999992E-3</v>
      </c>
      <c r="K37" s="68">
        <f t="shared" si="5"/>
        <v>1.0085999999999998E-2</v>
      </c>
      <c r="L37" s="68">
        <f t="shared" si="5"/>
        <v>4.1491999999999987E-2</v>
      </c>
      <c r="M37" s="68">
        <f t="shared" si="5"/>
        <v>3.526E-2</v>
      </c>
      <c r="N37" s="68">
        <f t="shared" si="5"/>
        <v>1459.5999999999997</v>
      </c>
      <c r="O37" s="68">
        <f t="shared" si="5"/>
        <v>40.015999999999998</v>
      </c>
      <c r="P37" s="68">
        <f t="shared" si="5"/>
        <v>0</v>
      </c>
      <c r="Q37" s="68">
        <f t="shared" si="10"/>
        <v>215.24999999999994</v>
      </c>
      <c r="R37" s="68">
        <f t="shared" si="11"/>
        <v>0</v>
      </c>
      <c r="S37" s="68">
        <f t="shared" si="11"/>
        <v>0.11643999999999997</v>
      </c>
      <c r="T37" s="68">
        <f t="shared" si="11"/>
        <v>0</v>
      </c>
      <c r="U37" s="68">
        <f t="shared" si="11"/>
        <v>0</v>
      </c>
    </row>
    <row r="38" spans="1:21" s="51" customFormat="1" ht="13" x14ac:dyDescent="0.35">
      <c r="A38" s="10" t="str">
        <f>J8</f>
        <v>Hafod 0720</v>
      </c>
      <c r="B38" s="12">
        <v>250</v>
      </c>
      <c r="C38" s="68">
        <f t="shared" si="6"/>
        <v>124.63999999999997</v>
      </c>
      <c r="D38" s="68">
        <f t="shared" si="7"/>
        <v>67.630319999999983</v>
      </c>
      <c r="E38" s="68">
        <f t="shared" si="8"/>
        <v>2.9148949999999996</v>
      </c>
      <c r="F38" s="68">
        <f t="shared" si="9"/>
        <v>7.0561163999999996</v>
      </c>
      <c r="G38" s="68">
        <f t="shared" si="5"/>
        <v>0.52233999999999992</v>
      </c>
      <c r="H38" s="68">
        <f t="shared" si="5"/>
        <v>1.3529999999999998</v>
      </c>
      <c r="I38" s="68">
        <f t="shared" si="5"/>
        <v>5.0840000000000003E-2</v>
      </c>
      <c r="J38" s="68">
        <f t="shared" si="5"/>
        <v>5.2479999999999992E-3</v>
      </c>
      <c r="K38" s="68">
        <f t="shared" si="5"/>
        <v>1.0085999999999998E-2</v>
      </c>
      <c r="L38" s="68">
        <f t="shared" si="5"/>
        <v>4.1491999999999987E-2</v>
      </c>
      <c r="M38" s="68">
        <f t="shared" si="5"/>
        <v>3.526E-2</v>
      </c>
      <c r="N38" s="68">
        <f t="shared" si="5"/>
        <v>1459.5999999999997</v>
      </c>
      <c r="O38" s="68">
        <f t="shared" si="5"/>
        <v>40.015999999999998</v>
      </c>
      <c r="P38" s="68">
        <f t="shared" si="5"/>
        <v>0</v>
      </c>
      <c r="Q38" s="68">
        <f t="shared" si="10"/>
        <v>215.24999999999994</v>
      </c>
      <c r="R38" s="68">
        <f t="shared" si="11"/>
        <v>0</v>
      </c>
      <c r="S38" s="68">
        <f t="shared" si="11"/>
        <v>0.11643999999999997</v>
      </c>
      <c r="T38" s="68">
        <f t="shared" si="11"/>
        <v>0</v>
      </c>
      <c r="U38" s="68">
        <f t="shared" si="11"/>
        <v>0</v>
      </c>
    </row>
    <row r="39" spans="1:21" s="51" customFormat="1" ht="13" x14ac:dyDescent="0.35">
      <c r="A39" s="10" t="str">
        <f>K8</f>
        <v>Solafron 2893</v>
      </c>
      <c r="B39" s="12">
        <v>250</v>
      </c>
      <c r="C39" s="68">
        <f t="shared" si="6"/>
        <v>124.63999999999997</v>
      </c>
      <c r="D39" s="68">
        <f t="shared" si="7"/>
        <v>67.630319999999983</v>
      </c>
      <c r="E39" s="68">
        <f t="shared" si="8"/>
        <v>2.9148949999999996</v>
      </c>
      <c r="F39" s="68">
        <f t="shared" si="9"/>
        <v>7.0561163999999996</v>
      </c>
      <c r="G39" s="68">
        <f t="shared" si="5"/>
        <v>0.52233999999999992</v>
      </c>
      <c r="H39" s="68">
        <f t="shared" si="5"/>
        <v>1.3529999999999998</v>
      </c>
      <c r="I39" s="68">
        <f t="shared" si="5"/>
        <v>5.0840000000000003E-2</v>
      </c>
      <c r="J39" s="68">
        <f t="shared" si="5"/>
        <v>5.2479999999999992E-3</v>
      </c>
      <c r="K39" s="68">
        <f t="shared" si="5"/>
        <v>1.0085999999999998E-2</v>
      </c>
      <c r="L39" s="68">
        <f t="shared" si="5"/>
        <v>4.1491999999999987E-2</v>
      </c>
      <c r="M39" s="68">
        <f t="shared" si="5"/>
        <v>3.526E-2</v>
      </c>
      <c r="N39" s="68">
        <f t="shared" si="5"/>
        <v>1459.5999999999997</v>
      </c>
      <c r="O39" s="68">
        <f t="shared" si="5"/>
        <v>40.015999999999998</v>
      </c>
      <c r="P39" s="68">
        <f t="shared" si="5"/>
        <v>0</v>
      </c>
      <c r="Q39" s="68">
        <f t="shared" si="10"/>
        <v>215.24999999999994</v>
      </c>
      <c r="R39" s="68">
        <f t="shared" si="11"/>
        <v>0</v>
      </c>
      <c r="S39" s="68">
        <f t="shared" si="11"/>
        <v>0.11643999999999997</v>
      </c>
      <c r="T39" s="68">
        <f t="shared" si="11"/>
        <v>0</v>
      </c>
      <c r="U39" s="68">
        <f t="shared" si="11"/>
        <v>0</v>
      </c>
    </row>
    <row r="40" spans="1:21" s="51" customFormat="1" ht="13" x14ac:dyDescent="0.35">
      <c r="A40" s="10" t="str">
        <f>L8</f>
        <v>Solafron 2611</v>
      </c>
      <c r="B40" s="12">
        <v>250</v>
      </c>
      <c r="C40" s="68">
        <f t="shared" si="6"/>
        <v>124.63999999999997</v>
      </c>
      <c r="D40" s="68">
        <f t="shared" si="7"/>
        <v>67.630319999999983</v>
      </c>
      <c r="E40" s="68">
        <f t="shared" si="8"/>
        <v>2.9148949999999996</v>
      </c>
      <c r="F40" s="68">
        <f t="shared" si="9"/>
        <v>7.0561163999999996</v>
      </c>
      <c r="G40" s="68">
        <f t="shared" si="5"/>
        <v>0.52233999999999992</v>
      </c>
      <c r="H40" s="68">
        <f t="shared" si="5"/>
        <v>1.3529999999999998</v>
      </c>
      <c r="I40" s="68">
        <f t="shared" si="5"/>
        <v>5.0840000000000003E-2</v>
      </c>
      <c r="J40" s="68">
        <f t="shared" si="5"/>
        <v>5.2479999999999992E-3</v>
      </c>
      <c r="K40" s="68">
        <f t="shared" si="5"/>
        <v>1.0085999999999998E-2</v>
      </c>
      <c r="L40" s="68">
        <f t="shared" si="5"/>
        <v>4.1491999999999987E-2</v>
      </c>
      <c r="M40" s="68">
        <f t="shared" si="5"/>
        <v>3.526E-2</v>
      </c>
      <c r="N40" s="68">
        <f t="shared" si="5"/>
        <v>1459.5999999999997</v>
      </c>
      <c r="O40" s="68">
        <f t="shared" si="5"/>
        <v>40.015999999999998</v>
      </c>
      <c r="P40" s="68">
        <f t="shared" si="5"/>
        <v>0</v>
      </c>
      <c r="Q40" s="68">
        <f t="shared" si="10"/>
        <v>215.24999999999994</v>
      </c>
      <c r="R40" s="68">
        <f t="shared" si="11"/>
        <v>0</v>
      </c>
      <c r="S40" s="68">
        <f t="shared" si="11"/>
        <v>0.11643999999999997</v>
      </c>
      <c r="T40" s="68">
        <f t="shared" si="11"/>
        <v>0</v>
      </c>
      <c r="U40" s="68">
        <f t="shared" si="11"/>
        <v>0</v>
      </c>
    </row>
    <row r="41" spans="1:21" s="51" customFormat="1" ht="13" x14ac:dyDescent="0.35">
      <c r="A41" s="10" t="str">
        <f>M8</f>
        <v>Solafron 1404</v>
      </c>
      <c r="B41" s="12">
        <v>250</v>
      </c>
      <c r="C41" s="68">
        <f t="shared" si="6"/>
        <v>124.63999999999997</v>
      </c>
      <c r="D41" s="68">
        <f t="shared" si="7"/>
        <v>67.630319999999983</v>
      </c>
      <c r="E41" s="68">
        <f t="shared" si="8"/>
        <v>2.9148949999999996</v>
      </c>
      <c r="F41" s="68">
        <f t="shared" si="9"/>
        <v>7.0561163999999996</v>
      </c>
      <c r="G41" s="68">
        <f t="shared" si="5"/>
        <v>0.52233999999999992</v>
      </c>
      <c r="H41" s="68">
        <f t="shared" si="5"/>
        <v>1.3529999999999998</v>
      </c>
      <c r="I41" s="68">
        <f t="shared" si="5"/>
        <v>5.0840000000000003E-2</v>
      </c>
      <c r="J41" s="68">
        <f t="shared" si="5"/>
        <v>5.2479999999999992E-3</v>
      </c>
      <c r="K41" s="68">
        <f t="shared" si="5"/>
        <v>1.0085999999999998E-2</v>
      </c>
      <c r="L41" s="68">
        <f t="shared" si="5"/>
        <v>4.1491999999999987E-2</v>
      </c>
      <c r="M41" s="68">
        <f t="shared" si="5"/>
        <v>3.526E-2</v>
      </c>
      <c r="N41" s="68">
        <f t="shared" si="5"/>
        <v>1459.5999999999997</v>
      </c>
      <c r="O41" s="68">
        <f t="shared" si="5"/>
        <v>40.015999999999998</v>
      </c>
      <c r="P41" s="68">
        <f t="shared" si="5"/>
        <v>0</v>
      </c>
      <c r="Q41" s="68">
        <f t="shared" si="10"/>
        <v>215.24999999999994</v>
      </c>
      <c r="R41" s="68">
        <f t="shared" si="11"/>
        <v>0</v>
      </c>
      <c r="S41" s="68">
        <f t="shared" si="11"/>
        <v>0.11643999999999997</v>
      </c>
      <c r="T41" s="68">
        <f t="shared" si="11"/>
        <v>0</v>
      </c>
      <c r="U41" s="68">
        <f t="shared" si="11"/>
        <v>0</v>
      </c>
    </row>
    <row r="42" spans="1:21" s="51" customFormat="1" ht="13" x14ac:dyDescent="0.35">
      <c r="A42" s="10">
        <f>N8</f>
        <v>0</v>
      </c>
      <c r="B42" s="12"/>
      <c r="C42" s="68">
        <f t="shared" si="6"/>
        <v>0</v>
      </c>
      <c r="D42" s="68">
        <f t="shared" si="7"/>
        <v>0</v>
      </c>
      <c r="E42" s="68">
        <f t="shared" si="8"/>
        <v>0</v>
      </c>
      <c r="F42" s="68">
        <f t="shared" si="9"/>
        <v>0</v>
      </c>
      <c r="G42" s="68">
        <f t="shared" si="5"/>
        <v>0</v>
      </c>
      <c r="H42" s="68">
        <f t="shared" si="5"/>
        <v>0</v>
      </c>
      <c r="I42" s="68">
        <f t="shared" si="5"/>
        <v>0</v>
      </c>
      <c r="J42" s="68">
        <f t="shared" si="5"/>
        <v>0</v>
      </c>
      <c r="K42" s="68">
        <f t="shared" si="5"/>
        <v>0</v>
      </c>
      <c r="L42" s="68">
        <f t="shared" si="5"/>
        <v>0</v>
      </c>
      <c r="M42" s="68">
        <f t="shared" si="5"/>
        <v>0</v>
      </c>
      <c r="N42" s="68">
        <f t="shared" si="5"/>
        <v>0</v>
      </c>
      <c r="O42" s="68">
        <f t="shared" si="5"/>
        <v>0</v>
      </c>
      <c r="P42" s="68">
        <f t="shared" si="5"/>
        <v>0</v>
      </c>
      <c r="Q42" s="68">
        <f t="shared" si="10"/>
        <v>0</v>
      </c>
      <c r="R42" s="68">
        <f t="shared" si="11"/>
        <v>0</v>
      </c>
      <c r="S42" s="68">
        <f t="shared" si="11"/>
        <v>0</v>
      </c>
      <c r="T42" s="68">
        <f t="shared" si="11"/>
        <v>0</v>
      </c>
      <c r="U42" s="68">
        <f t="shared" si="11"/>
        <v>0</v>
      </c>
    </row>
    <row r="43" spans="1:21" s="51" customFormat="1" ht="13" x14ac:dyDescent="0.35">
      <c r="A43" s="10">
        <f>O8</f>
        <v>0</v>
      </c>
      <c r="B43" s="12"/>
      <c r="C43" s="68">
        <f t="shared" si="6"/>
        <v>0</v>
      </c>
      <c r="D43" s="68">
        <f t="shared" si="7"/>
        <v>0</v>
      </c>
      <c r="E43" s="68">
        <f t="shared" si="8"/>
        <v>0</v>
      </c>
      <c r="F43" s="68">
        <f t="shared" si="9"/>
        <v>0</v>
      </c>
      <c r="G43" s="68">
        <f t="shared" si="5"/>
        <v>0</v>
      </c>
      <c r="H43" s="68">
        <f t="shared" si="5"/>
        <v>0</v>
      </c>
      <c r="I43" s="68">
        <f t="shared" si="5"/>
        <v>0</v>
      </c>
      <c r="J43" s="68">
        <f t="shared" si="5"/>
        <v>0</v>
      </c>
      <c r="K43" s="68">
        <f t="shared" si="5"/>
        <v>0</v>
      </c>
      <c r="L43" s="68">
        <f t="shared" si="5"/>
        <v>0</v>
      </c>
      <c r="M43" s="68">
        <f t="shared" si="5"/>
        <v>0</v>
      </c>
      <c r="N43" s="68">
        <f t="shared" si="5"/>
        <v>0</v>
      </c>
      <c r="O43" s="68">
        <f t="shared" si="5"/>
        <v>0</v>
      </c>
      <c r="P43" s="68">
        <f t="shared" si="5"/>
        <v>0</v>
      </c>
      <c r="Q43" s="68">
        <f t="shared" si="10"/>
        <v>0</v>
      </c>
      <c r="R43" s="68">
        <f t="shared" si="11"/>
        <v>0</v>
      </c>
      <c r="S43" s="68">
        <f t="shared" si="11"/>
        <v>0</v>
      </c>
      <c r="T43" s="68">
        <f t="shared" si="11"/>
        <v>0</v>
      </c>
      <c r="U43" s="68">
        <f t="shared" si="11"/>
        <v>0</v>
      </c>
    </row>
    <row r="44" spans="1:21" s="51" customFormat="1" ht="13" x14ac:dyDescent="0.35">
      <c r="A44" s="10">
        <f>P8</f>
        <v>0</v>
      </c>
      <c r="B44" s="12"/>
      <c r="C44" s="68">
        <f t="shared" si="6"/>
        <v>0</v>
      </c>
      <c r="D44" s="68">
        <f t="shared" si="7"/>
        <v>0</v>
      </c>
      <c r="E44" s="68">
        <f t="shared" si="8"/>
        <v>0</v>
      </c>
      <c r="F44" s="68">
        <f t="shared" si="9"/>
        <v>0</v>
      </c>
      <c r="G44" s="68">
        <f t="shared" si="5"/>
        <v>0</v>
      </c>
      <c r="H44" s="68">
        <f t="shared" si="5"/>
        <v>0</v>
      </c>
      <c r="I44" s="68">
        <f t="shared" si="5"/>
        <v>0</v>
      </c>
      <c r="J44" s="68">
        <f t="shared" si="5"/>
        <v>0</v>
      </c>
      <c r="K44" s="68">
        <f t="shared" si="5"/>
        <v>0</v>
      </c>
      <c r="L44" s="68">
        <f t="shared" si="5"/>
        <v>0</v>
      </c>
      <c r="M44" s="68">
        <f t="shared" si="5"/>
        <v>0</v>
      </c>
      <c r="N44" s="68">
        <f t="shared" si="5"/>
        <v>0</v>
      </c>
      <c r="O44" s="68">
        <f t="shared" si="5"/>
        <v>0</v>
      </c>
      <c r="P44" s="68">
        <f t="shared" si="5"/>
        <v>0</v>
      </c>
      <c r="Q44" s="68">
        <f t="shared" si="10"/>
        <v>0</v>
      </c>
      <c r="R44" s="68">
        <f t="shared" si="11"/>
        <v>0</v>
      </c>
      <c r="S44" s="68">
        <f t="shared" si="11"/>
        <v>0</v>
      </c>
      <c r="T44" s="68">
        <f t="shared" si="11"/>
        <v>0</v>
      </c>
      <c r="U44" s="68">
        <f t="shared" si="11"/>
        <v>0</v>
      </c>
    </row>
    <row r="45" spans="1:21" s="51" customFormat="1" ht="13" x14ac:dyDescent="0.35">
      <c r="A45" s="10">
        <f>Q8</f>
        <v>0</v>
      </c>
      <c r="B45" s="12"/>
      <c r="C45" s="68">
        <f t="shared" si="6"/>
        <v>0</v>
      </c>
      <c r="D45" s="68">
        <f t="shared" si="7"/>
        <v>0</v>
      </c>
      <c r="E45" s="68">
        <f t="shared" si="8"/>
        <v>0</v>
      </c>
      <c r="F45" s="68">
        <f t="shared" si="9"/>
        <v>0</v>
      </c>
      <c r="G45" s="68">
        <f t="shared" si="5"/>
        <v>0</v>
      </c>
      <c r="H45" s="68">
        <f t="shared" si="5"/>
        <v>0</v>
      </c>
      <c r="I45" s="68">
        <f t="shared" si="5"/>
        <v>0</v>
      </c>
      <c r="J45" s="68">
        <f t="shared" si="5"/>
        <v>0</v>
      </c>
      <c r="K45" s="68">
        <f t="shared" si="5"/>
        <v>0</v>
      </c>
      <c r="L45" s="68">
        <f t="shared" si="5"/>
        <v>0</v>
      </c>
      <c r="M45" s="68">
        <f t="shared" si="5"/>
        <v>0</v>
      </c>
      <c r="N45" s="68">
        <f t="shared" si="5"/>
        <v>0</v>
      </c>
      <c r="O45" s="68">
        <f t="shared" si="5"/>
        <v>0</v>
      </c>
      <c r="P45" s="68">
        <f t="shared" si="5"/>
        <v>0</v>
      </c>
      <c r="Q45" s="68">
        <f t="shared" si="10"/>
        <v>0</v>
      </c>
      <c r="R45" s="68">
        <f t="shared" si="11"/>
        <v>0</v>
      </c>
      <c r="S45" s="68">
        <f t="shared" si="11"/>
        <v>0</v>
      </c>
      <c r="T45" s="68">
        <f t="shared" si="11"/>
        <v>0</v>
      </c>
      <c r="U45" s="68">
        <f t="shared" si="11"/>
        <v>0</v>
      </c>
    </row>
    <row r="46" spans="1:21" s="51" customFormat="1" ht="13" x14ac:dyDescent="0.35">
      <c r="A46" s="10">
        <f>R8</f>
        <v>0</v>
      </c>
      <c r="B46" s="12"/>
      <c r="C46" s="68">
        <f t="shared" si="6"/>
        <v>0</v>
      </c>
      <c r="D46" s="68">
        <f t="shared" si="7"/>
        <v>0</v>
      </c>
      <c r="E46" s="68">
        <f t="shared" si="8"/>
        <v>0</v>
      </c>
      <c r="F46" s="68">
        <f t="shared" si="9"/>
        <v>0</v>
      </c>
      <c r="G46" s="68">
        <f t="shared" si="5"/>
        <v>0</v>
      </c>
      <c r="H46" s="68">
        <f t="shared" si="5"/>
        <v>0</v>
      </c>
      <c r="I46" s="68">
        <f t="shared" si="5"/>
        <v>0</v>
      </c>
      <c r="J46" s="68">
        <f t="shared" si="5"/>
        <v>0</v>
      </c>
      <c r="K46" s="68">
        <f t="shared" si="5"/>
        <v>0</v>
      </c>
      <c r="L46" s="68">
        <f t="shared" si="5"/>
        <v>0</v>
      </c>
      <c r="M46" s="68">
        <f t="shared" si="5"/>
        <v>0</v>
      </c>
      <c r="N46" s="68">
        <f t="shared" si="5"/>
        <v>0</v>
      </c>
      <c r="O46" s="68">
        <f t="shared" si="5"/>
        <v>0</v>
      </c>
      <c r="P46" s="68">
        <f t="shared" si="5"/>
        <v>0</v>
      </c>
      <c r="Q46" s="68">
        <f t="shared" si="10"/>
        <v>0</v>
      </c>
      <c r="R46" s="68">
        <f t="shared" si="11"/>
        <v>0</v>
      </c>
      <c r="S46" s="68">
        <f t="shared" si="11"/>
        <v>0</v>
      </c>
      <c r="T46" s="68">
        <f t="shared" si="11"/>
        <v>0</v>
      </c>
      <c r="U46" s="68">
        <f t="shared" si="11"/>
        <v>0</v>
      </c>
    </row>
    <row r="47" spans="1:21" s="51" customFormat="1" ht="13" x14ac:dyDescent="0.35">
      <c r="A47" s="10">
        <f>S8</f>
        <v>0</v>
      </c>
      <c r="B47" s="12"/>
      <c r="C47" s="68">
        <f t="shared" si="6"/>
        <v>0</v>
      </c>
      <c r="D47" s="68">
        <f t="shared" si="7"/>
        <v>0</v>
      </c>
      <c r="E47" s="68">
        <f t="shared" si="8"/>
        <v>0</v>
      </c>
      <c r="F47" s="68">
        <f t="shared" si="9"/>
        <v>0</v>
      </c>
      <c r="G47" s="68">
        <f t="shared" ref="G47:P50" si="12">IF(G$27="%w/w SAR",((G$28*10)*$B47),IF(G$27="%w/w DM",(((G$28*10)*($B$28/100))*$B47),IF(G$27="kg/t SAR",(G$28*$B47),IF(G$27="kg/t DM",((G$28*($B$28/100))*$B47),IF(G$27="mg/kg SAR",((G$28*0.001)*$B47),IF(G$27="mg/kg DM",(((G$28*0.001)*($B$28/100))*$B47),0))))))</f>
        <v>0</v>
      </c>
      <c r="H47" s="68">
        <f t="shared" si="12"/>
        <v>0</v>
      </c>
      <c r="I47" s="68">
        <f t="shared" si="12"/>
        <v>0</v>
      </c>
      <c r="J47" s="68">
        <f t="shared" si="12"/>
        <v>0</v>
      </c>
      <c r="K47" s="68">
        <f t="shared" si="12"/>
        <v>0</v>
      </c>
      <c r="L47" s="68">
        <f t="shared" si="12"/>
        <v>0</v>
      </c>
      <c r="M47" s="68">
        <f t="shared" si="12"/>
        <v>0</v>
      </c>
      <c r="N47" s="68">
        <f t="shared" si="12"/>
        <v>0</v>
      </c>
      <c r="O47" s="68">
        <f t="shared" si="12"/>
        <v>0</v>
      </c>
      <c r="P47" s="68">
        <f t="shared" si="12"/>
        <v>0</v>
      </c>
      <c r="Q47" s="68">
        <f t="shared" si="10"/>
        <v>0</v>
      </c>
      <c r="R47" s="68">
        <f t="shared" si="11"/>
        <v>0</v>
      </c>
      <c r="S47" s="68">
        <f t="shared" si="11"/>
        <v>0</v>
      </c>
      <c r="T47" s="68">
        <f t="shared" si="11"/>
        <v>0</v>
      </c>
      <c r="U47" s="68">
        <f t="shared" si="11"/>
        <v>0</v>
      </c>
    </row>
    <row r="48" spans="1:21" s="51" customFormat="1" ht="13" x14ac:dyDescent="0.35">
      <c r="A48" s="10">
        <f>T8</f>
        <v>0</v>
      </c>
      <c r="B48" s="12"/>
      <c r="C48" s="68">
        <f t="shared" si="6"/>
        <v>0</v>
      </c>
      <c r="D48" s="68">
        <f t="shared" si="7"/>
        <v>0</v>
      </c>
      <c r="E48" s="68">
        <f t="shared" si="8"/>
        <v>0</v>
      </c>
      <c r="F48" s="68">
        <f t="shared" si="9"/>
        <v>0</v>
      </c>
      <c r="G48" s="68">
        <f t="shared" si="12"/>
        <v>0</v>
      </c>
      <c r="H48" s="68">
        <f t="shared" si="12"/>
        <v>0</v>
      </c>
      <c r="I48" s="68">
        <f t="shared" si="12"/>
        <v>0</v>
      </c>
      <c r="J48" s="68">
        <f t="shared" si="12"/>
        <v>0</v>
      </c>
      <c r="K48" s="68">
        <f t="shared" si="12"/>
        <v>0</v>
      </c>
      <c r="L48" s="68">
        <f t="shared" si="12"/>
        <v>0</v>
      </c>
      <c r="M48" s="68">
        <f t="shared" si="12"/>
        <v>0</v>
      </c>
      <c r="N48" s="68">
        <f t="shared" si="12"/>
        <v>0</v>
      </c>
      <c r="O48" s="68">
        <f t="shared" si="12"/>
        <v>0</v>
      </c>
      <c r="P48" s="68">
        <f t="shared" si="12"/>
        <v>0</v>
      </c>
      <c r="Q48" s="68">
        <f t="shared" si="10"/>
        <v>0</v>
      </c>
      <c r="R48" s="68">
        <f t="shared" si="11"/>
        <v>0</v>
      </c>
      <c r="S48" s="68">
        <f t="shared" si="11"/>
        <v>0</v>
      </c>
      <c r="T48" s="68">
        <f t="shared" si="11"/>
        <v>0</v>
      </c>
      <c r="U48" s="68">
        <f t="shared" si="11"/>
        <v>0</v>
      </c>
    </row>
    <row r="49" spans="1:21" s="51" customFormat="1" ht="13" x14ac:dyDescent="0.35">
      <c r="A49" s="10">
        <f>U8</f>
        <v>0</v>
      </c>
      <c r="B49" s="12"/>
      <c r="C49" s="68">
        <f t="shared" si="6"/>
        <v>0</v>
      </c>
      <c r="D49" s="68">
        <f t="shared" si="7"/>
        <v>0</v>
      </c>
      <c r="E49" s="68">
        <f t="shared" si="8"/>
        <v>0</v>
      </c>
      <c r="F49" s="68">
        <f t="shared" si="9"/>
        <v>0</v>
      </c>
      <c r="G49" s="68">
        <f t="shared" si="12"/>
        <v>0</v>
      </c>
      <c r="H49" s="68">
        <f t="shared" si="12"/>
        <v>0</v>
      </c>
      <c r="I49" s="68">
        <f t="shared" si="12"/>
        <v>0</v>
      </c>
      <c r="J49" s="68">
        <f t="shared" si="12"/>
        <v>0</v>
      </c>
      <c r="K49" s="68">
        <f t="shared" si="12"/>
        <v>0</v>
      </c>
      <c r="L49" s="68">
        <f t="shared" si="12"/>
        <v>0</v>
      </c>
      <c r="M49" s="68">
        <f t="shared" si="12"/>
        <v>0</v>
      </c>
      <c r="N49" s="68">
        <f t="shared" si="12"/>
        <v>0</v>
      </c>
      <c r="O49" s="68">
        <f t="shared" si="12"/>
        <v>0</v>
      </c>
      <c r="P49" s="68">
        <f t="shared" si="12"/>
        <v>0</v>
      </c>
      <c r="Q49" s="68">
        <f t="shared" si="10"/>
        <v>0</v>
      </c>
      <c r="R49" s="68">
        <f t="shared" si="11"/>
        <v>0</v>
      </c>
      <c r="S49" s="68">
        <f t="shared" si="11"/>
        <v>0</v>
      </c>
      <c r="T49" s="68">
        <f t="shared" si="11"/>
        <v>0</v>
      </c>
      <c r="U49" s="68">
        <f t="shared" si="11"/>
        <v>0</v>
      </c>
    </row>
    <row r="50" spans="1:21" s="51" customFormat="1" ht="13.5" thickBot="1" x14ac:dyDescent="0.4">
      <c r="A50" s="11">
        <f>V8</f>
        <v>0</v>
      </c>
      <c r="B50" s="12"/>
      <c r="C50" s="87">
        <f t="shared" si="6"/>
        <v>0</v>
      </c>
      <c r="D50" s="87">
        <f t="shared" si="7"/>
        <v>0</v>
      </c>
      <c r="E50" s="87">
        <f t="shared" si="8"/>
        <v>0</v>
      </c>
      <c r="F50" s="87">
        <f t="shared" si="9"/>
        <v>0</v>
      </c>
      <c r="G50" s="87">
        <f t="shared" si="12"/>
        <v>0</v>
      </c>
      <c r="H50" s="87">
        <f t="shared" si="12"/>
        <v>0</v>
      </c>
      <c r="I50" s="87">
        <f t="shared" si="12"/>
        <v>0</v>
      </c>
      <c r="J50" s="87">
        <f t="shared" si="12"/>
        <v>0</v>
      </c>
      <c r="K50" s="87">
        <f t="shared" si="12"/>
        <v>0</v>
      </c>
      <c r="L50" s="87">
        <f t="shared" si="12"/>
        <v>0</v>
      </c>
      <c r="M50" s="87">
        <f t="shared" si="12"/>
        <v>0</v>
      </c>
      <c r="N50" s="87">
        <f t="shared" si="12"/>
        <v>0</v>
      </c>
      <c r="O50" s="87">
        <f t="shared" si="12"/>
        <v>0</v>
      </c>
      <c r="P50" s="87">
        <f t="shared" si="12"/>
        <v>0</v>
      </c>
      <c r="Q50" s="87">
        <f t="shared" si="10"/>
        <v>0</v>
      </c>
      <c r="R50" s="87">
        <f t="shared" si="11"/>
        <v>0</v>
      </c>
      <c r="S50" s="87">
        <f t="shared" si="11"/>
        <v>0</v>
      </c>
      <c r="T50" s="87">
        <f t="shared" si="11"/>
        <v>0</v>
      </c>
      <c r="U50" s="87">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5">
        <v>20</v>
      </c>
    </row>
    <row r="53" spans="1:21" ht="13" x14ac:dyDescent="0.35">
      <c r="A53" s="7" t="s">
        <v>130</v>
      </c>
    </row>
    <row r="54" spans="1:21" ht="26" x14ac:dyDescent="0.3">
      <c r="A54" s="98"/>
      <c r="B54" s="102" t="s">
        <v>149</v>
      </c>
      <c r="C54" s="102" t="s">
        <v>150</v>
      </c>
      <c r="D54" s="102" t="s">
        <v>127</v>
      </c>
      <c r="E54" s="102" t="s">
        <v>128</v>
      </c>
      <c r="F54" s="102" t="s">
        <v>151</v>
      </c>
      <c r="G54" s="102" t="s">
        <v>129</v>
      </c>
      <c r="H54" s="51"/>
      <c r="I54" s="51"/>
      <c r="J54" s="51"/>
      <c r="K54" s="51"/>
      <c r="L54" s="51"/>
      <c r="M54" s="51"/>
      <c r="N54" s="51"/>
      <c r="O54" s="51"/>
      <c r="P54" s="51"/>
      <c r="Q54" s="51"/>
      <c r="R54" s="51"/>
      <c r="S54" s="51"/>
      <c r="T54" s="51"/>
      <c r="U54" s="51"/>
    </row>
    <row r="55" spans="1:21" x14ac:dyDescent="0.25">
      <c r="A55" s="99"/>
      <c r="B55" s="103"/>
      <c r="C55" s="104"/>
      <c r="D55" s="105">
        <f>(B55/100)*C55</f>
        <v>0</v>
      </c>
      <c r="E55" s="105">
        <f>G55</f>
        <v>0</v>
      </c>
      <c r="F55" s="104"/>
      <c r="G55" s="105">
        <f>(B55/100)*F55</f>
        <v>0</v>
      </c>
      <c r="H55" s="51"/>
      <c r="I55" s="51"/>
      <c r="J55" s="51"/>
      <c r="K55" s="51"/>
      <c r="L55" s="51"/>
      <c r="M55" s="51"/>
      <c r="N55" s="51"/>
      <c r="O55" s="51"/>
      <c r="P55" s="51"/>
      <c r="Q55" s="51"/>
      <c r="R55" s="51"/>
      <c r="S55" s="51"/>
      <c r="T55" s="51"/>
      <c r="U55" s="51"/>
    </row>
    <row r="56" spans="1:21" ht="13" x14ac:dyDescent="0.3">
      <c r="A56" s="82" t="s">
        <v>63</v>
      </c>
      <c r="B56" s="8">
        <v>1</v>
      </c>
      <c r="C56" s="64">
        <v>2</v>
      </c>
      <c r="D56" s="65">
        <v>3</v>
      </c>
      <c r="E56" s="65">
        <v>4</v>
      </c>
      <c r="F56" s="64">
        <v>5</v>
      </c>
      <c r="G56" s="65">
        <v>6</v>
      </c>
      <c r="H56" s="66">
        <v>7</v>
      </c>
      <c r="I56" s="66">
        <v>8</v>
      </c>
      <c r="J56" s="66">
        <v>9</v>
      </c>
      <c r="K56" s="64">
        <v>10</v>
      </c>
      <c r="L56" s="64">
        <v>11</v>
      </c>
      <c r="M56" s="65">
        <v>12</v>
      </c>
      <c r="N56" s="65">
        <v>13</v>
      </c>
      <c r="O56" s="64">
        <v>14</v>
      </c>
      <c r="P56" s="65">
        <v>15</v>
      </c>
      <c r="Q56" s="66">
        <v>16</v>
      </c>
      <c r="R56" s="66">
        <v>17</v>
      </c>
      <c r="S56" s="66">
        <v>18</v>
      </c>
      <c r="T56" s="64">
        <v>19</v>
      </c>
      <c r="U56" s="64">
        <v>20</v>
      </c>
    </row>
    <row r="57" spans="1:21" ht="13" x14ac:dyDescent="0.35">
      <c r="A57" s="82" t="s">
        <v>2</v>
      </c>
      <c r="B57" s="8" t="str">
        <f>C8</f>
        <v>Nant Y Croi 9</v>
      </c>
      <c r="C57" s="8" t="str">
        <f t="shared" ref="C57:U57" si="13">D8</f>
        <v>Hafod 4315</v>
      </c>
      <c r="D57" s="8" t="str">
        <f t="shared" si="13"/>
        <v>Hafod 4734</v>
      </c>
      <c r="E57" s="8" t="str">
        <f t="shared" si="13"/>
        <v>Hafod 5761</v>
      </c>
      <c r="F57" s="8" t="str">
        <f t="shared" si="13"/>
        <v>Hafod 4067</v>
      </c>
      <c r="G57" s="8" t="str">
        <f t="shared" si="13"/>
        <v>Hafod 2455</v>
      </c>
      <c r="H57" s="8" t="str">
        <f t="shared" si="13"/>
        <v>Hafod 1741</v>
      </c>
      <c r="I57" s="8" t="str">
        <f t="shared" si="13"/>
        <v>Hafod 0720</v>
      </c>
      <c r="J57" s="8" t="str">
        <f t="shared" si="13"/>
        <v>Solafron 2893</v>
      </c>
      <c r="K57" s="8" t="str">
        <f t="shared" si="13"/>
        <v>Solafron 2611</v>
      </c>
      <c r="L57" s="8" t="str">
        <f t="shared" si="13"/>
        <v>Solafron 1404</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82" t="s">
        <v>136</v>
      </c>
      <c r="B58" s="10" t="str">
        <f>C16&amp;" I "&amp;(VLOOKUP(C14,Table2458[],6,FALSE))</f>
        <v>Medium/Clay I Grass</v>
      </c>
      <c r="C58" s="10" t="str">
        <f>D16&amp;" I "&amp;(VLOOKUP(D14,Table2458[],6,FALSE))</f>
        <v>Medium/Clay I Grass</v>
      </c>
      <c r="D58" s="10" t="str">
        <f>E16&amp;" I "&amp;(VLOOKUP(E14,Table2458[],6,FALSE))</f>
        <v>Medium/Clay I Grass</v>
      </c>
      <c r="E58" s="10" t="str">
        <f>F16&amp;" I "&amp;(VLOOKUP(F14,Table2458[],6,FALSE))</f>
        <v>Medium/Clay I Grass</v>
      </c>
      <c r="F58" s="10" t="str">
        <f>G16&amp;" I "&amp;(VLOOKUP(G14,Table2458[],6,FALSE))</f>
        <v>Medium/Clay I Grass</v>
      </c>
      <c r="G58" s="10" t="str">
        <f>H16&amp;" I "&amp;(VLOOKUP(H14,Table2458[],6,FALSE))</f>
        <v>Medium/Clay I Grass</v>
      </c>
      <c r="H58" s="10" t="str">
        <f>I16&amp;" I "&amp;(VLOOKUP(I14,Table2458[],6,FALSE))</f>
        <v>Medium/Clay I Grass</v>
      </c>
      <c r="I58" s="10" t="str">
        <f>J16&amp;" I "&amp;(VLOOKUP(J14,Table2458[],6,FALSE))</f>
        <v>Medium/Clay I Grass</v>
      </c>
      <c r="J58" s="10" t="str">
        <f>K16&amp;" I "&amp;(VLOOKUP(K14,Table2458[],6,FALSE))</f>
        <v>Medium/Clay I Grass</v>
      </c>
      <c r="K58" s="10" t="str">
        <f>L16&amp;" I "&amp;(VLOOKUP(L14,Table2458[],6,FALSE))</f>
        <v>Medium/Clay I Grass</v>
      </c>
      <c r="L58" s="10" t="str">
        <f>M16&amp;" I "&amp;(VLOOKUP(M14,Table2458[],6,FALSE))</f>
        <v>Medium/Clay I Grass</v>
      </c>
      <c r="M58" s="10" t="e">
        <f>N16&amp;" I "&amp;(VLOOKUP(N14,Table2458[],6,FALSE))</f>
        <v>#N/A</v>
      </c>
      <c r="N58" s="10" t="e">
        <f>O16&amp;" I "&amp;(VLOOKUP(O14,Table2458[],6,FALSE))</f>
        <v>#N/A</v>
      </c>
      <c r="O58" s="10" t="e">
        <f>P16&amp;" I "&amp;(VLOOKUP(P14,Table2458[],6,FALSE))</f>
        <v>#N/A</v>
      </c>
      <c r="P58" s="10" t="e">
        <f>Q16&amp;" I "&amp;(VLOOKUP(Q14,Table2458[],6,FALSE))</f>
        <v>#N/A</v>
      </c>
      <c r="Q58" s="10" t="e">
        <f>R16&amp;" I "&amp;(VLOOKUP(R14,Table2458[],6,FALSE))</f>
        <v>#N/A</v>
      </c>
      <c r="R58" s="10" t="e">
        <f>S16&amp;" I "&amp;(VLOOKUP(S14,Table2458[],6,FALSE))</f>
        <v>#N/A</v>
      </c>
      <c r="S58" s="10" t="e">
        <f>T16&amp;" I "&amp;(VLOOKUP(T14,Table2458[],6,FALSE))</f>
        <v>#N/A</v>
      </c>
      <c r="T58" s="10" t="e">
        <f>U16&amp;" I "&amp;(VLOOKUP(U14,Table2458[],6,FALSE))</f>
        <v>#N/A</v>
      </c>
      <c r="U58" s="10" t="e">
        <f>V16&amp;" I "&amp;(VLOOKUP(V14,Table2458[],6,FALSE))</f>
        <v>#N/A</v>
      </c>
    </row>
    <row r="59" spans="1:21" ht="13" x14ac:dyDescent="0.3">
      <c r="A59" s="100" t="s">
        <v>132</v>
      </c>
      <c r="B59" s="67">
        <f>VLOOKUP(C$14,Table2458[],5,FALSE)</f>
        <v>6.2</v>
      </c>
      <c r="C59" s="67">
        <f>VLOOKUP(D$14,Table2458[],5,FALSE)</f>
        <v>6.2</v>
      </c>
      <c r="D59" s="67">
        <f>VLOOKUP(E$14,Table2458[],5,FALSE)</f>
        <v>6.2</v>
      </c>
      <c r="E59" s="67">
        <f>VLOOKUP(F$14,Table2458[],5,FALSE)</f>
        <v>6.2</v>
      </c>
      <c r="F59" s="67">
        <f>VLOOKUP(G$14,Table2458[],5,FALSE)</f>
        <v>6.2</v>
      </c>
      <c r="G59" s="67">
        <f>VLOOKUP(H$14,Table2458[],5,FALSE)</f>
        <v>6.2</v>
      </c>
      <c r="H59" s="67">
        <f>VLOOKUP(I$14,Table2458[],5,FALSE)</f>
        <v>6.2</v>
      </c>
      <c r="I59" s="67">
        <f>VLOOKUP(J$14,Table2458[],5,FALSE)</f>
        <v>6.2</v>
      </c>
      <c r="J59" s="67">
        <f>VLOOKUP(K$14,Table2458[],5,FALSE)</f>
        <v>6.2</v>
      </c>
      <c r="K59" s="67">
        <f>VLOOKUP(L$14,Table2458[],5,FALSE)</f>
        <v>6.2</v>
      </c>
      <c r="L59" s="67">
        <f>VLOOKUP(M$14,Table2458[],5,FALSE)</f>
        <v>6.2</v>
      </c>
      <c r="M59" s="67" t="e">
        <f>VLOOKUP(N$14,Table2458[],5,FALSE)</f>
        <v>#N/A</v>
      </c>
      <c r="N59" s="67" t="e">
        <f>VLOOKUP(O$14,Table2458[],5,FALSE)</f>
        <v>#N/A</v>
      </c>
      <c r="O59" s="67" t="e">
        <f>VLOOKUP(P$14,Table2458[],5,FALSE)</f>
        <v>#N/A</v>
      </c>
      <c r="P59" s="67" t="e">
        <f>VLOOKUP(Q$14,Table2458[],5,FALSE)</f>
        <v>#N/A</v>
      </c>
      <c r="Q59" s="67" t="e">
        <f>VLOOKUP(R$14,Table2458[],5,FALSE)</f>
        <v>#N/A</v>
      </c>
      <c r="R59" s="67" t="e">
        <f>VLOOKUP(S$14,Table2458[],5,FALSE)</f>
        <v>#N/A</v>
      </c>
      <c r="S59" s="67" t="e">
        <f>VLOOKUP(T$14,Table2458[],5,FALSE)</f>
        <v>#N/A</v>
      </c>
      <c r="T59" s="67" t="e">
        <f>VLOOKUP(U$14,Table2458[],5,FALSE)</f>
        <v>#N/A</v>
      </c>
      <c r="U59" s="67" t="e">
        <f>VLOOKUP(V$14,Table2458[],5,FALSE)</f>
        <v>#N/A</v>
      </c>
    </row>
    <row r="60" spans="1:21" ht="13" x14ac:dyDescent="0.3">
      <c r="A60" s="100" t="s">
        <v>4</v>
      </c>
      <c r="B60" s="67">
        <f>C10</f>
        <v>5.4</v>
      </c>
      <c r="C60" s="67">
        <f t="shared" ref="C60:U60" si="14">D10</f>
        <v>6.3</v>
      </c>
      <c r="D60" s="67">
        <f t="shared" si="14"/>
        <v>6.3</v>
      </c>
      <c r="E60" s="67">
        <f t="shared" si="14"/>
        <v>6.2</v>
      </c>
      <c r="F60" s="67">
        <f t="shared" si="14"/>
        <v>6.2</v>
      </c>
      <c r="G60" s="67">
        <f t="shared" si="14"/>
        <v>6.3</v>
      </c>
      <c r="H60" s="67">
        <f t="shared" si="14"/>
        <v>6.3</v>
      </c>
      <c r="I60" s="67">
        <f t="shared" si="14"/>
        <v>6.2</v>
      </c>
      <c r="J60" s="67">
        <f t="shared" si="14"/>
        <v>6.3</v>
      </c>
      <c r="K60" s="67">
        <f t="shared" si="14"/>
        <v>6.3</v>
      </c>
      <c r="L60" s="67">
        <f t="shared" si="14"/>
        <v>6.3</v>
      </c>
      <c r="M60" s="67">
        <f t="shared" si="14"/>
        <v>0</v>
      </c>
      <c r="N60" s="67">
        <f t="shared" si="14"/>
        <v>0</v>
      </c>
      <c r="O60" s="67">
        <f t="shared" si="14"/>
        <v>0</v>
      </c>
      <c r="P60" s="67">
        <f t="shared" si="14"/>
        <v>0</v>
      </c>
      <c r="Q60" s="67">
        <f t="shared" si="14"/>
        <v>0</v>
      </c>
      <c r="R60" s="67">
        <f t="shared" si="14"/>
        <v>0</v>
      </c>
      <c r="S60" s="67">
        <f t="shared" si="14"/>
        <v>0</v>
      </c>
      <c r="T60" s="67">
        <f t="shared" si="14"/>
        <v>0</v>
      </c>
      <c r="U60" s="67">
        <f t="shared" si="14"/>
        <v>0</v>
      </c>
    </row>
    <row r="61" spans="1:21" ht="13" x14ac:dyDescent="0.3">
      <c r="A61" s="100" t="s">
        <v>133</v>
      </c>
      <c r="B61" s="67">
        <f t="shared" ref="B61:U61" si="15">VLOOKUP(B58,$AD9:$AE18,2,FALSE)</f>
        <v>6</v>
      </c>
      <c r="C61" s="67">
        <f t="shared" si="15"/>
        <v>6</v>
      </c>
      <c r="D61" s="67">
        <f t="shared" si="15"/>
        <v>6</v>
      </c>
      <c r="E61" s="67">
        <f t="shared" si="15"/>
        <v>6</v>
      </c>
      <c r="F61" s="67">
        <f t="shared" si="15"/>
        <v>6</v>
      </c>
      <c r="G61" s="67">
        <f t="shared" si="15"/>
        <v>6</v>
      </c>
      <c r="H61" s="67">
        <f t="shared" si="15"/>
        <v>6</v>
      </c>
      <c r="I61" s="67">
        <f t="shared" si="15"/>
        <v>6</v>
      </c>
      <c r="J61" s="67">
        <f t="shared" si="15"/>
        <v>6</v>
      </c>
      <c r="K61" s="67">
        <f t="shared" si="15"/>
        <v>6</v>
      </c>
      <c r="L61" s="67">
        <f t="shared" si="15"/>
        <v>6</v>
      </c>
      <c r="M61" s="67" t="e">
        <f t="shared" si="15"/>
        <v>#N/A</v>
      </c>
      <c r="N61" s="67" t="e">
        <f t="shared" si="15"/>
        <v>#N/A</v>
      </c>
      <c r="O61" s="67" t="e">
        <f t="shared" si="15"/>
        <v>#N/A</v>
      </c>
      <c r="P61" s="67" t="e">
        <f t="shared" si="15"/>
        <v>#N/A</v>
      </c>
      <c r="Q61" s="67" t="e">
        <f t="shared" si="15"/>
        <v>#N/A</v>
      </c>
      <c r="R61" s="67" t="e">
        <f t="shared" si="15"/>
        <v>#N/A</v>
      </c>
      <c r="S61" s="67" t="e">
        <f t="shared" si="15"/>
        <v>#N/A</v>
      </c>
      <c r="T61" s="67" t="e">
        <f t="shared" si="15"/>
        <v>#N/A</v>
      </c>
      <c r="U61" s="67" t="e">
        <f t="shared" si="15"/>
        <v>#N/A</v>
      </c>
    </row>
    <row r="62" spans="1:21" ht="13" x14ac:dyDescent="0.3">
      <c r="A62" s="100" t="s">
        <v>134</v>
      </c>
      <c r="B62" s="68">
        <f>B31</f>
        <v>0</v>
      </c>
      <c r="C62" s="68">
        <f>B32</f>
        <v>250</v>
      </c>
      <c r="D62" s="68">
        <f>B33</f>
        <v>250</v>
      </c>
      <c r="E62" s="68">
        <f>B34</f>
        <v>250</v>
      </c>
      <c r="F62" s="68">
        <f>B35</f>
        <v>250</v>
      </c>
      <c r="G62" s="68">
        <f>B36</f>
        <v>250</v>
      </c>
      <c r="H62" s="68">
        <f>B37</f>
        <v>250</v>
      </c>
      <c r="I62" s="68">
        <f>B38</f>
        <v>250</v>
      </c>
      <c r="J62" s="68">
        <f>B39</f>
        <v>250</v>
      </c>
      <c r="K62" s="68">
        <f>B40</f>
        <v>250</v>
      </c>
      <c r="L62" s="68">
        <f>B41</f>
        <v>250</v>
      </c>
      <c r="M62" s="68">
        <f>B42</f>
        <v>0</v>
      </c>
      <c r="N62" s="68">
        <f>B43</f>
        <v>0</v>
      </c>
      <c r="O62" s="68">
        <f>B44</f>
        <v>0</v>
      </c>
      <c r="P62" s="68">
        <f>B45</f>
        <v>0</v>
      </c>
      <c r="Q62" s="68">
        <f>B46</f>
        <v>0</v>
      </c>
      <c r="R62" s="68">
        <f>B47</f>
        <v>0</v>
      </c>
      <c r="S62" s="68">
        <f>B48</f>
        <v>0</v>
      </c>
      <c r="T62" s="68">
        <f>B49</f>
        <v>0</v>
      </c>
      <c r="U62" s="68">
        <f>B50</f>
        <v>0</v>
      </c>
    </row>
    <row r="63" spans="1:21" ht="39" x14ac:dyDescent="0.3">
      <c r="A63" s="101" t="s">
        <v>155</v>
      </c>
      <c r="B63" s="68">
        <f>$E55*(B62/100)</f>
        <v>0</v>
      </c>
      <c r="C63" s="68">
        <f t="shared" ref="C63:U63" si="16">$E55*(C62/100)</f>
        <v>0</v>
      </c>
      <c r="D63" s="68">
        <f t="shared" si="16"/>
        <v>0</v>
      </c>
      <c r="E63" s="68">
        <f t="shared" si="16"/>
        <v>0</v>
      </c>
      <c r="F63" s="68">
        <f>$E55*(F62/100)</f>
        <v>0</v>
      </c>
      <c r="G63" s="68">
        <f t="shared" si="16"/>
        <v>0</v>
      </c>
      <c r="H63" s="68">
        <f t="shared" si="16"/>
        <v>0</v>
      </c>
      <c r="I63" s="68">
        <f t="shared" si="16"/>
        <v>0</v>
      </c>
      <c r="J63" s="68">
        <f t="shared" si="16"/>
        <v>0</v>
      </c>
      <c r="K63" s="68">
        <f t="shared" si="16"/>
        <v>0</v>
      </c>
      <c r="L63" s="68">
        <f t="shared" si="16"/>
        <v>0</v>
      </c>
      <c r="M63" s="68">
        <f t="shared" si="16"/>
        <v>0</v>
      </c>
      <c r="N63" s="68">
        <f t="shared" si="16"/>
        <v>0</v>
      </c>
      <c r="O63" s="68">
        <f t="shared" si="16"/>
        <v>0</v>
      </c>
      <c r="P63" s="68">
        <f t="shared" si="16"/>
        <v>0</v>
      </c>
      <c r="Q63" s="68">
        <f t="shared" si="16"/>
        <v>0</v>
      </c>
      <c r="R63" s="68">
        <f t="shared" si="16"/>
        <v>0</v>
      </c>
      <c r="S63" s="68">
        <f t="shared" si="16"/>
        <v>0</v>
      </c>
      <c r="T63" s="68">
        <f t="shared" si="16"/>
        <v>0</v>
      </c>
      <c r="U63" s="68">
        <f t="shared" si="16"/>
        <v>0</v>
      </c>
    </row>
    <row r="64" spans="1:21" ht="52" x14ac:dyDescent="0.3">
      <c r="A64" s="101" t="s">
        <v>156</v>
      </c>
      <c r="B64" s="68">
        <f>(B59-B60)*B61</f>
        <v>4.7999999999999989</v>
      </c>
      <c r="C64" s="68">
        <f t="shared" ref="C64:U64" si="17">(C59-C60)*C61</f>
        <v>-0.59999999999999787</v>
      </c>
      <c r="D64" s="68">
        <f t="shared" si="17"/>
        <v>-0.59999999999999787</v>
      </c>
      <c r="E64" s="68">
        <f t="shared" si="17"/>
        <v>0</v>
      </c>
      <c r="F64" s="68">
        <f t="shared" si="17"/>
        <v>0</v>
      </c>
      <c r="G64" s="68">
        <f t="shared" si="17"/>
        <v>-0.59999999999999787</v>
      </c>
      <c r="H64" s="68">
        <f t="shared" si="17"/>
        <v>-0.59999999999999787</v>
      </c>
      <c r="I64" s="68">
        <f t="shared" si="17"/>
        <v>0</v>
      </c>
      <c r="J64" s="68">
        <f t="shared" si="17"/>
        <v>-0.59999999999999787</v>
      </c>
      <c r="K64" s="68">
        <f t="shared" si="17"/>
        <v>-0.59999999999999787</v>
      </c>
      <c r="L64" s="68">
        <f t="shared" si="17"/>
        <v>-0.59999999999999787</v>
      </c>
      <c r="M64" s="68" t="e">
        <f t="shared" si="17"/>
        <v>#N/A</v>
      </c>
      <c r="N64" s="68" t="e">
        <f t="shared" si="17"/>
        <v>#N/A</v>
      </c>
      <c r="O64" s="68" t="e">
        <f t="shared" si="17"/>
        <v>#N/A</v>
      </c>
      <c r="P64" s="68" t="e">
        <f t="shared" si="17"/>
        <v>#N/A</v>
      </c>
      <c r="Q64" s="68" t="e">
        <f t="shared" si="17"/>
        <v>#N/A</v>
      </c>
      <c r="R64" s="68" t="e">
        <f t="shared" si="17"/>
        <v>#N/A</v>
      </c>
      <c r="S64" s="68" t="e">
        <f t="shared" si="17"/>
        <v>#N/A</v>
      </c>
      <c r="T64" s="68" t="e">
        <f t="shared" si="17"/>
        <v>#N/A</v>
      </c>
      <c r="U64" s="68" t="e">
        <f t="shared" si="17"/>
        <v>#N/A</v>
      </c>
    </row>
    <row r="65" spans="1:21" ht="52" x14ac:dyDescent="0.3">
      <c r="A65" s="101" t="s">
        <v>157</v>
      </c>
      <c r="B65" s="68">
        <f>B63-B64</f>
        <v>-4.7999999999999989</v>
      </c>
      <c r="C65" s="68">
        <f t="shared" ref="C65:U65" si="18">C63-C64</f>
        <v>0.59999999999999787</v>
      </c>
      <c r="D65" s="68">
        <f t="shared" si="18"/>
        <v>0.59999999999999787</v>
      </c>
      <c r="E65" s="68">
        <f t="shared" si="18"/>
        <v>0</v>
      </c>
      <c r="F65" s="68">
        <f t="shared" si="18"/>
        <v>0</v>
      </c>
      <c r="G65" s="68">
        <f t="shared" si="18"/>
        <v>0.59999999999999787</v>
      </c>
      <c r="H65" s="68">
        <f t="shared" si="18"/>
        <v>0.59999999999999787</v>
      </c>
      <c r="I65" s="68">
        <f t="shared" si="18"/>
        <v>0</v>
      </c>
      <c r="J65" s="68">
        <f t="shared" si="18"/>
        <v>0.59999999999999787</v>
      </c>
      <c r="K65" s="68">
        <f t="shared" si="18"/>
        <v>0.59999999999999787</v>
      </c>
      <c r="L65" s="68">
        <f t="shared" si="18"/>
        <v>0.59999999999999787</v>
      </c>
      <c r="M65" s="68" t="e">
        <f t="shared" si="18"/>
        <v>#N/A</v>
      </c>
      <c r="N65" s="68" t="e">
        <f t="shared" si="18"/>
        <v>#N/A</v>
      </c>
      <c r="O65" s="68" t="e">
        <f t="shared" si="18"/>
        <v>#N/A</v>
      </c>
      <c r="P65" s="68" t="e">
        <f t="shared" si="18"/>
        <v>#N/A</v>
      </c>
      <c r="Q65" s="68" t="e">
        <f t="shared" si="18"/>
        <v>#N/A</v>
      </c>
      <c r="R65" s="68" t="e">
        <f t="shared" si="18"/>
        <v>#N/A</v>
      </c>
      <c r="S65" s="68" t="e">
        <f t="shared" si="18"/>
        <v>#N/A</v>
      </c>
      <c r="T65" s="68" t="e">
        <f t="shared" si="18"/>
        <v>#N/A</v>
      </c>
      <c r="U65" s="68" t="e">
        <f t="shared" si="18"/>
        <v>#N/A</v>
      </c>
    </row>
    <row r="66" spans="1:21" ht="26" x14ac:dyDescent="0.3">
      <c r="A66" s="101" t="s">
        <v>148</v>
      </c>
      <c r="B66" s="69" t="str">
        <f>IF(B64&lt;=B63,"OVER","UNDER")</f>
        <v>UNDER</v>
      </c>
      <c r="C66" s="69" t="str">
        <f t="shared" ref="C66:U66" si="19">IF(C64&lt;=C63,"OVER","UNDER")</f>
        <v>OVER</v>
      </c>
      <c r="D66" s="69" t="str">
        <f t="shared" si="19"/>
        <v>OVER</v>
      </c>
      <c r="E66" s="69" t="str">
        <f t="shared" si="19"/>
        <v>OVER</v>
      </c>
      <c r="F66" s="69" t="str">
        <f t="shared" si="19"/>
        <v>OVER</v>
      </c>
      <c r="G66" s="69" t="str">
        <f t="shared" si="19"/>
        <v>OVER</v>
      </c>
      <c r="H66" s="69" t="str">
        <f t="shared" si="19"/>
        <v>OVER</v>
      </c>
      <c r="I66" s="69" t="str">
        <f t="shared" si="19"/>
        <v>OVER</v>
      </c>
      <c r="J66" s="69" t="str">
        <f t="shared" si="19"/>
        <v>OVER</v>
      </c>
      <c r="K66" s="69" t="str">
        <f t="shared" si="19"/>
        <v>OVER</v>
      </c>
      <c r="L66" s="69" t="str">
        <f t="shared" si="19"/>
        <v>OVER</v>
      </c>
      <c r="M66" s="69" t="e">
        <f t="shared" si="19"/>
        <v>#N/A</v>
      </c>
      <c r="N66" s="69" t="e">
        <f t="shared" si="19"/>
        <v>#N/A</v>
      </c>
      <c r="O66" s="69" t="e">
        <f t="shared" si="19"/>
        <v>#N/A</v>
      </c>
      <c r="P66" s="69" t="e">
        <f t="shared" si="19"/>
        <v>#N/A</v>
      </c>
      <c r="Q66" s="69" t="e">
        <f t="shared" si="19"/>
        <v>#N/A</v>
      </c>
      <c r="R66" s="69" t="e">
        <f t="shared" si="19"/>
        <v>#N/A</v>
      </c>
      <c r="S66" s="69" t="e">
        <f t="shared" si="19"/>
        <v>#N/A</v>
      </c>
      <c r="T66" s="69" t="e">
        <f t="shared" si="19"/>
        <v>#N/A</v>
      </c>
      <c r="U66" s="69" t="e">
        <f t="shared" si="19"/>
        <v>#N/A</v>
      </c>
    </row>
  </sheetData>
  <sheetProtection algorithmName="SHA-512" hashValue="T1CP9GJjsQ0aRYY67W7r+EonZfTOcxe22OgC34x6QR5LhZc6lP9jcw8fiDgBZddNoIm+ZwA0GJblYsgeQcs/Aw==" saltValue="7U6PR/TzQ9D7NSQ76UrGJ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55" priority="36" operator="greaterThan">
      <formula>$B$51</formula>
    </cfRule>
  </conditionalFormatting>
  <conditionalFormatting sqref="B66:U66">
    <cfRule type="cellIs" dxfId="54" priority="11" operator="equal">
      <formula>"UNDER"</formula>
    </cfRule>
    <cfRule type="cellIs" dxfId="53" priority="12" operator="equal">
      <formula>"OVER"</formula>
    </cfRule>
  </conditionalFormatting>
  <conditionalFormatting sqref="C31:C50">
    <cfRule type="cellIs" dxfId="52" priority="35" operator="greaterThan">
      <formula>$C$51</formula>
    </cfRule>
  </conditionalFormatting>
  <conditionalFormatting sqref="C17:V19">
    <cfRule type="cellIs" dxfId="51" priority="32" operator="equal">
      <formula>0</formula>
    </cfRule>
  </conditionalFormatting>
  <conditionalFormatting sqref="C20:V21">
    <cfRule type="cellIs" dxfId="50" priority="37" operator="equal">
      <formula>"DECREASE"</formula>
    </cfRule>
    <cfRule type="cellIs" dxfId="49" priority="38" operator="equal">
      <formula>"INCREASE"</formula>
    </cfRule>
  </conditionalFormatting>
  <conditionalFormatting sqref="C21:V21">
    <cfRule type="cellIs" dxfId="48" priority="13" operator="equal">
      <formula>0</formula>
    </cfRule>
  </conditionalFormatting>
  <conditionalFormatting sqref="C22:V23">
    <cfRule type="cellIs" dxfId="47" priority="17" operator="equal">
      <formula>0</formula>
    </cfRule>
  </conditionalFormatting>
  <conditionalFormatting sqref="C24:V24">
    <cfRule type="cellIs" dxfId="46" priority="18" operator="equal">
      <formula>"DECREASE"</formula>
    </cfRule>
    <cfRule type="cellIs" dxfId="45" priority="19" operator="equal">
      <formula>"INCREASE"</formula>
    </cfRule>
  </conditionalFormatting>
  <conditionalFormatting sqref="G31:G50">
    <cfRule type="cellIs" dxfId="44" priority="31" operator="greaterThan">
      <formula>$G$51</formula>
    </cfRule>
  </conditionalFormatting>
  <conditionalFormatting sqref="H31:H50">
    <cfRule type="cellIs" dxfId="43" priority="30" operator="greaterThan">
      <formula>$H$51</formula>
    </cfRule>
  </conditionalFormatting>
  <conditionalFormatting sqref="I1">
    <cfRule type="cellIs" dxfId="42" priority="3" operator="between">
      <formula>0.1</formula>
      <formula>5</formula>
    </cfRule>
  </conditionalFormatting>
  <conditionalFormatting sqref="I2">
    <cfRule type="cellIs" dxfId="41" priority="2" operator="greaterThan">
      <formula>5000.1</formula>
    </cfRule>
  </conditionalFormatting>
  <conditionalFormatting sqref="I3">
    <cfRule type="cellIs" dxfId="40" priority="1" operator="greaterThan">
      <formula>40000.01</formula>
    </cfRule>
  </conditionalFormatting>
  <conditionalFormatting sqref="I31:I50">
    <cfRule type="cellIs" dxfId="39" priority="29" operator="greaterThan">
      <formula>$I$51</formula>
    </cfRule>
  </conditionalFormatting>
  <conditionalFormatting sqref="J31:J50">
    <cfRule type="cellIs" dxfId="38" priority="8" operator="greaterThan">
      <formula>$J$51</formula>
    </cfRule>
  </conditionalFormatting>
  <conditionalFormatting sqref="K31:K50">
    <cfRule type="cellIs" dxfId="37" priority="28" operator="greaterThan">
      <formula>$K$51</formula>
    </cfRule>
  </conditionalFormatting>
  <conditionalFormatting sqref="L3">
    <cfRule type="cellIs" dxfId="36" priority="4" operator="lessThan">
      <formula>30</formula>
    </cfRule>
    <cfRule type="cellIs" dxfId="35" priority="5" operator="greaterThanOrEqual">
      <formula>30</formula>
    </cfRule>
  </conditionalFormatting>
  <conditionalFormatting sqref="L31:L50">
    <cfRule type="cellIs" dxfId="34" priority="27" operator="greaterThan">
      <formula>$L$51</formula>
    </cfRule>
  </conditionalFormatting>
  <conditionalFormatting sqref="M31:M50">
    <cfRule type="cellIs" dxfId="33" priority="26" operator="greaterThan">
      <formula>$M$51</formula>
    </cfRule>
  </conditionalFormatting>
  <conditionalFormatting sqref="P31:P50">
    <cfRule type="cellIs" dxfId="32" priority="25" operator="greaterThan">
      <formula>$P$51</formula>
    </cfRule>
  </conditionalFormatting>
  <conditionalFormatting sqref="R31:R50">
    <cfRule type="cellIs" dxfId="31" priority="24" operator="greaterThan">
      <formula>$R$51</formula>
    </cfRule>
  </conditionalFormatting>
  <conditionalFormatting sqref="S31:S50">
    <cfRule type="cellIs" dxfId="30" priority="23" operator="greaterThan">
      <formula>$S$51</formula>
    </cfRule>
  </conditionalFormatting>
  <conditionalFormatting sqref="T31:T50">
    <cfRule type="cellIs" dxfId="29" priority="22" operator="greaterThan">
      <formula>$T$51</formula>
    </cfRule>
  </conditionalFormatting>
  <conditionalFormatting sqref="U31:U50">
    <cfRule type="cellIs" dxfId="28" priority="21" operator="greaterThan">
      <formula>$U$51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zoomScale="90" zoomScaleNormal="90" workbookViewId="0">
      <selection activeCell="F51" sqref="F51"/>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06" t="s">
        <v>41</v>
      </c>
      <c r="B1" s="106"/>
      <c r="C1" s="127" t="str">
        <f>Newcastle!C1:D1</f>
        <v>PAN-026945</v>
      </c>
      <c r="D1" s="128"/>
      <c r="E1" s="83" t="s">
        <v>45</v>
      </c>
      <c r="F1" s="32">
        <f>Newcastle!F1</f>
        <v>47.3</v>
      </c>
      <c r="G1" s="107" t="s">
        <v>43</v>
      </c>
      <c r="H1" s="108"/>
      <c r="I1" s="86">
        <v>6.62</v>
      </c>
      <c r="J1" s="106" t="s">
        <v>153</v>
      </c>
      <c r="K1" s="106"/>
      <c r="L1" s="86">
        <v>25</v>
      </c>
      <c r="AB1" s="14"/>
      <c r="AC1" s="14"/>
      <c r="AD1" s="23" t="s">
        <v>126</v>
      </c>
      <c r="AE1" s="14"/>
      <c r="AF1" s="14"/>
      <c r="AG1" s="14"/>
      <c r="AH1" s="14"/>
      <c r="AI1" s="33" t="s">
        <v>79</v>
      </c>
      <c r="AJ1" s="34" t="s">
        <v>94</v>
      </c>
      <c r="AK1" s="35" t="s">
        <v>95</v>
      </c>
      <c r="AL1" s="36" t="s">
        <v>125</v>
      </c>
      <c r="AM1" s="36" t="s">
        <v>131</v>
      </c>
      <c r="AN1" s="36" t="s">
        <v>111</v>
      </c>
    </row>
    <row r="2" spans="1:41" ht="12.75" customHeight="1" x14ac:dyDescent="0.3">
      <c r="A2" s="106" t="s">
        <v>87</v>
      </c>
      <c r="B2" s="106"/>
      <c r="C2" s="129" t="str">
        <f>Newcastle!C2:D2</f>
        <v>EPR/AB3891CX</v>
      </c>
      <c r="D2" s="130"/>
      <c r="E2" s="83" t="s">
        <v>109</v>
      </c>
      <c r="F2" s="86" t="s">
        <v>180</v>
      </c>
      <c r="G2" s="125" t="s">
        <v>110</v>
      </c>
      <c r="H2" s="126"/>
      <c r="I2" s="86"/>
      <c r="J2" s="106" t="s">
        <v>158</v>
      </c>
      <c r="K2" s="106"/>
      <c r="L2" s="86">
        <v>0.05</v>
      </c>
      <c r="AB2" s="23" t="s">
        <v>56</v>
      </c>
      <c r="AC2" s="14"/>
      <c r="AD2" s="23" t="s">
        <v>70</v>
      </c>
      <c r="AE2" s="14"/>
      <c r="AF2" s="14"/>
      <c r="AG2" s="37" t="s">
        <v>76</v>
      </c>
      <c r="AH2" s="14"/>
      <c r="AI2" s="38" t="s">
        <v>126</v>
      </c>
      <c r="AJ2" s="39">
        <v>0</v>
      </c>
      <c r="AK2" s="40">
        <v>0</v>
      </c>
      <c r="AL2" s="7">
        <v>0</v>
      </c>
      <c r="AM2" s="9">
        <v>0</v>
      </c>
      <c r="AN2" s="9">
        <v>0</v>
      </c>
    </row>
    <row r="3" spans="1:41" ht="13" x14ac:dyDescent="0.25">
      <c r="A3" s="107" t="s">
        <v>42</v>
      </c>
      <c r="B3" s="108"/>
      <c r="C3" s="129" t="str">
        <f>Newcastle!C3:D3</f>
        <v xml:space="preserve">Mr Daniel James and Mrs Carys James </v>
      </c>
      <c r="D3" s="130"/>
      <c r="E3" s="83" t="s">
        <v>108</v>
      </c>
      <c r="F3" s="24" t="s">
        <v>78</v>
      </c>
      <c r="G3" s="106" t="s">
        <v>159</v>
      </c>
      <c r="H3" s="106"/>
      <c r="I3" s="86"/>
      <c r="J3" s="107" t="s">
        <v>154</v>
      </c>
      <c r="K3" s="108"/>
      <c r="L3" s="86">
        <f>(L1/(L2*10000))*100</f>
        <v>5</v>
      </c>
      <c r="AB3" s="23" t="s">
        <v>57</v>
      </c>
      <c r="AC3" s="14"/>
      <c r="AD3" s="23" t="s">
        <v>71</v>
      </c>
      <c r="AE3" s="14"/>
      <c r="AF3" s="14"/>
      <c r="AG3" s="37" t="s">
        <v>77</v>
      </c>
      <c r="AH3" s="14"/>
      <c r="AI3" s="41" t="s">
        <v>113</v>
      </c>
      <c r="AJ3" s="42">
        <v>1.7</v>
      </c>
      <c r="AK3" s="43">
        <v>6</v>
      </c>
      <c r="AL3" s="44">
        <v>1</v>
      </c>
      <c r="AM3" s="9">
        <v>6.2</v>
      </c>
      <c r="AN3" s="9" t="s">
        <v>112</v>
      </c>
    </row>
    <row r="4" spans="1:41" ht="13" x14ac:dyDescent="0.25">
      <c r="A4" s="106" t="s">
        <v>0</v>
      </c>
      <c r="B4" s="106"/>
      <c r="C4" s="127" t="str">
        <f>Newcastle!C4:D4</f>
        <v>Hafod Fram, Ferwig, Cardigan, Ceredigion, SA43 1PU</v>
      </c>
      <c r="D4" s="128"/>
      <c r="E4" s="84" t="s">
        <v>1</v>
      </c>
      <c r="F4" s="86" t="s">
        <v>187</v>
      </c>
      <c r="G4" s="107"/>
      <c r="H4" s="108"/>
      <c r="I4" s="32"/>
      <c r="J4" s="107"/>
      <c r="K4" s="108"/>
      <c r="L4" s="86"/>
      <c r="AB4" s="23" t="s">
        <v>52</v>
      </c>
      <c r="AC4" s="14"/>
      <c r="AD4" s="45" t="s">
        <v>72</v>
      </c>
      <c r="AE4" s="14"/>
      <c r="AF4" s="14"/>
      <c r="AG4" s="37" t="s">
        <v>78</v>
      </c>
      <c r="AH4" s="14"/>
      <c r="AI4" s="46" t="s">
        <v>124</v>
      </c>
      <c r="AJ4" s="47">
        <v>7</v>
      </c>
      <c r="AK4" s="48">
        <v>10.5</v>
      </c>
      <c r="AL4" s="9">
        <v>2</v>
      </c>
      <c r="AM4" s="9">
        <v>6.7</v>
      </c>
      <c r="AN4" s="9" t="s">
        <v>135</v>
      </c>
    </row>
    <row r="5" spans="1:41" ht="13" x14ac:dyDescent="0.25">
      <c r="A5" s="106" t="s">
        <v>47</v>
      </c>
      <c r="B5" s="106"/>
      <c r="C5" s="127" t="str">
        <f>Newcastle!C5:D5</f>
        <v>Megan Tucker</v>
      </c>
      <c r="D5" s="128"/>
      <c r="E5" s="83"/>
      <c r="F5" s="32"/>
      <c r="G5" s="107"/>
      <c r="H5" s="108"/>
      <c r="I5" s="32"/>
      <c r="J5" s="107"/>
      <c r="K5" s="108"/>
      <c r="L5" s="86"/>
      <c r="AB5" s="23" t="s">
        <v>53</v>
      </c>
      <c r="AC5" s="14"/>
      <c r="AD5" s="45" t="s">
        <v>73</v>
      </c>
      <c r="AE5" s="14"/>
      <c r="AF5" s="14"/>
      <c r="AG5" s="37" t="s">
        <v>104</v>
      </c>
      <c r="AH5" s="14"/>
      <c r="AI5" s="46" t="s">
        <v>123</v>
      </c>
      <c r="AJ5" s="47">
        <v>6.5</v>
      </c>
      <c r="AK5" s="48">
        <v>5.5</v>
      </c>
      <c r="AL5" s="9">
        <v>3</v>
      </c>
      <c r="AM5" s="9">
        <v>6.7</v>
      </c>
      <c r="AN5" s="9" t="s">
        <v>135</v>
      </c>
    </row>
    <row r="6" spans="1:41" x14ac:dyDescent="0.25">
      <c r="A6" s="49"/>
      <c r="B6" s="49"/>
      <c r="F6" s="50"/>
      <c r="G6" s="50"/>
      <c r="H6" s="51"/>
      <c r="I6" s="51"/>
      <c r="J6" s="51"/>
      <c r="AB6" s="23" t="s">
        <v>54</v>
      </c>
      <c r="AC6" s="14"/>
      <c r="AD6" s="45" t="s">
        <v>74</v>
      </c>
      <c r="AE6" s="14"/>
      <c r="AF6" s="14"/>
      <c r="AG6" s="14"/>
      <c r="AH6" s="14"/>
      <c r="AI6" s="46" t="s">
        <v>68</v>
      </c>
      <c r="AJ6" s="47">
        <v>8.5</v>
      </c>
      <c r="AK6" s="48">
        <v>12</v>
      </c>
      <c r="AL6" s="9">
        <v>4</v>
      </c>
      <c r="AM6" s="9">
        <v>6.7</v>
      </c>
      <c r="AN6" s="9" t="s">
        <v>135</v>
      </c>
    </row>
    <row r="7" spans="1:41" s="7" customFormat="1" ht="13" x14ac:dyDescent="0.25">
      <c r="A7" s="112" t="s">
        <v>63</v>
      </c>
      <c r="B7" s="112"/>
      <c r="C7" s="10">
        <v>1</v>
      </c>
      <c r="D7" s="10">
        <v>2</v>
      </c>
      <c r="E7" s="10">
        <v>3</v>
      </c>
      <c r="F7" s="10">
        <v>4</v>
      </c>
      <c r="G7" s="10">
        <v>5</v>
      </c>
      <c r="H7" s="10">
        <v>6</v>
      </c>
      <c r="I7" s="10">
        <v>7</v>
      </c>
      <c r="J7" s="10">
        <v>8</v>
      </c>
      <c r="K7" s="10">
        <v>9</v>
      </c>
      <c r="L7" s="10">
        <v>10</v>
      </c>
      <c r="M7" s="10">
        <v>11</v>
      </c>
      <c r="N7" s="10">
        <v>12</v>
      </c>
      <c r="O7" s="10">
        <v>13</v>
      </c>
      <c r="P7" s="10">
        <v>14</v>
      </c>
      <c r="Q7" s="10">
        <v>15</v>
      </c>
      <c r="R7" s="10">
        <v>16</v>
      </c>
      <c r="S7" s="10">
        <v>17</v>
      </c>
      <c r="T7" s="10">
        <v>18</v>
      </c>
      <c r="U7" s="10">
        <v>19</v>
      </c>
      <c r="V7" s="10">
        <v>20</v>
      </c>
      <c r="AB7" s="23" t="s">
        <v>55</v>
      </c>
      <c r="AC7" s="14"/>
      <c r="AD7" s="14"/>
      <c r="AE7" s="14"/>
      <c r="AF7" s="14"/>
      <c r="AG7" s="14"/>
      <c r="AH7" s="14"/>
      <c r="AI7" s="46" t="s">
        <v>96</v>
      </c>
      <c r="AJ7" s="47">
        <v>8.5</v>
      </c>
      <c r="AK7" s="48">
        <v>10.5</v>
      </c>
      <c r="AL7" s="9">
        <v>5</v>
      </c>
      <c r="AM7" s="7">
        <v>6.7</v>
      </c>
      <c r="AN7" s="9" t="s">
        <v>135</v>
      </c>
      <c r="AO7" s="88"/>
    </row>
    <row r="8" spans="1:41" ht="13" x14ac:dyDescent="0.25">
      <c r="A8" s="106" t="s">
        <v>2</v>
      </c>
      <c r="B8" s="106"/>
      <c r="C8" s="52" t="str">
        <f>Newcastle!C8</f>
        <v>Nant Y Croi 9</v>
      </c>
      <c r="D8" s="52" t="str">
        <f>Newcastle!D8</f>
        <v>Hafod 4315</v>
      </c>
      <c r="E8" s="52" t="str">
        <f>Newcastle!E8</f>
        <v>Hafod 4734</v>
      </c>
      <c r="F8" s="52" t="str">
        <f>Newcastle!F8</f>
        <v>Hafod 5761</v>
      </c>
      <c r="G8" s="52" t="str">
        <f>Newcastle!G8</f>
        <v>Hafod 4067</v>
      </c>
      <c r="H8" s="52" t="str">
        <f>Newcastle!H8</f>
        <v>Hafod 2455</v>
      </c>
      <c r="I8" s="52" t="str">
        <f>Newcastle!I8</f>
        <v>Hafod 1741</v>
      </c>
      <c r="J8" s="52" t="str">
        <f>Newcastle!J8</f>
        <v>Hafod 0720</v>
      </c>
      <c r="K8" s="52" t="str">
        <f>Newcastle!K8</f>
        <v>Solafron 2893</v>
      </c>
      <c r="L8" s="52" t="str">
        <f>Newcastle!L8</f>
        <v>Solafron 2611</v>
      </c>
      <c r="M8" s="52" t="str">
        <f>Newcastle!M8</f>
        <v>Solafron 1404</v>
      </c>
      <c r="N8" s="52">
        <f>Newcastle!N8</f>
        <v>0</v>
      </c>
      <c r="O8" s="52">
        <f>Newcastle!O8</f>
        <v>0</v>
      </c>
      <c r="P8" s="52">
        <f>Newcastle!P8</f>
        <v>0</v>
      </c>
      <c r="Q8" s="52">
        <f>Newcastle!Q8</f>
        <v>0</v>
      </c>
      <c r="R8" s="52">
        <f>Newcastle!R8</f>
        <v>0</v>
      </c>
      <c r="S8" s="52">
        <f>Newcastle!S8</f>
        <v>0</v>
      </c>
      <c r="T8" s="52">
        <f>Newcastle!T8</f>
        <v>0</v>
      </c>
      <c r="U8" s="52">
        <f>Newcastle!U8</f>
        <v>0</v>
      </c>
      <c r="V8" s="52">
        <f>Newcastle!V8</f>
        <v>0</v>
      </c>
      <c r="AB8" s="53"/>
      <c r="AC8" s="53"/>
      <c r="AD8" s="14"/>
      <c r="AE8" s="14" t="s">
        <v>139</v>
      </c>
      <c r="AF8" s="14"/>
      <c r="AG8" s="14"/>
      <c r="AH8" s="14"/>
      <c r="AI8" s="46" t="s">
        <v>105</v>
      </c>
      <c r="AJ8" s="54">
        <v>1.4</v>
      </c>
      <c r="AK8" s="48">
        <v>4.4000000000000004</v>
      </c>
      <c r="AL8" s="9">
        <v>6</v>
      </c>
      <c r="AM8" s="9">
        <v>6.7</v>
      </c>
      <c r="AN8" s="9" t="s">
        <v>135</v>
      </c>
      <c r="AO8" s="14"/>
    </row>
    <row r="9" spans="1:41" ht="13" x14ac:dyDescent="0.25">
      <c r="A9" s="106" t="s">
        <v>3</v>
      </c>
      <c r="B9" s="106"/>
      <c r="C9" s="52" t="str">
        <f>Newcastle!C9</f>
        <v xml:space="preserve">Moderate </v>
      </c>
      <c r="D9" s="52" t="str">
        <f>Newcastle!D9</f>
        <v xml:space="preserve">Moderate </v>
      </c>
      <c r="E9" s="52" t="str">
        <f>Newcastle!E9</f>
        <v xml:space="preserve">Moderate </v>
      </c>
      <c r="F9" s="52" t="str">
        <f>Newcastle!F9</f>
        <v xml:space="preserve">Moderate </v>
      </c>
      <c r="G9" s="52" t="str">
        <f>Newcastle!G9</f>
        <v xml:space="preserve">Moderate </v>
      </c>
      <c r="H9" s="52" t="str">
        <f>Newcastle!H9</f>
        <v xml:space="preserve">Moderate </v>
      </c>
      <c r="I9" s="52" t="str">
        <f>Newcastle!I9</f>
        <v xml:space="preserve">Moderate </v>
      </c>
      <c r="J9" s="52" t="str">
        <f>Newcastle!J9</f>
        <v xml:space="preserve">Moderate </v>
      </c>
      <c r="K9" s="52" t="str">
        <f>Newcastle!K9</f>
        <v xml:space="preserve">Moderate </v>
      </c>
      <c r="L9" s="52" t="str">
        <f>Newcastle!L9</f>
        <v xml:space="preserve">Moderate </v>
      </c>
      <c r="M9" s="52" t="str">
        <f>Newcastle!M9</f>
        <v xml:space="preserve">Moderate </v>
      </c>
      <c r="N9" s="52">
        <f>Newcastle!N9</f>
        <v>0</v>
      </c>
      <c r="O9" s="52">
        <f>Newcastle!O9</f>
        <v>0</v>
      </c>
      <c r="P9" s="52">
        <f>Newcastle!P9</f>
        <v>0</v>
      </c>
      <c r="Q9" s="52">
        <f>Newcastle!Q9</f>
        <v>0</v>
      </c>
      <c r="R9" s="52">
        <f>Newcastle!R9</f>
        <v>0</v>
      </c>
      <c r="S9" s="52">
        <f>Newcastle!S9</f>
        <v>0</v>
      </c>
      <c r="T9" s="52">
        <f>Newcastle!T9</f>
        <v>0</v>
      </c>
      <c r="U9" s="52">
        <f>Newcastle!U9</f>
        <v>0</v>
      </c>
      <c r="V9" s="52">
        <f>Newcastle!V9</f>
        <v>0</v>
      </c>
      <c r="AB9" s="14"/>
      <c r="AC9" s="14"/>
      <c r="AD9" s="23" t="s">
        <v>137</v>
      </c>
      <c r="AE9" s="23">
        <v>4.5</v>
      </c>
      <c r="AF9" s="14"/>
      <c r="AG9" s="14"/>
      <c r="AH9" s="14"/>
      <c r="AI9" s="55" t="s">
        <v>103</v>
      </c>
      <c r="AJ9" s="56">
        <v>0.7</v>
      </c>
      <c r="AK9" s="57">
        <v>4</v>
      </c>
      <c r="AL9" s="22">
        <v>7</v>
      </c>
      <c r="AM9" s="9">
        <v>6.7</v>
      </c>
      <c r="AN9" s="9" t="s">
        <v>135</v>
      </c>
      <c r="AO9" s="88"/>
    </row>
    <row r="10" spans="1:41" ht="13" x14ac:dyDescent="0.25">
      <c r="A10" s="106" t="s">
        <v>4</v>
      </c>
      <c r="B10" s="106"/>
      <c r="C10" s="52">
        <f>Newcastle!C10</f>
        <v>5.4</v>
      </c>
      <c r="D10" s="52">
        <f>Newcastle!D10</f>
        <v>6.3</v>
      </c>
      <c r="E10" s="52">
        <f>Newcastle!E10</f>
        <v>6.3</v>
      </c>
      <c r="F10" s="52">
        <f>Newcastle!F10</f>
        <v>6.2</v>
      </c>
      <c r="G10" s="52">
        <f>Newcastle!G10</f>
        <v>6.2</v>
      </c>
      <c r="H10" s="52">
        <f>Newcastle!H10</f>
        <v>6.3</v>
      </c>
      <c r="I10" s="52">
        <f>Newcastle!I10</f>
        <v>6.3</v>
      </c>
      <c r="J10" s="52">
        <f>Newcastle!J10</f>
        <v>6.2</v>
      </c>
      <c r="K10" s="52">
        <f>Newcastle!K10</f>
        <v>6.3</v>
      </c>
      <c r="L10" s="52">
        <f>Newcastle!L10</f>
        <v>6.3</v>
      </c>
      <c r="M10" s="52">
        <f>Newcastle!M10</f>
        <v>6.3</v>
      </c>
      <c r="N10" s="52">
        <f>Newcastle!N10</f>
        <v>0</v>
      </c>
      <c r="O10" s="52">
        <f>Newcastle!O10</f>
        <v>0</v>
      </c>
      <c r="P10" s="52">
        <f>Newcastle!P10</f>
        <v>0</v>
      </c>
      <c r="Q10" s="52">
        <f>Newcastle!Q10</f>
        <v>0</v>
      </c>
      <c r="R10" s="52">
        <f>Newcastle!R10</f>
        <v>0</v>
      </c>
      <c r="S10" s="52">
        <f>Newcastle!S10</f>
        <v>0</v>
      </c>
      <c r="T10" s="52">
        <f>Newcastle!T10</f>
        <v>0</v>
      </c>
      <c r="U10" s="52">
        <f>Newcastle!U10</f>
        <v>0</v>
      </c>
      <c r="V10" s="52">
        <f>Newcastle!V10</f>
        <v>0</v>
      </c>
      <c r="AB10" s="14"/>
      <c r="AC10" s="14"/>
      <c r="AD10" s="23" t="s">
        <v>140</v>
      </c>
      <c r="AE10" s="23">
        <v>5</v>
      </c>
      <c r="AF10" s="14"/>
      <c r="AG10" s="14"/>
      <c r="AH10" s="14"/>
      <c r="AI10" s="46" t="s">
        <v>97</v>
      </c>
      <c r="AJ10" s="47">
        <v>9</v>
      </c>
      <c r="AK10" s="48">
        <v>16.5</v>
      </c>
      <c r="AL10" s="9">
        <v>8</v>
      </c>
      <c r="AM10" s="9">
        <v>6.7</v>
      </c>
      <c r="AN10" s="9" t="s">
        <v>135</v>
      </c>
    </row>
    <row r="11" spans="1:41" ht="13" x14ac:dyDescent="0.25">
      <c r="A11" s="106" t="s">
        <v>5</v>
      </c>
      <c r="B11" s="106"/>
      <c r="C11" s="52">
        <f>Newcastle!C11</f>
        <v>2</v>
      </c>
      <c r="D11" s="52">
        <f>Newcastle!D11</f>
        <v>2</v>
      </c>
      <c r="E11" s="52">
        <f>Newcastle!E11</f>
        <v>2</v>
      </c>
      <c r="F11" s="52">
        <f>Newcastle!F11</f>
        <v>1</v>
      </c>
      <c r="G11" s="52">
        <f>Newcastle!G11</f>
        <v>2</v>
      </c>
      <c r="H11" s="52">
        <f>Newcastle!H11</f>
        <v>2</v>
      </c>
      <c r="I11" s="52">
        <f>Newcastle!I11</f>
        <v>2</v>
      </c>
      <c r="J11" s="52">
        <f>Newcastle!J11</f>
        <v>2</v>
      </c>
      <c r="K11" s="52">
        <f>Newcastle!K11</f>
        <v>2</v>
      </c>
      <c r="L11" s="52">
        <f>Newcastle!L11</f>
        <v>2</v>
      </c>
      <c r="M11" s="52">
        <f>Newcastle!M11</f>
        <v>2</v>
      </c>
      <c r="N11" s="52">
        <f>Newcastle!N11</f>
        <v>0</v>
      </c>
      <c r="O11" s="52">
        <f>Newcastle!O11</f>
        <v>0</v>
      </c>
      <c r="P11" s="52">
        <f>Newcastle!P11</f>
        <v>0</v>
      </c>
      <c r="Q11" s="52">
        <f>Newcastle!Q11</f>
        <v>0</v>
      </c>
      <c r="R11" s="52">
        <f>Newcastle!R11</f>
        <v>0</v>
      </c>
      <c r="S11" s="52">
        <f>Newcastle!S11</f>
        <v>0</v>
      </c>
      <c r="T11" s="52">
        <f>Newcastle!T11</f>
        <v>0</v>
      </c>
      <c r="U11" s="52">
        <f>Newcastle!U11</f>
        <v>0</v>
      </c>
      <c r="V11" s="52">
        <f>Newcastle!V11</f>
        <v>0</v>
      </c>
      <c r="AB11" s="14"/>
      <c r="AC11" s="14"/>
      <c r="AD11" s="45" t="s">
        <v>141</v>
      </c>
      <c r="AE11" s="23">
        <v>6</v>
      </c>
      <c r="AF11" s="14"/>
      <c r="AG11" s="14"/>
      <c r="AH11" s="14"/>
      <c r="AI11" s="46" t="s">
        <v>122</v>
      </c>
      <c r="AJ11" s="47">
        <v>15</v>
      </c>
      <c r="AK11" s="48">
        <v>17.5</v>
      </c>
      <c r="AL11" s="9">
        <v>9</v>
      </c>
      <c r="AM11" s="9">
        <v>7</v>
      </c>
      <c r="AN11" s="9" t="s">
        <v>135</v>
      </c>
    </row>
    <row r="12" spans="1:41" ht="13" x14ac:dyDescent="0.25">
      <c r="A12" s="106" t="s">
        <v>6</v>
      </c>
      <c r="B12" s="106"/>
      <c r="C12" s="52">
        <f>Newcastle!C12</f>
        <v>1</v>
      </c>
      <c r="D12" s="52">
        <f>Newcastle!D12</f>
        <v>2</v>
      </c>
      <c r="E12" s="52">
        <f>Newcastle!E12</f>
        <v>1</v>
      </c>
      <c r="F12" s="52">
        <f>Newcastle!F12</f>
        <v>2</v>
      </c>
      <c r="G12" s="52">
        <f>Newcastle!G12</f>
        <v>2</v>
      </c>
      <c r="H12" s="52">
        <f>Newcastle!H12</f>
        <v>1</v>
      </c>
      <c r="I12" s="52">
        <f>Newcastle!I12</f>
        <v>2</v>
      </c>
      <c r="J12" s="52">
        <f>Newcastle!J12</f>
        <v>1</v>
      </c>
      <c r="K12" s="52">
        <f>Newcastle!K12</f>
        <v>2</v>
      </c>
      <c r="L12" s="52">
        <f>Newcastle!L12</f>
        <v>2</v>
      </c>
      <c r="M12" s="52">
        <f>Newcastle!M12</f>
        <v>1</v>
      </c>
      <c r="N12" s="52">
        <f>Newcastle!N12</f>
        <v>0</v>
      </c>
      <c r="O12" s="52">
        <f>Newcastle!O12</f>
        <v>0</v>
      </c>
      <c r="P12" s="52">
        <f>Newcastle!P12</f>
        <v>0</v>
      </c>
      <c r="Q12" s="52">
        <f>Newcastle!Q12</f>
        <v>0</v>
      </c>
      <c r="R12" s="52">
        <f>Newcastle!R12</f>
        <v>0</v>
      </c>
      <c r="S12" s="52">
        <f>Newcastle!S12</f>
        <v>0</v>
      </c>
      <c r="T12" s="52">
        <f>Newcastle!T12</f>
        <v>0</v>
      </c>
      <c r="U12" s="52">
        <f>Newcastle!U12</f>
        <v>0</v>
      </c>
      <c r="V12" s="52">
        <f>Newcastle!V12</f>
        <v>0</v>
      </c>
      <c r="AB12" s="14"/>
      <c r="AC12" s="14"/>
      <c r="AD12" s="45" t="s">
        <v>142</v>
      </c>
      <c r="AE12" s="23">
        <v>7.5</v>
      </c>
      <c r="AF12" s="14"/>
      <c r="AG12" s="14"/>
      <c r="AH12" s="14"/>
      <c r="AI12" s="46" t="s">
        <v>121</v>
      </c>
      <c r="AJ12" s="47">
        <v>14</v>
      </c>
      <c r="AK12" s="48">
        <v>11</v>
      </c>
      <c r="AL12" s="9">
        <v>10</v>
      </c>
      <c r="AM12" s="9">
        <v>7</v>
      </c>
      <c r="AN12" s="9" t="s">
        <v>135</v>
      </c>
    </row>
    <row r="13" spans="1:41" ht="13" x14ac:dyDescent="0.25">
      <c r="A13" s="106" t="s">
        <v>7</v>
      </c>
      <c r="B13" s="106"/>
      <c r="C13" s="52">
        <f>Newcastle!C13</f>
        <v>3</v>
      </c>
      <c r="D13" s="52">
        <f>Newcastle!D13</f>
        <v>5</v>
      </c>
      <c r="E13" s="52">
        <f>Newcastle!E13</f>
        <v>5</v>
      </c>
      <c r="F13" s="52">
        <f>Newcastle!F13</f>
        <v>5</v>
      </c>
      <c r="G13" s="52">
        <f>Newcastle!G13</f>
        <v>5</v>
      </c>
      <c r="H13" s="52">
        <f>Newcastle!H13</f>
        <v>5</v>
      </c>
      <c r="I13" s="52">
        <f>Newcastle!I13</f>
        <v>5</v>
      </c>
      <c r="J13" s="52">
        <f>Newcastle!J13</f>
        <v>5</v>
      </c>
      <c r="K13" s="52">
        <f>Newcastle!K13</f>
        <v>5</v>
      </c>
      <c r="L13" s="52">
        <f>Newcastle!L13</f>
        <v>5</v>
      </c>
      <c r="M13" s="52">
        <f>Newcastle!M13</f>
        <v>5</v>
      </c>
      <c r="N13" s="52">
        <f>Newcastle!N13</f>
        <v>0</v>
      </c>
      <c r="O13" s="52">
        <f>Newcastle!O13</f>
        <v>0</v>
      </c>
      <c r="P13" s="52">
        <f>Newcastle!P13</f>
        <v>0</v>
      </c>
      <c r="Q13" s="52">
        <f>Newcastle!Q13</f>
        <v>0</v>
      </c>
      <c r="R13" s="52">
        <f>Newcastle!R13</f>
        <v>0</v>
      </c>
      <c r="S13" s="52">
        <f>Newcastle!S13</f>
        <v>0</v>
      </c>
      <c r="T13" s="52">
        <f>Newcastle!T13</f>
        <v>0</v>
      </c>
      <c r="U13" s="52">
        <f>Newcastle!U13</f>
        <v>0</v>
      </c>
      <c r="V13" s="52">
        <f>Newcastle!V13</f>
        <v>0</v>
      </c>
      <c r="AB13" s="14"/>
      <c r="AC13" s="14"/>
      <c r="AD13" s="45" t="s">
        <v>143</v>
      </c>
      <c r="AE13" s="23">
        <v>12</v>
      </c>
      <c r="AF13" s="14"/>
      <c r="AG13" s="14"/>
      <c r="AH13" s="14"/>
      <c r="AI13" s="46" t="s">
        <v>120</v>
      </c>
      <c r="AJ13" s="47">
        <v>1.9</v>
      </c>
      <c r="AK13" s="48">
        <v>7.5</v>
      </c>
      <c r="AL13" s="9">
        <v>11</v>
      </c>
      <c r="AM13" s="9">
        <v>6.7</v>
      </c>
      <c r="AN13" s="9" t="s">
        <v>135</v>
      </c>
    </row>
    <row r="14" spans="1:41" ht="13" x14ac:dyDescent="0.25">
      <c r="A14" s="118" t="s">
        <v>8</v>
      </c>
      <c r="B14" s="118"/>
      <c r="C14" s="91" t="str">
        <f>Newcastle!C14</f>
        <v xml:space="preserve">Grass Silage (25% DM) </v>
      </c>
      <c r="D14" s="91" t="str">
        <f>Newcastle!D14</f>
        <v xml:space="preserve">Grass Silage (25% DM) </v>
      </c>
      <c r="E14" s="91" t="str">
        <f>Newcastle!E14</f>
        <v xml:space="preserve">Grass Silage (25% DM) </v>
      </c>
      <c r="F14" s="91" t="str">
        <f>Newcastle!F14</f>
        <v xml:space="preserve">Grass Silage (25% DM) </v>
      </c>
      <c r="G14" s="91" t="str">
        <f>Newcastle!G14</f>
        <v xml:space="preserve">Grass Silage (25% DM) </v>
      </c>
      <c r="H14" s="91" t="str">
        <f>Newcastle!H14</f>
        <v xml:space="preserve">Grass Silage (25% DM) </v>
      </c>
      <c r="I14" s="91" t="str">
        <f>Newcastle!I14</f>
        <v xml:space="preserve">Grass Silage (25% DM) </v>
      </c>
      <c r="J14" s="91" t="str">
        <f>Newcastle!J14</f>
        <v xml:space="preserve">Grass Silage (25% DM) </v>
      </c>
      <c r="K14" s="91" t="str">
        <f>Newcastle!K14</f>
        <v xml:space="preserve">Grass Silage (25% DM) </v>
      </c>
      <c r="L14" s="91" t="str">
        <f>Newcastle!L14</f>
        <v xml:space="preserve">Grass Silage (25% DM) </v>
      </c>
      <c r="M14" s="91" t="str">
        <f>Newcastle!M14</f>
        <v xml:space="preserve">Grass Silage (25% DM) </v>
      </c>
      <c r="N14" s="91">
        <f>Newcastle!N14</f>
        <v>0</v>
      </c>
      <c r="O14" s="91">
        <f>Newcastle!O14</f>
        <v>0</v>
      </c>
      <c r="P14" s="91">
        <f>Newcastle!P14</f>
        <v>0</v>
      </c>
      <c r="Q14" s="91">
        <f>Newcastle!Q14</f>
        <v>0</v>
      </c>
      <c r="R14" s="91">
        <f>Newcastle!R14</f>
        <v>0</v>
      </c>
      <c r="S14" s="91">
        <f>Newcastle!S14</f>
        <v>0</v>
      </c>
      <c r="T14" s="91">
        <f>Newcastle!T14</f>
        <v>0</v>
      </c>
      <c r="U14" s="91">
        <f>Newcastle!U14</f>
        <v>0</v>
      </c>
      <c r="V14" s="91">
        <f>Newcastle!V14</f>
        <v>0</v>
      </c>
      <c r="AD14" s="23" t="s">
        <v>138</v>
      </c>
      <c r="AE14" s="23">
        <v>6</v>
      </c>
      <c r="AI14" s="46" t="s">
        <v>119</v>
      </c>
      <c r="AJ14" s="47">
        <v>0.8</v>
      </c>
      <c r="AK14" s="48">
        <v>1.7</v>
      </c>
      <c r="AL14" s="9">
        <v>12</v>
      </c>
      <c r="AM14" s="9">
        <v>6.7</v>
      </c>
      <c r="AN14" s="9" t="s">
        <v>135</v>
      </c>
    </row>
    <row r="15" spans="1:41" ht="13" x14ac:dyDescent="0.25">
      <c r="A15" s="117" t="s">
        <v>9</v>
      </c>
      <c r="B15" s="117"/>
      <c r="C15" s="52">
        <f>Newcastle!C15</f>
        <v>47</v>
      </c>
      <c r="D15" s="52">
        <f>Newcastle!D15</f>
        <v>47</v>
      </c>
      <c r="E15" s="52">
        <f>Newcastle!E15</f>
        <v>47</v>
      </c>
      <c r="F15" s="52">
        <f>Newcastle!F15</f>
        <v>47</v>
      </c>
      <c r="G15" s="52">
        <f>Newcastle!G15</f>
        <v>47</v>
      </c>
      <c r="H15" s="52">
        <f>Newcastle!H15</f>
        <v>47</v>
      </c>
      <c r="I15" s="52">
        <f>Newcastle!I15</f>
        <v>47</v>
      </c>
      <c r="J15" s="52">
        <f>Newcastle!J15</f>
        <v>47</v>
      </c>
      <c r="K15" s="52">
        <f>Newcastle!K15</f>
        <v>47</v>
      </c>
      <c r="L15" s="52">
        <f>Newcastle!L15</f>
        <v>47</v>
      </c>
      <c r="M15" s="52">
        <f>Newcastle!M15</f>
        <v>47</v>
      </c>
      <c r="N15" s="52">
        <f>Newcastle!N15</f>
        <v>0</v>
      </c>
      <c r="O15" s="52">
        <f>Newcastle!O15</f>
        <v>0</v>
      </c>
      <c r="P15" s="52">
        <f>Newcastle!P15</f>
        <v>0</v>
      </c>
      <c r="Q15" s="52">
        <f>Newcastle!Q15</f>
        <v>0</v>
      </c>
      <c r="R15" s="52">
        <f>Newcastle!R15</f>
        <v>0</v>
      </c>
      <c r="S15" s="52">
        <f>Newcastle!S15</f>
        <v>0</v>
      </c>
      <c r="T15" s="52">
        <f>Newcastle!T15</f>
        <v>0</v>
      </c>
      <c r="U15" s="52">
        <f>Newcastle!U15</f>
        <v>0</v>
      </c>
      <c r="V15" s="52">
        <f>Newcastle!V15</f>
        <v>0</v>
      </c>
      <c r="AD15" s="23" t="s">
        <v>144</v>
      </c>
      <c r="AE15" s="23">
        <v>7</v>
      </c>
      <c r="AI15" s="46" t="s">
        <v>101</v>
      </c>
      <c r="AJ15" s="54">
        <v>1.8</v>
      </c>
      <c r="AK15" s="48">
        <v>5.4</v>
      </c>
      <c r="AL15" s="9">
        <v>13</v>
      </c>
      <c r="AM15" s="9">
        <v>6.7</v>
      </c>
      <c r="AN15" s="9" t="s">
        <v>135</v>
      </c>
    </row>
    <row r="16" spans="1:41" ht="13.5" thickBot="1" x14ac:dyDescent="0.3">
      <c r="A16" s="119" t="s">
        <v>44</v>
      </c>
      <c r="B16" s="119"/>
      <c r="C16" s="92" t="str">
        <f>Newcastle!C16</f>
        <v>Medium/Clay</v>
      </c>
      <c r="D16" s="92" t="str">
        <f>Newcastle!D16</f>
        <v>Medium/Clay</v>
      </c>
      <c r="E16" s="92" t="str">
        <f>Newcastle!E16</f>
        <v>Medium/Clay</v>
      </c>
      <c r="F16" s="92" t="str">
        <f>Newcastle!F16</f>
        <v>Medium/Clay</v>
      </c>
      <c r="G16" s="92" t="str">
        <f>Newcastle!G16</f>
        <v>Medium/Clay</v>
      </c>
      <c r="H16" s="92" t="str">
        <f>Newcastle!H16</f>
        <v>Medium/Clay</v>
      </c>
      <c r="I16" s="92" t="str">
        <f>Newcastle!I16</f>
        <v>Medium/Clay</v>
      </c>
      <c r="J16" s="92" t="str">
        <f>Newcastle!J16</f>
        <v>Medium/Clay</v>
      </c>
      <c r="K16" s="92" t="str">
        <f>Newcastle!K16</f>
        <v>Medium/Clay</v>
      </c>
      <c r="L16" s="92" t="str">
        <f>Newcastle!L16</f>
        <v>Medium/Clay</v>
      </c>
      <c r="M16" s="92" t="str">
        <f>Newcastle!M16</f>
        <v>Medium/Clay</v>
      </c>
      <c r="N16" s="92">
        <f>Newcastle!N16</f>
        <v>0</v>
      </c>
      <c r="O16" s="92">
        <f>Newcastle!O16</f>
        <v>0</v>
      </c>
      <c r="P16" s="92">
        <f>Newcastle!P16</f>
        <v>0</v>
      </c>
      <c r="Q16" s="92">
        <f>Newcastle!Q16</f>
        <v>0</v>
      </c>
      <c r="R16" s="92">
        <f>Newcastle!R16</f>
        <v>0</v>
      </c>
      <c r="S16" s="92">
        <f>Newcastle!S16</f>
        <v>0</v>
      </c>
      <c r="T16" s="92">
        <f>Newcastle!T16</f>
        <v>0</v>
      </c>
      <c r="U16" s="92">
        <f>Newcastle!U16</f>
        <v>0</v>
      </c>
      <c r="V16" s="92">
        <f>Newcastle!V16</f>
        <v>0</v>
      </c>
      <c r="AD16" s="45" t="s">
        <v>145</v>
      </c>
      <c r="AE16" s="23">
        <v>8</v>
      </c>
      <c r="AI16" s="46" t="s">
        <v>118</v>
      </c>
      <c r="AJ16" s="47">
        <v>8</v>
      </c>
      <c r="AK16" s="48">
        <v>5.5</v>
      </c>
      <c r="AL16" s="7">
        <v>14</v>
      </c>
      <c r="AM16" s="9">
        <v>6.7</v>
      </c>
      <c r="AN16" s="9" t="s">
        <v>135</v>
      </c>
    </row>
    <row r="17" spans="1:40" ht="13" x14ac:dyDescent="0.25">
      <c r="A17" s="109" t="s">
        <v>69</v>
      </c>
      <c r="B17" s="110"/>
      <c r="C17" s="21">
        <f>(VLOOKUP(C$14,$AI2:$AK26,2,FALSE))*C$15</f>
        <v>79.899999999999991</v>
      </c>
      <c r="D17" s="21">
        <f t="shared" ref="D17:V17" si="0">(VLOOKUP(D$14,$AI2:$AK26,2,FALSE))*D$15</f>
        <v>79.899999999999991</v>
      </c>
      <c r="E17" s="21">
        <f t="shared" si="0"/>
        <v>79.899999999999991</v>
      </c>
      <c r="F17" s="21">
        <f t="shared" si="0"/>
        <v>79.899999999999991</v>
      </c>
      <c r="G17" s="21">
        <f t="shared" si="0"/>
        <v>79.899999999999991</v>
      </c>
      <c r="H17" s="21">
        <f t="shared" si="0"/>
        <v>79.899999999999991</v>
      </c>
      <c r="I17" s="21">
        <f t="shared" si="0"/>
        <v>79.899999999999991</v>
      </c>
      <c r="J17" s="21">
        <f t="shared" si="0"/>
        <v>79.899999999999991</v>
      </c>
      <c r="K17" s="21">
        <f t="shared" si="0"/>
        <v>79.899999999999991</v>
      </c>
      <c r="L17" s="21">
        <f t="shared" si="0"/>
        <v>79.899999999999991</v>
      </c>
      <c r="M17" s="21">
        <f t="shared" si="0"/>
        <v>79.899999999999991</v>
      </c>
      <c r="N17" s="21" t="e">
        <f t="shared" si="0"/>
        <v>#N/A</v>
      </c>
      <c r="O17" s="21" t="e">
        <f t="shared" si="0"/>
        <v>#N/A</v>
      </c>
      <c r="P17" s="21" t="e">
        <f t="shared" si="0"/>
        <v>#N/A</v>
      </c>
      <c r="Q17" s="21" t="e">
        <f t="shared" si="0"/>
        <v>#N/A</v>
      </c>
      <c r="R17" s="21" t="e">
        <f t="shared" si="0"/>
        <v>#N/A</v>
      </c>
      <c r="S17" s="21" t="e">
        <f t="shared" si="0"/>
        <v>#N/A</v>
      </c>
      <c r="T17" s="21" t="e">
        <f t="shared" si="0"/>
        <v>#N/A</v>
      </c>
      <c r="U17" s="21" t="e">
        <f t="shared" si="0"/>
        <v>#N/A</v>
      </c>
      <c r="V17" s="21" t="e">
        <f t="shared" si="0"/>
        <v>#N/A</v>
      </c>
      <c r="AD17" s="45" t="s">
        <v>146</v>
      </c>
      <c r="AE17" s="23">
        <v>10</v>
      </c>
      <c r="AI17" s="41" t="s">
        <v>115</v>
      </c>
      <c r="AJ17" s="42">
        <v>1.4</v>
      </c>
      <c r="AK17" s="43">
        <v>4.8</v>
      </c>
      <c r="AL17" s="44">
        <v>15</v>
      </c>
      <c r="AM17" s="9">
        <v>6.2</v>
      </c>
      <c r="AN17" s="9" t="s">
        <v>112</v>
      </c>
    </row>
    <row r="18" spans="1:40" ht="13" x14ac:dyDescent="0.25">
      <c r="A18" s="111" t="s">
        <v>23</v>
      </c>
      <c r="B18" s="112"/>
      <c r="C18" s="13">
        <f>$D31</f>
        <v>0</v>
      </c>
      <c r="D18" s="13">
        <f>$D32</f>
        <v>54.926725000000012</v>
      </c>
      <c r="E18" s="13">
        <f>$D33</f>
        <v>54.926725000000012</v>
      </c>
      <c r="F18" s="13">
        <f>$D34</f>
        <v>54.926725000000012</v>
      </c>
      <c r="G18" s="13">
        <f>$D35</f>
        <v>54.926725000000012</v>
      </c>
      <c r="H18" s="13">
        <f>$D36</f>
        <v>54.926725000000012</v>
      </c>
      <c r="I18" s="13">
        <f>$D37</f>
        <v>54.926725000000012</v>
      </c>
      <c r="J18" s="13">
        <f>$D38</f>
        <v>54.926725000000012</v>
      </c>
      <c r="K18" s="13">
        <f>$D39</f>
        <v>54.926725000000012</v>
      </c>
      <c r="L18" s="13">
        <f>$D40</f>
        <v>54.926725000000012</v>
      </c>
      <c r="M18" s="13">
        <f>$D41</f>
        <v>54.926725000000012</v>
      </c>
      <c r="N18" s="13">
        <f>$D42</f>
        <v>0</v>
      </c>
      <c r="O18" s="13">
        <f>$D43</f>
        <v>0</v>
      </c>
      <c r="P18" s="13">
        <f>$D44</f>
        <v>0</v>
      </c>
      <c r="Q18" s="13">
        <f>$D45</f>
        <v>0</v>
      </c>
      <c r="R18" s="13">
        <f>$D46</f>
        <v>0</v>
      </c>
      <c r="S18" s="13">
        <f>$D47</f>
        <v>0</v>
      </c>
      <c r="T18" s="13">
        <f>$D48</f>
        <v>0</v>
      </c>
      <c r="U18" s="13">
        <f>$D49</f>
        <v>0</v>
      </c>
      <c r="V18" s="18">
        <f>$D50</f>
        <v>0</v>
      </c>
      <c r="AD18" s="45" t="s">
        <v>147</v>
      </c>
      <c r="AE18" s="23">
        <v>16</v>
      </c>
      <c r="AI18" s="41" t="s">
        <v>106</v>
      </c>
      <c r="AJ18" s="42">
        <v>5.9</v>
      </c>
      <c r="AK18" s="43">
        <v>18</v>
      </c>
      <c r="AL18" s="44">
        <v>16</v>
      </c>
      <c r="AM18" s="9">
        <v>6.2</v>
      </c>
      <c r="AN18" s="9" t="s">
        <v>112</v>
      </c>
    </row>
    <row r="19" spans="1:40" ht="13" x14ac:dyDescent="0.25">
      <c r="A19" s="111" t="s">
        <v>90</v>
      </c>
      <c r="B19" s="112"/>
      <c r="C19" s="13">
        <f>C18-C17</f>
        <v>-79.899999999999991</v>
      </c>
      <c r="D19" s="13">
        <f t="shared" ref="D19:V19" si="1">D18-D17</f>
        <v>-24.97327499999998</v>
      </c>
      <c r="E19" s="13">
        <f t="shared" si="1"/>
        <v>-24.97327499999998</v>
      </c>
      <c r="F19" s="13">
        <f t="shared" si="1"/>
        <v>-24.97327499999998</v>
      </c>
      <c r="G19" s="13">
        <f t="shared" si="1"/>
        <v>-24.97327499999998</v>
      </c>
      <c r="H19" s="13">
        <f t="shared" si="1"/>
        <v>-24.97327499999998</v>
      </c>
      <c r="I19" s="13">
        <f t="shared" si="1"/>
        <v>-24.97327499999998</v>
      </c>
      <c r="J19" s="13">
        <f t="shared" si="1"/>
        <v>-24.97327499999998</v>
      </c>
      <c r="K19" s="13">
        <f t="shared" si="1"/>
        <v>-24.97327499999998</v>
      </c>
      <c r="L19" s="13">
        <f t="shared" si="1"/>
        <v>-24.97327499999998</v>
      </c>
      <c r="M19" s="13">
        <f t="shared" si="1"/>
        <v>-24.97327499999998</v>
      </c>
      <c r="N19" s="13" t="e">
        <f t="shared" si="1"/>
        <v>#N/A</v>
      </c>
      <c r="O19" s="13" t="e">
        <f t="shared" si="1"/>
        <v>#N/A</v>
      </c>
      <c r="P19" s="13" t="e">
        <f t="shared" si="1"/>
        <v>#N/A</v>
      </c>
      <c r="Q19" s="13" t="e">
        <f t="shared" si="1"/>
        <v>#N/A</v>
      </c>
      <c r="R19" s="13" t="e">
        <f t="shared" si="1"/>
        <v>#N/A</v>
      </c>
      <c r="S19" s="13" t="e">
        <f t="shared" si="1"/>
        <v>#N/A</v>
      </c>
      <c r="T19" s="13" t="e">
        <f t="shared" si="1"/>
        <v>#N/A</v>
      </c>
      <c r="U19" s="13" t="e">
        <f t="shared" si="1"/>
        <v>#N/A</v>
      </c>
      <c r="V19" s="18" t="e">
        <f t="shared" si="1"/>
        <v>#N/A</v>
      </c>
      <c r="AI19" s="41" t="s">
        <v>107</v>
      </c>
      <c r="AJ19" s="42">
        <v>3.2</v>
      </c>
      <c r="AK19" s="43">
        <v>10.5</v>
      </c>
      <c r="AL19" s="44">
        <v>17</v>
      </c>
      <c r="AM19" s="9">
        <v>6.2</v>
      </c>
      <c r="AN19" s="9" t="s">
        <v>112</v>
      </c>
    </row>
    <row r="20" spans="1:40" ht="13.5" thickBot="1" x14ac:dyDescent="0.3">
      <c r="A20" s="113" t="s">
        <v>91</v>
      </c>
      <c r="B20" s="114"/>
      <c r="C20" s="19" t="str">
        <f>IF($B31="","",IF(C$19&gt;=0,"INCREASE","DECREASE"))</f>
        <v>DECREASE</v>
      </c>
      <c r="D20" s="19" t="str">
        <f>IF($B32="","",IF(D$19&gt;=0,"INCREASE","DECREASE"))</f>
        <v>DECREASE</v>
      </c>
      <c r="E20" s="19" t="str">
        <f>IF($B33="","",IF(E$19&gt;=0,"INCREASE","DECREASE"))</f>
        <v>DECREASE</v>
      </c>
      <c r="F20" s="19" t="str">
        <f>IF($B34="","",IF(F$19&gt;=0,"INCREASE","DECREASE"))</f>
        <v>DECREASE</v>
      </c>
      <c r="G20" s="19" t="str">
        <f>IF($B35="","",IF(G$19&gt;=0,"INCREASE","DECREASE"))</f>
        <v>DECREASE</v>
      </c>
      <c r="H20" s="19" t="str">
        <f>IF($B36="","",IF(H$19&gt;=0,"INCREASE","DECREASE"))</f>
        <v>DECREASE</v>
      </c>
      <c r="I20" s="19" t="str">
        <f>IF($B37="","",IF(I$19&gt;=0,"INCREASE","DECREASE"))</f>
        <v>DECREASE</v>
      </c>
      <c r="J20" s="19" t="str">
        <f>IF($B38="","",IF(J$19&gt;=0,"INCREASE","DECREASE"))</f>
        <v>DECREASE</v>
      </c>
      <c r="K20" s="19" t="str">
        <f>IF($B39="","",IF(K$19&gt;=0,"INCREASE","DECREASE"))</f>
        <v>DECREASE</v>
      </c>
      <c r="L20" s="19" t="str">
        <f>IF($B40="","",IF(L$19&gt;=0,"INCREASE","DECREASE"))</f>
        <v>DECREASE</v>
      </c>
      <c r="M20" s="19" t="str">
        <f>IF($B41="","",IF(M$19&gt;=0,"INCREASE","DECREASE"))</f>
        <v>DECREASE</v>
      </c>
      <c r="N20" s="19" t="str">
        <f>IF($B42="","",IF(N$19&gt;=0,"INCREASE","DECREASE"))</f>
        <v/>
      </c>
      <c r="O20" s="19" t="str">
        <f>IF($B43="","",IF(O$19&gt;=0,"INCREASE","DECREASE"))</f>
        <v/>
      </c>
      <c r="P20" s="19" t="str">
        <f>IF($B44="","",IF(P$19&gt;=0,"INCREASE","DECREASE"))</f>
        <v/>
      </c>
      <c r="Q20" s="19" t="str">
        <f>IF($B45="","",IF(Q$19&gt;=0,"INCREASE","DECREASE"))</f>
        <v/>
      </c>
      <c r="R20" s="19" t="str">
        <f>IF($B46="","",IF(R$19&gt;=0,"INCREASE","DECREASE"))</f>
        <v/>
      </c>
      <c r="S20" s="19" t="str">
        <f>IF($B47="","",IF(S$19&gt;=0,"INCREASE","DECREASE"))</f>
        <v/>
      </c>
      <c r="T20" s="19" t="str">
        <f>IF($B48="","",IF(T$19&gt;=0,"INCREASE","DECREASE"))</f>
        <v/>
      </c>
      <c r="U20" s="19" t="str">
        <f>IF($B49="","",IF(U$19&gt;=0,"INCREASE","DECREASE"))</f>
        <v/>
      </c>
      <c r="V20" s="20" t="str">
        <f>IF($B50="","",IF(V$19&gt;=0,"INCREASE","DECREASE"))</f>
        <v/>
      </c>
      <c r="AI20" s="41" t="s">
        <v>114</v>
      </c>
      <c r="AJ20" s="42">
        <v>2.1</v>
      </c>
      <c r="AK20" s="43">
        <v>7.2</v>
      </c>
      <c r="AL20" s="44">
        <v>18</v>
      </c>
      <c r="AM20" s="9">
        <v>6.2</v>
      </c>
      <c r="AN20" s="9" t="s">
        <v>112</v>
      </c>
    </row>
    <row r="21" spans="1:40" ht="13" x14ac:dyDescent="0.25">
      <c r="A21" s="109" t="s">
        <v>88</v>
      </c>
      <c r="B21" s="110"/>
      <c r="C21" s="21">
        <f>(VLOOKUP(C$14,$AI2:$AK26,3,FALSE))*C$15</f>
        <v>282</v>
      </c>
      <c r="D21" s="21">
        <f t="shared" ref="D21:V21" si="2">(VLOOKUP(D$14,$AI2:$AK26,3,FALSE))*D$15</f>
        <v>282</v>
      </c>
      <c r="E21" s="21">
        <f t="shared" si="2"/>
        <v>282</v>
      </c>
      <c r="F21" s="21">
        <f t="shared" si="2"/>
        <v>282</v>
      </c>
      <c r="G21" s="21">
        <f t="shared" si="2"/>
        <v>282</v>
      </c>
      <c r="H21" s="21">
        <f t="shared" si="2"/>
        <v>282</v>
      </c>
      <c r="I21" s="21">
        <f t="shared" si="2"/>
        <v>282</v>
      </c>
      <c r="J21" s="21">
        <f t="shared" si="2"/>
        <v>282</v>
      </c>
      <c r="K21" s="21">
        <f t="shared" si="2"/>
        <v>282</v>
      </c>
      <c r="L21" s="21">
        <f t="shared" si="2"/>
        <v>282</v>
      </c>
      <c r="M21" s="21">
        <f t="shared" si="2"/>
        <v>282</v>
      </c>
      <c r="N21" s="21" t="e">
        <f t="shared" si="2"/>
        <v>#N/A</v>
      </c>
      <c r="O21" s="21" t="e">
        <f t="shared" si="2"/>
        <v>#N/A</v>
      </c>
      <c r="P21" s="21" t="e">
        <f t="shared" si="2"/>
        <v>#N/A</v>
      </c>
      <c r="Q21" s="21" t="e">
        <f t="shared" si="2"/>
        <v>#N/A</v>
      </c>
      <c r="R21" s="21" t="e">
        <f t="shared" si="2"/>
        <v>#N/A</v>
      </c>
      <c r="S21" s="21" t="e">
        <f t="shared" si="2"/>
        <v>#N/A</v>
      </c>
      <c r="T21" s="21" t="e">
        <f t="shared" si="2"/>
        <v>#N/A</v>
      </c>
      <c r="U21" s="21" t="e">
        <f t="shared" si="2"/>
        <v>#N/A</v>
      </c>
      <c r="V21" s="21" t="e">
        <f t="shared" si="2"/>
        <v>#N/A</v>
      </c>
      <c r="AI21" s="55" t="s">
        <v>100</v>
      </c>
      <c r="AJ21" s="58">
        <v>11</v>
      </c>
      <c r="AK21" s="57">
        <v>12</v>
      </c>
      <c r="AL21" s="22">
        <v>19</v>
      </c>
      <c r="AM21" s="9">
        <v>6.7</v>
      </c>
      <c r="AN21" s="9" t="s">
        <v>135</v>
      </c>
    </row>
    <row r="22" spans="1:40" ht="13" x14ac:dyDescent="0.25">
      <c r="A22" s="111" t="s">
        <v>89</v>
      </c>
      <c r="B22" s="112"/>
      <c r="C22" s="13">
        <f>$E31</f>
        <v>0</v>
      </c>
      <c r="D22" s="13">
        <f>$E32</f>
        <v>13.194749999999999</v>
      </c>
      <c r="E22" s="13">
        <f>$E33</f>
        <v>13.194749999999999</v>
      </c>
      <c r="F22" s="13">
        <f>$E34</f>
        <v>13.194749999999999</v>
      </c>
      <c r="G22" s="13">
        <f>$E35</f>
        <v>13.194749999999999</v>
      </c>
      <c r="H22" s="13">
        <f>$E36</f>
        <v>13.194749999999999</v>
      </c>
      <c r="I22" s="13">
        <f>$E37</f>
        <v>13.194749999999999</v>
      </c>
      <c r="J22" s="13">
        <f>$E38</f>
        <v>13.194749999999999</v>
      </c>
      <c r="K22" s="13">
        <f>$E39</f>
        <v>13.194749999999999</v>
      </c>
      <c r="L22" s="13">
        <f>$E40</f>
        <v>13.194749999999999</v>
      </c>
      <c r="M22" s="13">
        <f>$E41</f>
        <v>13.194749999999999</v>
      </c>
      <c r="N22" s="13">
        <f>$E42</f>
        <v>0</v>
      </c>
      <c r="O22" s="13">
        <f>$E43</f>
        <v>0</v>
      </c>
      <c r="P22" s="13">
        <f>$E44</f>
        <v>0</v>
      </c>
      <c r="Q22" s="13">
        <f>$E45</f>
        <v>0</v>
      </c>
      <c r="R22" s="13">
        <f>$E46</f>
        <v>0</v>
      </c>
      <c r="S22" s="13">
        <f>$E47</f>
        <v>0</v>
      </c>
      <c r="T22" s="13">
        <f>$E48</f>
        <v>0</v>
      </c>
      <c r="U22" s="13">
        <f>$E49</f>
        <v>0</v>
      </c>
      <c r="V22" s="13">
        <f>$E50</f>
        <v>0</v>
      </c>
      <c r="AI22" s="55" t="s">
        <v>102</v>
      </c>
      <c r="AJ22" s="56">
        <v>1.2</v>
      </c>
      <c r="AK22" s="57">
        <v>5</v>
      </c>
      <c r="AL22" s="22">
        <v>20</v>
      </c>
      <c r="AM22" s="9">
        <v>6.7</v>
      </c>
      <c r="AN22" s="9" t="s">
        <v>135</v>
      </c>
    </row>
    <row r="23" spans="1:40" ht="13" x14ac:dyDescent="0.25">
      <c r="A23" s="111" t="s">
        <v>92</v>
      </c>
      <c r="B23" s="112"/>
      <c r="C23" s="13">
        <f>C22-C21</f>
        <v>-282</v>
      </c>
      <c r="D23" s="13">
        <f t="shared" ref="D23:V23" si="3">D22-D21</f>
        <v>-268.80525</v>
      </c>
      <c r="E23" s="13">
        <f t="shared" si="3"/>
        <v>-268.80525</v>
      </c>
      <c r="F23" s="13">
        <f t="shared" si="3"/>
        <v>-268.80525</v>
      </c>
      <c r="G23" s="13">
        <f t="shared" si="3"/>
        <v>-268.80525</v>
      </c>
      <c r="H23" s="13">
        <f t="shared" si="3"/>
        <v>-268.80525</v>
      </c>
      <c r="I23" s="13">
        <f t="shared" si="3"/>
        <v>-268.80525</v>
      </c>
      <c r="J23" s="13">
        <f t="shared" si="3"/>
        <v>-268.80525</v>
      </c>
      <c r="K23" s="13">
        <f t="shared" si="3"/>
        <v>-268.80525</v>
      </c>
      <c r="L23" s="13">
        <f t="shared" si="3"/>
        <v>-268.80525</v>
      </c>
      <c r="M23" s="13">
        <f t="shared" si="3"/>
        <v>-268.80525</v>
      </c>
      <c r="N23" s="13" t="e">
        <f t="shared" si="3"/>
        <v>#N/A</v>
      </c>
      <c r="O23" s="13" t="e">
        <f t="shared" si="3"/>
        <v>#N/A</v>
      </c>
      <c r="P23" s="13" t="e">
        <f t="shared" si="3"/>
        <v>#N/A</v>
      </c>
      <c r="Q23" s="13" t="e">
        <f t="shared" si="3"/>
        <v>#N/A</v>
      </c>
      <c r="R23" s="13" t="e">
        <f t="shared" si="3"/>
        <v>#N/A</v>
      </c>
      <c r="S23" s="13" t="e">
        <f t="shared" si="3"/>
        <v>#N/A</v>
      </c>
      <c r="T23" s="13" t="e">
        <f t="shared" si="3"/>
        <v>#N/A</v>
      </c>
      <c r="U23" s="13" t="e">
        <f t="shared" si="3"/>
        <v>#N/A</v>
      </c>
      <c r="V23" s="13" t="e">
        <f t="shared" si="3"/>
        <v>#N/A</v>
      </c>
      <c r="AI23" s="55" t="s">
        <v>98</v>
      </c>
      <c r="AJ23" s="58">
        <v>9</v>
      </c>
      <c r="AK23" s="57">
        <v>10</v>
      </c>
      <c r="AL23" s="22">
        <v>21</v>
      </c>
      <c r="AM23" s="9">
        <v>6.7</v>
      </c>
      <c r="AN23" s="9" t="s">
        <v>135</v>
      </c>
    </row>
    <row r="24" spans="1:40" ht="13.5" thickBot="1" x14ac:dyDescent="0.3">
      <c r="A24" s="113" t="s">
        <v>93</v>
      </c>
      <c r="B24" s="114"/>
      <c r="C24" s="19" t="str">
        <f>IF($B31="","",IF(C$23&gt;=0,"INCREASE","DECREASE"))</f>
        <v>DECREASE</v>
      </c>
      <c r="D24" s="19" t="str">
        <f t="shared" ref="D24:V24" si="4">IF($B31="","",IF(D$23&gt;=0,"INCREASE","DECREASE"))</f>
        <v>DECREASE</v>
      </c>
      <c r="E24" s="19" t="str">
        <f t="shared" si="4"/>
        <v>DECREASE</v>
      </c>
      <c r="F24" s="19" t="str">
        <f t="shared" si="4"/>
        <v>DECREASE</v>
      </c>
      <c r="G24" s="19" t="str">
        <f t="shared" si="4"/>
        <v>DECREASE</v>
      </c>
      <c r="H24" s="19" t="str">
        <f t="shared" si="4"/>
        <v>DECREASE</v>
      </c>
      <c r="I24" s="19" t="str">
        <f t="shared" si="4"/>
        <v>DECREASE</v>
      </c>
      <c r="J24" s="19" t="str">
        <f t="shared" si="4"/>
        <v>DECREASE</v>
      </c>
      <c r="K24" s="19" t="str">
        <f t="shared" si="4"/>
        <v>DECREASE</v>
      </c>
      <c r="L24" s="19" t="str">
        <f t="shared" si="4"/>
        <v>DECREASE</v>
      </c>
      <c r="M24" s="19" t="str">
        <f t="shared" si="4"/>
        <v>DECREASE</v>
      </c>
      <c r="N24" s="19" t="e">
        <f t="shared" si="4"/>
        <v>#N/A</v>
      </c>
      <c r="O24" s="19" t="e">
        <f t="shared" si="4"/>
        <v>#N/A</v>
      </c>
      <c r="P24" s="19" t="e">
        <f t="shared" si="4"/>
        <v>#N/A</v>
      </c>
      <c r="Q24" s="19" t="e">
        <f t="shared" si="4"/>
        <v>#N/A</v>
      </c>
      <c r="R24" s="19" t="e">
        <f t="shared" si="4"/>
        <v>#N/A</v>
      </c>
      <c r="S24" s="19" t="e">
        <f t="shared" si="4"/>
        <v>#N/A</v>
      </c>
      <c r="T24" s="19" t="e">
        <f t="shared" si="4"/>
        <v>#N/A</v>
      </c>
      <c r="U24" s="19" t="e">
        <f t="shared" si="4"/>
        <v>#N/A</v>
      </c>
      <c r="V24" s="19" t="e">
        <f t="shared" si="4"/>
        <v>#N/A</v>
      </c>
      <c r="AI24" s="55" t="s">
        <v>99</v>
      </c>
      <c r="AJ24" s="58">
        <v>1.5</v>
      </c>
      <c r="AK24" s="57">
        <v>3</v>
      </c>
      <c r="AL24" s="22">
        <v>22</v>
      </c>
      <c r="AM24" s="9">
        <v>6.7</v>
      </c>
      <c r="AN24" s="9" t="s">
        <v>135</v>
      </c>
    </row>
    <row r="25" spans="1:40" x14ac:dyDescent="0.25">
      <c r="D25" s="59"/>
      <c r="E25" s="59"/>
      <c r="F25" s="59"/>
      <c r="AI25" s="55" t="s">
        <v>117</v>
      </c>
      <c r="AJ25" s="58">
        <v>1</v>
      </c>
      <c r="AK25" s="57">
        <v>5.8</v>
      </c>
      <c r="AL25" s="22">
        <v>23</v>
      </c>
      <c r="AM25" s="9">
        <v>6.7</v>
      </c>
      <c r="AN25" s="9" t="s">
        <v>135</v>
      </c>
    </row>
    <row r="26" spans="1:40" s="7" customFormat="1" ht="13" x14ac:dyDescent="0.25">
      <c r="A26" s="93"/>
      <c r="B26" s="3" t="s">
        <v>10</v>
      </c>
      <c r="C26" s="3" t="s">
        <v>75</v>
      </c>
      <c r="D26" s="94" t="s">
        <v>11</v>
      </c>
      <c r="E26" s="94" t="s">
        <v>12</v>
      </c>
      <c r="F26" s="94" t="s">
        <v>13</v>
      </c>
      <c r="G26" s="3" t="s">
        <v>14</v>
      </c>
      <c r="H26" s="94" t="s">
        <v>15</v>
      </c>
      <c r="I26" s="94" t="s">
        <v>16</v>
      </c>
      <c r="J26" s="3" t="s">
        <v>17</v>
      </c>
      <c r="K26" s="3" t="s">
        <v>18</v>
      </c>
      <c r="L26" s="3" t="s">
        <v>19</v>
      </c>
      <c r="M26" s="3" t="s">
        <v>20</v>
      </c>
      <c r="N26" s="3" t="s">
        <v>61</v>
      </c>
      <c r="O26" s="3" t="s">
        <v>62</v>
      </c>
      <c r="P26" s="94" t="s">
        <v>39</v>
      </c>
      <c r="Q26" s="94" t="s">
        <v>40</v>
      </c>
      <c r="R26" s="94" t="s">
        <v>35</v>
      </c>
      <c r="S26" s="94" t="s">
        <v>36</v>
      </c>
      <c r="T26" s="94" t="s">
        <v>37</v>
      </c>
      <c r="U26" s="94" t="s">
        <v>38</v>
      </c>
      <c r="AI26" s="60" t="s">
        <v>116</v>
      </c>
      <c r="AJ26" s="61">
        <v>0.7</v>
      </c>
      <c r="AK26" s="62">
        <v>2.4</v>
      </c>
      <c r="AL26" s="22">
        <v>24</v>
      </c>
      <c r="AM26" s="7">
        <v>6.7</v>
      </c>
      <c r="AN26" s="9" t="s">
        <v>135</v>
      </c>
    </row>
    <row r="27" spans="1:40" x14ac:dyDescent="0.35">
      <c r="A27" s="95"/>
      <c r="B27" s="63" t="s">
        <v>46</v>
      </c>
      <c r="C27" s="96" t="s">
        <v>56</v>
      </c>
      <c r="D27" s="96" t="s">
        <v>54</v>
      </c>
      <c r="E27" s="96" t="s">
        <v>54</v>
      </c>
      <c r="F27" s="96" t="s">
        <v>54</v>
      </c>
      <c r="G27" s="96" t="s">
        <v>54</v>
      </c>
      <c r="H27" s="96" t="s">
        <v>54</v>
      </c>
      <c r="I27" s="96" t="s">
        <v>54</v>
      </c>
      <c r="J27" s="96" t="s">
        <v>54</v>
      </c>
      <c r="K27" s="96" t="s">
        <v>54</v>
      </c>
      <c r="L27" s="96" t="s">
        <v>54</v>
      </c>
      <c r="M27" s="96" t="s">
        <v>54</v>
      </c>
      <c r="N27" s="96" t="s">
        <v>54</v>
      </c>
      <c r="O27" s="96" t="s">
        <v>54</v>
      </c>
      <c r="P27" s="96" t="s">
        <v>54</v>
      </c>
      <c r="Q27" s="96" t="s">
        <v>54</v>
      </c>
      <c r="R27" s="96" t="s">
        <v>54</v>
      </c>
      <c r="S27" s="96" t="s">
        <v>54</v>
      </c>
      <c r="T27" s="96" t="s">
        <v>54</v>
      </c>
      <c r="U27" s="96" t="s">
        <v>54</v>
      </c>
    </row>
    <row r="28" spans="1:40" x14ac:dyDescent="0.35">
      <c r="A28" s="97"/>
      <c r="B28" s="17">
        <v>4.9000000000000004</v>
      </c>
      <c r="C28" s="12">
        <v>0.05</v>
      </c>
      <c r="D28" s="12">
        <v>95.9</v>
      </c>
      <c r="E28" s="12">
        <v>43.8</v>
      </c>
      <c r="F28" s="12">
        <v>57.9</v>
      </c>
      <c r="G28" s="12">
        <v>2.34</v>
      </c>
      <c r="H28" s="12">
        <v>4.68</v>
      </c>
      <c r="I28" s="12">
        <v>0.77</v>
      </c>
      <c r="J28" s="12">
        <v>0.02</v>
      </c>
      <c r="K28" s="16">
        <v>0.05</v>
      </c>
      <c r="L28" s="12">
        <v>1.33</v>
      </c>
      <c r="M28" s="12">
        <v>1.25</v>
      </c>
      <c r="N28" s="12">
        <v>5354</v>
      </c>
      <c r="O28" s="12">
        <v>895</v>
      </c>
      <c r="P28" s="12">
        <v>16.7</v>
      </c>
      <c r="Q28" s="12">
        <v>362</v>
      </c>
      <c r="R28" s="12">
        <v>0.15</v>
      </c>
      <c r="S28" s="12">
        <v>0.68</v>
      </c>
      <c r="T28" s="12">
        <v>7.0000000000000007E-2</v>
      </c>
      <c r="U28" s="12">
        <v>20.6</v>
      </c>
    </row>
    <row r="29" spans="1:40" s="7" customFormat="1" ht="28" x14ac:dyDescent="0.35">
      <c r="A29" s="11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6" customFormat="1" ht="28" x14ac:dyDescent="0.35">
      <c r="A30" s="11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51" customFormat="1" ht="13" x14ac:dyDescent="0.35">
      <c r="A31" s="10" t="str">
        <f>C8</f>
        <v>Nant Y Croi 9</v>
      </c>
      <c r="B31" s="12">
        <v>0</v>
      </c>
      <c r="C31" s="68">
        <f>IF(C$27="%w/w SAR",((C$28*10)*$B31),IF(C$27="%w/w DM",(((C$28*10)*($B$28/100))*$B31),IF(C$27="kg/t SAR",(C$28*$B31),IF(C$27="kg/t DM",((C$28*($B$28/100))*$B31),IF(C$27="mg/kg SAR",((C$28*0.001)*$B31),IF(C$27="mg/kg DM",(((C$28*0.001)*($B$28/100))*$B31),0))))))</f>
        <v>0</v>
      </c>
      <c r="D31" s="68">
        <f>(IF(D$27="%w/w SAR",((D$28*10)*$B31),IF(D$27="%w/w DM",(((D$28*10)*($B$28/100))*$B31),IF(D$27="kg/t SAR",(D$28*$B31),IF(D$27="kg/t DM",((D$28*($B$28/100))*$B31),IF(D$27="mg/kg SAR",((D$28*0.001)*$B31),IF(D$27="mg/kg DM",(((D$28*0.001)*($B$28/100))*$B31),"0")))))))*2.291</f>
        <v>0</v>
      </c>
      <c r="E31" s="68">
        <f>(IF(E$27="%w/w SAR",((E$28*10)*$B31),IF(E$27="%w/w DM",(((E$28*10)*($B$28/100))*$B31),IF(E$27="kg/t SAR",(E$28*$B31),IF(E$27="kg/t DM",((E$28*($B$28/100))*$B31),IF(E$27="mg/kg SAR",((E$28*0.001)*$B31),IF(E$27="mg/kg DM",(((E$28*0.001)*($B$28/100))*$B31),"0")))))))*1.205</f>
        <v>0</v>
      </c>
      <c r="F31" s="68">
        <f>(IF(F$27="%w/w SAR",((F$28*10)*$B31),IF(F$27="%w/w DM",(((F$28*10)*($B$28/100))*$B31),IF(F$27="kg/t SAR",(F$28*$B31),IF(F$27="kg/t DM",((F$28*($B$28/100))*$B31),IF(F$27="mg/kg SAR",((F$28*0.001)*$B31),IF(F$27="mg/kg DM",(((F$28*0.001)*($B$28/100))*$B31),"0")))))))*1.658</f>
        <v>0</v>
      </c>
      <c r="G31" s="68">
        <f t="shared" ref="G31:P46" si="5">IF(G$27="%w/w SAR",((G$28*10)*$B31),IF(G$27="%w/w DM",(((G$28*10)*($B$28/100))*$B31),IF(G$27="kg/t SAR",(G$28*$B31),IF(G$27="kg/t DM",((G$28*($B$28/100))*$B31),IF(G$27="mg/kg SAR",((G$28*0.001)*$B31),IF(G$27="mg/kg DM",(((G$28*0.001)*($B$28/100))*$B31),0))))))</f>
        <v>0</v>
      </c>
      <c r="H31" s="68">
        <f t="shared" si="5"/>
        <v>0</v>
      </c>
      <c r="I31" s="68">
        <f t="shared" si="5"/>
        <v>0</v>
      </c>
      <c r="J31" s="68">
        <f t="shared" si="5"/>
        <v>0</v>
      </c>
      <c r="K31" s="68">
        <f t="shared" si="5"/>
        <v>0</v>
      </c>
      <c r="L31" s="68">
        <f t="shared" si="5"/>
        <v>0</v>
      </c>
      <c r="M31" s="68">
        <f t="shared" si="5"/>
        <v>0</v>
      </c>
      <c r="N31" s="68">
        <f t="shared" si="5"/>
        <v>0</v>
      </c>
      <c r="O31" s="68">
        <f t="shared" si="5"/>
        <v>0</v>
      </c>
      <c r="P31" s="68">
        <f t="shared" si="5"/>
        <v>0</v>
      </c>
      <c r="Q31" s="68">
        <f>(IF(Q$27="%w/w SAR",((Q$28*10)*$B31),IF(Q$27="%w/w DM",(((Q$28*10)*($B$28/100))*$B31),IF(Q$27="kg/t SAR",(Q$28*$B31),IF(Q$27="kg/t DM",((Q$28*($B$28/100))*$B31),IF(Q$27="mg/kg SAR",((Q$28*0.001)*$B31),IF(Q$27="mg/kg DM",(((Q$28*0.001)*($B$28/100))*$B31),0)))))))*2.5</f>
        <v>0</v>
      </c>
      <c r="R31" s="68">
        <f>IF(R$27="%w/w SAR",((R$28*10)*$B31),IF(R$27="%w/w DM",(((R$28*10)*($B$28/100))*$B31),IF(R$27="kg/t SAR",(R$28*$B31),IF(R$27="kg/t DM",((R$28*($B$28/100))*$B31),IF(R$27="mg/kg SAR",((R$28*0.001)*$B31),IF(R$27="mg/kg DM",(((R$28*0.001)*($B$28/100))*$B31),0))))))</f>
        <v>0</v>
      </c>
      <c r="S31" s="68">
        <f>IF(S$27="%w/w SAR",((S$28*10)*$B31),IF(S$27="%w/w DM",(((S$28*10)*($B$28/100))*$B31),IF(S$27="kg/t SAR",(S$28*$B31),IF(S$27="kg/t DM",((S$28*($B$28/100))*$B31),IF(S$27="mg/kg SAR",((S$28*0.001)*$B31),IF(S$27="mg/kg DM",(((S$28*0.001)*($B$28/100))*$B31),0))))))</f>
        <v>0</v>
      </c>
      <c r="T31" s="68">
        <f>IF(T$27="%w/w SAR",((T$28*10)*$B31),IF(T$27="%w/w DM",(((T$28*10)*($B$28/100))*$B31),IF(T$27="kg/t SAR",(T$28*$B31),IF(T$27="kg/t DM",((T$28*($B$28/100))*$B31),IF(T$27="mg/kg SAR",((T$28*0.001)*$B31),IF(T$27="mg/kg DM",(((T$28*0.001)*($B$28/100))*$B31),0))))))</f>
        <v>0</v>
      </c>
      <c r="U31" s="68">
        <f>IF(U$27="%w/w SAR",((U$28*10)*$B31),IF(U$27="%w/w DM",(((U$28*10)*($B$28/100))*$B31),IF(U$27="kg/t SAR",(U$28*$B31),IF(U$27="kg/t DM",((U$28*($B$28/100))*$B31),IF(U$27="mg/kg SAR",((U$28*0.001)*$B31),IF(U$27="mg/kg DM",(((U$28*0.001)*($B$28/100))*$B31),0))))))</f>
        <v>0</v>
      </c>
    </row>
    <row r="32" spans="1:40" s="51" customFormat="1" ht="13" x14ac:dyDescent="0.35">
      <c r="A32" s="10" t="str">
        <f>D8</f>
        <v>Hafod 4315</v>
      </c>
      <c r="B32" s="12">
        <v>250</v>
      </c>
      <c r="C32" s="68">
        <f t="shared" ref="C32:C50" si="6">IF(C$27="%w/w SAR",((C$28*10)*$B32),IF(C$27="%w/w DM",(((C$28*10)*($B$28/100))*$B32),IF(C$27="kg/t SAR",(C$28*$B32),IF(C$27="kg/t DM",((C$28*($B$28/100))*$B32),IF(C$27="mg/kg SAR",((C$28*0.001)*$B32),IF(C$27="mg/kg DM",(((C$28*0.001)*($B$28/100))*$B32),0))))))</f>
        <v>125</v>
      </c>
      <c r="D32" s="68">
        <f t="shared" ref="D32:D50" si="7">(IF(D$27="%w/w SAR",((D$28*10)*$B32),IF(D$27="%w/w DM",(((D$28*10)*($B$28/100))*$B32),IF(D$27="kg/t SAR",(D$28*$B32),IF(D$27="kg/t DM",((D$28*($B$28/100))*$B32),IF(D$27="mg/kg SAR",((D$28*0.001)*$B32),IF(D$27="mg/kg DM",(((D$28*0.001)*($B$28/100))*$B32),"0")))))))*2.291</f>
        <v>54.926725000000012</v>
      </c>
      <c r="E32" s="68">
        <f t="shared" ref="E32:E50" si="8">(IF(E$27="%w/w SAR",((E$28*10)*$B32),IF(E$27="%w/w DM",(((E$28*10)*($B$28/100))*$B32),IF(E$27="kg/t SAR",(E$28*$B32),IF(E$27="kg/t DM",((E$28*($B$28/100))*$B32),IF(E$27="mg/kg SAR",((E$28*0.001)*$B32),IF(E$27="mg/kg DM",(((E$28*0.001)*($B$28/100))*$B32),"0")))))))*1.205</f>
        <v>13.194749999999999</v>
      </c>
      <c r="F32" s="68">
        <f t="shared" ref="F32:F50" si="9">(IF(F$27="%w/w SAR",((F$28*10)*$B32),IF(F$27="%w/w DM",(((F$28*10)*($B$28/100))*$B32),IF(F$27="kg/t SAR",(F$28*$B32),IF(F$27="kg/t DM",((F$28*($B$28/100))*$B32),IF(F$27="mg/kg SAR",((F$28*0.001)*$B32),IF(F$27="mg/kg DM",(((F$28*0.001)*($B$28/100))*$B32),"0")))))))*1.658</f>
        <v>23.999549999999999</v>
      </c>
      <c r="G32" s="68">
        <f t="shared" si="5"/>
        <v>0.58499999999999996</v>
      </c>
      <c r="H32" s="68">
        <f t="shared" si="5"/>
        <v>1.17</v>
      </c>
      <c r="I32" s="68">
        <f t="shared" si="5"/>
        <v>0.1925</v>
      </c>
      <c r="J32" s="68">
        <f t="shared" si="5"/>
        <v>5.0000000000000001E-3</v>
      </c>
      <c r="K32" s="68">
        <f t="shared" si="5"/>
        <v>1.2500000000000001E-2</v>
      </c>
      <c r="L32" s="68">
        <f t="shared" si="5"/>
        <v>0.33250000000000002</v>
      </c>
      <c r="M32" s="68">
        <f t="shared" si="5"/>
        <v>0.3125</v>
      </c>
      <c r="N32" s="68">
        <f t="shared" si="5"/>
        <v>1338.5</v>
      </c>
      <c r="O32" s="68">
        <f t="shared" si="5"/>
        <v>223.75</v>
      </c>
      <c r="P32" s="68">
        <f t="shared" si="5"/>
        <v>4.1749999999999998</v>
      </c>
      <c r="Q32" s="68">
        <f t="shared" ref="Q32:Q50" si="10">(IF(Q$27="%w/w SAR",((Q$28*10)*$B32),IF(Q$27="%w/w DM",(((Q$28*10)*($B$28/100))*$B32),IF(Q$27="kg/t SAR",(Q$28*$B32),IF(Q$27="kg/t DM",((Q$28*($B$28/100))*$B32),IF(Q$27="mg/kg SAR",((Q$28*0.001)*$B32),IF(Q$27="mg/kg DM",(((Q$28*0.001)*($B$28/100))*$B32),0)))))))*2.5</f>
        <v>226.25</v>
      </c>
      <c r="R32" s="68">
        <f t="shared" ref="R32:U50" si="11">IF(R$27="%w/w SAR",((R$28*10)*$B32),IF(R$27="%w/w DM",(((R$28*10)*($B$28/100))*$B32),IF(R$27="kg/t SAR",(R$28*$B32),IF(R$27="kg/t DM",((R$28*($B$28/100))*$B32),IF(R$27="mg/kg SAR",((R$28*0.001)*$B32),IF(R$27="mg/kg DM",(((R$28*0.001)*($B$28/100))*$B32),0))))))</f>
        <v>3.7499999999999999E-2</v>
      </c>
      <c r="S32" s="68">
        <f t="shared" si="11"/>
        <v>0.17</v>
      </c>
      <c r="T32" s="68">
        <f t="shared" si="11"/>
        <v>1.7500000000000002E-2</v>
      </c>
      <c r="U32" s="68">
        <f t="shared" si="11"/>
        <v>5.15</v>
      </c>
    </row>
    <row r="33" spans="1:21" s="51" customFormat="1" ht="13" x14ac:dyDescent="0.35">
      <c r="A33" s="10" t="str">
        <f>E8</f>
        <v>Hafod 4734</v>
      </c>
      <c r="B33" s="12">
        <v>250</v>
      </c>
      <c r="C33" s="68">
        <f t="shared" si="6"/>
        <v>125</v>
      </c>
      <c r="D33" s="68">
        <f t="shared" si="7"/>
        <v>54.926725000000012</v>
      </c>
      <c r="E33" s="68">
        <f t="shared" si="8"/>
        <v>13.194749999999999</v>
      </c>
      <c r="F33" s="68">
        <f t="shared" si="9"/>
        <v>23.999549999999999</v>
      </c>
      <c r="G33" s="68">
        <f t="shared" si="5"/>
        <v>0.58499999999999996</v>
      </c>
      <c r="H33" s="68">
        <f t="shared" si="5"/>
        <v>1.17</v>
      </c>
      <c r="I33" s="68">
        <f t="shared" si="5"/>
        <v>0.1925</v>
      </c>
      <c r="J33" s="68">
        <f t="shared" si="5"/>
        <v>5.0000000000000001E-3</v>
      </c>
      <c r="K33" s="68">
        <f t="shared" si="5"/>
        <v>1.2500000000000001E-2</v>
      </c>
      <c r="L33" s="68">
        <f t="shared" si="5"/>
        <v>0.33250000000000002</v>
      </c>
      <c r="M33" s="68">
        <f t="shared" si="5"/>
        <v>0.3125</v>
      </c>
      <c r="N33" s="68">
        <f t="shared" si="5"/>
        <v>1338.5</v>
      </c>
      <c r="O33" s="68">
        <f t="shared" si="5"/>
        <v>223.75</v>
      </c>
      <c r="P33" s="68">
        <f t="shared" si="5"/>
        <v>4.1749999999999998</v>
      </c>
      <c r="Q33" s="68">
        <f t="shared" si="10"/>
        <v>226.25</v>
      </c>
      <c r="R33" s="68">
        <f t="shared" si="11"/>
        <v>3.7499999999999999E-2</v>
      </c>
      <c r="S33" s="68">
        <f t="shared" si="11"/>
        <v>0.17</v>
      </c>
      <c r="T33" s="68">
        <f t="shared" si="11"/>
        <v>1.7500000000000002E-2</v>
      </c>
      <c r="U33" s="68">
        <f t="shared" si="11"/>
        <v>5.15</v>
      </c>
    </row>
    <row r="34" spans="1:21" s="51" customFormat="1" ht="13" x14ac:dyDescent="0.35">
      <c r="A34" s="10" t="str">
        <f>F8</f>
        <v>Hafod 5761</v>
      </c>
      <c r="B34" s="12">
        <v>250</v>
      </c>
      <c r="C34" s="68">
        <f t="shared" si="6"/>
        <v>125</v>
      </c>
      <c r="D34" s="68">
        <f t="shared" si="7"/>
        <v>54.926725000000012</v>
      </c>
      <c r="E34" s="68">
        <f t="shared" si="8"/>
        <v>13.194749999999999</v>
      </c>
      <c r="F34" s="68">
        <f t="shared" si="9"/>
        <v>23.999549999999999</v>
      </c>
      <c r="G34" s="68">
        <f t="shared" si="5"/>
        <v>0.58499999999999996</v>
      </c>
      <c r="H34" s="68">
        <f t="shared" si="5"/>
        <v>1.17</v>
      </c>
      <c r="I34" s="68">
        <f t="shared" si="5"/>
        <v>0.1925</v>
      </c>
      <c r="J34" s="68">
        <f t="shared" si="5"/>
        <v>5.0000000000000001E-3</v>
      </c>
      <c r="K34" s="68">
        <f t="shared" si="5"/>
        <v>1.2500000000000001E-2</v>
      </c>
      <c r="L34" s="68">
        <f t="shared" si="5"/>
        <v>0.33250000000000002</v>
      </c>
      <c r="M34" s="68">
        <f t="shared" si="5"/>
        <v>0.3125</v>
      </c>
      <c r="N34" s="68">
        <f t="shared" si="5"/>
        <v>1338.5</v>
      </c>
      <c r="O34" s="68">
        <f t="shared" si="5"/>
        <v>223.75</v>
      </c>
      <c r="P34" s="68">
        <f t="shared" si="5"/>
        <v>4.1749999999999998</v>
      </c>
      <c r="Q34" s="68">
        <f t="shared" si="10"/>
        <v>226.25</v>
      </c>
      <c r="R34" s="68">
        <f t="shared" si="11"/>
        <v>3.7499999999999999E-2</v>
      </c>
      <c r="S34" s="68">
        <f t="shared" si="11"/>
        <v>0.17</v>
      </c>
      <c r="T34" s="68">
        <f t="shared" si="11"/>
        <v>1.7500000000000002E-2</v>
      </c>
      <c r="U34" s="68">
        <f t="shared" si="11"/>
        <v>5.15</v>
      </c>
    </row>
    <row r="35" spans="1:21" s="51" customFormat="1" ht="13" x14ac:dyDescent="0.35">
      <c r="A35" s="10" t="str">
        <f>G8</f>
        <v>Hafod 4067</v>
      </c>
      <c r="B35" s="12">
        <v>250</v>
      </c>
      <c r="C35" s="68">
        <f t="shared" si="6"/>
        <v>125</v>
      </c>
      <c r="D35" s="68">
        <f t="shared" si="7"/>
        <v>54.926725000000012</v>
      </c>
      <c r="E35" s="68">
        <f t="shared" si="8"/>
        <v>13.194749999999999</v>
      </c>
      <c r="F35" s="68">
        <f t="shared" si="9"/>
        <v>23.999549999999999</v>
      </c>
      <c r="G35" s="68">
        <f t="shared" si="5"/>
        <v>0.58499999999999996</v>
      </c>
      <c r="H35" s="68">
        <f t="shared" si="5"/>
        <v>1.17</v>
      </c>
      <c r="I35" s="68">
        <f t="shared" si="5"/>
        <v>0.1925</v>
      </c>
      <c r="J35" s="68">
        <f t="shared" si="5"/>
        <v>5.0000000000000001E-3</v>
      </c>
      <c r="K35" s="68">
        <f t="shared" si="5"/>
        <v>1.2500000000000001E-2</v>
      </c>
      <c r="L35" s="68">
        <f t="shared" si="5"/>
        <v>0.33250000000000002</v>
      </c>
      <c r="M35" s="68">
        <f t="shared" si="5"/>
        <v>0.3125</v>
      </c>
      <c r="N35" s="68">
        <f t="shared" si="5"/>
        <v>1338.5</v>
      </c>
      <c r="O35" s="68">
        <f t="shared" si="5"/>
        <v>223.75</v>
      </c>
      <c r="P35" s="68">
        <f t="shared" si="5"/>
        <v>4.1749999999999998</v>
      </c>
      <c r="Q35" s="68">
        <f t="shared" si="10"/>
        <v>226.25</v>
      </c>
      <c r="R35" s="68">
        <f t="shared" si="11"/>
        <v>3.7499999999999999E-2</v>
      </c>
      <c r="S35" s="68">
        <f t="shared" si="11"/>
        <v>0.17</v>
      </c>
      <c r="T35" s="68">
        <f t="shared" si="11"/>
        <v>1.7500000000000002E-2</v>
      </c>
      <c r="U35" s="68">
        <f t="shared" si="11"/>
        <v>5.15</v>
      </c>
    </row>
    <row r="36" spans="1:21" s="51" customFormat="1" ht="13" x14ac:dyDescent="0.35">
      <c r="A36" s="10" t="str">
        <f>H8</f>
        <v>Hafod 2455</v>
      </c>
      <c r="B36" s="12">
        <v>250</v>
      </c>
      <c r="C36" s="68">
        <f t="shared" si="6"/>
        <v>125</v>
      </c>
      <c r="D36" s="68">
        <f t="shared" si="7"/>
        <v>54.926725000000012</v>
      </c>
      <c r="E36" s="68">
        <f t="shared" si="8"/>
        <v>13.194749999999999</v>
      </c>
      <c r="F36" s="68">
        <f t="shared" si="9"/>
        <v>23.999549999999999</v>
      </c>
      <c r="G36" s="68">
        <f t="shared" si="5"/>
        <v>0.58499999999999996</v>
      </c>
      <c r="H36" s="68">
        <f t="shared" si="5"/>
        <v>1.17</v>
      </c>
      <c r="I36" s="68">
        <f t="shared" si="5"/>
        <v>0.1925</v>
      </c>
      <c r="J36" s="68">
        <f t="shared" si="5"/>
        <v>5.0000000000000001E-3</v>
      </c>
      <c r="K36" s="68">
        <f t="shared" si="5"/>
        <v>1.2500000000000001E-2</v>
      </c>
      <c r="L36" s="68">
        <f t="shared" si="5"/>
        <v>0.33250000000000002</v>
      </c>
      <c r="M36" s="68">
        <f t="shared" si="5"/>
        <v>0.3125</v>
      </c>
      <c r="N36" s="68">
        <f t="shared" si="5"/>
        <v>1338.5</v>
      </c>
      <c r="O36" s="68">
        <f t="shared" si="5"/>
        <v>223.75</v>
      </c>
      <c r="P36" s="68">
        <f t="shared" si="5"/>
        <v>4.1749999999999998</v>
      </c>
      <c r="Q36" s="68">
        <f t="shared" si="10"/>
        <v>226.25</v>
      </c>
      <c r="R36" s="68">
        <f t="shared" si="11"/>
        <v>3.7499999999999999E-2</v>
      </c>
      <c r="S36" s="68">
        <f t="shared" si="11"/>
        <v>0.17</v>
      </c>
      <c r="T36" s="68">
        <f t="shared" si="11"/>
        <v>1.7500000000000002E-2</v>
      </c>
      <c r="U36" s="68">
        <f t="shared" si="11"/>
        <v>5.15</v>
      </c>
    </row>
    <row r="37" spans="1:21" s="51" customFormat="1" ht="13" x14ac:dyDescent="0.35">
      <c r="A37" s="10" t="str">
        <f>I8</f>
        <v>Hafod 1741</v>
      </c>
      <c r="B37" s="12">
        <v>250</v>
      </c>
      <c r="C37" s="68">
        <f t="shared" si="6"/>
        <v>125</v>
      </c>
      <c r="D37" s="68">
        <f t="shared" si="7"/>
        <v>54.926725000000012</v>
      </c>
      <c r="E37" s="68">
        <f t="shared" si="8"/>
        <v>13.194749999999999</v>
      </c>
      <c r="F37" s="68">
        <f t="shared" si="9"/>
        <v>23.999549999999999</v>
      </c>
      <c r="G37" s="68">
        <f t="shared" si="5"/>
        <v>0.58499999999999996</v>
      </c>
      <c r="H37" s="68">
        <f t="shared" si="5"/>
        <v>1.17</v>
      </c>
      <c r="I37" s="68">
        <f t="shared" si="5"/>
        <v>0.1925</v>
      </c>
      <c r="J37" s="68">
        <f t="shared" si="5"/>
        <v>5.0000000000000001E-3</v>
      </c>
      <c r="K37" s="68">
        <f t="shared" si="5"/>
        <v>1.2500000000000001E-2</v>
      </c>
      <c r="L37" s="68">
        <f t="shared" si="5"/>
        <v>0.33250000000000002</v>
      </c>
      <c r="M37" s="68">
        <f t="shared" si="5"/>
        <v>0.3125</v>
      </c>
      <c r="N37" s="68">
        <f t="shared" si="5"/>
        <v>1338.5</v>
      </c>
      <c r="O37" s="68">
        <f t="shared" si="5"/>
        <v>223.75</v>
      </c>
      <c r="P37" s="68">
        <f t="shared" si="5"/>
        <v>4.1749999999999998</v>
      </c>
      <c r="Q37" s="68">
        <f t="shared" si="10"/>
        <v>226.25</v>
      </c>
      <c r="R37" s="68">
        <f t="shared" si="11"/>
        <v>3.7499999999999999E-2</v>
      </c>
      <c r="S37" s="68">
        <f t="shared" si="11"/>
        <v>0.17</v>
      </c>
      <c r="T37" s="68">
        <f t="shared" si="11"/>
        <v>1.7500000000000002E-2</v>
      </c>
      <c r="U37" s="68">
        <f t="shared" si="11"/>
        <v>5.15</v>
      </c>
    </row>
    <row r="38" spans="1:21" s="51" customFormat="1" ht="13" x14ac:dyDescent="0.35">
      <c r="A38" s="10" t="str">
        <f>J8</f>
        <v>Hafod 0720</v>
      </c>
      <c r="B38" s="12">
        <v>250</v>
      </c>
      <c r="C38" s="68">
        <f t="shared" si="6"/>
        <v>125</v>
      </c>
      <c r="D38" s="68">
        <f t="shared" si="7"/>
        <v>54.926725000000012</v>
      </c>
      <c r="E38" s="68">
        <f t="shared" si="8"/>
        <v>13.194749999999999</v>
      </c>
      <c r="F38" s="68">
        <f t="shared" si="9"/>
        <v>23.999549999999999</v>
      </c>
      <c r="G38" s="68">
        <f t="shared" si="5"/>
        <v>0.58499999999999996</v>
      </c>
      <c r="H38" s="68">
        <f t="shared" si="5"/>
        <v>1.17</v>
      </c>
      <c r="I38" s="68">
        <f t="shared" si="5"/>
        <v>0.1925</v>
      </c>
      <c r="J38" s="68">
        <f t="shared" si="5"/>
        <v>5.0000000000000001E-3</v>
      </c>
      <c r="K38" s="68">
        <f t="shared" si="5"/>
        <v>1.2500000000000001E-2</v>
      </c>
      <c r="L38" s="68">
        <f t="shared" si="5"/>
        <v>0.33250000000000002</v>
      </c>
      <c r="M38" s="68">
        <f t="shared" si="5"/>
        <v>0.3125</v>
      </c>
      <c r="N38" s="68">
        <f t="shared" si="5"/>
        <v>1338.5</v>
      </c>
      <c r="O38" s="68">
        <f t="shared" si="5"/>
        <v>223.75</v>
      </c>
      <c r="P38" s="68">
        <f t="shared" si="5"/>
        <v>4.1749999999999998</v>
      </c>
      <c r="Q38" s="68">
        <f t="shared" si="10"/>
        <v>226.25</v>
      </c>
      <c r="R38" s="68">
        <f t="shared" si="11"/>
        <v>3.7499999999999999E-2</v>
      </c>
      <c r="S38" s="68">
        <f t="shared" si="11"/>
        <v>0.17</v>
      </c>
      <c r="T38" s="68">
        <f t="shared" si="11"/>
        <v>1.7500000000000002E-2</v>
      </c>
      <c r="U38" s="68">
        <f t="shared" si="11"/>
        <v>5.15</v>
      </c>
    </row>
    <row r="39" spans="1:21" s="51" customFormat="1" ht="13" x14ac:dyDescent="0.35">
      <c r="A39" s="10" t="str">
        <f>K8</f>
        <v>Solafron 2893</v>
      </c>
      <c r="B39" s="12">
        <v>250</v>
      </c>
      <c r="C39" s="68">
        <f t="shared" si="6"/>
        <v>125</v>
      </c>
      <c r="D39" s="68">
        <f t="shared" si="7"/>
        <v>54.926725000000012</v>
      </c>
      <c r="E39" s="68">
        <f t="shared" si="8"/>
        <v>13.194749999999999</v>
      </c>
      <c r="F39" s="68">
        <f t="shared" si="9"/>
        <v>23.999549999999999</v>
      </c>
      <c r="G39" s="68">
        <f t="shared" si="5"/>
        <v>0.58499999999999996</v>
      </c>
      <c r="H39" s="68">
        <f t="shared" si="5"/>
        <v>1.17</v>
      </c>
      <c r="I39" s="68">
        <f t="shared" si="5"/>
        <v>0.1925</v>
      </c>
      <c r="J39" s="68">
        <f t="shared" si="5"/>
        <v>5.0000000000000001E-3</v>
      </c>
      <c r="K39" s="68">
        <f t="shared" si="5"/>
        <v>1.2500000000000001E-2</v>
      </c>
      <c r="L39" s="68">
        <f t="shared" si="5"/>
        <v>0.33250000000000002</v>
      </c>
      <c r="M39" s="68">
        <f t="shared" si="5"/>
        <v>0.3125</v>
      </c>
      <c r="N39" s="68">
        <f t="shared" si="5"/>
        <v>1338.5</v>
      </c>
      <c r="O39" s="68">
        <f t="shared" si="5"/>
        <v>223.75</v>
      </c>
      <c r="P39" s="68">
        <f t="shared" si="5"/>
        <v>4.1749999999999998</v>
      </c>
      <c r="Q39" s="68">
        <f t="shared" si="10"/>
        <v>226.25</v>
      </c>
      <c r="R39" s="68">
        <f t="shared" si="11"/>
        <v>3.7499999999999999E-2</v>
      </c>
      <c r="S39" s="68">
        <f t="shared" si="11"/>
        <v>0.17</v>
      </c>
      <c r="T39" s="68">
        <f t="shared" si="11"/>
        <v>1.7500000000000002E-2</v>
      </c>
      <c r="U39" s="68">
        <f t="shared" si="11"/>
        <v>5.15</v>
      </c>
    </row>
    <row r="40" spans="1:21" s="51" customFormat="1" ht="13" x14ac:dyDescent="0.35">
      <c r="A40" s="10" t="str">
        <f>L8</f>
        <v>Solafron 2611</v>
      </c>
      <c r="B40" s="12">
        <v>250</v>
      </c>
      <c r="C40" s="68">
        <f t="shared" si="6"/>
        <v>125</v>
      </c>
      <c r="D40" s="68">
        <f t="shared" si="7"/>
        <v>54.926725000000012</v>
      </c>
      <c r="E40" s="68">
        <f t="shared" si="8"/>
        <v>13.194749999999999</v>
      </c>
      <c r="F40" s="68">
        <f t="shared" si="9"/>
        <v>23.999549999999999</v>
      </c>
      <c r="G40" s="68">
        <f t="shared" si="5"/>
        <v>0.58499999999999996</v>
      </c>
      <c r="H40" s="68">
        <f t="shared" si="5"/>
        <v>1.17</v>
      </c>
      <c r="I40" s="68">
        <f t="shared" si="5"/>
        <v>0.1925</v>
      </c>
      <c r="J40" s="68">
        <f t="shared" si="5"/>
        <v>5.0000000000000001E-3</v>
      </c>
      <c r="K40" s="68">
        <f t="shared" si="5"/>
        <v>1.2500000000000001E-2</v>
      </c>
      <c r="L40" s="68">
        <f t="shared" si="5"/>
        <v>0.33250000000000002</v>
      </c>
      <c r="M40" s="68">
        <f t="shared" si="5"/>
        <v>0.3125</v>
      </c>
      <c r="N40" s="68">
        <f t="shared" si="5"/>
        <v>1338.5</v>
      </c>
      <c r="O40" s="68">
        <f t="shared" si="5"/>
        <v>223.75</v>
      </c>
      <c r="P40" s="68">
        <f t="shared" si="5"/>
        <v>4.1749999999999998</v>
      </c>
      <c r="Q40" s="68">
        <f t="shared" si="10"/>
        <v>226.25</v>
      </c>
      <c r="R40" s="68">
        <f t="shared" si="11"/>
        <v>3.7499999999999999E-2</v>
      </c>
      <c r="S40" s="68">
        <f t="shared" si="11"/>
        <v>0.17</v>
      </c>
      <c r="T40" s="68">
        <f t="shared" si="11"/>
        <v>1.7500000000000002E-2</v>
      </c>
      <c r="U40" s="68">
        <f t="shared" si="11"/>
        <v>5.15</v>
      </c>
    </row>
    <row r="41" spans="1:21" s="51" customFormat="1" ht="13" x14ac:dyDescent="0.35">
      <c r="A41" s="10" t="str">
        <f>M8</f>
        <v>Solafron 1404</v>
      </c>
      <c r="B41" s="12">
        <v>250</v>
      </c>
      <c r="C41" s="68">
        <f t="shared" si="6"/>
        <v>125</v>
      </c>
      <c r="D41" s="68">
        <f t="shared" si="7"/>
        <v>54.926725000000012</v>
      </c>
      <c r="E41" s="68">
        <f t="shared" si="8"/>
        <v>13.194749999999999</v>
      </c>
      <c r="F41" s="68">
        <f t="shared" si="9"/>
        <v>23.999549999999999</v>
      </c>
      <c r="G41" s="68">
        <f t="shared" si="5"/>
        <v>0.58499999999999996</v>
      </c>
      <c r="H41" s="68">
        <f t="shared" si="5"/>
        <v>1.17</v>
      </c>
      <c r="I41" s="68">
        <f t="shared" si="5"/>
        <v>0.1925</v>
      </c>
      <c r="J41" s="68">
        <f t="shared" si="5"/>
        <v>5.0000000000000001E-3</v>
      </c>
      <c r="K41" s="68">
        <f t="shared" si="5"/>
        <v>1.2500000000000001E-2</v>
      </c>
      <c r="L41" s="68">
        <f t="shared" si="5"/>
        <v>0.33250000000000002</v>
      </c>
      <c r="M41" s="68">
        <f t="shared" si="5"/>
        <v>0.3125</v>
      </c>
      <c r="N41" s="68">
        <f t="shared" si="5"/>
        <v>1338.5</v>
      </c>
      <c r="O41" s="68">
        <f t="shared" si="5"/>
        <v>223.75</v>
      </c>
      <c r="P41" s="68">
        <f t="shared" si="5"/>
        <v>4.1749999999999998</v>
      </c>
      <c r="Q41" s="68">
        <f t="shared" si="10"/>
        <v>226.25</v>
      </c>
      <c r="R41" s="68">
        <f t="shared" si="11"/>
        <v>3.7499999999999999E-2</v>
      </c>
      <c r="S41" s="68">
        <f t="shared" si="11"/>
        <v>0.17</v>
      </c>
      <c r="T41" s="68">
        <f t="shared" si="11"/>
        <v>1.7500000000000002E-2</v>
      </c>
      <c r="U41" s="68">
        <f t="shared" si="11"/>
        <v>5.15</v>
      </c>
    </row>
    <row r="42" spans="1:21" s="51" customFormat="1" ht="13" x14ac:dyDescent="0.35">
      <c r="A42" s="10">
        <f>N8</f>
        <v>0</v>
      </c>
      <c r="B42" s="12"/>
      <c r="C42" s="68">
        <f t="shared" si="6"/>
        <v>0</v>
      </c>
      <c r="D42" s="68">
        <f t="shared" si="7"/>
        <v>0</v>
      </c>
      <c r="E42" s="68">
        <f t="shared" si="8"/>
        <v>0</v>
      </c>
      <c r="F42" s="68">
        <f t="shared" si="9"/>
        <v>0</v>
      </c>
      <c r="G42" s="68">
        <f t="shared" si="5"/>
        <v>0</v>
      </c>
      <c r="H42" s="68">
        <f t="shared" si="5"/>
        <v>0</v>
      </c>
      <c r="I42" s="68">
        <f t="shared" si="5"/>
        <v>0</v>
      </c>
      <c r="J42" s="68">
        <f t="shared" si="5"/>
        <v>0</v>
      </c>
      <c r="K42" s="68">
        <f t="shared" si="5"/>
        <v>0</v>
      </c>
      <c r="L42" s="68">
        <f t="shared" si="5"/>
        <v>0</v>
      </c>
      <c r="M42" s="68">
        <f t="shared" si="5"/>
        <v>0</v>
      </c>
      <c r="N42" s="68">
        <f t="shared" si="5"/>
        <v>0</v>
      </c>
      <c r="O42" s="68">
        <f t="shared" si="5"/>
        <v>0</v>
      </c>
      <c r="P42" s="68">
        <f t="shared" si="5"/>
        <v>0</v>
      </c>
      <c r="Q42" s="68">
        <f t="shared" si="10"/>
        <v>0</v>
      </c>
      <c r="R42" s="68">
        <f t="shared" si="11"/>
        <v>0</v>
      </c>
      <c r="S42" s="68">
        <f t="shared" si="11"/>
        <v>0</v>
      </c>
      <c r="T42" s="68">
        <f t="shared" si="11"/>
        <v>0</v>
      </c>
      <c r="U42" s="68">
        <f t="shared" si="11"/>
        <v>0</v>
      </c>
    </row>
    <row r="43" spans="1:21" s="51" customFormat="1" ht="13" x14ac:dyDescent="0.35">
      <c r="A43" s="10">
        <f>O8</f>
        <v>0</v>
      </c>
      <c r="B43" s="12"/>
      <c r="C43" s="68">
        <f t="shared" si="6"/>
        <v>0</v>
      </c>
      <c r="D43" s="68">
        <f t="shared" si="7"/>
        <v>0</v>
      </c>
      <c r="E43" s="68">
        <f t="shared" si="8"/>
        <v>0</v>
      </c>
      <c r="F43" s="68">
        <f t="shared" si="9"/>
        <v>0</v>
      </c>
      <c r="G43" s="68">
        <f t="shared" si="5"/>
        <v>0</v>
      </c>
      <c r="H43" s="68">
        <f t="shared" si="5"/>
        <v>0</v>
      </c>
      <c r="I43" s="68">
        <f t="shared" si="5"/>
        <v>0</v>
      </c>
      <c r="J43" s="68">
        <f t="shared" si="5"/>
        <v>0</v>
      </c>
      <c r="K43" s="68">
        <f t="shared" si="5"/>
        <v>0</v>
      </c>
      <c r="L43" s="68">
        <f t="shared" si="5"/>
        <v>0</v>
      </c>
      <c r="M43" s="68">
        <f t="shared" si="5"/>
        <v>0</v>
      </c>
      <c r="N43" s="68">
        <f t="shared" si="5"/>
        <v>0</v>
      </c>
      <c r="O43" s="68">
        <f t="shared" si="5"/>
        <v>0</v>
      </c>
      <c r="P43" s="68">
        <f t="shared" si="5"/>
        <v>0</v>
      </c>
      <c r="Q43" s="68">
        <f t="shared" si="10"/>
        <v>0</v>
      </c>
      <c r="R43" s="68">
        <f t="shared" si="11"/>
        <v>0</v>
      </c>
      <c r="S43" s="68">
        <f t="shared" si="11"/>
        <v>0</v>
      </c>
      <c r="T43" s="68">
        <f t="shared" si="11"/>
        <v>0</v>
      </c>
      <c r="U43" s="68">
        <f t="shared" si="11"/>
        <v>0</v>
      </c>
    </row>
    <row r="44" spans="1:21" s="51" customFormat="1" ht="13" x14ac:dyDescent="0.35">
      <c r="A44" s="10">
        <f>P8</f>
        <v>0</v>
      </c>
      <c r="B44" s="12"/>
      <c r="C44" s="68">
        <f t="shared" si="6"/>
        <v>0</v>
      </c>
      <c r="D44" s="68">
        <f t="shared" si="7"/>
        <v>0</v>
      </c>
      <c r="E44" s="68">
        <f t="shared" si="8"/>
        <v>0</v>
      </c>
      <c r="F44" s="68">
        <f t="shared" si="9"/>
        <v>0</v>
      </c>
      <c r="G44" s="68">
        <f t="shared" si="5"/>
        <v>0</v>
      </c>
      <c r="H44" s="68">
        <f t="shared" si="5"/>
        <v>0</v>
      </c>
      <c r="I44" s="68">
        <f t="shared" si="5"/>
        <v>0</v>
      </c>
      <c r="J44" s="68">
        <f t="shared" si="5"/>
        <v>0</v>
      </c>
      <c r="K44" s="68">
        <f t="shared" si="5"/>
        <v>0</v>
      </c>
      <c r="L44" s="68">
        <f t="shared" si="5"/>
        <v>0</v>
      </c>
      <c r="M44" s="68">
        <f t="shared" si="5"/>
        <v>0</v>
      </c>
      <c r="N44" s="68">
        <f t="shared" si="5"/>
        <v>0</v>
      </c>
      <c r="O44" s="68">
        <f t="shared" si="5"/>
        <v>0</v>
      </c>
      <c r="P44" s="68">
        <f t="shared" si="5"/>
        <v>0</v>
      </c>
      <c r="Q44" s="68">
        <f t="shared" si="10"/>
        <v>0</v>
      </c>
      <c r="R44" s="68">
        <f t="shared" si="11"/>
        <v>0</v>
      </c>
      <c r="S44" s="68">
        <f t="shared" si="11"/>
        <v>0</v>
      </c>
      <c r="T44" s="68">
        <f t="shared" si="11"/>
        <v>0</v>
      </c>
      <c r="U44" s="68">
        <f t="shared" si="11"/>
        <v>0</v>
      </c>
    </row>
    <row r="45" spans="1:21" s="51" customFormat="1" ht="13" x14ac:dyDescent="0.35">
      <c r="A45" s="10">
        <f>Q8</f>
        <v>0</v>
      </c>
      <c r="B45" s="12"/>
      <c r="C45" s="68">
        <f t="shared" si="6"/>
        <v>0</v>
      </c>
      <c r="D45" s="68">
        <f t="shared" si="7"/>
        <v>0</v>
      </c>
      <c r="E45" s="68">
        <f t="shared" si="8"/>
        <v>0</v>
      </c>
      <c r="F45" s="68">
        <f t="shared" si="9"/>
        <v>0</v>
      </c>
      <c r="G45" s="68">
        <f t="shared" si="5"/>
        <v>0</v>
      </c>
      <c r="H45" s="68">
        <f t="shared" si="5"/>
        <v>0</v>
      </c>
      <c r="I45" s="68">
        <f t="shared" si="5"/>
        <v>0</v>
      </c>
      <c r="J45" s="68">
        <f t="shared" si="5"/>
        <v>0</v>
      </c>
      <c r="K45" s="68">
        <f t="shared" si="5"/>
        <v>0</v>
      </c>
      <c r="L45" s="68">
        <f t="shared" si="5"/>
        <v>0</v>
      </c>
      <c r="M45" s="68">
        <f t="shared" si="5"/>
        <v>0</v>
      </c>
      <c r="N45" s="68">
        <f t="shared" si="5"/>
        <v>0</v>
      </c>
      <c r="O45" s="68">
        <f t="shared" si="5"/>
        <v>0</v>
      </c>
      <c r="P45" s="68">
        <f t="shared" si="5"/>
        <v>0</v>
      </c>
      <c r="Q45" s="68">
        <f t="shared" si="10"/>
        <v>0</v>
      </c>
      <c r="R45" s="68">
        <f t="shared" si="11"/>
        <v>0</v>
      </c>
      <c r="S45" s="68">
        <f t="shared" si="11"/>
        <v>0</v>
      </c>
      <c r="T45" s="68">
        <f t="shared" si="11"/>
        <v>0</v>
      </c>
      <c r="U45" s="68">
        <f t="shared" si="11"/>
        <v>0</v>
      </c>
    </row>
    <row r="46" spans="1:21" s="51" customFormat="1" ht="13" x14ac:dyDescent="0.35">
      <c r="A46" s="10">
        <f>R8</f>
        <v>0</v>
      </c>
      <c r="B46" s="12"/>
      <c r="C46" s="68">
        <f t="shared" si="6"/>
        <v>0</v>
      </c>
      <c r="D46" s="68">
        <f t="shared" si="7"/>
        <v>0</v>
      </c>
      <c r="E46" s="68">
        <f t="shared" si="8"/>
        <v>0</v>
      </c>
      <c r="F46" s="68">
        <f t="shared" si="9"/>
        <v>0</v>
      </c>
      <c r="G46" s="68">
        <f t="shared" si="5"/>
        <v>0</v>
      </c>
      <c r="H46" s="68">
        <f t="shared" si="5"/>
        <v>0</v>
      </c>
      <c r="I46" s="68">
        <f t="shared" si="5"/>
        <v>0</v>
      </c>
      <c r="J46" s="68">
        <f t="shared" si="5"/>
        <v>0</v>
      </c>
      <c r="K46" s="68">
        <f t="shared" si="5"/>
        <v>0</v>
      </c>
      <c r="L46" s="68">
        <f t="shared" si="5"/>
        <v>0</v>
      </c>
      <c r="M46" s="68">
        <f t="shared" si="5"/>
        <v>0</v>
      </c>
      <c r="N46" s="68">
        <f t="shared" si="5"/>
        <v>0</v>
      </c>
      <c r="O46" s="68">
        <f t="shared" si="5"/>
        <v>0</v>
      </c>
      <c r="P46" s="68">
        <f t="shared" si="5"/>
        <v>0</v>
      </c>
      <c r="Q46" s="68">
        <f t="shared" si="10"/>
        <v>0</v>
      </c>
      <c r="R46" s="68">
        <f t="shared" si="11"/>
        <v>0</v>
      </c>
      <c r="S46" s="68">
        <f t="shared" si="11"/>
        <v>0</v>
      </c>
      <c r="T46" s="68">
        <f t="shared" si="11"/>
        <v>0</v>
      </c>
      <c r="U46" s="68">
        <f t="shared" si="11"/>
        <v>0</v>
      </c>
    </row>
    <row r="47" spans="1:21" s="51" customFormat="1" ht="13" x14ac:dyDescent="0.35">
      <c r="A47" s="10">
        <f>S8</f>
        <v>0</v>
      </c>
      <c r="B47" s="12"/>
      <c r="C47" s="68">
        <f t="shared" si="6"/>
        <v>0</v>
      </c>
      <c r="D47" s="68">
        <f t="shared" si="7"/>
        <v>0</v>
      </c>
      <c r="E47" s="68">
        <f t="shared" si="8"/>
        <v>0</v>
      </c>
      <c r="F47" s="68">
        <f t="shared" si="9"/>
        <v>0</v>
      </c>
      <c r="G47" s="68">
        <f t="shared" ref="G47:P50" si="12">IF(G$27="%w/w SAR",((G$28*10)*$B47),IF(G$27="%w/w DM",(((G$28*10)*($B$28/100))*$B47),IF(G$27="kg/t SAR",(G$28*$B47),IF(G$27="kg/t DM",((G$28*($B$28/100))*$B47),IF(G$27="mg/kg SAR",((G$28*0.001)*$B47),IF(G$27="mg/kg DM",(((G$28*0.001)*($B$28/100))*$B47),0))))))</f>
        <v>0</v>
      </c>
      <c r="H47" s="68">
        <f t="shared" si="12"/>
        <v>0</v>
      </c>
      <c r="I47" s="68">
        <f t="shared" si="12"/>
        <v>0</v>
      </c>
      <c r="J47" s="68">
        <f t="shared" si="12"/>
        <v>0</v>
      </c>
      <c r="K47" s="68">
        <f t="shared" si="12"/>
        <v>0</v>
      </c>
      <c r="L47" s="68">
        <f t="shared" si="12"/>
        <v>0</v>
      </c>
      <c r="M47" s="68">
        <f t="shared" si="12"/>
        <v>0</v>
      </c>
      <c r="N47" s="68">
        <f t="shared" si="12"/>
        <v>0</v>
      </c>
      <c r="O47" s="68">
        <f t="shared" si="12"/>
        <v>0</v>
      </c>
      <c r="P47" s="68">
        <f t="shared" si="12"/>
        <v>0</v>
      </c>
      <c r="Q47" s="68">
        <f t="shared" si="10"/>
        <v>0</v>
      </c>
      <c r="R47" s="68">
        <f t="shared" si="11"/>
        <v>0</v>
      </c>
      <c r="S47" s="68">
        <f t="shared" si="11"/>
        <v>0</v>
      </c>
      <c r="T47" s="68">
        <f t="shared" si="11"/>
        <v>0</v>
      </c>
      <c r="U47" s="68">
        <f t="shared" si="11"/>
        <v>0</v>
      </c>
    </row>
    <row r="48" spans="1:21" s="51" customFormat="1" ht="13" x14ac:dyDescent="0.35">
      <c r="A48" s="10">
        <f>T8</f>
        <v>0</v>
      </c>
      <c r="B48" s="12"/>
      <c r="C48" s="68">
        <f t="shared" si="6"/>
        <v>0</v>
      </c>
      <c r="D48" s="68">
        <f t="shared" si="7"/>
        <v>0</v>
      </c>
      <c r="E48" s="68">
        <f t="shared" si="8"/>
        <v>0</v>
      </c>
      <c r="F48" s="68">
        <f t="shared" si="9"/>
        <v>0</v>
      </c>
      <c r="G48" s="68">
        <f t="shared" si="12"/>
        <v>0</v>
      </c>
      <c r="H48" s="68">
        <f t="shared" si="12"/>
        <v>0</v>
      </c>
      <c r="I48" s="68">
        <f t="shared" si="12"/>
        <v>0</v>
      </c>
      <c r="J48" s="68">
        <f t="shared" si="12"/>
        <v>0</v>
      </c>
      <c r="K48" s="68">
        <f t="shared" si="12"/>
        <v>0</v>
      </c>
      <c r="L48" s="68">
        <f t="shared" si="12"/>
        <v>0</v>
      </c>
      <c r="M48" s="68">
        <f t="shared" si="12"/>
        <v>0</v>
      </c>
      <c r="N48" s="68">
        <f t="shared" si="12"/>
        <v>0</v>
      </c>
      <c r="O48" s="68">
        <f t="shared" si="12"/>
        <v>0</v>
      </c>
      <c r="P48" s="68">
        <f t="shared" si="12"/>
        <v>0</v>
      </c>
      <c r="Q48" s="68">
        <f t="shared" si="10"/>
        <v>0</v>
      </c>
      <c r="R48" s="68">
        <f t="shared" si="11"/>
        <v>0</v>
      </c>
      <c r="S48" s="68">
        <f t="shared" si="11"/>
        <v>0</v>
      </c>
      <c r="T48" s="68">
        <f t="shared" si="11"/>
        <v>0</v>
      </c>
      <c r="U48" s="68">
        <f t="shared" si="11"/>
        <v>0</v>
      </c>
    </row>
    <row r="49" spans="1:21" s="51" customFormat="1" ht="13" x14ac:dyDescent="0.35">
      <c r="A49" s="10">
        <f>U8</f>
        <v>0</v>
      </c>
      <c r="B49" s="12"/>
      <c r="C49" s="68">
        <f t="shared" si="6"/>
        <v>0</v>
      </c>
      <c r="D49" s="68">
        <f t="shared" si="7"/>
        <v>0</v>
      </c>
      <c r="E49" s="68">
        <f t="shared" si="8"/>
        <v>0</v>
      </c>
      <c r="F49" s="68">
        <f t="shared" si="9"/>
        <v>0</v>
      </c>
      <c r="G49" s="68">
        <f t="shared" si="12"/>
        <v>0</v>
      </c>
      <c r="H49" s="68">
        <f t="shared" si="12"/>
        <v>0</v>
      </c>
      <c r="I49" s="68">
        <f t="shared" si="12"/>
        <v>0</v>
      </c>
      <c r="J49" s="68">
        <f t="shared" si="12"/>
        <v>0</v>
      </c>
      <c r="K49" s="68">
        <f t="shared" si="12"/>
        <v>0</v>
      </c>
      <c r="L49" s="68">
        <f t="shared" si="12"/>
        <v>0</v>
      </c>
      <c r="M49" s="68">
        <f t="shared" si="12"/>
        <v>0</v>
      </c>
      <c r="N49" s="68">
        <f t="shared" si="12"/>
        <v>0</v>
      </c>
      <c r="O49" s="68">
        <f t="shared" si="12"/>
        <v>0</v>
      </c>
      <c r="P49" s="68">
        <f t="shared" si="12"/>
        <v>0</v>
      </c>
      <c r="Q49" s="68">
        <f t="shared" si="10"/>
        <v>0</v>
      </c>
      <c r="R49" s="68">
        <f t="shared" si="11"/>
        <v>0</v>
      </c>
      <c r="S49" s="68">
        <f t="shared" si="11"/>
        <v>0</v>
      </c>
      <c r="T49" s="68">
        <f t="shared" si="11"/>
        <v>0</v>
      </c>
      <c r="U49" s="68">
        <f t="shared" si="11"/>
        <v>0</v>
      </c>
    </row>
    <row r="50" spans="1:21" s="51" customFormat="1" ht="13.5" thickBot="1" x14ac:dyDescent="0.4">
      <c r="A50" s="11">
        <f>V8</f>
        <v>0</v>
      </c>
      <c r="B50" s="12"/>
      <c r="C50" s="87">
        <f t="shared" si="6"/>
        <v>0</v>
      </c>
      <c r="D50" s="87">
        <f t="shared" si="7"/>
        <v>0</v>
      </c>
      <c r="E50" s="87">
        <f t="shared" si="8"/>
        <v>0</v>
      </c>
      <c r="F50" s="87">
        <f t="shared" si="9"/>
        <v>0</v>
      </c>
      <c r="G50" s="87">
        <f t="shared" si="12"/>
        <v>0</v>
      </c>
      <c r="H50" s="87">
        <f t="shared" si="12"/>
        <v>0</v>
      </c>
      <c r="I50" s="87">
        <f t="shared" si="12"/>
        <v>0</v>
      </c>
      <c r="J50" s="87">
        <f t="shared" si="12"/>
        <v>0</v>
      </c>
      <c r="K50" s="87">
        <f t="shared" si="12"/>
        <v>0</v>
      </c>
      <c r="L50" s="87">
        <f t="shared" si="12"/>
        <v>0</v>
      </c>
      <c r="M50" s="87">
        <f t="shared" si="12"/>
        <v>0</v>
      </c>
      <c r="N50" s="87">
        <f t="shared" si="12"/>
        <v>0</v>
      </c>
      <c r="O50" s="87">
        <f t="shared" si="12"/>
        <v>0</v>
      </c>
      <c r="P50" s="87">
        <f t="shared" si="12"/>
        <v>0</v>
      </c>
      <c r="Q50" s="87">
        <f t="shared" si="10"/>
        <v>0</v>
      </c>
      <c r="R50" s="87">
        <f t="shared" si="11"/>
        <v>0</v>
      </c>
      <c r="S50" s="87">
        <f t="shared" si="11"/>
        <v>0</v>
      </c>
      <c r="T50" s="87">
        <f t="shared" si="11"/>
        <v>0</v>
      </c>
      <c r="U50" s="87">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5">
        <v>20</v>
      </c>
    </row>
    <row r="53" spans="1:21" ht="13" x14ac:dyDescent="0.35">
      <c r="A53" s="7" t="s">
        <v>130</v>
      </c>
    </row>
    <row r="54" spans="1:21" ht="26" x14ac:dyDescent="0.3">
      <c r="A54" s="98"/>
      <c r="B54" s="102" t="s">
        <v>149</v>
      </c>
      <c r="C54" s="102" t="s">
        <v>150</v>
      </c>
      <c r="D54" s="102" t="s">
        <v>127</v>
      </c>
      <c r="E54" s="102" t="s">
        <v>128</v>
      </c>
      <c r="F54" s="102" t="s">
        <v>151</v>
      </c>
      <c r="G54" s="102" t="s">
        <v>129</v>
      </c>
      <c r="H54" s="51"/>
      <c r="I54" s="51"/>
      <c r="J54" s="51"/>
      <c r="K54" s="51"/>
      <c r="L54" s="51"/>
      <c r="M54" s="51"/>
      <c r="N54" s="51"/>
      <c r="O54" s="51"/>
      <c r="P54" s="51"/>
      <c r="Q54" s="51"/>
      <c r="R54" s="51"/>
      <c r="S54" s="51"/>
      <c r="T54" s="51"/>
      <c r="U54" s="51"/>
    </row>
    <row r="55" spans="1:21" x14ac:dyDescent="0.25">
      <c r="A55" s="99"/>
      <c r="B55" s="103"/>
      <c r="C55" s="104"/>
      <c r="D55" s="105">
        <f>(B55/100)*C55</f>
        <v>0</v>
      </c>
      <c r="E55" s="105">
        <f>G55</f>
        <v>0</v>
      </c>
      <c r="F55" s="104"/>
      <c r="G55" s="105">
        <f>(B55/100)*F55</f>
        <v>0</v>
      </c>
      <c r="H55" s="51"/>
      <c r="I55" s="51"/>
      <c r="J55" s="51"/>
      <c r="K55" s="51"/>
      <c r="L55" s="51"/>
      <c r="M55" s="51"/>
      <c r="N55" s="51"/>
      <c r="O55" s="51"/>
      <c r="P55" s="51"/>
      <c r="Q55" s="51"/>
      <c r="R55" s="51"/>
      <c r="S55" s="51"/>
      <c r="T55" s="51"/>
      <c r="U55" s="51"/>
    </row>
    <row r="56" spans="1:21" ht="13" x14ac:dyDescent="0.3">
      <c r="A56" s="82" t="s">
        <v>63</v>
      </c>
      <c r="B56" s="8">
        <v>1</v>
      </c>
      <c r="C56" s="64">
        <v>2</v>
      </c>
      <c r="D56" s="65">
        <v>3</v>
      </c>
      <c r="E56" s="65">
        <v>4</v>
      </c>
      <c r="F56" s="64">
        <v>5</v>
      </c>
      <c r="G56" s="65">
        <v>6</v>
      </c>
      <c r="H56" s="66">
        <v>7</v>
      </c>
      <c r="I56" s="66">
        <v>8</v>
      </c>
      <c r="J56" s="66">
        <v>9</v>
      </c>
      <c r="K56" s="64">
        <v>10</v>
      </c>
      <c r="L56" s="64">
        <v>11</v>
      </c>
      <c r="M56" s="65">
        <v>12</v>
      </c>
      <c r="N56" s="65">
        <v>13</v>
      </c>
      <c r="O56" s="64">
        <v>14</v>
      </c>
      <c r="P56" s="65">
        <v>15</v>
      </c>
      <c r="Q56" s="66">
        <v>16</v>
      </c>
      <c r="R56" s="66">
        <v>17</v>
      </c>
      <c r="S56" s="66">
        <v>18</v>
      </c>
      <c r="T56" s="64">
        <v>19</v>
      </c>
      <c r="U56" s="64">
        <v>20</v>
      </c>
    </row>
    <row r="57" spans="1:21" ht="13" x14ac:dyDescent="0.35">
      <c r="A57" s="82" t="s">
        <v>2</v>
      </c>
      <c r="B57" s="8" t="str">
        <f>C8</f>
        <v>Nant Y Croi 9</v>
      </c>
      <c r="C57" s="8" t="str">
        <f t="shared" ref="C57:U57" si="13">D8</f>
        <v>Hafod 4315</v>
      </c>
      <c r="D57" s="8" t="str">
        <f t="shared" si="13"/>
        <v>Hafod 4734</v>
      </c>
      <c r="E57" s="8" t="str">
        <f t="shared" si="13"/>
        <v>Hafod 5761</v>
      </c>
      <c r="F57" s="8" t="str">
        <f t="shared" si="13"/>
        <v>Hafod 4067</v>
      </c>
      <c r="G57" s="8" t="str">
        <f t="shared" si="13"/>
        <v>Hafod 2455</v>
      </c>
      <c r="H57" s="8" t="str">
        <f t="shared" si="13"/>
        <v>Hafod 1741</v>
      </c>
      <c r="I57" s="8" t="str">
        <f t="shared" si="13"/>
        <v>Hafod 0720</v>
      </c>
      <c r="J57" s="8" t="str">
        <f t="shared" si="13"/>
        <v>Solafron 2893</v>
      </c>
      <c r="K57" s="8" t="str">
        <f t="shared" si="13"/>
        <v>Solafron 2611</v>
      </c>
      <c r="L57" s="8" t="str">
        <f t="shared" si="13"/>
        <v>Solafron 1404</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82" t="s">
        <v>136</v>
      </c>
      <c r="B58" s="10" t="str">
        <f>C16&amp;" I "&amp;(VLOOKUP(C14,Table24567[],6,FALSE))</f>
        <v>Medium/Clay I Grass</v>
      </c>
      <c r="C58" s="10" t="str">
        <f>D16&amp;" I "&amp;(VLOOKUP(D14,Table24567[],6,FALSE))</f>
        <v>Medium/Clay I Grass</v>
      </c>
      <c r="D58" s="10" t="str">
        <f>E16&amp;" I "&amp;(VLOOKUP(E14,Table24567[],6,FALSE))</f>
        <v>Medium/Clay I Grass</v>
      </c>
      <c r="E58" s="10" t="str">
        <f>F16&amp;" I "&amp;(VLOOKUP(F14,Table24567[],6,FALSE))</f>
        <v>Medium/Clay I Grass</v>
      </c>
      <c r="F58" s="10" t="str">
        <f>G16&amp;" I "&amp;(VLOOKUP(G14,Table24567[],6,FALSE))</f>
        <v>Medium/Clay I Grass</v>
      </c>
      <c r="G58" s="10" t="str">
        <f>H16&amp;" I "&amp;(VLOOKUP(H14,Table24567[],6,FALSE))</f>
        <v>Medium/Clay I Grass</v>
      </c>
      <c r="H58" s="10" t="str">
        <f>I16&amp;" I "&amp;(VLOOKUP(I14,Table24567[],6,FALSE))</f>
        <v>Medium/Clay I Grass</v>
      </c>
      <c r="I58" s="10" t="str">
        <f>J16&amp;" I "&amp;(VLOOKUP(J14,Table24567[],6,FALSE))</f>
        <v>Medium/Clay I Grass</v>
      </c>
      <c r="J58" s="10" t="str">
        <f>K16&amp;" I "&amp;(VLOOKUP(K14,Table24567[],6,FALSE))</f>
        <v>Medium/Clay I Grass</v>
      </c>
      <c r="K58" s="10" t="str">
        <f>L16&amp;" I "&amp;(VLOOKUP(L14,Table24567[],6,FALSE))</f>
        <v>Medium/Clay I Grass</v>
      </c>
      <c r="L58" s="10" t="str">
        <f>M16&amp;" I "&amp;(VLOOKUP(M14,Table24567[],6,FALSE))</f>
        <v>Medium/Clay I Grass</v>
      </c>
      <c r="M58" s="10" t="e">
        <f>N16&amp;" I "&amp;(VLOOKUP(N14,Table24567[],6,FALSE))</f>
        <v>#N/A</v>
      </c>
      <c r="N58" s="10" t="e">
        <f>O16&amp;" I "&amp;(VLOOKUP(O14,Table24567[],6,FALSE))</f>
        <v>#N/A</v>
      </c>
      <c r="O58" s="10" t="e">
        <f>P16&amp;" I "&amp;(VLOOKUP(P14,Table24567[],6,FALSE))</f>
        <v>#N/A</v>
      </c>
      <c r="P58" s="10" t="e">
        <f>Q16&amp;" I "&amp;(VLOOKUP(Q14,Table24567[],6,FALSE))</f>
        <v>#N/A</v>
      </c>
      <c r="Q58" s="10" t="e">
        <f>R16&amp;" I "&amp;(VLOOKUP(R14,Table24567[],6,FALSE))</f>
        <v>#N/A</v>
      </c>
      <c r="R58" s="10" t="e">
        <f>S16&amp;" I "&amp;(VLOOKUP(S14,Table24567[],6,FALSE))</f>
        <v>#N/A</v>
      </c>
      <c r="S58" s="10" t="e">
        <f>T16&amp;" I "&amp;(VLOOKUP(T14,Table24567[],6,FALSE))</f>
        <v>#N/A</v>
      </c>
      <c r="T58" s="10" t="e">
        <f>U16&amp;" I "&amp;(VLOOKUP(U14,Table24567[],6,FALSE))</f>
        <v>#N/A</v>
      </c>
      <c r="U58" s="10" t="e">
        <f>V16&amp;" I "&amp;(VLOOKUP(V14,Table24567[],6,FALSE))</f>
        <v>#N/A</v>
      </c>
    </row>
    <row r="59" spans="1:21" ht="13" x14ac:dyDescent="0.3">
      <c r="A59" s="100" t="s">
        <v>132</v>
      </c>
      <c r="B59" s="67">
        <f>VLOOKUP(C$14,Table24567[],5,FALSE)</f>
        <v>6.2</v>
      </c>
      <c r="C59" s="67">
        <f>VLOOKUP(D$14,Table24567[],5,FALSE)</f>
        <v>6.2</v>
      </c>
      <c r="D59" s="67">
        <f>VLOOKUP(E$14,Table24567[],5,FALSE)</f>
        <v>6.2</v>
      </c>
      <c r="E59" s="67">
        <f>VLOOKUP(F$14,Table24567[],5,FALSE)</f>
        <v>6.2</v>
      </c>
      <c r="F59" s="67">
        <f>VLOOKUP(G$14,Table24567[],5,FALSE)</f>
        <v>6.2</v>
      </c>
      <c r="G59" s="67">
        <f>VLOOKUP(H$14,Table24567[],5,FALSE)</f>
        <v>6.2</v>
      </c>
      <c r="H59" s="67">
        <f>VLOOKUP(I$14,Table24567[],5,FALSE)</f>
        <v>6.2</v>
      </c>
      <c r="I59" s="67">
        <f>VLOOKUP(J$14,Table24567[],5,FALSE)</f>
        <v>6.2</v>
      </c>
      <c r="J59" s="67">
        <f>VLOOKUP(K$14,Table24567[],5,FALSE)</f>
        <v>6.2</v>
      </c>
      <c r="K59" s="67">
        <f>VLOOKUP(L$14,Table24567[],5,FALSE)</f>
        <v>6.2</v>
      </c>
      <c r="L59" s="67">
        <f>VLOOKUP(M$14,Table24567[],5,FALSE)</f>
        <v>6.2</v>
      </c>
      <c r="M59" s="67" t="e">
        <f>VLOOKUP(N$14,Table24567[],5,FALSE)</f>
        <v>#N/A</v>
      </c>
      <c r="N59" s="67" t="e">
        <f>VLOOKUP(O$14,Table24567[],5,FALSE)</f>
        <v>#N/A</v>
      </c>
      <c r="O59" s="67" t="e">
        <f>VLOOKUP(P$14,Table24567[],5,FALSE)</f>
        <v>#N/A</v>
      </c>
      <c r="P59" s="67" t="e">
        <f>VLOOKUP(Q$14,Table24567[],5,FALSE)</f>
        <v>#N/A</v>
      </c>
      <c r="Q59" s="67" t="e">
        <f>VLOOKUP(R$14,Table24567[],5,FALSE)</f>
        <v>#N/A</v>
      </c>
      <c r="R59" s="67" t="e">
        <f>VLOOKUP(S$14,Table24567[],5,FALSE)</f>
        <v>#N/A</v>
      </c>
      <c r="S59" s="67" t="e">
        <f>VLOOKUP(T$14,Table24567[],5,FALSE)</f>
        <v>#N/A</v>
      </c>
      <c r="T59" s="67" t="e">
        <f>VLOOKUP(U$14,Table24567[],5,FALSE)</f>
        <v>#N/A</v>
      </c>
      <c r="U59" s="67" t="e">
        <f>VLOOKUP(V$14,Table24567[],5,FALSE)</f>
        <v>#N/A</v>
      </c>
    </row>
    <row r="60" spans="1:21" ht="13" x14ac:dyDescent="0.3">
      <c r="A60" s="100" t="s">
        <v>4</v>
      </c>
      <c r="B60" s="67">
        <f>C10</f>
        <v>5.4</v>
      </c>
      <c r="C60" s="67">
        <f t="shared" ref="C60:U60" si="14">D10</f>
        <v>6.3</v>
      </c>
      <c r="D60" s="67">
        <f t="shared" si="14"/>
        <v>6.3</v>
      </c>
      <c r="E60" s="67">
        <f t="shared" si="14"/>
        <v>6.2</v>
      </c>
      <c r="F60" s="67">
        <f t="shared" si="14"/>
        <v>6.2</v>
      </c>
      <c r="G60" s="67">
        <f t="shared" si="14"/>
        <v>6.3</v>
      </c>
      <c r="H60" s="67">
        <f t="shared" si="14"/>
        <v>6.3</v>
      </c>
      <c r="I60" s="67">
        <f t="shared" si="14"/>
        <v>6.2</v>
      </c>
      <c r="J60" s="67">
        <f t="shared" si="14"/>
        <v>6.3</v>
      </c>
      <c r="K60" s="67">
        <f t="shared" si="14"/>
        <v>6.3</v>
      </c>
      <c r="L60" s="67">
        <f t="shared" si="14"/>
        <v>6.3</v>
      </c>
      <c r="M60" s="67">
        <f t="shared" si="14"/>
        <v>0</v>
      </c>
      <c r="N60" s="67">
        <f t="shared" si="14"/>
        <v>0</v>
      </c>
      <c r="O60" s="67">
        <f t="shared" si="14"/>
        <v>0</v>
      </c>
      <c r="P60" s="67">
        <f t="shared" si="14"/>
        <v>0</v>
      </c>
      <c r="Q60" s="67">
        <f t="shared" si="14"/>
        <v>0</v>
      </c>
      <c r="R60" s="67">
        <f t="shared" si="14"/>
        <v>0</v>
      </c>
      <c r="S60" s="67">
        <f t="shared" si="14"/>
        <v>0</v>
      </c>
      <c r="T60" s="67">
        <f t="shared" si="14"/>
        <v>0</v>
      </c>
      <c r="U60" s="67">
        <f t="shared" si="14"/>
        <v>0</v>
      </c>
    </row>
    <row r="61" spans="1:21" ht="13" x14ac:dyDescent="0.3">
      <c r="A61" s="100" t="s">
        <v>133</v>
      </c>
      <c r="B61" s="67">
        <f t="shared" ref="B61:U61" si="15">VLOOKUP(B58,$AD9:$AE18,2,FALSE)</f>
        <v>6</v>
      </c>
      <c r="C61" s="67">
        <f t="shared" si="15"/>
        <v>6</v>
      </c>
      <c r="D61" s="67">
        <f t="shared" si="15"/>
        <v>6</v>
      </c>
      <c r="E61" s="67">
        <f t="shared" si="15"/>
        <v>6</v>
      </c>
      <c r="F61" s="67">
        <f t="shared" si="15"/>
        <v>6</v>
      </c>
      <c r="G61" s="67">
        <f t="shared" si="15"/>
        <v>6</v>
      </c>
      <c r="H61" s="67">
        <f t="shared" si="15"/>
        <v>6</v>
      </c>
      <c r="I61" s="67">
        <f t="shared" si="15"/>
        <v>6</v>
      </c>
      <c r="J61" s="67">
        <f t="shared" si="15"/>
        <v>6</v>
      </c>
      <c r="K61" s="67">
        <f t="shared" si="15"/>
        <v>6</v>
      </c>
      <c r="L61" s="67">
        <f t="shared" si="15"/>
        <v>6</v>
      </c>
      <c r="M61" s="67" t="e">
        <f t="shared" si="15"/>
        <v>#N/A</v>
      </c>
      <c r="N61" s="67" t="e">
        <f t="shared" si="15"/>
        <v>#N/A</v>
      </c>
      <c r="O61" s="67" t="e">
        <f t="shared" si="15"/>
        <v>#N/A</v>
      </c>
      <c r="P61" s="67" t="e">
        <f t="shared" si="15"/>
        <v>#N/A</v>
      </c>
      <c r="Q61" s="67" t="e">
        <f t="shared" si="15"/>
        <v>#N/A</v>
      </c>
      <c r="R61" s="67" t="e">
        <f t="shared" si="15"/>
        <v>#N/A</v>
      </c>
      <c r="S61" s="67" t="e">
        <f t="shared" si="15"/>
        <v>#N/A</v>
      </c>
      <c r="T61" s="67" t="e">
        <f t="shared" si="15"/>
        <v>#N/A</v>
      </c>
      <c r="U61" s="67" t="e">
        <f t="shared" si="15"/>
        <v>#N/A</v>
      </c>
    </row>
    <row r="62" spans="1:21" ht="13" x14ac:dyDescent="0.3">
      <c r="A62" s="100" t="s">
        <v>134</v>
      </c>
      <c r="B62" s="68">
        <f>B31</f>
        <v>0</v>
      </c>
      <c r="C62" s="68">
        <f>B32</f>
        <v>250</v>
      </c>
      <c r="D62" s="68">
        <f>B33</f>
        <v>250</v>
      </c>
      <c r="E62" s="68">
        <f>B34</f>
        <v>250</v>
      </c>
      <c r="F62" s="68">
        <f>B35</f>
        <v>250</v>
      </c>
      <c r="G62" s="68">
        <f>B36</f>
        <v>250</v>
      </c>
      <c r="H62" s="68">
        <f>B37</f>
        <v>250</v>
      </c>
      <c r="I62" s="68">
        <f>B38</f>
        <v>250</v>
      </c>
      <c r="J62" s="68">
        <f>B39</f>
        <v>250</v>
      </c>
      <c r="K62" s="68">
        <f>B40</f>
        <v>250</v>
      </c>
      <c r="L62" s="68">
        <f>B41</f>
        <v>250</v>
      </c>
      <c r="M62" s="68">
        <f>B42</f>
        <v>0</v>
      </c>
      <c r="N62" s="68">
        <f>B43</f>
        <v>0</v>
      </c>
      <c r="O62" s="68">
        <f>B44</f>
        <v>0</v>
      </c>
      <c r="P62" s="68">
        <f>B45</f>
        <v>0</v>
      </c>
      <c r="Q62" s="68">
        <f>B46</f>
        <v>0</v>
      </c>
      <c r="R62" s="68">
        <f>B47</f>
        <v>0</v>
      </c>
      <c r="S62" s="68">
        <f>B48</f>
        <v>0</v>
      </c>
      <c r="T62" s="68">
        <f>B49</f>
        <v>0</v>
      </c>
      <c r="U62" s="68">
        <f>B50</f>
        <v>0</v>
      </c>
    </row>
    <row r="63" spans="1:21" ht="39" x14ac:dyDescent="0.3">
      <c r="A63" s="101" t="s">
        <v>155</v>
      </c>
      <c r="B63" s="68">
        <f>$E55*(B62/100)</f>
        <v>0</v>
      </c>
      <c r="C63" s="68">
        <f t="shared" ref="C63:U63" si="16">$E55*(C62/100)</f>
        <v>0</v>
      </c>
      <c r="D63" s="68">
        <f t="shared" si="16"/>
        <v>0</v>
      </c>
      <c r="E63" s="68">
        <f t="shared" si="16"/>
        <v>0</v>
      </c>
      <c r="F63" s="68">
        <f>$E55*(F62/100)</f>
        <v>0</v>
      </c>
      <c r="G63" s="68">
        <f t="shared" si="16"/>
        <v>0</v>
      </c>
      <c r="H63" s="68">
        <f t="shared" si="16"/>
        <v>0</v>
      </c>
      <c r="I63" s="68">
        <f t="shared" si="16"/>
        <v>0</v>
      </c>
      <c r="J63" s="68">
        <f t="shared" si="16"/>
        <v>0</v>
      </c>
      <c r="K63" s="68">
        <f t="shared" si="16"/>
        <v>0</v>
      </c>
      <c r="L63" s="68">
        <f t="shared" si="16"/>
        <v>0</v>
      </c>
      <c r="M63" s="68">
        <f t="shared" si="16"/>
        <v>0</v>
      </c>
      <c r="N63" s="68">
        <f t="shared" si="16"/>
        <v>0</v>
      </c>
      <c r="O63" s="68">
        <f t="shared" si="16"/>
        <v>0</v>
      </c>
      <c r="P63" s="68">
        <f t="shared" si="16"/>
        <v>0</v>
      </c>
      <c r="Q63" s="68">
        <f t="shared" si="16"/>
        <v>0</v>
      </c>
      <c r="R63" s="68">
        <f t="shared" si="16"/>
        <v>0</v>
      </c>
      <c r="S63" s="68">
        <f t="shared" si="16"/>
        <v>0</v>
      </c>
      <c r="T63" s="68">
        <f t="shared" si="16"/>
        <v>0</v>
      </c>
      <c r="U63" s="68">
        <f t="shared" si="16"/>
        <v>0</v>
      </c>
    </row>
    <row r="64" spans="1:21" ht="52" x14ac:dyDescent="0.3">
      <c r="A64" s="101" t="s">
        <v>156</v>
      </c>
      <c r="B64" s="68">
        <f>(B59-B60)*B61</f>
        <v>4.7999999999999989</v>
      </c>
      <c r="C64" s="68">
        <f t="shared" ref="C64:U64" si="17">(C59-C60)*C61</f>
        <v>-0.59999999999999787</v>
      </c>
      <c r="D64" s="68">
        <f t="shared" si="17"/>
        <v>-0.59999999999999787</v>
      </c>
      <c r="E64" s="68">
        <f t="shared" si="17"/>
        <v>0</v>
      </c>
      <c r="F64" s="68">
        <f t="shared" si="17"/>
        <v>0</v>
      </c>
      <c r="G64" s="68">
        <f t="shared" si="17"/>
        <v>-0.59999999999999787</v>
      </c>
      <c r="H64" s="68">
        <f t="shared" si="17"/>
        <v>-0.59999999999999787</v>
      </c>
      <c r="I64" s="68">
        <f t="shared" si="17"/>
        <v>0</v>
      </c>
      <c r="J64" s="68">
        <f t="shared" si="17"/>
        <v>-0.59999999999999787</v>
      </c>
      <c r="K64" s="68">
        <f t="shared" si="17"/>
        <v>-0.59999999999999787</v>
      </c>
      <c r="L64" s="68">
        <f t="shared" si="17"/>
        <v>-0.59999999999999787</v>
      </c>
      <c r="M64" s="68" t="e">
        <f t="shared" si="17"/>
        <v>#N/A</v>
      </c>
      <c r="N64" s="68" t="e">
        <f t="shared" si="17"/>
        <v>#N/A</v>
      </c>
      <c r="O64" s="68" t="e">
        <f t="shared" si="17"/>
        <v>#N/A</v>
      </c>
      <c r="P64" s="68" t="e">
        <f t="shared" si="17"/>
        <v>#N/A</v>
      </c>
      <c r="Q64" s="68" t="e">
        <f t="shared" si="17"/>
        <v>#N/A</v>
      </c>
      <c r="R64" s="68" t="e">
        <f t="shared" si="17"/>
        <v>#N/A</v>
      </c>
      <c r="S64" s="68" t="e">
        <f t="shared" si="17"/>
        <v>#N/A</v>
      </c>
      <c r="T64" s="68" t="e">
        <f t="shared" si="17"/>
        <v>#N/A</v>
      </c>
      <c r="U64" s="68" t="e">
        <f t="shared" si="17"/>
        <v>#N/A</v>
      </c>
    </row>
    <row r="65" spans="1:21" ht="52" x14ac:dyDescent="0.3">
      <c r="A65" s="101" t="s">
        <v>157</v>
      </c>
      <c r="B65" s="68">
        <f>B63-B64</f>
        <v>-4.7999999999999989</v>
      </c>
      <c r="C65" s="68">
        <f t="shared" ref="C65:U65" si="18">C63-C64</f>
        <v>0.59999999999999787</v>
      </c>
      <c r="D65" s="68">
        <f t="shared" si="18"/>
        <v>0.59999999999999787</v>
      </c>
      <c r="E65" s="68">
        <f t="shared" si="18"/>
        <v>0</v>
      </c>
      <c r="F65" s="68">
        <f t="shared" si="18"/>
        <v>0</v>
      </c>
      <c r="G65" s="68">
        <f t="shared" si="18"/>
        <v>0.59999999999999787</v>
      </c>
      <c r="H65" s="68">
        <f t="shared" si="18"/>
        <v>0.59999999999999787</v>
      </c>
      <c r="I65" s="68">
        <f t="shared" si="18"/>
        <v>0</v>
      </c>
      <c r="J65" s="68">
        <f t="shared" si="18"/>
        <v>0.59999999999999787</v>
      </c>
      <c r="K65" s="68">
        <f t="shared" si="18"/>
        <v>0.59999999999999787</v>
      </c>
      <c r="L65" s="68">
        <f t="shared" si="18"/>
        <v>0.59999999999999787</v>
      </c>
      <c r="M65" s="68" t="e">
        <f t="shared" si="18"/>
        <v>#N/A</v>
      </c>
      <c r="N65" s="68" t="e">
        <f t="shared" si="18"/>
        <v>#N/A</v>
      </c>
      <c r="O65" s="68" t="e">
        <f t="shared" si="18"/>
        <v>#N/A</v>
      </c>
      <c r="P65" s="68" t="e">
        <f t="shared" si="18"/>
        <v>#N/A</v>
      </c>
      <c r="Q65" s="68" t="e">
        <f t="shared" si="18"/>
        <v>#N/A</v>
      </c>
      <c r="R65" s="68" t="e">
        <f t="shared" si="18"/>
        <v>#N/A</v>
      </c>
      <c r="S65" s="68" t="e">
        <f t="shared" si="18"/>
        <v>#N/A</v>
      </c>
      <c r="T65" s="68" t="e">
        <f t="shared" si="18"/>
        <v>#N/A</v>
      </c>
      <c r="U65" s="68" t="e">
        <f t="shared" si="18"/>
        <v>#N/A</v>
      </c>
    </row>
    <row r="66" spans="1:21" ht="26" x14ac:dyDescent="0.3">
      <c r="A66" s="101" t="s">
        <v>148</v>
      </c>
      <c r="B66" s="69" t="str">
        <f>IF(B64&lt;=B63,"OVER","UNDER")</f>
        <v>UNDER</v>
      </c>
      <c r="C66" s="69" t="str">
        <f t="shared" ref="C66:U66" si="19">IF(C64&lt;=C63,"OVER","UNDER")</f>
        <v>OVER</v>
      </c>
      <c r="D66" s="69" t="str">
        <f t="shared" si="19"/>
        <v>OVER</v>
      </c>
      <c r="E66" s="69" t="str">
        <f t="shared" si="19"/>
        <v>OVER</v>
      </c>
      <c r="F66" s="69" t="str">
        <f t="shared" si="19"/>
        <v>OVER</v>
      </c>
      <c r="G66" s="69" t="str">
        <f t="shared" si="19"/>
        <v>OVER</v>
      </c>
      <c r="H66" s="69" t="str">
        <f t="shared" si="19"/>
        <v>OVER</v>
      </c>
      <c r="I66" s="69" t="str">
        <f t="shared" si="19"/>
        <v>OVER</v>
      </c>
      <c r="J66" s="69" t="str">
        <f t="shared" si="19"/>
        <v>OVER</v>
      </c>
      <c r="K66" s="69" t="str">
        <f t="shared" si="19"/>
        <v>OVER</v>
      </c>
      <c r="L66" s="69" t="str">
        <f t="shared" si="19"/>
        <v>OVER</v>
      </c>
      <c r="M66" s="69" t="e">
        <f t="shared" si="19"/>
        <v>#N/A</v>
      </c>
      <c r="N66" s="69" t="e">
        <f t="shared" si="19"/>
        <v>#N/A</v>
      </c>
      <c r="O66" s="69" t="e">
        <f t="shared" si="19"/>
        <v>#N/A</v>
      </c>
      <c r="P66" s="69" t="e">
        <f t="shared" si="19"/>
        <v>#N/A</v>
      </c>
      <c r="Q66" s="69" t="e">
        <f t="shared" si="19"/>
        <v>#N/A</v>
      </c>
      <c r="R66" s="69" t="e">
        <f t="shared" si="19"/>
        <v>#N/A</v>
      </c>
      <c r="S66" s="69" t="e">
        <f t="shared" si="19"/>
        <v>#N/A</v>
      </c>
      <c r="T66" s="69" t="e">
        <f t="shared" si="19"/>
        <v>#N/A</v>
      </c>
      <c r="U66" s="69" t="e">
        <f t="shared" si="19"/>
        <v>#N/A</v>
      </c>
    </row>
  </sheetData>
  <sheetProtection algorithmName="SHA-512" hashValue="bV/LF8dO/1XjVbmVcGUwfCCtDuJHfhHI2cxBjbE3UJO6HH/2eqfMhfRs25y84IWYrTRRq04Mjv0Gtw+37M6n0g==" saltValue="/YQAwzTGECtKAnnbGGtu7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27" priority="36" operator="greaterThan">
      <formula>$B$51</formula>
    </cfRule>
  </conditionalFormatting>
  <conditionalFormatting sqref="B66:U66">
    <cfRule type="cellIs" dxfId="26" priority="11" operator="equal">
      <formula>"UNDER"</formula>
    </cfRule>
    <cfRule type="cellIs" dxfId="25" priority="12" operator="equal">
      <formula>"OVER"</formula>
    </cfRule>
  </conditionalFormatting>
  <conditionalFormatting sqref="C31:C50">
    <cfRule type="cellIs" dxfId="24" priority="35" operator="greaterThan">
      <formula>$C$51</formula>
    </cfRule>
  </conditionalFormatting>
  <conditionalFormatting sqref="C17:V19">
    <cfRule type="cellIs" dxfId="23" priority="32" operator="equal">
      <formula>0</formula>
    </cfRule>
  </conditionalFormatting>
  <conditionalFormatting sqref="C20:V21">
    <cfRule type="cellIs" dxfId="22" priority="37" operator="equal">
      <formula>"DECREASE"</formula>
    </cfRule>
    <cfRule type="cellIs" dxfId="21" priority="38" operator="equal">
      <formula>"INCREASE"</formula>
    </cfRule>
  </conditionalFormatting>
  <conditionalFormatting sqref="C21:V21">
    <cfRule type="cellIs" dxfId="20" priority="13" operator="equal">
      <formula>0</formula>
    </cfRule>
  </conditionalFormatting>
  <conditionalFormatting sqref="C22:V23">
    <cfRule type="cellIs" dxfId="19" priority="17" operator="equal">
      <formula>0</formula>
    </cfRule>
  </conditionalFormatting>
  <conditionalFormatting sqref="C24:V24">
    <cfRule type="cellIs" dxfId="18" priority="18" operator="equal">
      <formula>"DECREASE"</formula>
    </cfRule>
    <cfRule type="cellIs" dxfId="17" priority="19" operator="equal">
      <formula>"INCREASE"</formula>
    </cfRule>
  </conditionalFormatting>
  <conditionalFormatting sqref="G31:G50">
    <cfRule type="cellIs" dxfId="16" priority="31" operator="greaterThan">
      <formula>$G$51</formula>
    </cfRule>
  </conditionalFormatting>
  <conditionalFormatting sqref="H31:H50">
    <cfRule type="cellIs" dxfId="15" priority="30" operator="greaterThan">
      <formula>$H$51</formula>
    </cfRule>
  </conditionalFormatting>
  <conditionalFormatting sqref="I1">
    <cfRule type="cellIs" dxfId="14" priority="3" operator="between">
      <formula>0.1</formula>
      <formula>5</formula>
    </cfRule>
  </conditionalFormatting>
  <conditionalFormatting sqref="I2">
    <cfRule type="cellIs" dxfId="13" priority="2" operator="greaterThan">
      <formula>5000.1</formula>
    </cfRule>
  </conditionalFormatting>
  <conditionalFormatting sqref="I3">
    <cfRule type="cellIs" dxfId="12" priority="1" operator="greaterThan">
      <formula>40000.01</formula>
    </cfRule>
  </conditionalFormatting>
  <conditionalFormatting sqref="I31:I50">
    <cfRule type="cellIs" dxfId="11" priority="29" operator="greaterThan">
      <formula>$I$51</formula>
    </cfRule>
  </conditionalFormatting>
  <conditionalFormatting sqref="J31:J50">
    <cfRule type="cellIs" dxfId="10" priority="8" operator="greaterThan">
      <formula>$J$51</formula>
    </cfRule>
  </conditionalFormatting>
  <conditionalFormatting sqref="K31:K50">
    <cfRule type="cellIs" dxfId="9" priority="28" operator="greaterThan">
      <formula>$K$51</formula>
    </cfRule>
  </conditionalFormatting>
  <conditionalFormatting sqref="L3">
    <cfRule type="cellIs" dxfId="8" priority="4" operator="lessThan">
      <formula>30</formula>
    </cfRule>
    <cfRule type="cellIs" dxfId="7" priority="5" operator="greaterThanOrEqual">
      <formula>30</formula>
    </cfRule>
  </conditionalFormatting>
  <conditionalFormatting sqref="L31:L50">
    <cfRule type="cellIs" dxfId="6" priority="27" operator="greaterThan">
      <formula>$L$51</formula>
    </cfRule>
  </conditionalFormatting>
  <conditionalFormatting sqref="M31:M50">
    <cfRule type="cellIs" dxfId="5" priority="26" operator="greaterThan">
      <formula>$M$51</formula>
    </cfRule>
  </conditionalFormatting>
  <conditionalFormatting sqref="P31:P50">
    <cfRule type="cellIs" dxfId="4" priority="25" operator="greaterThan">
      <formula>$P$51</formula>
    </cfRule>
  </conditionalFormatting>
  <conditionalFormatting sqref="R31:R50">
    <cfRule type="cellIs" dxfId="3" priority="24" operator="greaterThan">
      <formula>$R$51</formula>
    </cfRule>
  </conditionalFormatting>
  <conditionalFormatting sqref="S31:S50">
    <cfRule type="cellIs" dxfId="2" priority="23" operator="greaterThan">
      <formula>$S$51</formula>
    </cfRule>
  </conditionalFormatting>
  <conditionalFormatting sqref="T31:T50">
    <cfRule type="cellIs" dxfId="1" priority="22" operator="greaterThan">
      <formula>$T$51</formula>
    </cfRule>
  </conditionalFormatting>
  <conditionalFormatting sqref="U31:U50">
    <cfRule type="cellIs" dxfId="0" priority="21" operator="greaterThan">
      <formula>$U$51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796875" defaultRowHeight="12.5" x14ac:dyDescent="0.25"/>
  <cols>
    <col min="1" max="13" width="9.1796875" style="14"/>
    <col min="14" max="14" width="9.7265625" style="14" bestFit="1" customWidth="1"/>
    <col min="15" max="19" width="9.1796875" style="14"/>
    <col min="20" max="20" width="10" style="14" bestFit="1" customWidth="1"/>
    <col min="21" max="16384" width="9.1796875" style="14"/>
  </cols>
  <sheetData>
    <row r="1" spans="1:21" ht="37.5" x14ac:dyDescent="0.25">
      <c r="A1" s="131" t="s">
        <v>84</v>
      </c>
      <c r="B1" s="31" t="str">
        <f>Newcastle!B29</f>
        <v>Application Rate</v>
      </c>
      <c r="C1" s="31" t="str">
        <f>Newcastle!C29</f>
        <v>Nitrogen Addition</v>
      </c>
      <c r="D1" s="31" t="str">
        <f>Newcastle!D29</f>
        <v>Phosphate Addition</v>
      </c>
      <c r="E1" s="31" t="str">
        <f>Newcastle!E29</f>
        <v>Potash  Addition</v>
      </c>
      <c r="F1" s="31" t="str">
        <f>Newcastle!F29</f>
        <v>Mg Oxide Addition</v>
      </c>
      <c r="G1" s="31" t="str">
        <f>Newcastle!G29</f>
        <v>Copper Addition</v>
      </c>
      <c r="H1" s="31" t="str">
        <f>Newcastle!H29</f>
        <v>Zinc Addition</v>
      </c>
      <c r="I1" s="31" t="str">
        <f>Newcastle!I29</f>
        <v>Lead Addition</v>
      </c>
      <c r="J1" s="31" t="str">
        <f>Newcastle!J29</f>
        <v>Cadmium Addition</v>
      </c>
      <c r="K1" s="31" t="str">
        <f>Newcastle!K29</f>
        <v>Mercury Addition</v>
      </c>
      <c r="L1" s="31" t="str">
        <f>Newcastle!L29</f>
        <v>Nickel Addition</v>
      </c>
      <c r="M1" s="31" t="str">
        <f>Newcastle!M29</f>
        <v>Chromium Addition</v>
      </c>
      <c r="N1" s="31" t="str">
        <f>Newcastle!N29</f>
        <v>Aluminium Addition</v>
      </c>
      <c r="O1" s="31" t="str">
        <f>Newcastle!O29</f>
        <v>Iron Addition</v>
      </c>
      <c r="P1" s="31" t="str">
        <f>Newcastle!P29</f>
        <v xml:space="preserve">Sodium Addition                 </v>
      </c>
      <c r="Q1" s="31" t="str">
        <f>Newcastle!Q29</f>
        <v>SO3  Addition                             kg/ha</v>
      </c>
      <c r="R1" s="31" t="str">
        <f>Newcastle!R29</f>
        <v xml:space="preserve">Selenium Addition </v>
      </c>
      <c r="S1" s="31" t="str">
        <f>Newcastle!S29</f>
        <v xml:space="preserve">Arsenic  Addition  </v>
      </c>
      <c r="T1" s="31" t="str">
        <f>Newcastle!T29</f>
        <v xml:space="preserve">Molybdenum Addition  </v>
      </c>
      <c r="U1" s="31" t="str">
        <f>Newcastle!U29</f>
        <v xml:space="preserve">Fluoride Addition </v>
      </c>
    </row>
    <row r="2" spans="1:21" ht="25" x14ac:dyDescent="0.25">
      <c r="A2" s="131"/>
      <c r="B2" s="31" t="str">
        <f>Newcastle!B30</f>
        <v>tonnes/ha</v>
      </c>
      <c r="C2" s="31" t="str">
        <f>Newcastle!C30</f>
        <v>kg/ha</v>
      </c>
      <c r="D2" s="31" t="str">
        <f>Newcastle!D30</f>
        <v>P2O5 
kg/ha</v>
      </c>
      <c r="E2" s="31" t="str">
        <f>Newcastle!E30</f>
        <v>K2O 
kg/ha</v>
      </c>
      <c r="F2" s="31" t="str">
        <f>Newcastle!F30</f>
        <v>MgO 
kg/ha</v>
      </c>
      <c r="G2" s="31" t="str">
        <f>Newcastle!G30</f>
        <v>kg/ha</v>
      </c>
      <c r="H2" s="31" t="str">
        <f>Newcastle!H30</f>
        <v>kg/ha</v>
      </c>
      <c r="I2" s="31" t="str">
        <f>Newcastle!I30</f>
        <v>kg/ha</v>
      </c>
      <c r="J2" s="31" t="str">
        <f>Newcastle!J30</f>
        <v>kg/ha</v>
      </c>
      <c r="K2" s="31" t="str">
        <f>Newcastle!K30</f>
        <v>kg/ha</v>
      </c>
      <c r="L2" s="31" t="str">
        <f>Newcastle!L30</f>
        <v>kg/ha</v>
      </c>
      <c r="M2" s="31" t="str">
        <f>Newcastle!M30</f>
        <v>kg/ha</v>
      </c>
      <c r="N2" s="31" t="str">
        <f>Newcastle!N30</f>
        <v>kg/ha</v>
      </c>
      <c r="O2" s="31" t="str">
        <f>Newcastle!O30</f>
        <v>kg/ha</v>
      </c>
      <c r="P2" s="31" t="str">
        <f>Newcastle!P30</f>
        <v>kg/ha</v>
      </c>
      <c r="Q2" s="31" t="str">
        <f>Newcastle!Q30</f>
        <v>kg/ha</v>
      </c>
      <c r="R2" s="31" t="str">
        <f>Newcastle!R30</f>
        <v>kg/ha</v>
      </c>
      <c r="S2" s="31" t="str">
        <f>Newcastle!S30</f>
        <v>kg/ha</v>
      </c>
      <c r="T2" s="31" t="str">
        <f>Newcastle!T30</f>
        <v>kg/ha</v>
      </c>
      <c r="U2" s="31" t="str">
        <f>Newcastle!U30</f>
        <v>kg/ha</v>
      </c>
    </row>
    <row r="3" spans="1:21" x14ac:dyDescent="0.25">
      <c r="A3" s="29">
        <v>1</v>
      </c>
      <c r="B3" s="26">
        <f>Newcastle!B31</f>
        <v>106</v>
      </c>
      <c r="C3" s="26">
        <f>Newcastle!C31</f>
        <v>137.80000000000001</v>
      </c>
      <c r="D3" s="26">
        <f>Newcastle!D31</f>
        <v>79.896333999999996</v>
      </c>
      <c r="E3" s="26">
        <f>Newcastle!E31</f>
        <v>28.994710000000005</v>
      </c>
      <c r="F3" s="26">
        <f>Newcastle!F31</f>
        <v>5.6415108000000007</v>
      </c>
      <c r="G3" s="26">
        <f>Newcastle!G31</f>
        <v>2.4380000000000002E-2</v>
      </c>
      <c r="H3" s="26">
        <f>Newcastle!H31</f>
        <v>0.23214000000000001</v>
      </c>
      <c r="I3" s="26">
        <f>Newcastle!I31</f>
        <v>5.2999999999999999E-2</v>
      </c>
      <c r="J3" s="26">
        <f>Newcastle!J31</f>
        <v>1.0600000000000002E-3</v>
      </c>
      <c r="K3" s="26">
        <f>Newcastle!K31</f>
        <v>5.3E-3</v>
      </c>
      <c r="L3" s="26">
        <f>Newcastle!L31</f>
        <v>2.12E-2</v>
      </c>
      <c r="M3" s="26">
        <f>Newcastle!M31</f>
        <v>3.7100000000000001E-2</v>
      </c>
      <c r="N3" s="26">
        <f>Newcastle!N31</f>
        <v>0</v>
      </c>
      <c r="O3" s="26">
        <f>Newcastle!O31</f>
        <v>0</v>
      </c>
      <c r="P3" s="26">
        <f>Newcastle!P31</f>
        <v>31.27</v>
      </c>
      <c r="Q3" s="26">
        <f>Newcastle!Q31</f>
        <v>24.591999999999999</v>
      </c>
      <c r="R3" s="26">
        <f>Newcastle!R31</f>
        <v>0</v>
      </c>
      <c r="S3" s="26">
        <f>Newcastle!S31</f>
        <v>0</v>
      </c>
      <c r="T3" s="26">
        <f>Newcastle!T31</f>
        <v>0</v>
      </c>
      <c r="U3" s="26">
        <f>Newcastle!U31</f>
        <v>0</v>
      </c>
    </row>
    <row r="4" spans="1:21" x14ac:dyDescent="0.25">
      <c r="A4" s="29">
        <v>2</v>
      </c>
      <c r="B4" s="26">
        <f>Volvac!B31</f>
        <v>81</v>
      </c>
      <c r="C4" s="26">
        <f>Volvac!C31</f>
        <v>178.20000000000002</v>
      </c>
      <c r="D4" s="26">
        <f>Volvac!D31</f>
        <v>79.981100999999995</v>
      </c>
      <c r="E4" s="26">
        <f>Volvac!E31</f>
        <v>20.204235000000004</v>
      </c>
      <c r="F4" s="26">
        <f>Volvac!F31</f>
        <v>3.7737738000000007</v>
      </c>
      <c r="G4" s="26">
        <f>Volvac!G31</f>
        <v>1.6199999999999999E-2</v>
      </c>
      <c r="H4" s="26">
        <f>Volvac!H31</f>
        <v>8.7480000000000002E-2</v>
      </c>
      <c r="I4" s="26">
        <f>Volvac!I31</f>
        <v>4.0500000000000001E-2</v>
      </c>
      <c r="J4" s="26">
        <f>Volvac!J31</f>
        <v>8.1000000000000006E-4</v>
      </c>
      <c r="K4" s="26">
        <f>Volvac!K31</f>
        <v>4.0499999999999998E-3</v>
      </c>
      <c r="L4" s="26">
        <f>Volvac!L31</f>
        <v>1.6199999999999999E-2</v>
      </c>
      <c r="M4" s="26">
        <f>Volvac!M31</f>
        <v>1.6199999999999999E-2</v>
      </c>
      <c r="N4" s="26">
        <f>Volvac!N31</f>
        <v>0</v>
      </c>
      <c r="O4" s="26">
        <f>Volvac!O31</f>
        <v>0</v>
      </c>
      <c r="P4" s="26">
        <f>Volvac!P31</f>
        <v>24.056999999999999</v>
      </c>
      <c r="Q4" s="26">
        <f>Volvac!Q31</f>
        <v>18.326249999999998</v>
      </c>
      <c r="R4" s="26">
        <f>Volvac!R31</f>
        <v>0</v>
      </c>
      <c r="S4" s="26">
        <f>Volvac!S31</f>
        <v>0</v>
      </c>
      <c r="T4" s="26">
        <f>Volvac!T31</f>
        <v>0</v>
      </c>
      <c r="U4" s="26">
        <f>Volvac!U31</f>
        <v>0</v>
      </c>
    </row>
    <row r="5" spans="1:21" x14ac:dyDescent="0.25">
      <c r="A5" s="29">
        <v>3</v>
      </c>
      <c r="B5" s="26">
        <f>'First Milk'!B31</f>
        <v>250</v>
      </c>
      <c r="C5" s="26">
        <f>'First Milk'!C31</f>
        <v>25</v>
      </c>
      <c r="D5" s="26">
        <f>'First Milk'!D31</f>
        <v>8.934899999999999</v>
      </c>
      <c r="E5" s="26">
        <f>'First Milk'!E31</f>
        <v>31.631250000000001</v>
      </c>
      <c r="F5" s="26">
        <f>'First Milk'!F31</f>
        <v>4.1449999999999996</v>
      </c>
      <c r="G5" s="26">
        <f>'First Milk'!G31</f>
        <v>0.05</v>
      </c>
      <c r="H5" s="26">
        <f>'First Milk'!H31</f>
        <v>0.5</v>
      </c>
      <c r="I5" s="26">
        <f>'First Milk'!I31</f>
        <v>0.125</v>
      </c>
      <c r="J5" s="26">
        <f>'First Milk'!J31</f>
        <v>2.5000000000000001E-3</v>
      </c>
      <c r="K5" s="26">
        <f>'First Milk'!K31</f>
        <v>1.2500000000000001E-2</v>
      </c>
      <c r="L5" s="26">
        <f>'First Milk'!L31</f>
        <v>0.05</v>
      </c>
      <c r="M5" s="26">
        <f>'First Milk'!M31</f>
        <v>0.05</v>
      </c>
      <c r="N5" s="26">
        <f>'First Milk'!N31</f>
        <v>0</v>
      </c>
      <c r="O5" s="26">
        <f>'First Milk'!O31</f>
        <v>0</v>
      </c>
      <c r="P5" s="26">
        <f>'First Milk'!P31</f>
        <v>171</v>
      </c>
      <c r="Q5" s="26">
        <f>'First Milk'!Q31</f>
        <v>17.875</v>
      </c>
      <c r="R5" s="26">
        <f>'First Milk'!R31</f>
        <v>0</v>
      </c>
      <c r="S5" s="26">
        <f>'First Milk'!S31</f>
        <v>0</v>
      </c>
      <c r="T5" s="26">
        <f>'First Milk'!T31</f>
        <v>0</v>
      </c>
      <c r="U5" s="26">
        <f>'First Milk'!U31</f>
        <v>0</v>
      </c>
    </row>
    <row r="6" spans="1:21" x14ac:dyDescent="0.25">
      <c r="A6" s="29">
        <v>4</v>
      </c>
      <c r="B6" s="26">
        <f>Penderyn!B31</f>
        <v>100</v>
      </c>
      <c r="C6" s="26">
        <f>Penderyn!C31</f>
        <v>100</v>
      </c>
      <c r="D6" s="26">
        <f>Penderyn!D31</f>
        <v>74.915700000000001</v>
      </c>
      <c r="E6" s="26">
        <f>Penderyn!E31</f>
        <v>86.519000000000005</v>
      </c>
      <c r="F6" s="26">
        <f>Penderyn!F31</f>
        <v>21.2224</v>
      </c>
      <c r="G6" s="26">
        <f>Penderyn!G31</f>
        <v>0.05</v>
      </c>
      <c r="H6" s="26">
        <f>Penderyn!H31</f>
        <v>0.1</v>
      </c>
      <c r="I6" s="26">
        <f>Penderyn!I31</f>
        <v>0.05</v>
      </c>
      <c r="J6" s="26">
        <f>Penderyn!J31</f>
        <v>1E-3</v>
      </c>
      <c r="K6" s="26">
        <f>Penderyn!K31</f>
        <v>5.0000000000000001E-3</v>
      </c>
      <c r="L6" s="26">
        <f>Penderyn!L31</f>
        <v>0.02</v>
      </c>
      <c r="M6" s="26">
        <f>Penderyn!M31</f>
        <v>0.02</v>
      </c>
      <c r="N6" s="26">
        <f>Penderyn!N31</f>
        <v>0</v>
      </c>
      <c r="O6" s="26">
        <f>Penderyn!O31</f>
        <v>0</v>
      </c>
      <c r="P6" s="26">
        <f>Penderyn!P31</f>
        <v>30.8</v>
      </c>
      <c r="Q6" s="26">
        <f>Penderyn!Q31</f>
        <v>28.5</v>
      </c>
      <c r="R6" s="26">
        <f>Penderyn!R31</f>
        <v>0</v>
      </c>
      <c r="S6" s="26">
        <f>Penderyn!S31</f>
        <v>0</v>
      </c>
      <c r="T6" s="26">
        <f>Penderyn!T31</f>
        <v>0</v>
      </c>
      <c r="U6" s="26">
        <f>Penderyn!U31</f>
        <v>0</v>
      </c>
    </row>
    <row r="7" spans="1:21" x14ac:dyDescent="0.25">
      <c r="A7" s="29">
        <v>5</v>
      </c>
      <c r="B7" s="26">
        <f>'Strata Florida '!B31</f>
        <v>0</v>
      </c>
      <c r="C7" s="26">
        <f>'Strata Florida '!C31</f>
        <v>0</v>
      </c>
      <c r="D7" s="26">
        <f>'Strata Florida '!D31</f>
        <v>0</v>
      </c>
      <c r="E7" s="26">
        <f>'Strata Florida '!E31</f>
        <v>0</v>
      </c>
      <c r="F7" s="26">
        <f>'Strata Florida '!F31</f>
        <v>0</v>
      </c>
      <c r="G7" s="26">
        <f>'Strata Florida '!G31</f>
        <v>0</v>
      </c>
      <c r="H7" s="26">
        <f>'Strata Florida '!H31</f>
        <v>0</v>
      </c>
      <c r="I7" s="26">
        <f>'Strata Florida '!I31</f>
        <v>0</v>
      </c>
      <c r="J7" s="26">
        <f>'Strata Florida '!J31</f>
        <v>0</v>
      </c>
      <c r="K7" s="26">
        <f>'Strata Florida '!K31</f>
        <v>0</v>
      </c>
      <c r="L7" s="26">
        <f>'Strata Florida '!L31</f>
        <v>0</v>
      </c>
      <c r="M7" s="26">
        <f>'Strata Florida '!M31</f>
        <v>0</v>
      </c>
      <c r="N7" s="26">
        <f>'Strata Florida '!N31</f>
        <v>0</v>
      </c>
      <c r="O7" s="26">
        <f>'Strata Florida '!O31</f>
        <v>0</v>
      </c>
      <c r="P7" s="26">
        <f>'Strata Florida '!P31</f>
        <v>0</v>
      </c>
      <c r="Q7" s="26">
        <f>'Strata Florida '!Q31</f>
        <v>0</v>
      </c>
      <c r="R7" s="26">
        <f>'Strata Florida '!R31</f>
        <v>0</v>
      </c>
      <c r="S7" s="26">
        <f>'Strata Florida '!S31</f>
        <v>0</v>
      </c>
      <c r="T7" s="26">
        <f>'Strata Florida '!T31</f>
        <v>0</v>
      </c>
      <c r="U7" s="26">
        <f>'Strata Florida '!U31</f>
        <v>0</v>
      </c>
    </row>
    <row r="8" spans="1:21" x14ac:dyDescent="0.25">
      <c r="A8" s="29">
        <v>6</v>
      </c>
      <c r="B8" s="26">
        <f>'Bontgoch '!B31</f>
        <v>109</v>
      </c>
      <c r="C8" s="26">
        <f>'Bontgoch '!C31</f>
        <v>98.623199999999997</v>
      </c>
      <c r="D8" s="26">
        <f>'Bontgoch '!D31</f>
        <v>79.950035039999989</v>
      </c>
      <c r="E8" s="26">
        <f>'Bontgoch '!E31</f>
        <v>0.9941503049999999</v>
      </c>
      <c r="F8" s="26">
        <f>'Bontgoch '!F31</f>
        <v>5.4715392719999993</v>
      </c>
      <c r="G8" s="26">
        <f>'Bontgoch '!G31</f>
        <v>7.3967399999999989E-2</v>
      </c>
      <c r="H8" s="26">
        <f>'Bontgoch '!H31</f>
        <v>1.100028</v>
      </c>
      <c r="I8" s="26">
        <f>'Bontgoch '!I31</f>
        <v>0.15552119999999997</v>
      </c>
      <c r="J8" s="26">
        <f>'Bontgoch '!J31</f>
        <v>6.6381000000000003E-4</v>
      </c>
      <c r="K8" s="26">
        <f>'Bontgoch '!K31</f>
        <v>2.7500699999999999E-3</v>
      </c>
      <c r="L8" s="26">
        <f>'Bontgoch '!L31</f>
        <v>9.0088499999999988E-2</v>
      </c>
      <c r="M8" s="26">
        <f>'Bontgoch '!M31</f>
        <v>0</v>
      </c>
      <c r="N8" s="26">
        <f>'Bontgoch '!N31</f>
        <v>25.035119999999999</v>
      </c>
      <c r="O8" s="26">
        <f>'Bontgoch '!O31</f>
        <v>1308.6539999999998</v>
      </c>
      <c r="P8" s="26">
        <f>'Bontgoch '!P31</f>
        <v>0</v>
      </c>
      <c r="Q8" s="26">
        <f>'Bontgoch '!Q31</f>
        <v>27.737774999999996</v>
      </c>
      <c r="R8" s="26">
        <f>'Bontgoch '!R31</f>
        <v>0</v>
      </c>
      <c r="S8" s="26">
        <f>'Bontgoch '!S31</f>
        <v>9.1036799999999987E-2</v>
      </c>
      <c r="T8" s="26">
        <f>'Bontgoch '!T31</f>
        <v>0</v>
      </c>
      <c r="U8" s="26">
        <f>'Bontgoch '!U31</f>
        <v>0</v>
      </c>
    </row>
    <row r="9" spans="1:21" x14ac:dyDescent="0.25">
      <c r="A9" s="29">
        <v>7</v>
      </c>
      <c r="B9" s="26">
        <f>Llyswen!B31</f>
        <v>0</v>
      </c>
      <c r="C9" s="26">
        <f>Llyswen!C31</f>
        <v>0</v>
      </c>
      <c r="D9" s="26">
        <f>Llyswen!D31</f>
        <v>0</v>
      </c>
      <c r="E9" s="26">
        <f>Llyswen!E31</f>
        <v>0</v>
      </c>
      <c r="F9" s="26">
        <f>Llyswen!F31</f>
        <v>0</v>
      </c>
      <c r="G9" s="26">
        <f>Llyswen!G31</f>
        <v>0</v>
      </c>
      <c r="H9" s="26">
        <f>Llyswen!H31</f>
        <v>0</v>
      </c>
      <c r="I9" s="26">
        <f>Llyswen!I31</f>
        <v>0</v>
      </c>
      <c r="J9" s="26">
        <f>Llyswen!J31</f>
        <v>0</v>
      </c>
      <c r="K9" s="26">
        <f>Llyswen!K31</f>
        <v>0</v>
      </c>
      <c r="L9" s="26">
        <f>Llyswen!L31</f>
        <v>0</v>
      </c>
      <c r="M9" s="26">
        <f>Llyswen!M31</f>
        <v>0</v>
      </c>
      <c r="N9" s="26">
        <f>Llyswen!N31</f>
        <v>0</v>
      </c>
      <c r="O9" s="26">
        <f>Llyswen!O31</f>
        <v>0</v>
      </c>
      <c r="P9" s="26">
        <f>Llyswen!P31</f>
        <v>0</v>
      </c>
      <c r="Q9" s="26">
        <f>Llyswen!Q31</f>
        <v>0</v>
      </c>
      <c r="R9" s="26">
        <f>Llyswen!R31</f>
        <v>0</v>
      </c>
      <c r="S9" s="26">
        <f>Llyswen!S31</f>
        <v>0</v>
      </c>
      <c r="T9" s="26">
        <f>Llyswen!T31</f>
        <v>0</v>
      </c>
      <c r="U9" s="26">
        <f>Llyswen!U31</f>
        <v>0</v>
      </c>
    </row>
    <row r="10" spans="1:21" x14ac:dyDescent="0.25">
      <c r="A10" s="29">
        <v>8</v>
      </c>
      <c r="B10" s="26">
        <f>Talybont!B31</f>
        <v>0</v>
      </c>
      <c r="C10" s="26">
        <f>Talybont!C31</f>
        <v>0</v>
      </c>
      <c r="D10" s="26">
        <f>Talybont!D31</f>
        <v>0</v>
      </c>
      <c r="E10" s="26">
        <f>Talybont!E31</f>
        <v>0</v>
      </c>
      <c r="F10" s="26">
        <f>Talybont!F31</f>
        <v>0</v>
      </c>
      <c r="G10" s="26">
        <f>Talybont!G31</f>
        <v>0</v>
      </c>
      <c r="H10" s="26">
        <f>Talybont!H31</f>
        <v>0</v>
      </c>
      <c r="I10" s="26">
        <f>Talybont!I31</f>
        <v>0</v>
      </c>
      <c r="J10" s="26">
        <f>Talybont!J31</f>
        <v>0</v>
      </c>
      <c r="K10" s="26">
        <f>Talybont!K31</f>
        <v>0</v>
      </c>
      <c r="L10" s="26">
        <f>Talybont!L31</f>
        <v>0</v>
      </c>
      <c r="M10" s="26">
        <f>Talybont!M31</f>
        <v>0</v>
      </c>
      <c r="N10" s="26">
        <f>Talybont!N31</f>
        <v>0</v>
      </c>
      <c r="O10" s="26">
        <f>Talybont!O31</f>
        <v>0</v>
      </c>
      <c r="P10" s="26">
        <f>Talybont!P31</f>
        <v>0</v>
      </c>
      <c r="Q10" s="26">
        <f>Talybont!Q31</f>
        <v>0</v>
      </c>
      <c r="R10" s="26">
        <f>Talybont!R31</f>
        <v>0</v>
      </c>
      <c r="S10" s="26">
        <f>Talybont!S31</f>
        <v>0</v>
      </c>
      <c r="T10" s="26">
        <f>Talybont!T31</f>
        <v>0</v>
      </c>
      <c r="U10" s="26">
        <f>Talybont!U31</f>
        <v>0</v>
      </c>
    </row>
    <row r="11" spans="1:21" x14ac:dyDescent="0.25">
      <c r="A11" s="29">
        <v>9</v>
      </c>
      <c r="B11" s="26">
        <f>'Bolton Hill'!B31</f>
        <v>0</v>
      </c>
      <c r="C11" s="26">
        <f>'Bolton Hill'!C31</f>
        <v>0</v>
      </c>
      <c r="D11" s="26">
        <f>'Bolton Hill'!D31</f>
        <v>0</v>
      </c>
      <c r="E11" s="26">
        <f>'Bolton Hill'!E31</f>
        <v>0</v>
      </c>
      <c r="F11" s="26">
        <f>'Bolton Hill'!F31</f>
        <v>0</v>
      </c>
      <c r="G11" s="26">
        <f>'Bolton Hill'!G31</f>
        <v>0</v>
      </c>
      <c r="H11" s="26">
        <f>'Bolton Hill'!H31</f>
        <v>0</v>
      </c>
      <c r="I11" s="26">
        <f>'Bolton Hill'!I31</f>
        <v>0</v>
      </c>
      <c r="J11" s="26">
        <f>'Bolton Hill'!J31</f>
        <v>0</v>
      </c>
      <c r="K11" s="26">
        <f>'Bolton Hill'!K31</f>
        <v>0</v>
      </c>
      <c r="L11" s="26">
        <f>'Bolton Hill'!L31</f>
        <v>0</v>
      </c>
      <c r="M11" s="26">
        <f>'Bolton Hill'!M31</f>
        <v>0</v>
      </c>
      <c r="N11" s="26">
        <f>'Bolton Hill'!N31</f>
        <v>0</v>
      </c>
      <c r="O11" s="26">
        <f>'Bolton Hill'!O31</f>
        <v>0</v>
      </c>
      <c r="P11" s="26">
        <f>'Bolton Hill'!P31</f>
        <v>0</v>
      </c>
      <c r="Q11" s="26">
        <f>'Bolton Hill'!Q31</f>
        <v>0</v>
      </c>
      <c r="R11" s="26">
        <f>'Bolton Hill'!R31</f>
        <v>0</v>
      </c>
      <c r="S11" s="26">
        <f>'Bolton Hill'!S31</f>
        <v>0</v>
      </c>
      <c r="T11" s="26">
        <f>'Bolton Hill'!T31</f>
        <v>0</v>
      </c>
      <c r="U11" s="26">
        <f>'Bolton Hill'!U31</f>
        <v>0</v>
      </c>
    </row>
    <row r="12" spans="1:21" x14ac:dyDescent="0.25">
      <c r="A12" s="29">
        <v>10</v>
      </c>
      <c r="B12" s="26" t="e">
        <f>#REF!</f>
        <v>#REF!</v>
      </c>
      <c r="C12" s="26" t="e">
        <f>#REF!</f>
        <v>#REF!</v>
      </c>
      <c r="D12" s="26" t="e">
        <f>#REF!</f>
        <v>#REF!</v>
      </c>
      <c r="E12" s="26" t="e">
        <f>#REF!</f>
        <v>#REF!</v>
      </c>
      <c r="F12" s="26" t="e">
        <f>#REF!</f>
        <v>#REF!</v>
      </c>
      <c r="G12" s="26" t="e">
        <f>#REF!</f>
        <v>#REF!</v>
      </c>
      <c r="H12" s="26" t="e">
        <f>#REF!</f>
        <v>#REF!</v>
      </c>
      <c r="I12" s="26" t="e">
        <f>#REF!</f>
        <v>#REF!</v>
      </c>
      <c r="J12" s="26" t="e">
        <f>#REF!</f>
        <v>#REF!</v>
      </c>
      <c r="K12" s="26" t="e">
        <f>#REF!</f>
        <v>#REF!</v>
      </c>
      <c r="L12" s="26" t="e">
        <f>#REF!</f>
        <v>#REF!</v>
      </c>
      <c r="M12" s="26" t="e">
        <f>#REF!</f>
        <v>#REF!</v>
      </c>
      <c r="N12" s="26" t="e">
        <f>#REF!</f>
        <v>#REF!</v>
      </c>
      <c r="O12" s="26" t="e">
        <f>#REF!</f>
        <v>#REF!</v>
      </c>
      <c r="P12" s="26" t="e">
        <f>#REF!</f>
        <v>#REF!</v>
      </c>
      <c r="Q12" s="26" t="e">
        <f>#REF!</f>
        <v>#REF!</v>
      </c>
      <c r="R12" s="26" t="e">
        <f>#REF!</f>
        <v>#REF!</v>
      </c>
      <c r="S12" s="26" t="e">
        <f>#REF!</f>
        <v>#REF!</v>
      </c>
      <c r="T12" s="26" t="e">
        <f>#REF!</f>
        <v>#REF!</v>
      </c>
      <c r="U12" s="26" t="e">
        <f>#REF!</f>
        <v>#REF!</v>
      </c>
    </row>
    <row r="13" spans="1:21" s="72" customFormat="1" ht="15.5" x14ac:dyDescent="0.35">
      <c r="A13" s="70" t="s">
        <v>85</v>
      </c>
      <c r="B13" s="71" t="e">
        <f>SUM(B3:B12)</f>
        <v>#REF!</v>
      </c>
      <c r="C13" s="71" t="e">
        <f t="shared" ref="C13:U13" si="0">SUM(C3:C12)</f>
        <v>#REF!</v>
      </c>
      <c r="D13" s="71" t="e">
        <f t="shared" si="0"/>
        <v>#REF!</v>
      </c>
      <c r="E13" s="71" t="e">
        <f t="shared" si="0"/>
        <v>#REF!</v>
      </c>
      <c r="F13" s="71" t="e">
        <f t="shared" si="0"/>
        <v>#REF!</v>
      </c>
      <c r="G13" s="71" t="e">
        <f t="shared" si="0"/>
        <v>#REF!</v>
      </c>
      <c r="H13" s="71" t="e">
        <f t="shared" si="0"/>
        <v>#REF!</v>
      </c>
      <c r="I13" s="71" t="e">
        <f t="shared" si="0"/>
        <v>#REF!</v>
      </c>
      <c r="J13" s="71" t="e">
        <f t="shared" si="0"/>
        <v>#REF!</v>
      </c>
      <c r="K13" s="71" t="e">
        <f t="shared" si="0"/>
        <v>#REF!</v>
      </c>
      <c r="L13" s="71" t="e">
        <f t="shared" si="0"/>
        <v>#REF!</v>
      </c>
      <c r="M13" s="71" t="e">
        <f t="shared" si="0"/>
        <v>#REF!</v>
      </c>
      <c r="N13" s="71" t="e">
        <f t="shared" si="0"/>
        <v>#REF!</v>
      </c>
      <c r="O13" s="71" t="e">
        <f t="shared" si="0"/>
        <v>#REF!</v>
      </c>
      <c r="P13" s="71" t="e">
        <f t="shared" si="0"/>
        <v>#REF!</v>
      </c>
      <c r="Q13" s="71" t="e">
        <f t="shared" si="0"/>
        <v>#REF!</v>
      </c>
      <c r="R13" s="71" t="e">
        <f t="shared" si="0"/>
        <v>#REF!</v>
      </c>
      <c r="S13" s="71" t="e">
        <f t="shared" si="0"/>
        <v>#REF!</v>
      </c>
      <c r="T13" s="71" t="e">
        <f t="shared" si="0"/>
        <v>#REF!</v>
      </c>
      <c r="U13" s="71" t="e">
        <f t="shared" si="0"/>
        <v>#REF!</v>
      </c>
    </row>
  </sheetData>
  <mergeCells count="1">
    <mergeCell ref="A1:A2"/>
  </mergeCells>
  <pageMargins left="0.7" right="0.7" top="0.75" bottom="0.75" header="0.3" footer="0.3"/>
  <pageSetup paperSize="9" orientation="portrait"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14"/>
    <col min="3" max="3" width="11" style="14" customWidth="1"/>
    <col min="4" max="4" width="9.1796875" style="14"/>
    <col min="5" max="5" width="9.7265625" style="14" customWidth="1"/>
    <col min="6" max="14" width="9.1796875" style="14"/>
    <col min="15" max="15" width="9.7265625" style="14" bestFit="1" customWidth="1"/>
    <col min="16" max="20" width="9.1796875" style="14"/>
    <col min="21" max="21" width="10" style="14" bestFit="1" customWidth="1"/>
    <col min="22" max="16384" width="9.1796875" style="14"/>
  </cols>
  <sheetData>
    <row r="1" spans="1:22" s="73" customFormat="1" ht="37.5" x14ac:dyDescent="0.35">
      <c r="A1" s="132" t="s">
        <v>84</v>
      </c>
      <c r="B1" s="27" t="s">
        <v>152</v>
      </c>
      <c r="C1" s="28" t="str">
        <f>Newcastle!B29</f>
        <v>Application Rate</v>
      </c>
      <c r="D1" s="28" t="str">
        <f>Newcastle!C29</f>
        <v>Nitrogen Addition</v>
      </c>
      <c r="E1" s="28" t="str">
        <f>Newcastle!D29</f>
        <v>Phosphate Addition</v>
      </c>
      <c r="F1" s="28" t="str">
        <f>Newcastle!E29</f>
        <v>Potash  Addition</v>
      </c>
      <c r="G1" s="28" t="str">
        <f>Newcastle!F29</f>
        <v>Mg Oxide Addition</v>
      </c>
      <c r="H1" s="28" t="str">
        <f>Newcastle!G29</f>
        <v>Copper Addition</v>
      </c>
      <c r="I1" s="28" t="str">
        <f>Newcastle!H29</f>
        <v>Zinc Addition</v>
      </c>
      <c r="J1" s="28" t="str">
        <f>Newcastle!I29</f>
        <v>Lead Addition</v>
      </c>
      <c r="K1" s="28" t="str">
        <f>Newcastle!J29</f>
        <v>Cadmium Addition</v>
      </c>
      <c r="L1" s="28" t="str">
        <f>Newcastle!K29</f>
        <v>Mercury Addition</v>
      </c>
      <c r="M1" s="28" t="str">
        <f>Newcastle!L29</f>
        <v>Nickel Addition</v>
      </c>
      <c r="N1" s="28" t="str">
        <f>Newcastle!M29</f>
        <v>Chromium Addition</v>
      </c>
      <c r="O1" s="28" t="str">
        <f>Newcastle!N29</f>
        <v>Aluminium Addition</v>
      </c>
      <c r="P1" s="28" t="str">
        <f>Newcastle!O29</f>
        <v>Iron Addition</v>
      </c>
      <c r="Q1" s="28" t="str">
        <f>Newcastle!P29</f>
        <v xml:space="preserve">Sodium Addition                 </v>
      </c>
      <c r="R1" s="28" t="str">
        <f>Newcastle!Q29</f>
        <v>SO3  Addition                             kg/ha</v>
      </c>
      <c r="S1" s="28" t="str">
        <f>Newcastle!R29</f>
        <v xml:space="preserve">Selenium Addition </v>
      </c>
      <c r="T1" s="28" t="str">
        <f>Newcastle!S29</f>
        <v xml:space="preserve">Arsenic  Addition  </v>
      </c>
      <c r="U1" s="28" t="str">
        <f>Newcastle!T29</f>
        <v xml:space="preserve">Molybdenum Addition  </v>
      </c>
      <c r="V1" s="28" t="str">
        <f>Newcastle!U29</f>
        <v xml:space="preserve">Fluoride Addition </v>
      </c>
    </row>
    <row r="2" spans="1:22" s="73" customFormat="1" ht="25" x14ac:dyDescent="0.35">
      <c r="A2" s="132"/>
      <c r="B2" s="25" t="s">
        <v>46</v>
      </c>
      <c r="C2" s="28" t="str">
        <f>Newcastle!B30</f>
        <v>tonnes/ha</v>
      </c>
      <c r="D2" s="28" t="str">
        <f>Newcastle!C30</f>
        <v>kg/ha</v>
      </c>
      <c r="E2" s="28" t="str">
        <f>Newcastle!D30</f>
        <v>P2O5 
kg/ha</v>
      </c>
      <c r="F2" s="28" t="str">
        <f>Newcastle!E30</f>
        <v>K2O 
kg/ha</v>
      </c>
      <c r="G2" s="28" t="str">
        <f>Newcastle!F30</f>
        <v>MgO 
kg/ha</v>
      </c>
      <c r="H2" s="28" t="str">
        <f>Newcastle!G30</f>
        <v>kg/ha</v>
      </c>
      <c r="I2" s="28" t="str">
        <f>Newcastle!H30</f>
        <v>kg/ha</v>
      </c>
      <c r="J2" s="28" t="str">
        <f>Newcastle!I30</f>
        <v>kg/ha</v>
      </c>
      <c r="K2" s="28" t="str">
        <f>Newcastle!J30</f>
        <v>kg/ha</v>
      </c>
      <c r="L2" s="28" t="str">
        <f>Newcastle!K30</f>
        <v>kg/ha</v>
      </c>
      <c r="M2" s="28" t="str">
        <f>Newcastle!L30</f>
        <v>kg/ha</v>
      </c>
      <c r="N2" s="28" t="str">
        <f>Newcastle!M30</f>
        <v>kg/ha</v>
      </c>
      <c r="O2" s="28" t="str">
        <f>Newcastle!N30</f>
        <v>kg/ha</v>
      </c>
      <c r="P2" s="28" t="str">
        <f>Newcastle!O30</f>
        <v>kg/ha</v>
      </c>
      <c r="Q2" s="28" t="str">
        <f>Newcastle!P30</f>
        <v>kg/ha</v>
      </c>
      <c r="R2" s="28" t="str">
        <f>Newcastle!Q30</f>
        <v>kg/ha</v>
      </c>
      <c r="S2" s="28" t="str">
        <f>Newcastle!R30</f>
        <v>kg/ha</v>
      </c>
      <c r="T2" s="28" t="str">
        <f>Newcastle!S30</f>
        <v>kg/ha</v>
      </c>
      <c r="U2" s="28" t="str">
        <f>Newcastle!T30</f>
        <v>kg/ha</v>
      </c>
      <c r="V2" s="28" t="str">
        <f>Newcastle!U30</f>
        <v>kg/ha</v>
      </c>
    </row>
    <row r="3" spans="1:22" x14ac:dyDescent="0.25">
      <c r="A3" s="29">
        <v>1</v>
      </c>
      <c r="B3" s="81"/>
      <c r="C3" s="26">
        <f>Newcastle!B31</f>
        <v>106</v>
      </c>
      <c r="D3" s="26">
        <f>Newcastle!C31</f>
        <v>137.80000000000001</v>
      </c>
      <c r="E3" s="26">
        <f>Newcastle!D31</f>
        <v>79.896333999999996</v>
      </c>
      <c r="F3" s="26">
        <f>Newcastle!E31</f>
        <v>28.994710000000005</v>
      </c>
      <c r="G3" s="26">
        <f>Newcastle!F31</f>
        <v>5.6415108000000007</v>
      </c>
      <c r="H3" s="26">
        <f>Newcastle!G31</f>
        <v>2.4380000000000002E-2</v>
      </c>
      <c r="I3" s="26">
        <f>Newcastle!H31</f>
        <v>0.23214000000000001</v>
      </c>
      <c r="J3" s="26">
        <f>Newcastle!I31</f>
        <v>5.2999999999999999E-2</v>
      </c>
      <c r="K3" s="26">
        <f>Newcastle!J31</f>
        <v>1.0600000000000002E-3</v>
      </c>
      <c r="L3" s="26">
        <f>Newcastle!K31</f>
        <v>5.3E-3</v>
      </c>
      <c r="M3" s="26">
        <f>Newcastle!L31</f>
        <v>2.12E-2</v>
      </c>
      <c r="N3" s="26">
        <f>Newcastle!M31</f>
        <v>3.7100000000000001E-2</v>
      </c>
      <c r="O3" s="26">
        <f>Newcastle!N31</f>
        <v>0</v>
      </c>
      <c r="P3" s="26">
        <f>Newcastle!O31</f>
        <v>0</v>
      </c>
      <c r="Q3" s="26">
        <f>Newcastle!P31</f>
        <v>31.27</v>
      </c>
      <c r="R3" s="26">
        <f>Newcastle!Q31</f>
        <v>24.591999999999999</v>
      </c>
      <c r="S3" s="26">
        <f>Newcastle!R31</f>
        <v>0</v>
      </c>
      <c r="T3" s="26">
        <f>Newcastle!S31</f>
        <v>0</v>
      </c>
      <c r="U3" s="26">
        <f>Newcastle!T31</f>
        <v>0</v>
      </c>
      <c r="V3" s="26">
        <f>Newcastle!U31</f>
        <v>0</v>
      </c>
    </row>
    <row r="4" spans="1:22" x14ac:dyDescent="0.25">
      <c r="A4" s="29">
        <v>2</v>
      </c>
      <c r="B4" s="81"/>
      <c r="C4" s="26">
        <f>Volvac!B31</f>
        <v>81</v>
      </c>
      <c r="D4" s="26">
        <f>Volvac!C31</f>
        <v>178.20000000000002</v>
      </c>
      <c r="E4" s="26">
        <f>Volvac!D31</f>
        <v>79.981100999999995</v>
      </c>
      <c r="F4" s="26">
        <f>Volvac!E31</f>
        <v>20.204235000000004</v>
      </c>
      <c r="G4" s="26">
        <f>Volvac!F31</f>
        <v>3.7737738000000007</v>
      </c>
      <c r="H4" s="26">
        <f>Volvac!G31</f>
        <v>1.6199999999999999E-2</v>
      </c>
      <c r="I4" s="26">
        <f>Volvac!H31</f>
        <v>8.7480000000000002E-2</v>
      </c>
      <c r="J4" s="26">
        <f>Volvac!I31</f>
        <v>4.0500000000000001E-2</v>
      </c>
      <c r="K4" s="26">
        <f>Volvac!J31</f>
        <v>8.1000000000000006E-4</v>
      </c>
      <c r="L4" s="26">
        <f>Volvac!K31</f>
        <v>4.0499999999999998E-3</v>
      </c>
      <c r="M4" s="26">
        <f>Volvac!L31</f>
        <v>1.6199999999999999E-2</v>
      </c>
      <c r="N4" s="26">
        <f>Volvac!M31</f>
        <v>1.6199999999999999E-2</v>
      </c>
      <c r="O4" s="26">
        <f>Volvac!N31</f>
        <v>0</v>
      </c>
      <c r="P4" s="26">
        <f>Volvac!O31</f>
        <v>0</v>
      </c>
      <c r="Q4" s="26">
        <f>Volvac!P31</f>
        <v>24.056999999999999</v>
      </c>
      <c r="R4" s="26">
        <f>Volvac!Q31</f>
        <v>18.326249999999998</v>
      </c>
      <c r="S4" s="26">
        <f>Volvac!R31</f>
        <v>0</v>
      </c>
      <c r="T4" s="26">
        <f>Volvac!S31</f>
        <v>0</v>
      </c>
      <c r="U4" s="26">
        <f>Volvac!T31</f>
        <v>0</v>
      </c>
      <c r="V4" s="26">
        <f>Volvac!U31</f>
        <v>0</v>
      </c>
    </row>
    <row r="5" spans="1:22" x14ac:dyDescent="0.25">
      <c r="A5" s="29">
        <v>3</v>
      </c>
      <c r="B5" s="81"/>
      <c r="C5" s="26">
        <f>'First Milk'!B31</f>
        <v>250</v>
      </c>
      <c r="D5" s="26">
        <f>'First Milk'!C31</f>
        <v>25</v>
      </c>
      <c r="E5" s="26">
        <f>'First Milk'!D31</f>
        <v>8.934899999999999</v>
      </c>
      <c r="F5" s="26">
        <f>'First Milk'!E31</f>
        <v>31.631250000000001</v>
      </c>
      <c r="G5" s="26">
        <f>'First Milk'!F31</f>
        <v>4.1449999999999996</v>
      </c>
      <c r="H5" s="26">
        <f>'First Milk'!G31</f>
        <v>0.05</v>
      </c>
      <c r="I5" s="26">
        <f>'First Milk'!H31</f>
        <v>0.5</v>
      </c>
      <c r="J5" s="26">
        <f>'First Milk'!I31</f>
        <v>0.125</v>
      </c>
      <c r="K5" s="26">
        <f>'First Milk'!J31</f>
        <v>2.5000000000000001E-3</v>
      </c>
      <c r="L5" s="26">
        <f>'First Milk'!K31</f>
        <v>1.2500000000000001E-2</v>
      </c>
      <c r="M5" s="26">
        <f>'First Milk'!L31</f>
        <v>0.05</v>
      </c>
      <c r="N5" s="26">
        <f>'First Milk'!M31</f>
        <v>0.05</v>
      </c>
      <c r="O5" s="26">
        <f>'First Milk'!N31</f>
        <v>0</v>
      </c>
      <c r="P5" s="26">
        <f>'First Milk'!O31</f>
        <v>0</v>
      </c>
      <c r="Q5" s="26">
        <f>'First Milk'!P31</f>
        <v>171</v>
      </c>
      <c r="R5" s="26">
        <f>'First Milk'!Q31</f>
        <v>17.875</v>
      </c>
      <c r="S5" s="26">
        <f>'First Milk'!R31</f>
        <v>0</v>
      </c>
      <c r="T5" s="26">
        <f>'First Milk'!S31</f>
        <v>0</v>
      </c>
      <c r="U5" s="26">
        <f>'First Milk'!T31</f>
        <v>0</v>
      </c>
      <c r="V5" s="26">
        <f>'First Milk'!U31</f>
        <v>0</v>
      </c>
    </row>
    <row r="6" spans="1:22" x14ac:dyDescent="0.25">
      <c r="A6" s="29">
        <v>4</v>
      </c>
      <c r="B6" s="81"/>
      <c r="C6" s="26">
        <f>Penderyn!B31</f>
        <v>100</v>
      </c>
      <c r="D6" s="26">
        <f>Penderyn!C31</f>
        <v>100</v>
      </c>
      <c r="E6" s="26">
        <f>Penderyn!D31</f>
        <v>74.915700000000001</v>
      </c>
      <c r="F6" s="26">
        <f>Penderyn!E31</f>
        <v>86.519000000000005</v>
      </c>
      <c r="G6" s="26">
        <f>Penderyn!F31</f>
        <v>21.2224</v>
      </c>
      <c r="H6" s="26">
        <f>Penderyn!G31</f>
        <v>0.05</v>
      </c>
      <c r="I6" s="26">
        <f>Penderyn!H31</f>
        <v>0.1</v>
      </c>
      <c r="J6" s="26">
        <f>Penderyn!I31</f>
        <v>0.05</v>
      </c>
      <c r="K6" s="26">
        <f>Penderyn!J31</f>
        <v>1E-3</v>
      </c>
      <c r="L6" s="26">
        <f>Penderyn!K31</f>
        <v>5.0000000000000001E-3</v>
      </c>
      <c r="M6" s="26">
        <f>Penderyn!L31</f>
        <v>0.02</v>
      </c>
      <c r="N6" s="26">
        <f>Penderyn!M31</f>
        <v>0.02</v>
      </c>
      <c r="O6" s="26">
        <f>Penderyn!N31</f>
        <v>0</v>
      </c>
      <c r="P6" s="26">
        <f>Penderyn!O31</f>
        <v>0</v>
      </c>
      <c r="Q6" s="26">
        <f>Penderyn!P31</f>
        <v>30.8</v>
      </c>
      <c r="R6" s="26">
        <f>Penderyn!Q31</f>
        <v>28.5</v>
      </c>
      <c r="S6" s="26">
        <f>Penderyn!R31</f>
        <v>0</v>
      </c>
      <c r="T6" s="26">
        <f>Penderyn!S31</f>
        <v>0</v>
      </c>
      <c r="U6" s="26">
        <f>Penderyn!T31</f>
        <v>0</v>
      </c>
      <c r="V6" s="26">
        <f>Penderyn!U31</f>
        <v>0</v>
      </c>
    </row>
    <row r="7" spans="1:22" x14ac:dyDescent="0.25">
      <c r="A7" s="29">
        <v>5</v>
      </c>
      <c r="B7" s="81"/>
      <c r="C7" s="26">
        <f>'Strata Florida '!B31</f>
        <v>0</v>
      </c>
      <c r="D7" s="26">
        <f>'Strata Florida '!C31</f>
        <v>0</v>
      </c>
      <c r="E7" s="26">
        <f>'Strata Florida '!D31</f>
        <v>0</v>
      </c>
      <c r="F7" s="26">
        <f>'Strata Florida '!E31</f>
        <v>0</v>
      </c>
      <c r="G7" s="26">
        <f>'Strata Florida '!F31</f>
        <v>0</v>
      </c>
      <c r="H7" s="26">
        <f>'Strata Florida '!G31</f>
        <v>0</v>
      </c>
      <c r="I7" s="26">
        <f>'Strata Florida '!H31</f>
        <v>0</v>
      </c>
      <c r="J7" s="26">
        <f>'Strata Florida '!I31</f>
        <v>0</v>
      </c>
      <c r="K7" s="26">
        <f>'Strata Florida '!J31</f>
        <v>0</v>
      </c>
      <c r="L7" s="26">
        <f>'Strata Florida '!K31</f>
        <v>0</v>
      </c>
      <c r="M7" s="26">
        <f>'Strata Florida '!L31</f>
        <v>0</v>
      </c>
      <c r="N7" s="26">
        <f>'Strata Florida '!M31</f>
        <v>0</v>
      </c>
      <c r="O7" s="26">
        <f>'Strata Florida '!N31</f>
        <v>0</v>
      </c>
      <c r="P7" s="26">
        <f>'Strata Florida '!O31</f>
        <v>0</v>
      </c>
      <c r="Q7" s="26">
        <f>'Strata Florida '!P31</f>
        <v>0</v>
      </c>
      <c r="R7" s="26">
        <f>'Strata Florida '!Q31</f>
        <v>0</v>
      </c>
      <c r="S7" s="26">
        <f>'Strata Florida '!R31</f>
        <v>0</v>
      </c>
      <c r="T7" s="26">
        <f>'Strata Florida '!S31</f>
        <v>0</v>
      </c>
      <c r="U7" s="26">
        <f>'Strata Florida '!T31</f>
        <v>0</v>
      </c>
      <c r="V7" s="26">
        <f>'Strata Florida '!U31</f>
        <v>0</v>
      </c>
    </row>
    <row r="8" spans="1:22" x14ac:dyDescent="0.25">
      <c r="A8" s="29">
        <v>6</v>
      </c>
      <c r="B8" s="81"/>
      <c r="C8" s="26">
        <f>'Bontgoch '!B31</f>
        <v>109</v>
      </c>
      <c r="D8" s="26">
        <f>'Bontgoch '!C31</f>
        <v>98.623199999999997</v>
      </c>
      <c r="E8" s="26">
        <f>'Bontgoch '!D31</f>
        <v>79.950035039999989</v>
      </c>
      <c r="F8" s="26">
        <f>'Bontgoch '!E31</f>
        <v>0.9941503049999999</v>
      </c>
      <c r="G8" s="26">
        <f>'Bontgoch '!F31</f>
        <v>5.4715392719999993</v>
      </c>
      <c r="H8" s="26">
        <f>'Bontgoch '!G31</f>
        <v>7.3967399999999989E-2</v>
      </c>
      <c r="I8" s="26">
        <f>'Bontgoch '!H31</f>
        <v>1.100028</v>
      </c>
      <c r="J8" s="26">
        <f>'Bontgoch '!I31</f>
        <v>0.15552119999999997</v>
      </c>
      <c r="K8" s="26">
        <f>'Bontgoch '!J31</f>
        <v>6.6381000000000003E-4</v>
      </c>
      <c r="L8" s="26">
        <f>'Bontgoch '!K31</f>
        <v>2.7500699999999999E-3</v>
      </c>
      <c r="M8" s="26">
        <f>'Bontgoch '!L31</f>
        <v>9.0088499999999988E-2</v>
      </c>
      <c r="N8" s="26">
        <f>'Bontgoch '!M31</f>
        <v>0</v>
      </c>
      <c r="O8" s="26">
        <f>'Bontgoch '!N31</f>
        <v>25.035119999999999</v>
      </c>
      <c r="P8" s="26">
        <f>'Bontgoch '!O31</f>
        <v>1308.6539999999998</v>
      </c>
      <c r="Q8" s="26">
        <f>'Bontgoch '!P31</f>
        <v>0</v>
      </c>
      <c r="R8" s="26">
        <f>'Bontgoch '!Q31</f>
        <v>27.737774999999996</v>
      </c>
      <c r="S8" s="26">
        <f>'Bontgoch '!R31</f>
        <v>0</v>
      </c>
      <c r="T8" s="26">
        <f>'Bontgoch '!S31</f>
        <v>9.1036799999999987E-2</v>
      </c>
      <c r="U8" s="26">
        <f>'Bontgoch '!T31</f>
        <v>0</v>
      </c>
      <c r="V8" s="26">
        <f>'Bontgoch '!U31</f>
        <v>0</v>
      </c>
    </row>
    <row r="9" spans="1:22" x14ac:dyDescent="0.25">
      <c r="A9" s="29">
        <v>7</v>
      </c>
      <c r="B9" s="81"/>
      <c r="C9" s="26">
        <f>Llyswen!B31</f>
        <v>0</v>
      </c>
      <c r="D9" s="26">
        <f>Llyswen!C31</f>
        <v>0</v>
      </c>
      <c r="E9" s="26">
        <f>Llyswen!D31</f>
        <v>0</v>
      </c>
      <c r="F9" s="26">
        <f>Llyswen!E31</f>
        <v>0</v>
      </c>
      <c r="G9" s="26">
        <f>Llyswen!F31</f>
        <v>0</v>
      </c>
      <c r="H9" s="26">
        <f>Llyswen!G31</f>
        <v>0</v>
      </c>
      <c r="I9" s="26">
        <f>Llyswen!H31</f>
        <v>0</v>
      </c>
      <c r="J9" s="26">
        <f>Llyswen!I31</f>
        <v>0</v>
      </c>
      <c r="K9" s="26">
        <f>Llyswen!J31</f>
        <v>0</v>
      </c>
      <c r="L9" s="26">
        <f>Llyswen!K31</f>
        <v>0</v>
      </c>
      <c r="M9" s="26">
        <f>Llyswen!L31</f>
        <v>0</v>
      </c>
      <c r="N9" s="26">
        <f>Llyswen!M31</f>
        <v>0</v>
      </c>
      <c r="O9" s="26">
        <f>Llyswen!N31</f>
        <v>0</v>
      </c>
      <c r="P9" s="26">
        <f>Llyswen!O31</f>
        <v>0</v>
      </c>
      <c r="Q9" s="26">
        <f>Llyswen!P31</f>
        <v>0</v>
      </c>
      <c r="R9" s="26">
        <f>Llyswen!Q31</f>
        <v>0</v>
      </c>
      <c r="S9" s="26">
        <f>Llyswen!R31</f>
        <v>0</v>
      </c>
      <c r="T9" s="26">
        <f>Llyswen!S31</f>
        <v>0</v>
      </c>
      <c r="U9" s="26">
        <f>Llyswen!T31</f>
        <v>0</v>
      </c>
      <c r="V9" s="26">
        <f>Llyswen!U31</f>
        <v>0</v>
      </c>
    </row>
    <row r="10" spans="1:22" x14ac:dyDescent="0.25">
      <c r="A10" s="29">
        <v>8</v>
      </c>
      <c r="B10" s="81"/>
      <c r="C10" s="26">
        <f>Talybont!B31</f>
        <v>0</v>
      </c>
      <c r="D10" s="26">
        <f>Talybont!C31</f>
        <v>0</v>
      </c>
      <c r="E10" s="26">
        <f>Talybont!D31</f>
        <v>0</v>
      </c>
      <c r="F10" s="26">
        <f>Talybont!E31</f>
        <v>0</v>
      </c>
      <c r="G10" s="26">
        <f>Talybont!F31</f>
        <v>0</v>
      </c>
      <c r="H10" s="26">
        <f>Talybont!G31</f>
        <v>0</v>
      </c>
      <c r="I10" s="26">
        <f>Talybont!H31</f>
        <v>0</v>
      </c>
      <c r="J10" s="26">
        <f>Talybont!I31</f>
        <v>0</v>
      </c>
      <c r="K10" s="26">
        <f>Talybont!J31</f>
        <v>0</v>
      </c>
      <c r="L10" s="26">
        <f>Talybont!K31</f>
        <v>0</v>
      </c>
      <c r="M10" s="26">
        <f>Talybont!L31</f>
        <v>0</v>
      </c>
      <c r="N10" s="26">
        <f>Talybont!M31</f>
        <v>0</v>
      </c>
      <c r="O10" s="26">
        <f>Talybont!N31</f>
        <v>0</v>
      </c>
      <c r="P10" s="26">
        <f>Talybont!O31</f>
        <v>0</v>
      </c>
      <c r="Q10" s="26">
        <f>Talybont!P31</f>
        <v>0</v>
      </c>
      <c r="R10" s="26">
        <f>Talybont!Q31</f>
        <v>0</v>
      </c>
      <c r="S10" s="26">
        <f>Talybont!R31</f>
        <v>0</v>
      </c>
      <c r="T10" s="26">
        <f>Talybont!S31</f>
        <v>0</v>
      </c>
      <c r="U10" s="26">
        <f>Talybont!T31</f>
        <v>0</v>
      </c>
      <c r="V10" s="26">
        <f>Talybont!U31</f>
        <v>0</v>
      </c>
    </row>
    <row r="11" spans="1:22" x14ac:dyDescent="0.25">
      <c r="A11" s="29">
        <v>9</v>
      </c>
      <c r="B11" s="81"/>
      <c r="C11" s="26">
        <f>'Bolton Hill'!B31</f>
        <v>0</v>
      </c>
      <c r="D11" s="26">
        <f>'Bolton Hill'!C31</f>
        <v>0</v>
      </c>
      <c r="E11" s="26">
        <f>'Bolton Hill'!D31</f>
        <v>0</v>
      </c>
      <c r="F11" s="26">
        <f>'Bolton Hill'!E31</f>
        <v>0</v>
      </c>
      <c r="G11" s="26">
        <f>'Bolton Hill'!F31</f>
        <v>0</v>
      </c>
      <c r="H11" s="26">
        <f>'Bolton Hill'!G31</f>
        <v>0</v>
      </c>
      <c r="I11" s="26">
        <f>'Bolton Hill'!H31</f>
        <v>0</v>
      </c>
      <c r="J11" s="26">
        <f>'Bolton Hill'!I31</f>
        <v>0</v>
      </c>
      <c r="K11" s="26">
        <f>'Bolton Hill'!J31</f>
        <v>0</v>
      </c>
      <c r="L11" s="26">
        <f>'Bolton Hill'!K31</f>
        <v>0</v>
      </c>
      <c r="M11" s="26">
        <f>'Bolton Hill'!L31</f>
        <v>0</v>
      </c>
      <c r="N11" s="26">
        <f>'Bolton Hill'!M31</f>
        <v>0</v>
      </c>
      <c r="O11" s="26">
        <f>'Bolton Hill'!N31</f>
        <v>0</v>
      </c>
      <c r="P11" s="26">
        <f>'Bolton Hill'!O31</f>
        <v>0</v>
      </c>
      <c r="Q11" s="26">
        <f>'Bolton Hill'!P31</f>
        <v>0</v>
      </c>
      <c r="R11" s="26">
        <f>'Bolton Hill'!Q31</f>
        <v>0</v>
      </c>
      <c r="S11" s="26">
        <f>'Bolton Hill'!R31</f>
        <v>0</v>
      </c>
      <c r="T11" s="26">
        <f>'Bolton Hill'!S31</f>
        <v>0</v>
      </c>
      <c r="U11" s="26">
        <f>'Bolton Hill'!T31</f>
        <v>0</v>
      </c>
      <c r="V11" s="26">
        <f>'Bolton Hill'!U31</f>
        <v>0</v>
      </c>
    </row>
    <row r="12" spans="1:22" x14ac:dyDescent="0.25">
      <c r="A12" s="29">
        <v>10</v>
      </c>
      <c r="B12" s="81"/>
      <c r="C12" s="26" t="e">
        <f>#REF!</f>
        <v>#REF!</v>
      </c>
      <c r="D12" s="26" t="e">
        <f>#REF!</f>
        <v>#REF!</v>
      </c>
      <c r="E12" s="26" t="e">
        <f>#REF!</f>
        <v>#REF!</v>
      </c>
      <c r="F12" s="26" t="e">
        <f>#REF!</f>
        <v>#REF!</v>
      </c>
      <c r="G12" s="26" t="e">
        <f>#REF!</f>
        <v>#REF!</v>
      </c>
      <c r="H12" s="26" t="e">
        <f>#REF!</f>
        <v>#REF!</v>
      </c>
      <c r="I12" s="26" t="e">
        <f>#REF!</f>
        <v>#REF!</v>
      </c>
      <c r="J12" s="26" t="e">
        <f>#REF!</f>
        <v>#REF!</v>
      </c>
      <c r="K12" s="26" t="e">
        <f>#REF!</f>
        <v>#REF!</v>
      </c>
      <c r="L12" s="26" t="e">
        <f>#REF!</f>
        <v>#REF!</v>
      </c>
      <c r="M12" s="26" t="e">
        <f>#REF!</f>
        <v>#REF!</v>
      </c>
      <c r="N12" s="26" t="e">
        <f>#REF!</f>
        <v>#REF!</v>
      </c>
      <c r="O12" s="26" t="e">
        <f>#REF!</f>
        <v>#REF!</v>
      </c>
      <c r="P12" s="26" t="e">
        <f>#REF!</f>
        <v>#REF!</v>
      </c>
      <c r="Q12" s="26" t="e">
        <f>#REF!</f>
        <v>#REF!</v>
      </c>
      <c r="R12" s="26" t="e">
        <f>#REF!</f>
        <v>#REF!</v>
      </c>
      <c r="S12" s="26" t="e">
        <f>#REF!</f>
        <v>#REF!</v>
      </c>
      <c r="T12" s="26" t="e">
        <f>#REF!</f>
        <v>#REF!</v>
      </c>
      <c r="U12" s="26" t="e">
        <f>#REF!</f>
        <v>#REF!</v>
      </c>
      <c r="V12" s="26" t="e">
        <f>#REF!</f>
        <v>#REF!</v>
      </c>
    </row>
    <row r="13" spans="1:22" x14ac:dyDescent="0.25">
      <c r="B13" s="30"/>
      <c r="C13" s="15"/>
      <c r="D13" s="15"/>
      <c r="E13" s="15"/>
      <c r="F13" s="15"/>
      <c r="G13" s="15"/>
      <c r="H13" s="15"/>
      <c r="I13" s="15"/>
      <c r="J13" s="15"/>
      <c r="K13" s="15"/>
      <c r="L13" s="15"/>
      <c r="M13" s="15"/>
      <c r="N13" s="15"/>
      <c r="O13" s="15"/>
      <c r="P13" s="15"/>
      <c r="Q13" s="15"/>
      <c r="R13" s="15"/>
      <c r="S13" s="15"/>
      <c r="T13" s="15"/>
      <c r="U13" s="15"/>
      <c r="V13" s="15"/>
    </row>
    <row r="14" spans="1:22" x14ac:dyDescent="0.25">
      <c r="A14" s="74" t="s">
        <v>86</v>
      </c>
      <c r="C14" s="74"/>
      <c r="D14" s="74"/>
      <c r="E14" s="74"/>
      <c r="F14" s="74"/>
      <c r="G14" s="74"/>
      <c r="H14" s="74"/>
      <c r="I14" s="74"/>
      <c r="J14" s="74"/>
      <c r="K14" s="74"/>
      <c r="L14" s="74"/>
      <c r="M14" s="74"/>
      <c r="N14" s="74"/>
    </row>
    <row r="15" spans="1:22" ht="37.5" x14ac:dyDescent="0.25">
      <c r="A15" s="131" t="s">
        <v>84</v>
      </c>
      <c r="B15" s="28" t="s">
        <v>152</v>
      </c>
      <c r="C15" s="28">
        <f>Newcastle!B43</f>
        <v>0</v>
      </c>
      <c r="D15" s="31" t="str">
        <f t="shared" ref="D15:V15" si="0">D1</f>
        <v>Nitrogen Addition</v>
      </c>
      <c r="E15" s="31" t="str">
        <f t="shared" si="0"/>
        <v>Phosphate Addition</v>
      </c>
      <c r="F15" s="31" t="str">
        <f t="shared" si="0"/>
        <v>Potash  Addition</v>
      </c>
      <c r="G15" s="31" t="str">
        <f t="shared" si="0"/>
        <v>Mg Oxide Addition</v>
      </c>
      <c r="H15" s="31" t="str">
        <f t="shared" si="0"/>
        <v>Copper Addition</v>
      </c>
      <c r="I15" s="31" t="str">
        <f t="shared" si="0"/>
        <v>Zinc Addition</v>
      </c>
      <c r="J15" s="31" t="str">
        <f t="shared" si="0"/>
        <v>Lead Addition</v>
      </c>
      <c r="K15" s="31" t="str">
        <f t="shared" si="0"/>
        <v>Cadmium Addition</v>
      </c>
      <c r="L15" s="31" t="str">
        <f t="shared" si="0"/>
        <v>Mercury Addition</v>
      </c>
      <c r="M15" s="31" t="str">
        <f t="shared" si="0"/>
        <v>Nickel Addition</v>
      </c>
      <c r="N15" s="31" t="str">
        <f t="shared" si="0"/>
        <v>Chromium Addition</v>
      </c>
      <c r="O15" s="31" t="str">
        <f t="shared" si="0"/>
        <v>Aluminium Addition</v>
      </c>
      <c r="P15" s="31" t="str">
        <f t="shared" si="0"/>
        <v>Iron Addition</v>
      </c>
      <c r="Q15" s="31" t="str">
        <f t="shared" si="0"/>
        <v xml:space="preserve">Sodium Addition                 </v>
      </c>
      <c r="R15" s="31" t="str">
        <f t="shared" si="0"/>
        <v>SO3  Addition                             kg/ha</v>
      </c>
      <c r="S15" s="31" t="str">
        <f t="shared" si="0"/>
        <v xml:space="preserve">Selenium Addition </v>
      </c>
      <c r="T15" s="31" t="str">
        <f t="shared" si="0"/>
        <v xml:space="preserve">Arsenic  Addition  </v>
      </c>
      <c r="U15" s="31" t="str">
        <f t="shared" si="0"/>
        <v xml:space="preserve">Molybdenum Addition  </v>
      </c>
      <c r="V15" s="31" t="str">
        <f t="shared" si="0"/>
        <v xml:space="preserve">Fluoride Addition </v>
      </c>
    </row>
    <row r="16" spans="1:22" ht="25" x14ac:dyDescent="0.25">
      <c r="A16" s="131"/>
      <c r="B16" s="25" t="s">
        <v>46</v>
      </c>
      <c r="C16" s="28">
        <f>Newcastle!B44</f>
        <v>0</v>
      </c>
      <c r="D16" s="31" t="str">
        <f t="shared" ref="D16:V16" si="1">D2</f>
        <v>kg/ha</v>
      </c>
      <c r="E16" s="31" t="str">
        <f t="shared" si="1"/>
        <v>P2O5 
kg/ha</v>
      </c>
      <c r="F16" s="31" t="str">
        <f t="shared" si="1"/>
        <v>K2O 
kg/ha</v>
      </c>
      <c r="G16" s="31" t="str">
        <f t="shared" si="1"/>
        <v>MgO 
kg/ha</v>
      </c>
      <c r="H16" s="31" t="str">
        <f t="shared" si="1"/>
        <v>kg/ha</v>
      </c>
      <c r="I16" s="31" t="str">
        <f t="shared" si="1"/>
        <v>kg/ha</v>
      </c>
      <c r="J16" s="31" t="str">
        <f t="shared" si="1"/>
        <v>kg/ha</v>
      </c>
      <c r="K16" s="31" t="str">
        <f t="shared" si="1"/>
        <v>kg/ha</v>
      </c>
      <c r="L16" s="31" t="str">
        <f t="shared" si="1"/>
        <v>kg/ha</v>
      </c>
      <c r="M16" s="31" t="str">
        <f t="shared" si="1"/>
        <v>kg/ha</v>
      </c>
      <c r="N16" s="31" t="str">
        <f t="shared" si="1"/>
        <v>kg/ha</v>
      </c>
      <c r="O16" s="31" t="str">
        <f t="shared" si="1"/>
        <v>kg/ha</v>
      </c>
      <c r="P16" s="31" t="str">
        <f t="shared" si="1"/>
        <v>kg/ha</v>
      </c>
      <c r="Q16" s="31" t="str">
        <f t="shared" si="1"/>
        <v>kg/ha</v>
      </c>
      <c r="R16" s="31" t="str">
        <f t="shared" si="1"/>
        <v>kg/ha</v>
      </c>
      <c r="S16" s="31" t="str">
        <f t="shared" si="1"/>
        <v>kg/ha</v>
      </c>
      <c r="T16" s="31" t="str">
        <f t="shared" si="1"/>
        <v>kg/ha</v>
      </c>
      <c r="U16" s="31" t="str">
        <f t="shared" si="1"/>
        <v>kg/ha</v>
      </c>
      <c r="V16" s="31" t="str">
        <f t="shared" si="1"/>
        <v>kg/ha</v>
      </c>
    </row>
    <row r="17" spans="1:22" x14ac:dyDescent="0.25">
      <c r="A17" s="75">
        <v>1</v>
      </c>
      <c r="B17" s="76">
        <f>B3</f>
        <v>0</v>
      </c>
      <c r="C17" s="77">
        <f>C3</f>
        <v>106</v>
      </c>
      <c r="D17" s="78">
        <f>D3*$B$3</f>
        <v>0</v>
      </c>
      <c r="E17" s="78">
        <f t="shared" ref="E17:V17" si="2">E3*$B$3</f>
        <v>0</v>
      </c>
      <c r="F17" s="78">
        <f t="shared" si="2"/>
        <v>0</v>
      </c>
      <c r="G17" s="78">
        <f t="shared" si="2"/>
        <v>0</v>
      </c>
      <c r="H17" s="78">
        <f t="shared" si="2"/>
        <v>0</v>
      </c>
      <c r="I17" s="78">
        <f t="shared" si="2"/>
        <v>0</v>
      </c>
      <c r="J17" s="78">
        <f t="shared" si="2"/>
        <v>0</v>
      </c>
      <c r="K17" s="78">
        <f t="shared" si="2"/>
        <v>0</v>
      </c>
      <c r="L17" s="78">
        <f t="shared" si="2"/>
        <v>0</v>
      </c>
      <c r="M17" s="78">
        <f t="shared" si="2"/>
        <v>0</v>
      </c>
      <c r="N17" s="78">
        <f t="shared" si="2"/>
        <v>0</v>
      </c>
      <c r="O17" s="78">
        <f t="shared" si="2"/>
        <v>0</v>
      </c>
      <c r="P17" s="78">
        <f t="shared" si="2"/>
        <v>0</v>
      </c>
      <c r="Q17" s="78">
        <f t="shared" si="2"/>
        <v>0</v>
      </c>
      <c r="R17" s="78">
        <f t="shared" si="2"/>
        <v>0</v>
      </c>
      <c r="S17" s="78">
        <f t="shared" si="2"/>
        <v>0</v>
      </c>
      <c r="T17" s="78">
        <f t="shared" si="2"/>
        <v>0</v>
      </c>
      <c r="U17" s="78">
        <f t="shared" si="2"/>
        <v>0</v>
      </c>
      <c r="V17" s="78">
        <f t="shared" si="2"/>
        <v>0</v>
      </c>
    </row>
    <row r="18" spans="1:22" x14ac:dyDescent="0.25">
      <c r="A18" s="75">
        <v>2</v>
      </c>
      <c r="B18" s="76">
        <f t="shared" ref="B18:C18" si="3">B4</f>
        <v>0</v>
      </c>
      <c r="C18" s="77">
        <f t="shared" si="3"/>
        <v>81</v>
      </c>
      <c r="D18" s="78">
        <f>D4*$B$4</f>
        <v>0</v>
      </c>
      <c r="E18" s="78">
        <f t="shared" ref="E18:V18" si="4">E4*$B$4</f>
        <v>0</v>
      </c>
      <c r="F18" s="78">
        <f t="shared" si="4"/>
        <v>0</v>
      </c>
      <c r="G18" s="78">
        <f t="shared" si="4"/>
        <v>0</v>
      </c>
      <c r="H18" s="78">
        <f t="shared" si="4"/>
        <v>0</v>
      </c>
      <c r="I18" s="78">
        <f t="shared" si="4"/>
        <v>0</v>
      </c>
      <c r="J18" s="78">
        <f t="shared" si="4"/>
        <v>0</v>
      </c>
      <c r="K18" s="78">
        <f t="shared" si="4"/>
        <v>0</v>
      </c>
      <c r="L18" s="78">
        <f t="shared" si="4"/>
        <v>0</v>
      </c>
      <c r="M18" s="78">
        <f t="shared" si="4"/>
        <v>0</v>
      </c>
      <c r="N18" s="78">
        <f t="shared" si="4"/>
        <v>0</v>
      </c>
      <c r="O18" s="78">
        <f t="shared" si="4"/>
        <v>0</v>
      </c>
      <c r="P18" s="78">
        <f t="shared" si="4"/>
        <v>0</v>
      </c>
      <c r="Q18" s="78">
        <f t="shared" si="4"/>
        <v>0</v>
      </c>
      <c r="R18" s="78">
        <f t="shared" si="4"/>
        <v>0</v>
      </c>
      <c r="S18" s="78">
        <f t="shared" si="4"/>
        <v>0</v>
      </c>
      <c r="T18" s="78">
        <f t="shared" si="4"/>
        <v>0</v>
      </c>
      <c r="U18" s="78">
        <f t="shared" si="4"/>
        <v>0</v>
      </c>
      <c r="V18" s="78">
        <f t="shared" si="4"/>
        <v>0</v>
      </c>
    </row>
    <row r="19" spans="1:22" x14ac:dyDescent="0.25">
      <c r="A19" s="75">
        <v>3</v>
      </c>
      <c r="B19" s="76">
        <f t="shared" ref="B19:C19" si="5">B5</f>
        <v>0</v>
      </c>
      <c r="C19" s="77">
        <f t="shared" si="5"/>
        <v>250</v>
      </c>
      <c r="D19" s="78">
        <f>D5*$B$5</f>
        <v>0</v>
      </c>
      <c r="E19" s="78">
        <f t="shared" ref="E19:V19" si="6">E5*$B$5</f>
        <v>0</v>
      </c>
      <c r="F19" s="78">
        <f t="shared" si="6"/>
        <v>0</v>
      </c>
      <c r="G19" s="78">
        <f t="shared" si="6"/>
        <v>0</v>
      </c>
      <c r="H19" s="78">
        <f t="shared" si="6"/>
        <v>0</v>
      </c>
      <c r="I19" s="78">
        <f t="shared" si="6"/>
        <v>0</v>
      </c>
      <c r="J19" s="78">
        <f t="shared" si="6"/>
        <v>0</v>
      </c>
      <c r="K19" s="78">
        <f t="shared" si="6"/>
        <v>0</v>
      </c>
      <c r="L19" s="78">
        <f t="shared" si="6"/>
        <v>0</v>
      </c>
      <c r="M19" s="78">
        <f t="shared" si="6"/>
        <v>0</v>
      </c>
      <c r="N19" s="78">
        <f t="shared" si="6"/>
        <v>0</v>
      </c>
      <c r="O19" s="78">
        <f t="shared" si="6"/>
        <v>0</v>
      </c>
      <c r="P19" s="78">
        <f t="shared" si="6"/>
        <v>0</v>
      </c>
      <c r="Q19" s="78">
        <f t="shared" si="6"/>
        <v>0</v>
      </c>
      <c r="R19" s="78">
        <f t="shared" si="6"/>
        <v>0</v>
      </c>
      <c r="S19" s="78">
        <f t="shared" si="6"/>
        <v>0</v>
      </c>
      <c r="T19" s="78">
        <f t="shared" si="6"/>
        <v>0</v>
      </c>
      <c r="U19" s="78">
        <f t="shared" si="6"/>
        <v>0</v>
      </c>
      <c r="V19" s="78">
        <f t="shared" si="6"/>
        <v>0</v>
      </c>
    </row>
    <row r="20" spans="1:22" x14ac:dyDescent="0.25">
      <c r="A20" s="75">
        <v>4</v>
      </c>
      <c r="B20" s="76">
        <f t="shared" ref="B20:C20" si="7">B6</f>
        <v>0</v>
      </c>
      <c r="C20" s="77">
        <f t="shared" si="7"/>
        <v>100</v>
      </c>
      <c r="D20" s="78">
        <f>D6*$B$6</f>
        <v>0</v>
      </c>
      <c r="E20" s="78">
        <f t="shared" ref="E20:V20" si="8">E6*$B$6</f>
        <v>0</v>
      </c>
      <c r="F20" s="78">
        <f t="shared" si="8"/>
        <v>0</v>
      </c>
      <c r="G20" s="78">
        <f t="shared" si="8"/>
        <v>0</v>
      </c>
      <c r="H20" s="78">
        <f t="shared" si="8"/>
        <v>0</v>
      </c>
      <c r="I20" s="78">
        <f t="shared" si="8"/>
        <v>0</v>
      </c>
      <c r="J20" s="78">
        <f t="shared" si="8"/>
        <v>0</v>
      </c>
      <c r="K20" s="78">
        <f t="shared" si="8"/>
        <v>0</v>
      </c>
      <c r="L20" s="78">
        <f t="shared" si="8"/>
        <v>0</v>
      </c>
      <c r="M20" s="78">
        <f t="shared" si="8"/>
        <v>0</v>
      </c>
      <c r="N20" s="78">
        <f t="shared" si="8"/>
        <v>0</v>
      </c>
      <c r="O20" s="78">
        <f t="shared" si="8"/>
        <v>0</v>
      </c>
      <c r="P20" s="78">
        <f t="shared" si="8"/>
        <v>0</v>
      </c>
      <c r="Q20" s="78">
        <f t="shared" si="8"/>
        <v>0</v>
      </c>
      <c r="R20" s="78">
        <f t="shared" si="8"/>
        <v>0</v>
      </c>
      <c r="S20" s="78">
        <f t="shared" si="8"/>
        <v>0</v>
      </c>
      <c r="T20" s="78">
        <f t="shared" si="8"/>
        <v>0</v>
      </c>
      <c r="U20" s="78">
        <f t="shared" si="8"/>
        <v>0</v>
      </c>
      <c r="V20" s="78">
        <f t="shared" si="8"/>
        <v>0</v>
      </c>
    </row>
    <row r="21" spans="1:22" x14ac:dyDescent="0.25">
      <c r="A21" s="75">
        <v>5</v>
      </c>
      <c r="B21" s="76">
        <f t="shared" ref="B21:C21" si="9">B7</f>
        <v>0</v>
      </c>
      <c r="C21" s="77">
        <f t="shared" si="9"/>
        <v>0</v>
      </c>
      <c r="D21" s="78">
        <f>D7*$B$7</f>
        <v>0</v>
      </c>
      <c r="E21" s="78">
        <f t="shared" ref="E21:V21" si="10">E7*$B$7</f>
        <v>0</v>
      </c>
      <c r="F21" s="78">
        <f t="shared" si="10"/>
        <v>0</v>
      </c>
      <c r="G21" s="78">
        <f t="shared" si="10"/>
        <v>0</v>
      </c>
      <c r="H21" s="78">
        <f t="shared" si="10"/>
        <v>0</v>
      </c>
      <c r="I21" s="78">
        <f t="shared" si="10"/>
        <v>0</v>
      </c>
      <c r="J21" s="78">
        <f t="shared" si="10"/>
        <v>0</v>
      </c>
      <c r="K21" s="78">
        <f t="shared" si="10"/>
        <v>0</v>
      </c>
      <c r="L21" s="78">
        <f t="shared" si="10"/>
        <v>0</v>
      </c>
      <c r="M21" s="78">
        <f t="shared" si="10"/>
        <v>0</v>
      </c>
      <c r="N21" s="78">
        <f t="shared" si="10"/>
        <v>0</v>
      </c>
      <c r="O21" s="78">
        <f t="shared" si="10"/>
        <v>0</v>
      </c>
      <c r="P21" s="78">
        <f t="shared" si="10"/>
        <v>0</v>
      </c>
      <c r="Q21" s="78">
        <f t="shared" si="10"/>
        <v>0</v>
      </c>
      <c r="R21" s="78">
        <f t="shared" si="10"/>
        <v>0</v>
      </c>
      <c r="S21" s="78">
        <f t="shared" si="10"/>
        <v>0</v>
      </c>
      <c r="T21" s="78">
        <f t="shared" si="10"/>
        <v>0</v>
      </c>
      <c r="U21" s="78">
        <f t="shared" si="10"/>
        <v>0</v>
      </c>
      <c r="V21" s="78">
        <f t="shared" si="10"/>
        <v>0</v>
      </c>
    </row>
    <row r="22" spans="1:22" x14ac:dyDescent="0.25">
      <c r="A22" s="75">
        <v>6</v>
      </c>
      <c r="B22" s="76">
        <f t="shared" ref="B22:C22" si="11">B8</f>
        <v>0</v>
      </c>
      <c r="C22" s="77">
        <f t="shared" si="11"/>
        <v>109</v>
      </c>
      <c r="D22" s="78">
        <f>D8*$B$8</f>
        <v>0</v>
      </c>
      <c r="E22" s="78">
        <f t="shared" ref="E22:V22" si="12">E8*$B$8</f>
        <v>0</v>
      </c>
      <c r="F22" s="78">
        <f t="shared" si="12"/>
        <v>0</v>
      </c>
      <c r="G22" s="78">
        <f t="shared" si="12"/>
        <v>0</v>
      </c>
      <c r="H22" s="78">
        <f t="shared" si="12"/>
        <v>0</v>
      </c>
      <c r="I22" s="78">
        <f t="shared" si="12"/>
        <v>0</v>
      </c>
      <c r="J22" s="78">
        <f t="shared" si="12"/>
        <v>0</v>
      </c>
      <c r="K22" s="78">
        <f t="shared" si="12"/>
        <v>0</v>
      </c>
      <c r="L22" s="78">
        <f t="shared" si="12"/>
        <v>0</v>
      </c>
      <c r="M22" s="78">
        <f t="shared" si="12"/>
        <v>0</v>
      </c>
      <c r="N22" s="78">
        <f t="shared" si="12"/>
        <v>0</v>
      </c>
      <c r="O22" s="78">
        <f t="shared" si="12"/>
        <v>0</v>
      </c>
      <c r="P22" s="78">
        <f t="shared" si="12"/>
        <v>0</v>
      </c>
      <c r="Q22" s="78">
        <f t="shared" si="12"/>
        <v>0</v>
      </c>
      <c r="R22" s="78">
        <f t="shared" si="12"/>
        <v>0</v>
      </c>
      <c r="S22" s="78">
        <f t="shared" si="12"/>
        <v>0</v>
      </c>
      <c r="T22" s="78">
        <f t="shared" si="12"/>
        <v>0</v>
      </c>
      <c r="U22" s="78">
        <f t="shared" si="12"/>
        <v>0</v>
      </c>
      <c r="V22" s="78">
        <f t="shared" si="12"/>
        <v>0</v>
      </c>
    </row>
    <row r="23" spans="1:22" x14ac:dyDescent="0.25">
      <c r="A23" s="75">
        <v>7</v>
      </c>
      <c r="B23" s="76">
        <f t="shared" ref="B23:C23" si="13">B9</f>
        <v>0</v>
      </c>
      <c r="C23" s="77">
        <f t="shared" si="13"/>
        <v>0</v>
      </c>
      <c r="D23" s="78">
        <f>D9*$B$9</f>
        <v>0</v>
      </c>
      <c r="E23" s="78">
        <f t="shared" ref="E23:V23" si="14">E9*$B$9</f>
        <v>0</v>
      </c>
      <c r="F23" s="78">
        <f t="shared" si="14"/>
        <v>0</v>
      </c>
      <c r="G23" s="78">
        <f t="shared" si="14"/>
        <v>0</v>
      </c>
      <c r="H23" s="78">
        <f t="shared" si="14"/>
        <v>0</v>
      </c>
      <c r="I23" s="78">
        <f t="shared" si="14"/>
        <v>0</v>
      </c>
      <c r="J23" s="78">
        <f t="shared" si="14"/>
        <v>0</v>
      </c>
      <c r="K23" s="78">
        <f t="shared" si="14"/>
        <v>0</v>
      </c>
      <c r="L23" s="78">
        <f t="shared" si="14"/>
        <v>0</v>
      </c>
      <c r="M23" s="78">
        <f t="shared" si="14"/>
        <v>0</v>
      </c>
      <c r="N23" s="78">
        <f t="shared" si="14"/>
        <v>0</v>
      </c>
      <c r="O23" s="78">
        <f t="shared" si="14"/>
        <v>0</v>
      </c>
      <c r="P23" s="78">
        <f t="shared" si="14"/>
        <v>0</v>
      </c>
      <c r="Q23" s="78">
        <f t="shared" si="14"/>
        <v>0</v>
      </c>
      <c r="R23" s="78">
        <f t="shared" si="14"/>
        <v>0</v>
      </c>
      <c r="S23" s="78">
        <f t="shared" si="14"/>
        <v>0</v>
      </c>
      <c r="T23" s="78">
        <f t="shared" si="14"/>
        <v>0</v>
      </c>
      <c r="U23" s="78">
        <f t="shared" si="14"/>
        <v>0</v>
      </c>
      <c r="V23" s="78">
        <f t="shared" si="14"/>
        <v>0</v>
      </c>
    </row>
    <row r="24" spans="1:22" x14ac:dyDescent="0.25">
      <c r="A24" s="75">
        <v>8</v>
      </c>
      <c r="B24" s="76">
        <f t="shared" ref="B24:C24" si="15">B10</f>
        <v>0</v>
      </c>
      <c r="C24" s="77">
        <f t="shared" si="15"/>
        <v>0</v>
      </c>
      <c r="D24" s="78">
        <f>D10*$B$10</f>
        <v>0</v>
      </c>
      <c r="E24" s="78">
        <f t="shared" ref="E24:V24" si="16">E10*$B$10</f>
        <v>0</v>
      </c>
      <c r="F24" s="78">
        <f t="shared" si="16"/>
        <v>0</v>
      </c>
      <c r="G24" s="78">
        <f t="shared" si="16"/>
        <v>0</v>
      </c>
      <c r="H24" s="78">
        <f t="shared" si="16"/>
        <v>0</v>
      </c>
      <c r="I24" s="78">
        <f t="shared" si="16"/>
        <v>0</v>
      </c>
      <c r="J24" s="78">
        <f t="shared" si="16"/>
        <v>0</v>
      </c>
      <c r="K24" s="78">
        <f t="shared" si="16"/>
        <v>0</v>
      </c>
      <c r="L24" s="78">
        <f t="shared" si="16"/>
        <v>0</v>
      </c>
      <c r="M24" s="78">
        <f t="shared" si="16"/>
        <v>0</v>
      </c>
      <c r="N24" s="78">
        <f t="shared" si="16"/>
        <v>0</v>
      </c>
      <c r="O24" s="78">
        <f t="shared" si="16"/>
        <v>0</v>
      </c>
      <c r="P24" s="78">
        <f t="shared" si="16"/>
        <v>0</v>
      </c>
      <c r="Q24" s="78">
        <f t="shared" si="16"/>
        <v>0</v>
      </c>
      <c r="R24" s="78">
        <f t="shared" si="16"/>
        <v>0</v>
      </c>
      <c r="S24" s="78">
        <f t="shared" si="16"/>
        <v>0</v>
      </c>
      <c r="T24" s="78">
        <f t="shared" si="16"/>
        <v>0</v>
      </c>
      <c r="U24" s="78">
        <f t="shared" si="16"/>
        <v>0</v>
      </c>
      <c r="V24" s="78">
        <f t="shared" si="16"/>
        <v>0</v>
      </c>
    </row>
    <row r="25" spans="1:22" x14ac:dyDescent="0.25">
      <c r="A25" s="75">
        <v>9</v>
      </c>
      <c r="B25" s="76">
        <f t="shared" ref="B25:C25" si="17">B11</f>
        <v>0</v>
      </c>
      <c r="C25" s="77">
        <f t="shared" si="17"/>
        <v>0</v>
      </c>
      <c r="D25" s="78">
        <f>D11*$B$11</f>
        <v>0</v>
      </c>
      <c r="E25" s="78">
        <f t="shared" ref="E25:V25" si="18">E11*$B$11</f>
        <v>0</v>
      </c>
      <c r="F25" s="78">
        <f t="shared" si="18"/>
        <v>0</v>
      </c>
      <c r="G25" s="78">
        <f t="shared" si="18"/>
        <v>0</v>
      </c>
      <c r="H25" s="78">
        <f t="shared" si="18"/>
        <v>0</v>
      </c>
      <c r="I25" s="78">
        <f t="shared" si="18"/>
        <v>0</v>
      </c>
      <c r="J25" s="78">
        <f t="shared" si="18"/>
        <v>0</v>
      </c>
      <c r="K25" s="78">
        <f t="shared" si="18"/>
        <v>0</v>
      </c>
      <c r="L25" s="78">
        <f t="shared" si="18"/>
        <v>0</v>
      </c>
      <c r="M25" s="78">
        <f t="shared" si="18"/>
        <v>0</v>
      </c>
      <c r="N25" s="78">
        <f t="shared" si="18"/>
        <v>0</v>
      </c>
      <c r="O25" s="78">
        <f t="shared" si="18"/>
        <v>0</v>
      </c>
      <c r="P25" s="78">
        <f t="shared" si="18"/>
        <v>0</v>
      </c>
      <c r="Q25" s="78">
        <f t="shared" si="18"/>
        <v>0</v>
      </c>
      <c r="R25" s="78">
        <f t="shared" si="18"/>
        <v>0</v>
      </c>
      <c r="S25" s="78">
        <f t="shared" si="18"/>
        <v>0</v>
      </c>
      <c r="T25" s="78">
        <f t="shared" si="18"/>
        <v>0</v>
      </c>
      <c r="U25" s="78">
        <f t="shared" si="18"/>
        <v>0</v>
      </c>
      <c r="V25" s="78">
        <f t="shared" si="18"/>
        <v>0</v>
      </c>
    </row>
    <row r="26" spans="1:22" x14ac:dyDescent="0.25">
      <c r="A26" s="75">
        <v>10</v>
      </c>
      <c r="B26" s="76">
        <f t="shared" ref="B26:C26" si="19">B12</f>
        <v>0</v>
      </c>
      <c r="C26" s="77" t="e">
        <f t="shared" si="19"/>
        <v>#REF!</v>
      </c>
      <c r="D26" s="78" t="e">
        <f>D12*$B$12</f>
        <v>#REF!</v>
      </c>
      <c r="E26" s="78" t="e">
        <f t="shared" ref="E26:V26" si="20">E12*$B$12</f>
        <v>#REF!</v>
      </c>
      <c r="F26" s="78" t="e">
        <f t="shared" si="20"/>
        <v>#REF!</v>
      </c>
      <c r="G26" s="78" t="e">
        <f t="shared" si="20"/>
        <v>#REF!</v>
      </c>
      <c r="H26" s="78" t="e">
        <f t="shared" si="20"/>
        <v>#REF!</v>
      </c>
      <c r="I26" s="78" t="e">
        <f t="shared" si="20"/>
        <v>#REF!</v>
      </c>
      <c r="J26" s="78" t="e">
        <f t="shared" si="20"/>
        <v>#REF!</v>
      </c>
      <c r="K26" s="78" t="e">
        <f t="shared" si="20"/>
        <v>#REF!</v>
      </c>
      <c r="L26" s="78" t="e">
        <f t="shared" si="20"/>
        <v>#REF!</v>
      </c>
      <c r="M26" s="78" t="e">
        <f t="shared" si="20"/>
        <v>#REF!</v>
      </c>
      <c r="N26" s="78" t="e">
        <f t="shared" si="20"/>
        <v>#REF!</v>
      </c>
      <c r="O26" s="78" t="e">
        <f t="shared" si="20"/>
        <v>#REF!</v>
      </c>
      <c r="P26" s="78" t="e">
        <f t="shared" si="20"/>
        <v>#REF!</v>
      </c>
      <c r="Q26" s="78" t="e">
        <f t="shared" si="20"/>
        <v>#REF!</v>
      </c>
      <c r="R26" s="78" t="e">
        <f t="shared" si="20"/>
        <v>#REF!</v>
      </c>
      <c r="S26" s="78" t="e">
        <f t="shared" si="20"/>
        <v>#REF!</v>
      </c>
      <c r="T26" s="78" t="e">
        <f t="shared" si="20"/>
        <v>#REF!</v>
      </c>
      <c r="U26" s="78" t="e">
        <f t="shared" si="20"/>
        <v>#REF!</v>
      </c>
      <c r="V26" s="78" t="e">
        <f t="shared" si="20"/>
        <v>#REF!</v>
      </c>
    </row>
    <row r="27" spans="1:22" s="80" customFormat="1" ht="15.5" x14ac:dyDescent="0.35">
      <c r="A27" s="133" t="s">
        <v>85</v>
      </c>
      <c r="B27" s="133"/>
      <c r="C27" s="133"/>
      <c r="D27" s="79" t="e">
        <f>SUM(D17:D26)</f>
        <v>#REF!</v>
      </c>
      <c r="E27" s="79" t="e">
        <f t="shared" ref="E27:V27" si="21">SUM(E17:E26)</f>
        <v>#REF!</v>
      </c>
      <c r="F27" s="79" t="e">
        <f t="shared" si="21"/>
        <v>#REF!</v>
      </c>
      <c r="G27" s="79" t="e">
        <f t="shared" si="21"/>
        <v>#REF!</v>
      </c>
      <c r="H27" s="79" t="e">
        <f t="shared" si="21"/>
        <v>#REF!</v>
      </c>
      <c r="I27" s="79" t="e">
        <f t="shared" si="21"/>
        <v>#REF!</v>
      </c>
      <c r="J27" s="79" t="e">
        <f t="shared" si="21"/>
        <v>#REF!</v>
      </c>
      <c r="K27" s="79" t="e">
        <f t="shared" si="21"/>
        <v>#REF!</v>
      </c>
      <c r="L27" s="79" t="e">
        <f t="shared" si="21"/>
        <v>#REF!</v>
      </c>
      <c r="M27" s="79" t="e">
        <f t="shared" si="21"/>
        <v>#REF!</v>
      </c>
      <c r="N27" s="79" t="e">
        <f t="shared" si="21"/>
        <v>#REF!</v>
      </c>
      <c r="O27" s="79" t="e">
        <f t="shared" si="21"/>
        <v>#REF!</v>
      </c>
      <c r="P27" s="79" t="e">
        <f t="shared" si="21"/>
        <v>#REF!</v>
      </c>
      <c r="Q27" s="79" t="e">
        <f t="shared" si="21"/>
        <v>#REF!</v>
      </c>
      <c r="R27" s="79" t="e">
        <f t="shared" si="21"/>
        <v>#REF!</v>
      </c>
      <c r="S27" s="79" t="e">
        <f t="shared" si="21"/>
        <v>#REF!</v>
      </c>
      <c r="T27" s="79" t="e">
        <f t="shared" si="21"/>
        <v>#REF!</v>
      </c>
      <c r="U27" s="79" t="e">
        <f t="shared" si="21"/>
        <v>#REF!</v>
      </c>
      <c r="V27" s="79" t="e">
        <f t="shared" si="21"/>
        <v>#REF!</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p:properties xmlns:p="http://schemas.microsoft.com/office/2006/metadata/properties" xmlns:xsi="http://www.w3.org/2001/XMLSchema-instance" xmlns:pc="http://schemas.microsoft.com/office/infopath/2007/PartnerControls">
  <documentManagement>
    <_dlc_DocId xmlns="9be56660-2c31-41ef-bc00-23e72f632f2a">REGU-195-6593789</_dlc_DocId>
    <_dlc_DocIdUrl xmlns="9be56660-2c31-41ef-bc00-23e72f632f2a">
      <Url>https://cyfoethnaturiolcymru.sharepoint.com/teams/Regulatory/Permitting/_layouts/15/DocIdRedir.aspx?ID=REGU-195-6593789</Url>
      <Description>REGU-195-6593789</Description>
    </_dlc_DocIdUrl>
    <Site_x0020_Name xmlns="859f7ad6-93f6-4205-b62b-a17f28acbbac">Mobile Plant</Site_x0020_Name>
    <Internal_x002f_External xmlns="859f7ad6-93f6-4205-b62b-a17f28acbbac">Internal document</Internal_x002f_External>
    <Post_x0020_code xmlns="859f7ad6-93f6-4205-b62b-a17f28acbbac" xsi:nil="true"/>
    <TaxCatchAll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2024-11-12T00:00:00+00:00</Document_x0020_Date>
    <Facility_x0020_Address xmlns="859f7ad6-93f6-4205-b62b-a17f28acbbac">Mobile Plant</Facility_x0020_Address>
    <lcf76f155ced4ddcb4097134ff3c332f xmlns="0a3f541d-ab69-4573-98e7-35881639f867">
      <Terms xmlns="http://schemas.microsoft.com/office/infopath/2007/PartnerControls"/>
    </lcf76f155ced4ddcb4097134ff3c332f>
    <Environment_x0020_Sub_x0020_Folder xmlns="859f7ad6-93f6-4205-b62b-a17f28acbbac">Licences applications</Environment_x0020_Sub_x0020_Folder>
    <Customer_x0020_Name xmlns="859f7ad6-93f6-4205-b62b-a17f28acbbac">Mr Daniel James and Mrs Carys James</Customer_x0020_Name>
    <Surrendered_x002f_Expired_x0020_Date xmlns="859f7ad6-93f6-4205-b62b-a17f28acbbac" xsi:nil="true"/>
  </documentManagement>
</p:properti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D03DC62798FD7C43A420D691A82D8B4E" ma:contentTypeVersion="782" ma:contentTypeDescription="Permitting &amp; Compliance Word Document" ma:contentTypeScope="" ma:versionID="e431386f76c31407f27919025ac844a5">
  <xsd:schema xmlns:xsd="http://www.w3.org/2001/XMLSchema" xmlns:xs="http://www.w3.org/2001/XMLSchema" xmlns:p="http://schemas.microsoft.com/office/2006/metadata/properties" xmlns:ns2="859f7ad6-93f6-4205-b62b-a17f28acbbac" xmlns:ns4="0a3f541d-ab69-4573-98e7-35881639f867" xmlns:ns5="9be56660-2c31-41ef-bc00-23e72f632f2a" targetNamespace="http://schemas.microsoft.com/office/2006/metadata/properties" ma:root="true" ma:fieldsID="5ce431996211967840af05ce04e3e8c7" ns2:_="" ns4:_="" ns5:_="">
    <xsd:import namespace="859f7ad6-93f6-4205-b62b-a17f28acbbac"/>
    <xsd:import namespace="0a3f541d-ab69-4573-98e7-35881639f867"/>
    <xsd:import namespace="9be56660-2c31-41ef-bc00-23e72f632f2a"/>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AutoKeyPoints" minOccurs="0"/>
                <xsd:element ref="ns4:MediaServiceKeyPoints" minOccurs="0"/>
                <xsd:element ref="ns4:MediaServiceFastMetadata" minOccurs="0"/>
                <xsd:element ref="ns5:_dlc_DocId" minOccurs="0"/>
                <xsd:element ref="ns5:_dlc_DocIdUrl" minOccurs="0"/>
                <xsd:element ref="ns5:_dlc_DocIdPersistId" minOccurs="0"/>
                <xsd:element ref="ns4:MediaServiceAutoTags" minOccurs="0"/>
                <xsd:element ref="ns4:MediaServiceOCR" minOccurs="0"/>
                <xsd:element ref="ns4:MediaServiceGenerationTime" minOccurs="0"/>
                <xsd:element ref="ns4:MediaServiceEventHashCode" minOccurs="0"/>
                <xsd:element ref="ns4:lcf76f155ced4ddcb4097134ff3c332f" minOccurs="0"/>
                <xsd:element ref="ns2:TaxCatchAll" minOccurs="0"/>
                <xsd:element ref="ns4:MediaServiceObjectDetectorVersions" minOccurs="0"/>
                <xsd:element ref="ns4:MediaServiceDateTaken" minOccurs="0"/>
                <xsd:element ref="ns4: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7"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a3f541d-ab69-4573-98e7-35881639f867" elementFormDefault="qualified">
    <xsd:import namespace="http://schemas.microsoft.com/office/2006/documentManagement/types"/>
    <xsd:import namespace="http://schemas.microsoft.com/office/infopath/2007/PartnerControls"/>
    <xsd:element name="MediaServiceMetadata" ma:index="24" nillable="true" ma:displayName="MediaServiceMetadata" ma:description="" ma:hidden="true" ma:internalName="MediaServiceMetadata" ma:readOnly="true">
      <xsd:simpleType>
        <xsd:restriction base="dms:Note"/>
      </xsd:simpleType>
    </xsd:element>
    <xsd:element name="MediaServiceAutoKeyPoints" ma:index="25" nillable="true" ma:displayName="MediaServiceAutoKeyPoints" ma:hidden="true" ma:internalName="MediaServiceAutoKeyPoints" ma:readOnly="true">
      <xsd:simpleType>
        <xsd:restriction base="dms:Note"/>
      </xsd:simpleType>
    </xsd:element>
    <xsd:element name="MediaServiceKeyPoints" ma:index="26" nillable="true" ma:displayName="KeyPoints" ma:internalName="MediaServiceKeyPoints" ma:readOnly="true">
      <xsd:simpleType>
        <xsd:restriction base="dms:Note">
          <xsd:maxLength value="255"/>
        </xsd:restriction>
      </xsd:simpleType>
    </xsd:element>
    <xsd:element name="MediaServiceFastMetadata" ma:index="27" nillable="true" ma:displayName="MediaServiceFastMetadata" ma:description="" ma:hidden="true" ma:internalName="MediaServiceFastMetadata" ma:readOnly="true">
      <xsd:simpleType>
        <xsd:restriction base="dms:Note"/>
      </xsd:simpleType>
    </xsd:element>
    <xsd:element name="MediaServiceAutoTags" ma:index="31" nillable="true" ma:displayName="Tags" ma:internalName="MediaServiceAutoTags" ma:readOnly="true">
      <xsd:simpleType>
        <xsd:restriction base="dms:Text"/>
      </xsd:simpleType>
    </xsd:element>
    <xsd:element name="MediaServiceOCR" ma:index="32" nillable="true" ma:displayName="Extracted Text" ma:internalName="MediaServiceOCR" ma:readOnly="true">
      <xsd:simpleType>
        <xsd:restriction base="dms:Note">
          <xsd:maxLength value="255"/>
        </xsd:restriction>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element name="lcf76f155ced4ddcb4097134ff3c332f" ma:index="36"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38" nillable="true" ma:displayName="MediaServiceObjectDetectorVersions" ma:hidden="true" ma:indexed="true" ma:internalName="MediaServiceObjectDetectorVersions" ma:readOnly="true">
      <xsd:simpleType>
        <xsd:restriction base="dms:Text"/>
      </xsd:simpleType>
    </xsd:element>
    <xsd:element name="MediaServiceDateTaken" ma:index="39" nillable="true" ma:displayName="MediaServiceDateTaken" ma:hidden="true" ma:indexed="true" ma:internalName="MediaServiceDateTaken" ma:readOnly="true">
      <xsd:simpleType>
        <xsd:restriction base="dms:Text"/>
      </xsd:simpleType>
    </xsd:element>
    <xsd:element name="MediaServiceSearchProperties" ma:index="40"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dexed="true"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haredContentType xmlns="Microsoft.SharePoint.Taxonomy.ContentTypeSync" SourceId="78499d3b-94a8-4059-8763-489d4400b14a" ContentTypeId="0x01010067EB80C5FE939D4A9B3D8BA62129B7F50102" PreviousValue="false"/>
</file>

<file path=customXml/item5.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2.xml><?xml version="1.0" encoding="utf-8"?>
<ds:datastoreItem xmlns:ds="http://schemas.openxmlformats.org/officeDocument/2006/customXml" ds:itemID="{3EB88BFD-E29A-4849-A8E6-116EB74B98EA}">
  <ds:schemaRefs>
    <ds:schemaRef ds:uri="http://schemas.microsoft.com/office/infopath/2007/PartnerControls"/>
    <ds:schemaRef ds:uri="http://www.w3.org/XML/1998/namespace"/>
    <ds:schemaRef ds:uri="9be56660-2c31-41ef-bc00-23e72f632f2a"/>
    <ds:schemaRef ds:uri="http://purl.org/dc/dcmitype/"/>
    <ds:schemaRef ds:uri="http://schemas.microsoft.com/office/2006/metadata/properties"/>
    <ds:schemaRef ds:uri="http://purl.org/dc/terms/"/>
    <ds:schemaRef ds:uri="http://purl.org/dc/elements/1.1/"/>
    <ds:schemaRef ds:uri="http://schemas.microsoft.com/office/2006/documentManagement/types"/>
    <ds:schemaRef ds:uri="http://schemas.openxmlformats.org/package/2006/metadata/core-properties"/>
  </ds:schemaRefs>
</ds:datastoreItem>
</file>

<file path=customXml/itemProps3.xml><?xml version="1.0" encoding="utf-8"?>
<ds:datastoreItem xmlns:ds="http://schemas.openxmlformats.org/officeDocument/2006/customXml" ds:itemID="{59D1C8A6-EFEA-4C7D-B429-550CFC6D5A0D}"/>
</file>

<file path=customXml/itemProps4.xml><?xml version="1.0" encoding="utf-8"?>
<ds:datastoreItem xmlns:ds="http://schemas.openxmlformats.org/officeDocument/2006/customXml" ds:itemID="{6671F653-5012-4249-BA9D-D19B9B82A013}"/>
</file>

<file path=customXml/itemProps5.xml><?xml version="1.0" encoding="utf-8"?>
<ds:datastoreItem xmlns:ds="http://schemas.openxmlformats.org/officeDocument/2006/customXml" ds:itemID="{AEA60B66-0495-4F42-887D-83AD6F26B1C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11</vt:i4>
      </vt:variant>
    </vt:vector>
  </HeadingPairs>
  <TitlesOfParts>
    <vt:vector size="11" baseType="lpstr">
      <vt:lpstr>Newcastle</vt:lpstr>
      <vt:lpstr>Volvac</vt:lpstr>
      <vt:lpstr>First Milk</vt:lpstr>
      <vt:lpstr>Penderyn</vt:lpstr>
      <vt:lpstr>Strata Florida </vt:lpstr>
      <vt:lpstr>Bontgoch </vt:lpstr>
      <vt:lpstr>Talybont</vt:lpstr>
      <vt:lpstr>Llyswen</vt:lpstr>
      <vt:lpstr>Bolton Hill</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Louise Bailey</dc:creator>
  <cp:keywords>NRW Nutrient Calculator</cp:keywords>
  <cp:lastModifiedBy>Tucker, Megan</cp:lastModifiedBy>
  <dcterms:created xsi:type="dcterms:W3CDTF">2016-09-26T10:07:59Z</dcterms:created>
  <dcterms:modified xsi:type="dcterms:W3CDTF">2024-11-05T14:48:57Z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0x01010067EB80C5FE939D4A9B3D8BA62129B7F5010200D03DC62798FD7C43A420D691A82D8B4E</vt:lpwstr>
  </property>
  <property fmtid="{D5CDD505-2E9C-101B-9397-08002B2CF9AE}" pid="3" name="_dlc_DocIdItemGuid">
    <vt:lpwstr>bbe39acd-ea8a-4484-affa-428d6147a4d7</vt:lpwstr>
  </property>
  <property fmtid="{D5CDD505-2E9C-101B-9397-08002B2CF9AE}" pid="4" name="Order">
    <vt:r8>659378900</vt:r8>
  </property>
  <property fmtid="{D5CDD505-2E9C-101B-9397-08002B2CF9AE}" pid="5" name="MediaServiceImageTags">
    <vt:lpwstr/>
  </property>
</Properties>
</file>