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Rhiannon Smith/PAN-027465 Hook Farm Dep/"/>
    </mc:Choice>
  </mc:AlternateContent>
  <xr:revisionPtr revIDLastSave="0" documentId="13_ncr:1_{0B2AC699-72B9-438C-AAE2-EA8F1C6F5717}" xr6:coauthVersionLast="47" xr6:coauthVersionMax="47" xr10:uidLastSave="{00000000-0000-0000-0000-000000000000}"/>
  <bookViews>
    <workbookView xWindow="-15480" yWindow="3405" windowWidth="15600" windowHeight="11040" tabRatio="870" firstSheet="1" activeTab="4" xr2:uid="{00000000-000D-0000-FFFF-FFFF00000000}"/>
  </bookViews>
  <sheets>
    <sheet name="Field data and Waste 1" sheetId="1" r:id="rId1"/>
    <sheet name="Preseli Cake" sheetId="21" r:id="rId2"/>
    <sheet name="Llechryd Cake" sheetId="27" r:id="rId3"/>
    <sheet name="Bolton Hill Liquid" sheetId="28" r:id="rId4"/>
    <sheet name="Preseli Liquid" sheetId="30" r:id="rId5"/>
    <sheet name="Llechryd Liquid" sheetId="26" r:id="rId6"/>
    <sheet name="Waste 7" sheetId="24" state="hidden" r:id="rId7"/>
    <sheet name="Waste 8" sheetId="29" state="hidden" r:id="rId8"/>
    <sheet name="Waste 9" sheetId="23" state="hidden" r:id="rId9"/>
    <sheet name="Waste 10" sheetId="22" state="hidden" r:id="rId10"/>
    <sheet name="Additions" sheetId="20" r:id="rId11"/>
    <sheet name="Ratios" sheetId="19" r:id="rId12"/>
    <sheet name="Manual Calculations" sheetId="31"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7" i="31" l="1"/>
  <c r="I6" i="31"/>
  <c r="I5" i="31"/>
  <c r="K5" i="31" s="1"/>
  <c r="H7" i="31"/>
  <c r="H6" i="31"/>
  <c r="H5" i="31"/>
  <c r="I4" i="31"/>
  <c r="K4" i="31" s="1"/>
  <c r="H4" i="31"/>
  <c r="I3" i="31"/>
  <c r="H3" i="31"/>
  <c r="J3" i="31" s="1"/>
  <c r="L3" i="1"/>
  <c r="F4" i="31"/>
  <c r="J4" i="31" s="1"/>
  <c r="G4" i="31"/>
  <c r="F5" i="31"/>
  <c r="G5" i="31"/>
  <c r="F6" i="31"/>
  <c r="G6" i="31"/>
  <c r="F7" i="31"/>
  <c r="G7" i="31"/>
  <c r="F8" i="31"/>
  <c r="G8" i="31"/>
  <c r="G3" i="31"/>
  <c r="F3" i="31"/>
  <c r="L3" i="22"/>
  <c r="L3" i="23"/>
  <c r="L3" i="29"/>
  <c r="L3" i="24"/>
  <c r="L3" i="26"/>
  <c r="L3" i="30"/>
  <c r="L3" i="28"/>
  <c r="L3" i="27"/>
  <c r="L3" i="21"/>
  <c r="K7" i="31" l="1"/>
  <c r="K6" i="31"/>
  <c r="J7" i="31"/>
  <c r="J6" i="31"/>
  <c r="J5" i="31"/>
  <c r="K3" i="31"/>
  <c r="N65" i="1"/>
  <c r="P65" i="1"/>
  <c r="Q65" i="1"/>
  <c r="R65" i="1"/>
  <c r="S65" i="1"/>
  <c r="T65" i="1"/>
  <c r="U65" i="1"/>
  <c r="N65" i="21"/>
  <c r="P65" i="21"/>
  <c r="Q65" i="21"/>
  <c r="R65" i="21"/>
  <c r="S65" i="21"/>
  <c r="T65" i="21"/>
  <c r="U65" i="21"/>
  <c r="N65" i="28"/>
  <c r="P65" i="28"/>
  <c r="Q65" i="28"/>
  <c r="R65" i="28"/>
  <c r="S65" i="28"/>
  <c r="T65" i="28"/>
  <c r="U65" i="28"/>
  <c r="N65" i="30"/>
  <c r="P65" i="30"/>
  <c r="Q65" i="30"/>
  <c r="R65" i="30"/>
  <c r="S65" i="30"/>
  <c r="T65" i="30"/>
  <c r="U65" i="30"/>
  <c r="N65" i="24"/>
  <c r="P65" i="24"/>
  <c r="Q65" i="24"/>
  <c r="R65" i="24"/>
  <c r="S65" i="24"/>
  <c r="T65" i="24"/>
  <c r="U65" i="24"/>
  <c r="N65" i="29"/>
  <c r="P65" i="29"/>
  <c r="Q65" i="29"/>
  <c r="R65" i="29"/>
  <c r="S65" i="29"/>
  <c r="T65" i="29"/>
  <c r="U65" i="29"/>
  <c r="N65" i="23"/>
  <c r="P65" i="23"/>
  <c r="Q65" i="23"/>
  <c r="R65" i="23"/>
  <c r="S65" i="23"/>
  <c r="T65" i="23"/>
  <c r="U65" i="23"/>
  <c r="N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U22" i="30"/>
  <c r="E22" i="30"/>
  <c r="V20" i="30"/>
  <c r="U20" i="30"/>
  <c r="T20" i="30"/>
  <c r="S20" i="30"/>
  <c r="R20" i="30"/>
  <c r="Q20" i="30"/>
  <c r="P20" i="30"/>
  <c r="O20" i="30"/>
  <c r="N20" i="30"/>
  <c r="P18" i="30"/>
  <c r="N18" i="30"/>
  <c r="H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O22" i="28"/>
  <c r="V20" i="28"/>
  <c r="U20" i="28"/>
  <c r="T20" i="28"/>
  <c r="S20" i="28"/>
  <c r="R20" i="28"/>
  <c r="Q20" i="28"/>
  <c r="P20" i="28"/>
  <c r="O20" i="28"/>
  <c r="N20" i="28"/>
  <c r="P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P20" i="27"/>
  <c r="O20" i="27"/>
  <c r="N20" i="27"/>
  <c r="S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I8" i="31" s="1"/>
  <c r="K8" i="31" s="1"/>
  <c r="D32" i="26"/>
  <c r="D18" i="26" s="1"/>
  <c r="H8" i="31" s="1"/>
  <c r="J8" i="31"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0" i="26"/>
  <c r="U20" i="26"/>
  <c r="T20" i="26"/>
  <c r="S20" i="26"/>
  <c r="R20" i="26"/>
  <c r="Q20" i="26"/>
  <c r="P20" i="26"/>
  <c r="O20" i="26"/>
  <c r="N20"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V18" i="21"/>
  <c r="T6" i="19" l="1"/>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D65" i="21" s="1"/>
  <c r="M11" i="19"/>
  <c r="M25" i="19" s="1"/>
  <c r="F8" i="19"/>
  <c r="F22" i="19" s="1"/>
  <c r="G17" i="27"/>
  <c r="G19" i="27" s="1"/>
  <c r="G20" i="27" s="1"/>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M17" i="28"/>
  <c r="M21" i="28"/>
  <c r="T59" i="28"/>
  <c r="U17" i="28"/>
  <c r="U21" i="28"/>
  <c r="U23" i="28" s="1"/>
  <c r="U24" i="28" s="1"/>
  <c r="I4" i="20"/>
  <c r="J4" i="19"/>
  <c r="J18" i="19" s="1"/>
  <c r="I59" i="21"/>
  <c r="J17" i="21"/>
  <c r="J19" i="21" s="1"/>
  <c r="J20"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23" i="22" s="1"/>
  <c r="L17" i="22"/>
  <c r="L19" i="22" s="1"/>
  <c r="G12" i="20"/>
  <c r="H12" i="19"/>
  <c r="H26" i="19" s="1"/>
  <c r="J4" i="20"/>
  <c r="K4" i="19"/>
  <c r="K18" i="19" s="1"/>
  <c r="U63" i="21"/>
  <c r="N63" i="21"/>
  <c r="F63" i="21"/>
  <c r="P59" i="21"/>
  <c r="Q21" i="21"/>
  <c r="Q23" i="21" s="1"/>
  <c r="Q24" i="21" s="1"/>
  <c r="Q17" i="21"/>
  <c r="I17" i="21"/>
  <c r="I21" i="21"/>
  <c r="D59" i="22"/>
  <c r="E21" i="22"/>
  <c r="E17" i="22"/>
  <c r="L59" i="22"/>
  <c r="M21" i="22"/>
  <c r="M23" i="22" s="1"/>
  <c r="M17" i="22"/>
  <c r="T59" i="22"/>
  <c r="U21" i="22"/>
  <c r="U17" i="22"/>
  <c r="U19" i="22" s="1"/>
  <c r="D59" i="27"/>
  <c r="E17" i="27"/>
  <c r="E19" i="27" s="1"/>
  <c r="E20" i="27" s="1"/>
  <c r="L59" i="27"/>
  <c r="M17" i="27"/>
  <c r="M19" i="27" s="1"/>
  <c r="M20" i="27" s="1"/>
  <c r="T59" i="27"/>
  <c r="U17" i="27"/>
  <c r="S59" i="22"/>
  <c r="T21" i="22"/>
  <c r="T17" i="22"/>
  <c r="G21" i="23"/>
  <c r="G23" i="23" s="1"/>
  <c r="G17" i="23"/>
  <c r="G19" i="23" s="1"/>
  <c r="I9" i="20"/>
  <c r="J9" i="19"/>
  <c r="J23" i="19" s="1"/>
  <c r="R4" i="20"/>
  <c r="S4" i="19"/>
  <c r="S18" i="19" s="1"/>
  <c r="R11" i="20"/>
  <c r="S11" i="19"/>
  <c r="S25" i="19" s="1"/>
  <c r="I59" i="24"/>
  <c r="J21" i="24"/>
  <c r="J23"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L23" i="21" s="1"/>
  <c r="L24" i="21" s="1"/>
  <c r="I59" i="22"/>
  <c r="J17" i="22"/>
  <c r="J19" i="22" s="1"/>
  <c r="J21" i="22"/>
  <c r="J23" i="22" s="1"/>
  <c r="K59" i="23"/>
  <c r="L17" i="23"/>
  <c r="L21" i="23"/>
  <c r="M57" i="21"/>
  <c r="R59" i="21"/>
  <c r="S21" i="21"/>
  <c r="S23" i="21" s="1"/>
  <c r="S24" i="21" s="1"/>
  <c r="S17" i="21"/>
  <c r="J59" i="21"/>
  <c r="K21" i="21"/>
  <c r="K23" i="21" s="1"/>
  <c r="K24" i="21" s="1"/>
  <c r="K17" i="21"/>
  <c r="K19" i="21" s="1"/>
  <c r="K20" i="21" s="1"/>
  <c r="J59" i="22"/>
  <c r="K17" i="22"/>
  <c r="K19" i="22" s="1"/>
  <c r="K21" i="22"/>
  <c r="R59" i="22"/>
  <c r="S17" i="22"/>
  <c r="S21" i="22"/>
  <c r="S23" i="22" s="1"/>
  <c r="D59" i="23"/>
  <c r="E17" i="23"/>
  <c r="E21" i="23"/>
  <c r="L59" i="23"/>
  <c r="M17" i="23"/>
  <c r="M19" i="23" s="1"/>
  <c r="M21" i="23"/>
  <c r="T59" i="23"/>
  <c r="U17" i="23"/>
  <c r="U19" i="23" s="1"/>
  <c r="U21" i="23"/>
  <c r="U23" i="23" s="1"/>
  <c r="H21" i="24"/>
  <c r="H23" i="24" s="1"/>
  <c r="H17" i="24"/>
  <c r="H19"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J59" i="28"/>
  <c r="K17" i="28"/>
  <c r="K21" i="28"/>
  <c r="K23" i="28" s="1"/>
  <c r="K24" i="28" s="1"/>
  <c r="R59" i="28"/>
  <c r="S17" i="28"/>
  <c r="S21" i="28"/>
  <c r="S23" i="28" s="1"/>
  <c r="S24" i="28" s="1"/>
  <c r="I59" i="29"/>
  <c r="J17" i="29"/>
  <c r="J21" i="29"/>
  <c r="J23" i="29" s="1"/>
  <c r="Q59" i="29"/>
  <c r="R21" i="29"/>
  <c r="R23"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M59" i="23"/>
  <c r="N21" i="23"/>
  <c r="N23" i="23" s="1"/>
  <c r="N17" i="23"/>
  <c r="N19" i="23" s="1"/>
  <c r="U59" i="23"/>
  <c r="V21" i="23"/>
  <c r="V23" i="23" s="1"/>
  <c r="V17" i="23"/>
  <c r="I17" i="24"/>
  <c r="I19" i="24" s="1"/>
  <c r="I21" i="24"/>
  <c r="I23" i="24" s="1"/>
  <c r="Q17" i="24"/>
  <c r="Q19" i="24" s="1"/>
  <c r="Q21" i="24"/>
  <c r="Q23" i="24" s="1"/>
  <c r="D59" i="26"/>
  <c r="E21" i="26"/>
  <c r="E17" i="26"/>
  <c r="E19" i="26" s="1"/>
  <c r="E20" i="26" s="1"/>
  <c r="L59" i="26"/>
  <c r="M21" i="26"/>
  <c r="M23" i="26" s="1"/>
  <c r="M24" i="26" s="1"/>
  <c r="M17" i="26"/>
  <c r="M19" i="26" s="1"/>
  <c r="M20" i="26" s="1"/>
  <c r="T59" i="26"/>
  <c r="U21" i="26"/>
  <c r="U23" i="26" s="1"/>
  <c r="U24" i="26" s="1"/>
  <c r="U17" i="26"/>
  <c r="U19" i="26" s="1"/>
  <c r="C59" i="27"/>
  <c r="D17" i="27"/>
  <c r="K59" i="27"/>
  <c r="L17" i="27"/>
  <c r="L19" i="27" s="1"/>
  <c r="L20" i="27" s="1"/>
  <c r="S59" i="27"/>
  <c r="T17" i="27"/>
  <c r="T19" i="27" s="1"/>
  <c r="C59" i="28"/>
  <c r="D21" i="28"/>
  <c r="D23" i="28" s="1"/>
  <c r="D24" i="28" s="1"/>
  <c r="D17" i="28"/>
  <c r="K59" i="28"/>
  <c r="L21" i="28"/>
  <c r="L17" i="28"/>
  <c r="L19" i="28" s="1"/>
  <c r="L20" i="28" s="1"/>
  <c r="S59" i="28"/>
  <c r="T21" i="28"/>
  <c r="T17" i="28"/>
  <c r="T19" i="28" s="1"/>
  <c r="J59" i="29"/>
  <c r="K17" i="29"/>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P21" i="21"/>
  <c r="P23" i="21" s="1"/>
  <c r="P24" i="21" s="1"/>
  <c r="P17" i="21"/>
  <c r="H21" i="21"/>
  <c r="H17" i="21"/>
  <c r="H19" i="21" s="1"/>
  <c r="H20" i="21" s="1"/>
  <c r="E59" i="22"/>
  <c r="F21" i="22"/>
  <c r="F23" i="22" s="1"/>
  <c r="F17" i="22"/>
  <c r="F19" i="22" s="1"/>
  <c r="M59" i="22"/>
  <c r="N21" i="22"/>
  <c r="N23" i="22" s="1"/>
  <c r="N17" i="22"/>
  <c r="N19" i="22" s="1"/>
  <c r="U59" i="22"/>
  <c r="V17" i="22"/>
  <c r="V21" i="22"/>
  <c r="C18" i="22"/>
  <c r="H21" i="23"/>
  <c r="H23" i="23" s="1"/>
  <c r="H17" i="23"/>
  <c r="H19" i="23" s="1"/>
  <c r="P17" i="23"/>
  <c r="P19" i="23" s="1"/>
  <c r="P21" i="23"/>
  <c r="J59" i="24"/>
  <c r="K21" i="24"/>
  <c r="K23" i="24" s="1"/>
  <c r="K17" i="24"/>
  <c r="K19" i="24" s="1"/>
  <c r="R59" i="24"/>
  <c r="S21" i="24"/>
  <c r="S23" i="24" s="1"/>
  <c r="S17" i="24"/>
  <c r="G21" i="26"/>
  <c r="G23" i="26" s="1"/>
  <c r="G24" i="26" s="1"/>
  <c r="G17" i="26"/>
  <c r="O17" i="26"/>
  <c r="O21" i="26"/>
  <c r="E59" i="27"/>
  <c r="F17" i="27"/>
  <c r="F19" i="27" s="1"/>
  <c r="F20" i="27" s="1"/>
  <c r="M59" i="27"/>
  <c r="N17" i="27"/>
  <c r="U59" i="27"/>
  <c r="V17" i="27"/>
  <c r="E59" i="28"/>
  <c r="F17" i="28"/>
  <c r="F21" i="28"/>
  <c r="F23" i="28" s="1"/>
  <c r="F24" i="28" s="1"/>
  <c r="M59" i="28"/>
  <c r="N17" i="28"/>
  <c r="N19" i="28" s="1"/>
  <c r="N21" i="28"/>
  <c r="N23" i="28" s="1"/>
  <c r="N24" i="28" s="1"/>
  <c r="U59" i="28"/>
  <c r="V17" i="28"/>
  <c r="V21" i="28"/>
  <c r="D59" i="29"/>
  <c r="E17" i="29"/>
  <c r="E19" i="29" s="1"/>
  <c r="E21" i="29"/>
  <c r="E23" i="29" s="1"/>
  <c r="L59" i="29"/>
  <c r="M17" i="29"/>
  <c r="M21" i="29"/>
  <c r="T59" i="29"/>
  <c r="U17" i="29"/>
  <c r="U21" i="29"/>
  <c r="C59" i="30"/>
  <c r="D17" i="30"/>
  <c r="D19" i="30" s="1"/>
  <c r="D20" i="30" s="1"/>
  <c r="D21" i="30"/>
  <c r="D23" i="30" s="1"/>
  <c r="D24" i="30" s="1"/>
  <c r="K59" i="30"/>
  <c r="L17" i="30"/>
  <c r="L19" i="30" s="1"/>
  <c r="L20"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19" i="22" s="1"/>
  <c r="G21" i="22"/>
  <c r="O17" i="22"/>
  <c r="O19" i="22" s="1"/>
  <c r="O21" i="22"/>
  <c r="O23" i="22" s="1"/>
  <c r="H59" i="23"/>
  <c r="I21" i="23"/>
  <c r="I23" i="23" s="1"/>
  <c r="I17" i="23"/>
  <c r="P59" i="23"/>
  <c r="Q17" i="23"/>
  <c r="Q21" i="23"/>
  <c r="Q23" i="23" s="1"/>
  <c r="C59" i="24"/>
  <c r="D17" i="24"/>
  <c r="D19" i="24" s="1"/>
  <c r="D21" i="24"/>
  <c r="K59" i="24"/>
  <c r="L21" i="24"/>
  <c r="L23" i="24" s="1"/>
  <c r="L17" i="24"/>
  <c r="L19" i="24" s="1"/>
  <c r="S59" i="24"/>
  <c r="T21" i="24"/>
  <c r="T17" i="24"/>
  <c r="T19" i="24" s="1"/>
  <c r="H21" i="26"/>
  <c r="H23" i="26" s="1"/>
  <c r="H24" i="26" s="1"/>
  <c r="H17" i="26"/>
  <c r="P21" i="26"/>
  <c r="P17" i="26"/>
  <c r="F59" i="28"/>
  <c r="G17" i="28"/>
  <c r="G19" i="28" s="1"/>
  <c r="G20" i="28" s="1"/>
  <c r="G21" i="28"/>
  <c r="G23" i="28" s="1"/>
  <c r="G24" i="28" s="1"/>
  <c r="N59" i="28"/>
  <c r="O17" i="28"/>
  <c r="O19" i="28" s="1"/>
  <c r="O21" i="28"/>
  <c r="E59" i="29"/>
  <c r="F17" i="29"/>
  <c r="F21" i="29"/>
  <c r="M59" i="29"/>
  <c r="N17" i="29"/>
  <c r="N19" i="29" s="1"/>
  <c r="N21" i="29"/>
  <c r="N23" i="29" s="1"/>
  <c r="U59" i="29"/>
  <c r="V17" i="29"/>
  <c r="V21" i="29"/>
  <c r="V23" i="29" s="1"/>
  <c r="D59" i="30"/>
  <c r="E17" i="30"/>
  <c r="E19" i="30" s="1"/>
  <c r="E20" i="30" s="1"/>
  <c r="E21" i="30"/>
  <c r="E23" i="30" s="1"/>
  <c r="E24" i="30" s="1"/>
  <c r="L59" i="30"/>
  <c r="M17" i="30"/>
  <c r="M19" i="30" s="1"/>
  <c r="M20"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23" i="23" s="1"/>
  <c r="J17" i="23"/>
  <c r="J19" i="23" s="1"/>
  <c r="Q59" i="23"/>
  <c r="R21" i="23"/>
  <c r="R17" i="23"/>
  <c r="D59" i="24"/>
  <c r="E17" i="24"/>
  <c r="E21" i="24"/>
  <c r="L59" i="24"/>
  <c r="M17" i="24"/>
  <c r="M19" i="24" s="1"/>
  <c r="M21" i="24"/>
  <c r="M23" i="24" s="1"/>
  <c r="T59" i="24"/>
  <c r="U21" i="24"/>
  <c r="U17" i="24"/>
  <c r="H59" i="26"/>
  <c r="I17" i="26"/>
  <c r="I21" i="26"/>
  <c r="I23" i="26" s="1"/>
  <c r="I24" i="26" s="1"/>
  <c r="P59" i="26"/>
  <c r="Q17" i="26"/>
  <c r="Q19" i="26" s="1"/>
  <c r="Q21" i="26"/>
  <c r="E63" i="26"/>
  <c r="H17" i="27"/>
  <c r="P17" i="27"/>
  <c r="P19" i="27" s="1"/>
  <c r="H21" i="28"/>
  <c r="H23" i="28" s="1"/>
  <c r="H24" i="28" s="1"/>
  <c r="H17" i="28"/>
  <c r="P21" i="28"/>
  <c r="P17" i="28"/>
  <c r="P19" i="28" s="1"/>
  <c r="G17" i="29"/>
  <c r="G21" i="29"/>
  <c r="G23" i="29" s="1"/>
  <c r="O17" i="29"/>
  <c r="O21" i="29"/>
  <c r="E59" i="30"/>
  <c r="F21" i="30"/>
  <c r="F23" i="30" s="1"/>
  <c r="F24" i="30" s="1"/>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19" i="21" s="1"/>
  <c r="E20" i="21" s="1"/>
  <c r="E21" i="21"/>
  <c r="E23" i="21" s="1"/>
  <c r="E24" i="21" s="1"/>
  <c r="H59" i="22"/>
  <c r="I17" i="22"/>
  <c r="I19" i="22" s="1"/>
  <c r="I21" i="22"/>
  <c r="I23" i="22" s="1"/>
  <c r="P59" i="22"/>
  <c r="Q17" i="22"/>
  <c r="Q19" i="22" s="1"/>
  <c r="Q21" i="22"/>
  <c r="J59" i="23"/>
  <c r="K17" i="23"/>
  <c r="K19" i="23" s="1"/>
  <c r="K21" i="23"/>
  <c r="K23" i="23" s="1"/>
  <c r="R59" i="23"/>
  <c r="S17" i="23"/>
  <c r="S19" i="23" s="1"/>
  <c r="S21" i="23"/>
  <c r="E59" i="24"/>
  <c r="F21" i="24"/>
  <c r="F17" i="24"/>
  <c r="M59" i="24"/>
  <c r="N21" i="24"/>
  <c r="N23" i="24" s="1"/>
  <c r="N17" i="24"/>
  <c r="N19" i="24" s="1"/>
  <c r="U59" i="24"/>
  <c r="V21" i="24"/>
  <c r="V17" i="24"/>
  <c r="V19" i="24" s="1"/>
  <c r="I58" i="26"/>
  <c r="I61" i="26" s="1"/>
  <c r="J17" i="26"/>
  <c r="J19" i="26" s="1"/>
  <c r="J20" i="26" s="1"/>
  <c r="J21" i="26"/>
  <c r="J23" i="26" s="1"/>
  <c r="J24" i="26" s="1"/>
  <c r="Q58" i="26"/>
  <c r="Q61" i="26" s="1"/>
  <c r="R21" i="26"/>
  <c r="R23" i="26" s="1"/>
  <c r="R24" i="26" s="1"/>
  <c r="R17" i="26"/>
  <c r="R19" i="26" s="1"/>
  <c r="F63" i="26"/>
  <c r="I17" i="27"/>
  <c r="I19" i="27" s="1"/>
  <c r="I20" i="27" s="1"/>
  <c r="Q17" i="27"/>
  <c r="I21" i="28"/>
  <c r="I23" i="28" s="1"/>
  <c r="I24" i="28" s="1"/>
  <c r="I17" i="28"/>
  <c r="Q21" i="28"/>
  <c r="Q23" i="28" s="1"/>
  <c r="Q24" i="28" s="1"/>
  <c r="Q17" i="28"/>
  <c r="Q19" i="28" s="1"/>
  <c r="H21" i="29"/>
  <c r="H23" i="29" s="1"/>
  <c r="H17" i="29"/>
  <c r="H19" i="29" s="1"/>
  <c r="P21" i="29"/>
  <c r="P23" i="29" s="1"/>
  <c r="P17" i="29"/>
  <c r="G21" i="30"/>
  <c r="G17" i="30"/>
  <c r="G19" i="30" s="1"/>
  <c r="G20"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S59" i="23"/>
  <c r="T17" i="23"/>
  <c r="T21" i="23"/>
  <c r="G17" i="24"/>
  <c r="G19" i="24" s="1"/>
  <c r="G21" i="24"/>
  <c r="G23" i="24" s="1"/>
  <c r="O17" i="24"/>
  <c r="O21" i="24"/>
  <c r="J59" i="26"/>
  <c r="K17" i="26"/>
  <c r="K19" i="26" s="1"/>
  <c r="K20" i="26" s="1"/>
  <c r="K21" i="26"/>
  <c r="K23" i="26" s="1"/>
  <c r="K24" i="26" s="1"/>
  <c r="R59" i="26"/>
  <c r="S17" i="26"/>
  <c r="S19" i="26" s="1"/>
  <c r="S21" i="26"/>
  <c r="S23" i="26" s="1"/>
  <c r="S24" i="26" s="1"/>
  <c r="M63" i="26"/>
  <c r="I59" i="27"/>
  <c r="J17" i="27"/>
  <c r="J19" i="27" s="1"/>
  <c r="J20" i="27" s="1"/>
  <c r="Q59" i="27"/>
  <c r="R17" i="27"/>
  <c r="I59" i="28"/>
  <c r="J17" i="28"/>
  <c r="J19" i="28" s="1"/>
  <c r="J20" i="28" s="1"/>
  <c r="J21" i="28"/>
  <c r="J23" i="28" s="1"/>
  <c r="J24" i="28" s="1"/>
  <c r="Q59" i="28"/>
  <c r="R21" i="28"/>
  <c r="R23" i="28" s="1"/>
  <c r="R24" i="28" s="1"/>
  <c r="R17" i="28"/>
  <c r="I21" i="29"/>
  <c r="I23" i="29" s="1"/>
  <c r="I17" i="29"/>
  <c r="I19" i="29" s="1"/>
  <c r="Q21" i="29"/>
  <c r="Q17" i="29"/>
  <c r="Q19" i="29" s="1"/>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C64" i="21" s="1"/>
  <c r="G23" i="22"/>
  <c r="K58" i="21"/>
  <c r="K61" i="21" s="1"/>
  <c r="K64" i="21" s="1"/>
  <c r="R19" i="24"/>
  <c r="I21" i="27"/>
  <c r="I23" i="27" s="1"/>
  <c r="I24" i="27" s="1"/>
  <c r="Q21" i="27"/>
  <c r="R58" i="21"/>
  <c r="R61" i="21" s="1"/>
  <c r="R64" i="21" s="1"/>
  <c r="O57" i="21"/>
  <c r="A43" i="21"/>
  <c r="J58" i="21"/>
  <c r="J61" i="21" s="1"/>
  <c r="D58" i="29"/>
  <c r="D61" i="29" s="1"/>
  <c r="P23" i="26"/>
  <c r="P24" i="26" s="1"/>
  <c r="G21" i="27"/>
  <c r="G23" i="27" s="1"/>
  <c r="G24" i="27" s="1"/>
  <c r="O21" i="27"/>
  <c r="O23" i="27" s="1"/>
  <c r="O24" i="27" s="1"/>
  <c r="D58" i="30"/>
  <c r="D61" i="30" s="1"/>
  <c r="D64" i="30" s="1"/>
  <c r="D65" i="30" s="1"/>
  <c r="L58" i="30"/>
  <c r="L61" i="30" s="1"/>
  <c r="L64" i="30" s="1"/>
  <c r="L65" i="30" s="1"/>
  <c r="R58" i="23"/>
  <c r="R61" i="23" s="1"/>
  <c r="H21" i="27"/>
  <c r="H23" i="27" s="1"/>
  <c r="H24" i="27" s="1"/>
  <c r="P21" i="27"/>
  <c r="J58" i="22"/>
  <c r="J61" i="22" s="1"/>
  <c r="J58" i="26"/>
  <c r="J61" i="26" s="1"/>
  <c r="R19" i="23"/>
  <c r="J58" i="27"/>
  <c r="J61" i="27" s="1"/>
  <c r="R58" i="27"/>
  <c r="R61" i="27" s="1"/>
  <c r="R58" i="28"/>
  <c r="R61" i="28" s="1"/>
  <c r="R64" i="28" s="1"/>
  <c r="F58" i="22"/>
  <c r="F61" i="22" s="1"/>
  <c r="N58" i="22"/>
  <c r="N61" i="22" s="1"/>
  <c r="N64" i="22" s="1"/>
  <c r="F58" i="23"/>
  <c r="F61" i="23" s="1"/>
  <c r="N58" i="23"/>
  <c r="N61" i="23" s="1"/>
  <c r="D19" i="27"/>
  <c r="D20" i="27" s="1"/>
  <c r="L21" i="27"/>
  <c r="L23" i="27" s="1"/>
  <c r="L24" i="27" s="1"/>
  <c r="T21" i="27"/>
  <c r="H57" i="29"/>
  <c r="P58" i="21"/>
  <c r="P61" i="21" s="1"/>
  <c r="H58" i="21"/>
  <c r="H61" i="21" s="1"/>
  <c r="N59" i="23"/>
  <c r="R58" i="26"/>
  <c r="R61" i="26" s="1"/>
  <c r="R57" i="21"/>
  <c r="H58" i="22"/>
  <c r="H61" i="22" s="1"/>
  <c r="H64" i="22" s="1"/>
  <c r="H65" i="22" s="1"/>
  <c r="P58" i="22"/>
  <c r="P61" i="22" s="1"/>
  <c r="P64" i="22" s="1"/>
  <c r="F59" i="22"/>
  <c r="K58" i="29"/>
  <c r="K61" i="29" s="1"/>
  <c r="I58" i="23"/>
  <c r="I61" i="23" s="1"/>
  <c r="Q58" i="23"/>
  <c r="Q61" i="23" s="1"/>
  <c r="L58" i="29"/>
  <c r="L61" i="29" s="1"/>
  <c r="T58" i="29"/>
  <c r="T61" i="29" s="1"/>
  <c r="T64" i="29" s="1"/>
  <c r="I23" i="30"/>
  <c r="I24" i="30" s="1"/>
  <c r="Q23" i="30"/>
  <c r="Q24" i="30" s="1"/>
  <c r="U23" i="30"/>
  <c r="U24" i="30" s="1"/>
  <c r="J58" i="28"/>
  <c r="J61" i="28" s="1"/>
  <c r="J64" i="28" s="1"/>
  <c r="R58" i="22"/>
  <c r="R61" i="22" s="1"/>
  <c r="R64" i="22" s="1"/>
  <c r="J58" i="23"/>
  <c r="J61" i="23" s="1"/>
  <c r="J64" i="23" s="1"/>
  <c r="J65"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D64" i="27" s="1"/>
  <c r="L58" i="27"/>
  <c r="L61" i="27" s="1"/>
  <c r="T58" i="27"/>
  <c r="T61" i="27" s="1"/>
  <c r="J58" i="30"/>
  <c r="J61" i="30" s="1"/>
  <c r="J64" i="30" s="1"/>
  <c r="J65" i="30" s="1"/>
  <c r="R58" i="30"/>
  <c r="R61" i="30" s="1"/>
  <c r="R64" i="30" s="1"/>
  <c r="P57" i="30"/>
  <c r="J57" i="21"/>
  <c r="H59" i="21"/>
  <c r="Q23" i="22"/>
  <c r="R21" i="27"/>
  <c r="R23" i="27" s="1"/>
  <c r="R24" i="27" s="1"/>
  <c r="E58" i="27"/>
  <c r="E61" i="27" s="1"/>
  <c r="E64" i="27" s="1"/>
  <c r="M58" i="27"/>
  <c r="M61" i="27" s="1"/>
  <c r="U58" i="27"/>
  <c r="U61" i="27" s="1"/>
  <c r="I58" i="29"/>
  <c r="I61" i="29" s="1"/>
  <c r="I64" i="29" s="1"/>
  <c r="I65"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C65" i="29" s="1"/>
  <c r="H58" i="30"/>
  <c r="H61" i="30" s="1"/>
  <c r="N59" i="30"/>
  <c r="Q57" i="21"/>
  <c r="B58" i="21"/>
  <c r="B61" i="21" s="1"/>
  <c r="I58" i="22"/>
  <c r="I61" i="22" s="1"/>
  <c r="I64" i="22" s="1"/>
  <c r="I65"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L64" i="24" s="1"/>
  <c r="L65"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H64" i="26" s="1"/>
  <c r="L58" i="28"/>
  <c r="L61" i="28" s="1"/>
  <c r="S58" i="29"/>
  <c r="S61" i="29" s="1"/>
  <c r="S64" i="29" s="1"/>
  <c r="P19" i="21"/>
  <c r="H23" i="22"/>
  <c r="P23" i="22"/>
  <c r="C58" i="22"/>
  <c r="C61" i="22" s="1"/>
  <c r="C64" i="22" s="1"/>
  <c r="C65" i="22" s="1"/>
  <c r="K58" i="22"/>
  <c r="K61" i="22" s="1"/>
  <c r="S58" i="22"/>
  <c r="S61" i="22" s="1"/>
  <c r="S64" i="22" s="1"/>
  <c r="F57" i="23"/>
  <c r="D23" i="24"/>
  <c r="T23" i="24"/>
  <c r="G58" i="24"/>
  <c r="G61" i="24" s="1"/>
  <c r="O58" i="24"/>
  <c r="O61" i="24" s="1"/>
  <c r="N59" i="24"/>
  <c r="C58" i="26"/>
  <c r="C61" i="26" s="1"/>
  <c r="C64"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C65" i="30" s="1"/>
  <c r="K58" i="30"/>
  <c r="K61" i="30" s="1"/>
  <c r="K64" i="30" s="1"/>
  <c r="S58" i="30"/>
  <c r="S61" i="30" s="1"/>
  <c r="H57" i="30"/>
  <c r="D58" i="24"/>
  <c r="D61" i="24" s="1"/>
  <c r="D64" i="24" s="1"/>
  <c r="D65"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Q23" i="26"/>
  <c r="Q24" i="26" s="1"/>
  <c r="D58" i="26"/>
  <c r="D61" i="26" s="1"/>
  <c r="L58" i="26"/>
  <c r="L61" i="26" s="1"/>
  <c r="L64" i="26" s="1"/>
  <c r="T58" i="26"/>
  <c r="T61" i="26" s="1"/>
  <c r="F57" i="26"/>
  <c r="C58" i="27"/>
  <c r="C61" i="27" s="1"/>
  <c r="K58" i="27"/>
  <c r="K61" i="27" s="1"/>
  <c r="S58" i="27"/>
  <c r="S61" i="27" s="1"/>
  <c r="S64" i="27" s="1"/>
  <c r="P57" i="27"/>
  <c r="N59" i="27"/>
  <c r="H58" i="28"/>
  <c r="H61" i="28" s="1"/>
  <c r="P58" i="28"/>
  <c r="P61" i="28" s="1"/>
  <c r="N57" i="28"/>
  <c r="L23" i="29"/>
  <c r="T23" i="29"/>
  <c r="G58" i="29"/>
  <c r="G61" i="29" s="1"/>
  <c r="O58" i="29"/>
  <c r="O61" i="29" s="1"/>
  <c r="P59" i="29"/>
  <c r="I57" i="30"/>
  <c r="M19" i="21"/>
  <c r="M20" i="21" s="1"/>
  <c r="G57" i="21"/>
  <c r="E58" i="22"/>
  <c r="E61" i="22" s="1"/>
  <c r="M58" i="22"/>
  <c r="M61" i="22" s="1"/>
  <c r="U58" i="22"/>
  <c r="U61" i="22" s="1"/>
  <c r="A45" i="22"/>
  <c r="O57" i="22"/>
  <c r="H58" i="23"/>
  <c r="H61" i="23" s="1"/>
  <c r="H64" i="23" s="1"/>
  <c r="H65" i="23" s="1"/>
  <c r="P58" i="23"/>
  <c r="P61" i="23" s="1"/>
  <c r="P64" i="23" s="1"/>
  <c r="I58" i="24"/>
  <c r="I61" i="24" s="1"/>
  <c r="Q58" i="24"/>
  <c r="Q61" i="24" s="1"/>
  <c r="Q64" i="24" s="1"/>
  <c r="E58" i="26"/>
  <c r="E61" i="26" s="1"/>
  <c r="M58" i="26"/>
  <c r="M61" i="26" s="1"/>
  <c r="U58" i="26"/>
  <c r="U61" i="26" s="1"/>
  <c r="U64" i="26" s="1"/>
  <c r="N57" i="26"/>
  <c r="P59" i="27"/>
  <c r="I58" i="28"/>
  <c r="I61" i="28" s="1"/>
  <c r="Q58" i="28"/>
  <c r="Q61" i="28" s="1"/>
  <c r="Q64" i="28" s="1"/>
  <c r="P23" i="28"/>
  <c r="P24" i="28" s="1"/>
  <c r="H58" i="29"/>
  <c r="H61" i="29" s="1"/>
  <c r="P58" i="29"/>
  <c r="P61" i="29" s="1"/>
  <c r="E58" i="30"/>
  <c r="E61" i="30" s="1"/>
  <c r="E64" i="30" s="1"/>
  <c r="M58" i="30"/>
  <c r="M61" i="30" s="1"/>
  <c r="U58" i="30"/>
  <c r="U61" i="30" s="1"/>
  <c r="U64" i="30" s="1"/>
  <c r="U66" i="30" s="1"/>
  <c r="N57" i="30"/>
  <c r="F59" i="30"/>
  <c r="B58" i="30"/>
  <c r="B61" i="30" s="1"/>
  <c r="B64"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G23" i="30"/>
  <c r="G24" i="30" s="1"/>
  <c r="R19" i="30"/>
  <c r="F63" i="30"/>
  <c r="N63" i="30"/>
  <c r="K19" i="30"/>
  <c r="K20" i="30" s="1"/>
  <c r="S19" i="30"/>
  <c r="S23" i="30"/>
  <c r="S24" i="30" s="1"/>
  <c r="A31" i="30"/>
  <c r="A33" i="30"/>
  <c r="A39" i="30"/>
  <c r="A41" i="30"/>
  <c r="A47" i="30"/>
  <c r="A49" i="30"/>
  <c r="G57" i="30"/>
  <c r="O57" i="30"/>
  <c r="G59" i="30"/>
  <c r="O59" i="30"/>
  <c r="G63" i="30"/>
  <c r="O63" i="30"/>
  <c r="P63" i="30"/>
  <c r="I63" i="30"/>
  <c r="Q63" i="30"/>
  <c r="T19" i="30"/>
  <c r="N19" i="30"/>
  <c r="V19" i="30"/>
  <c r="N23" i="30"/>
  <c r="N24" i="30" s="1"/>
  <c r="B63" i="30"/>
  <c r="J63" i="30"/>
  <c r="R63" i="30"/>
  <c r="A32" i="30"/>
  <c r="A34" i="30"/>
  <c r="A40" i="30"/>
  <c r="A42" i="30"/>
  <c r="A48" i="30"/>
  <c r="A50" i="30"/>
  <c r="C63" i="30"/>
  <c r="K63" i="30"/>
  <c r="S63" i="30"/>
  <c r="P19" i="30"/>
  <c r="D63" i="30"/>
  <c r="L63" i="30"/>
  <c r="T63" i="30"/>
  <c r="H63" i="30"/>
  <c r="Q19" i="30"/>
  <c r="E63" i="30"/>
  <c r="M63" i="30"/>
  <c r="Q23" i="29"/>
  <c r="O23" i="29"/>
  <c r="T19" i="29"/>
  <c r="P63" i="29"/>
  <c r="J19" i="29"/>
  <c r="R19" i="29"/>
  <c r="F57" i="29"/>
  <c r="N57" i="29"/>
  <c r="F59" i="29"/>
  <c r="N59" i="29"/>
  <c r="F63" i="29"/>
  <c r="N63" i="29"/>
  <c r="H63" i="29"/>
  <c r="K19" i="29"/>
  <c r="S19" i="29"/>
  <c r="K23" i="29"/>
  <c r="S23" i="29"/>
  <c r="A31" i="29"/>
  <c r="A33" i="29"/>
  <c r="A39" i="29"/>
  <c r="A41" i="29"/>
  <c r="A47" i="29"/>
  <c r="A49" i="29"/>
  <c r="G57" i="29"/>
  <c r="O57" i="29"/>
  <c r="G59" i="29"/>
  <c r="O59" i="29"/>
  <c r="G63" i="29"/>
  <c r="O63" i="29"/>
  <c r="M19" i="29"/>
  <c r="U19" i="29"/>
  <c r="M23" i="29"/>
  <c r="U23" i="29"/>
  <c r="I57" i="29"/>
  <c r="Q57" i="29"/>
  <c r="I63" i="29"/>
  <c r="Q63" i="29"/>
  <c r="F19" i="29"/>
  <c r="V19" i="29"/>
  <c r="F23" i="29"/>
  <c r="B63" i="29"/>
  <c r="J63" i="29"/>
  <c r="R63" i="29"/>
  <c r="L19" i="29"/>
  <c r="G19" i="29"/>
  <c r="O19" i="29"/>
  <c r="A32" i="29"/>
  <c r="A34" i="29"/>
  <c r="A40" i="29"/>
  <c r="A42" i="29"/>
  <c r="A48" i="29"/>
  <c r="A50" i="29"/>
  <c r="C63" i="29"/>
  <c r="K63" i="29"/>
  <c r="S63" i="29"/>
  <c r="P19" i="29"/>
  <c r="D63" i="29"/>
  <c r="L63" i="29"/>
  <c r="T63" i="29"/>
  <c r="E63" i="29"/>
  <c r="M63" i="29"/>
  <c r="K19" i="28"/>
  <c r="K20" i="28" s="1"/>
  <c r="S19" i="28"/>
  <c r="A31" i="28"/>
  <c r="A33" i="28"/>
  <c r="A37" i="28"/>
  <c r="A39" i="28"/>
  <c r="A41" i="28"/>
  <c r="A45" i="28"/>
  <c r="A47" i="28"/>
  <c r="A49" i="28"/>
  <c r="G57" i="28"/>
  <c r="O57" i="28"/>
  <c r="G59" i="28"/>
  <c r="O59" i="28"/>
  <c r="G63" i="28"/>
  <c r="O63" i="28"/>
  <c r="D19" i="28"/>
  <c r="D20" i="28" s="1"/>
  <c r="L23" i="28"/>
  <c r="L24" i="28" s="1"/>
  <c r="T23" i="28"/>
  <c r="T24" i="28" s="1"/>
  <c r="H59" i="28"/>
  <c r="P59" i="28"/>
  <c r="H63" i="28"/>
  <c r="P63" i="28"/>
  <c r="E19" i="28"/>
  <c r="E20" i="28" s="1"/>
  <c r="M19" i="28"/>
  <c r="M20" i="28" s="1"/>
  <c r="U19" i="28"/>
  <c r="M23" i="28"/>
  <c r="M24" i="28" s="1"/>
  <c r="I57" i="28"/>
  <c r="Q57" i="28"/>
  <c r="I63" i="28"/>
  <c r="Q63" i="28"/>
  <c r="R19" i="28"/>
  <c r="F19" i="28"/>
  <c r="F20" i="28" s="1"/>
  <c r="V19" i="28"/>
  <c r="V23" i="28"/>
  <c r="V24" i="28" s="1"/>
  <c r="B63" i="28"/>
  <c r="J63" i="28"/>
  <c r="R63" i="28"/>
  <c r="A32" i="28"/>
  <c r="A34" i="28"/>
  <c r="A40" i="28"/>
  <c r="A42" i="28"/>
  <c r="A48" i="28"/>
  <c r="A50" i="28"/>
  <c r="C63" i="28"/>
  <c r="K63" i="28"/>
  <c r="S63" i="28"/>
  <c r="H19" i="28"/>
  <c r="H20" i="28" s="1"/>
  <c r="D63" i="28"/>
  <c r="L63" i="28"/>
  <c r="T63" i="28"/>
  <c r="I19" i="28"/>
  <c r="I20" i="28" s="1"/>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A32" i="27"/>
  <c r="A34" i="27"/>
  <c r="A40" i="27"/>
  <c r="A42" i="27"/>
  <c r="A48" i="27"/>
  <c r="A50" i="27"/>
  <c r="C63" i="27"/>
  <c r="K63" i="27"/>
  <c r="S63" i="27"/>
  <c r="H19" i="27"/>
  <c r="H20" i="27" s="1"/>
  <c r="D63" i="27"/>
  <c r="L63" i="27"/>
  <c r="T63" i="27"/>
  <c r="H63" i="27"/>
  <c r="Q19" i="27"/>
  <c r="E63" i="27"/>
  <c r="M63" i="27"/>
  <c r="O23" i="26"/>
  <c r="O24" i="26" s="1"/>
  <c r="C19" i="26"/>
  <c r="C20" i="26" s="1"/>
  <c r="A31" i="26"/>
  <c r="A33" i="26"/>
  <c r="A37" i="26"/>
  <c r="A39" i="26"/>
  <c r="A41" i="26"/>
  <c r="A45" i="26"/>
  <c r="A47" i="26"/>
  <c r="A49" i="26"/>
  <c r="G57" i="26"/>
  <c r="O57" i="26"/>
  <c r="G59" i="26"/>
  <c r="O59" i="26"/>
  <c r="G63" i="26"/>
  <c r="O63" i="26"/>
  <c r="L19" i="26"/>
  <c r="L20" i="26" s="1"/>
  <c r="T19" i="26"/>
  <c r="L23" i="26"/>
  <c r="L24" i="26" s="1"/>
  <c r="T23" i="26"/>
  <c r="T24" i="26" s="1"/>
  <c r="H63" i="26"/>
  <c r="P63" i="26"/>
  <c r="E23" i="26"/>
  <c r="E24" i="26" s="1"/>
  <c r="I57" i="26"/>
  <c r="Q57" i="26"/>
  <c r="I59" i="26"/>
  <c r="Q59" i="26"/>
  <c r="Q64" i="26" s="1"/>
  <c r="I63" i="26"/>
  <c r="Q63" i="26"/>
  <c r="N19" i="26"/>
  <c r="N23" i="26"/>
  <c r="N24" i="26" s="1"/>
  <c r="V23" i="26"/>
  <c r="V24" i="26" s="1"/>
  <c r="B63" i="26"/>
  <c r="J63" i="26"/>
  <c r="R63" i="26"/>
  <c r="G19" i="26"/>
  <c r="G20" i="26" s="1"/>
  <c r="O19" i="26"/>
  <c r="A32" i="26"/>
  <c r="A34" i="26"/>
  <c r="A40" i="26"/>
  <c r="A42" i="26"/>
  <c r="A48" i="26"/>
  <c r="A50" i="26"/>
  <c r="C63" i="26"/>
  <c r="K63" i="26"/>
  <c r="S63" i="26"/>
  <c r="H19" i="26"/>
  <c r="H20" i="26" s="1"/>
  <c r="P19" i="26"/>
  <c r="D63" i="26"/>
  <c r="L63" i="26"/>
  <c r="I19" i="26"/>
  <c r="I20" i="26" s="1"/>
  <c r="P23" i="24"/>
  <c r="S19"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F19"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S23" i="23"/>
  <c r="A31" i="23"/>
  <c r="A33" i="23"/>
  <c r="A37" i="23"/>
  <c r="A39" i="23"/>
  <c r="A41" i="23"/>
  <c r="A45" i="23"/>
  <c r="A47" i="23"/>
  <c r="A49" i="23"/>
  <c r="G57" i="23"/>
  <c r="O57" i="23"/>
  <c r="G59" i="23"/>
  <c r="O59" i="23"/>
  <c r="L19" i="23"/>
  <c r="T19" i="23"/>
  <c r="D23" i="23"/>
  <c r="L23" i="23"/>
  <c r="T23" i="23"/>
  <c r="E19" i="23"/>
  <c r="E23" i="23"/>
  <c r="M23" i="23"/>
  <c r="I57" i="23"/>
  <c r="Q57" i="23"/>
  <c r="F23" i="23"/>
  <c r="O19" i="23"/>
  <c r="A32" i="23"/>
  <c r="A34" i="23"/>
  <c r="A40" i="23"/>
  <c r="A42" i="23"/>
  <c r="A48" i="23"/>
  <c r="A50" i="23"/>
  <c r="I19" i="23"/>
  <c r="Q19" i="23"/>
  <c r="U63" i="22"/>
  <c r="M63" i="22"/>
  <c r="E63" i="22"/>
  <c r="F63" i="22"/>
  <c r="T63" i="22"/>
  <c r="L63" i="22"/>
  <c r="D63" i="22"/>
  <c r="S63" i="22"/>
  <c r="K63" i="22"/>
  <c r="C63" i="22"/>
  <c r="N63" i="22"/>
  <c r="R63" i="22"/>
  <c r="J63" i="22"/>
  <c r="B63" i="22"/>
  <c r="Q63" i="22"/>
  <c r="I63" i="22"/>
  <c r="P63" i="22"/>
  <c r="H63" i="22"/>
  <c r="O63" i="22"/>
  <c r="G63" i="22"/>
  <c r="S19" i="22"/>
  <c r="D19" i="22"/>
  <c r="T19" i="22"/>
  <c r="T23" i="22"/>
  <c r="K23" i="22"/>
  <c r="A31" i="22"/>
  <c r="A33" i="22"/>
  <c r="A41" i="22"/>
  <c r="A47" i="22"/>
  <c r="E19" i="22"/>
  <c r="M19" i="22"/>
  <c r="E23" i="22"/>
  <c r="U23" i="22"/>
  <c r="I57" i="22"/>
  <c r="Q57" i="22"/>
  <c r="A39" i="22"/>
  <c r="A49" i="22"/>
  <c r="V19" i="22"/>
  <c r="V23" i="22"/>
  <c r="A32" i="22"/>
  <c r="A34" i="22"/>
  <c r="A40" i="22"/>
  <c r="A42" i="22"/>
  <c r="A48" i="22"/>
  <c r="A50" i="22"/>
  <c r="P19" i="22"/>
  <c r="P64" i="21"/>
  <c r="H23" i="21"/>
  <c r="H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L20" i="21" s="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L64" i="28" l="1"/>
  <c r="S65" i="27"/>
  <c r="Q65" i="27"/>
  <c r="I65" i="27"/>
  <c r="S65" i="26"/>
  <c r="Q65" i="26"/>
  <c r="L65" i="28"/>
  <c r="B65" i="30"/>
  <c r="K65" i="30"/>
  <c r="E65" i="30"/>
  <c r="K65" i="28"/>
  <c r="J65" i="28"/>
  <c r="D65" i="28"/>
  <c r="L65" i="21"/>
  <c r="K65" i="21"/>
  <c r="U66" i="26"/>
  <c r="U65" i="26"/>
  <c r="M64" i="26"/>
  <c r="M65" i="26" s="1"/>
  <c r="R64" i="27"/>
  <c r="R65" i="27" s="1"/>
  <c r="E65" i="27"/>
  <c r="T64" i="27"/>
  <c r="T65" i="27" s="1"/>
  <c r="C64" i="27"/>
  <c r="C65" i="27" s="1"/>
  <c r="D65" i="27"/>
  <c r="L65" i="26"/>
  <c r="H65" i="26"/>
  <c r="C65" i="26"/>
  <c r="C65" i="21"/>
  <c r="C23" i="21"/>
  <c r="C24" i="21" s="1"/>
  <c r="H64" i="30"/>
  <c r="H65" i="30" s="1"/>
  <c r="F64" i="26"/>
  <c r="F66" i="26" s="1"/>
  <c r="O64" i="21"/>
  <c r="O65" i="21" s="1"/>
  <c r="K64" i="22"/>
  <c r="K65" i="22" s="1"/>
  <c r="K64" i="27"/>
  <c r="K65" i="27" s="1"/>
  <c r="I64" i="30"/>
  <c r="I65" i="30" s="1"/>
  <c r="I64" i="23"/>
  <c r="I65" i="23" s="1"/>
  <c r="I64" i="26"/>
  <c r="I65" i="26" s="1"/>
  <c r="J64" i="27"/>
  <c r="J65" i="27" s="1"/>
  <c r="I64" i="28"/>
  <c r="I65" i="28" s="1"/>
  <c r="M64" i="22"/>
  <c r="M65" i="22" s="1"/>
  <c r="G64" i="30"/>
  <c r="G65" i="30" s="1"/>
  <c r="E64" i="22"/>
  <c r="E65" i="22" s="1"/>
  <c r="L64" i="22"/>
  <c r="L65" i="22" s="1"/>
  <c r="D64" i="22"/>
  <c r="D65" i="22" s="1"/>
  <c r="Q64" i="22"/>
  <c r="U64" i="22"/>
  <c r="U66" i="22" s="1"/>
  <c r="S64" i="23"/>
  <c r="M64" i="23"/>
  <c r="R64" i="23"/>
  <c r="R66" i="23" s="1"/>
  <c r="M64" i="29"/>
  <c r="M65" i="29" s="1"/>
  <c r="D64" i="29"/>
  <c r="D65" i="29" s="1"/>
  <c r="O64" i="24"/>
  <c r="I64" i="24"/>
  <c r="I65" i="24" s="1"/>
  <c r="M64" i="24"/>
  <c r="M65" i="24" s="1"/>
  <c r="S64" i="24"/>
  <c r="T64" i="26"/>
  <c r="E64" i="26"/>
  <c r="M64" i="28"/>
  <c r="M65" i="28" s="1"/>
  <c r="S64" i="28"/>
  <c r="P64" i="27"/>
  <c r="P65" i="27" s="1"/>
  <c r="G64" i="21"/>
  <c r="S64" i="21"/>
  <c r="S66" i="21" s="1"/>
  <c r="E64" i="21"/>
  <c r="F64" i="21"/>
  <c r="N64" i="28"/>
  <c r="N66" i="28" s="1"/>
  <c r="J64" i="21"/>
  <c r="F64" i="24"/>
  <c r="F64" i="28"/>
  <c r="D64" i="26"/>
  <c r="D65" i="26" s="1"/>
  <c r="H64" i="29"/>
  <c r="S64" i="30"/>
  <c r="S66" i="30" s="1"/>
  <c r="Q64" i="23"/>
  <c r="Q66" i="23" s="1"/>
  <c r="F64" i="30"/>
  <c r="K64" i="23"/>
  <c r="R64" i="26"/>
  <c r="R65" i="26" s="1"/>
  <c r="E64" i="24"/>
  <c r="J64" i="22"/>
  <c r="H64" i="21"/>
  <c r="H65" i="21" s="1"/>
  <c r="H64" i="28"/>
  <c r="G64" i="28"/>
  <c r="P64" i="26"/>
  <c r="P65" i="26" s="1"/>
  <c r="E64" i="28"/>
  <c r="N64" i="23"/>
  <c r="J64" i="26"/>
  <c r="J65" i="26" s="1"/>
  <c r="B64" i="23"/>
  <c r="M64" i="27"/>
  <c r="H64" i="27"/>
  <c r="G64" i="22"/>
  <c r="L64" i="29"/>
  <c r="L65" i="29" s="1"/>
  <c r="G64" i="24"/>
  <c r="H64" i="24"/>
  <c r="D64" i="23"/>
  <c r="D65" i="23" s="1"/>
  <c r="K64" i="24"/>
  <c r="K65" i="24" s="1"/>
  <c r="P64" i="24"/>
  <c r="U64" i="29"/>
  <c r="U66" i="29" s="1"/>
  <c r="O66" i="21"/>
  <c r="M64" i="30"/>
  <c r="K64" i="26"/>
  <c r="C64" i="28"/>
  <c r="C64" i="24"/>
  <c r="L64" i="27"/>
  <c r="R64" i="24"/>
  <c r="R66" i="24" s="1"/>
  <c r="K64" i="29"/>
  <c r="J64" i="29"/>
  <c r="E64" i="29"/>
  <c r="M64" i="21"/>
  <c r="M65" i="21" s="1"/>
  <c r="P64" i="28"/>
  <c r="P66" i="28" s="1"/>
  <c r="I64" i="21"/>
  <c r="U64" i="28"/>
  <c r="U66" i="28" s="1"/>
  <c r="U64" i="24"/>
  <c r="U66" i="24" s="1"/>
  <c r="F64" i="23"/>
  <c r="U64" i="27"/>
  <c r="C19" i="22"/>
  <c r="C20" i="22" s="1"/>
  <c r="S66" i="27"/>
  <c r="D66" i="30"/>
  <c r="Q66" i="30"/>
  <c r="N66" i="22"/>
  <c r="B64" i="22"/>
  <c r="B64" i="29"/>
  <c r="B64" i="28"/>
  <c r="B64" i="27"/>
  <c r="B64" i="26"/>
  <c r="B64" i="21"/>
  <c r="T66" i="29"/>
  <c r="P66" i="22"/>
  <c r="O64" i="27"/>
  <c r="O64" i="28"/>
  <c r="N64" i="27"/>
  <c r="N64" i="30"/>
  <c r="N66" i="30" s="1"/>
  <c r="L66" i="30"/>
  <c r="J66" i="28"/>
  <c r="G64" i="26"/>
  <c r="G64" i="29"/>
  <c r="F64" i="22"/>
  <c r="O64" i="26"/>
  <c r="R66" i="22"/>
  <c r="L66" i="22"/>
  <c r="T66" i="24"/>
  <c r="U66" i="23"/>
  <c r="P64" i="30"/>
  <c r="P66" i="30" s="1"/>
  <c r="C66" i="23"/>
  <c r="P66" i="23"/>
  <c r="E66" i="22"/>
  <c r="T66" i="23"/>
  <c r="Q66" i="21"/>
  <c r="P66" i="21"/>
  <c r="G64" i="23"/>
  <c r="Q66" i="24"/>
  <c r="H66" i="23"/>
  <c r="G64" i="27"/>
  <c r="G66" i="30"/>
  <c r="J66" i="30"/>
  <c r="F64" i="27"/>
  <c r="Q66" i="22"/>
  <c r="C66" i="22"/>
  <c r="T66" i="21"/>
  <c r="S66" i="23"/>
  <c r="H66" i="30"/>
  <c r="E66" i="30"/>
  <c r="S66" i="24"/>
  <c r="L66" i="21"/>
  <c r="S66" i="26"/>
  <c r="L66" i="28"/>
  <c r="L66" i="26"/>
  <c r="T66" i="30"/>
  <c r="C66" i="29"/>
  <c r="H66" i="22"/>
  <c r="R66" i="28"/>
  <c r="N64" i="26"/>
  <c r="O64" i="29"/>
  <c r="P64" i="29"/>
  <c r="P66" i="29" s="1"/>
  <c r="S64" i="1"/>
  <c r="D66" i="27"/>
  <c r="N64" i="29"/>
  <c r="N66" i="29" s="1"/>
  <c r="R66" i="30"/>
  <c r="L66" i="23"/>
  <c r="O66" i="22"/>
  <c r="R64" i="1"/>
  <c r="J66" i="23"/>
  <c r="Q64" i="1"/>
  <c r="U64" i="1"/>
  <c r="P64" i="1"/>
  <c r="E66" i="27"/>
  <c r="J66" i="24"/>
  <c r="Q66" i="29"/>
  <c r="F64" i="29"/>
  <c r="O64" i="23"/>
  <c r="O64" i="30"/>
  <c r="N64" i="24"/>
  <c r="N66" i="24" s="1"/>
  <c r="B66" i="30"/>
  <c r="B66" i="24"/>
  <c r="K66" i="30"/>
  <c r="C66" i="30"/>
  <c r="R66" i="29"/>
  <c r="I66" i="29"/>
  <c r="S66" i="29"/>
  <c r="T66" i="28"/>
  <c r="D66" i="28"/>
  <c r="Q66" i="28"/>
  <c r="I66" i="28"/>
  <c r="S66" i="28"/>
  <c r="K66" i="28"/>
  <c r="Q66" i="27"/>
  <c r="I66" i="27"/>
  <c r="Q66" i="26"/>
  <c r="P66" i="26"/>
  <c r="C66" i="26"/>
  <c r="H66" i="26"/>
  <c r="L66" i="24"/>
  <c r="P66" i="24"/>
  <c r="D66" i="24"/>
  <c r="K66" i="24"/>
  <c r="I66" i="23"/>
  <c r="N66" i="23"/>
  <c r="E66" i="23"/>
  <c r="I66" i="22"/>
  <c r="S66" i="22"/>
  <c r="T66" i="22"/>
  <c r="H66" i="21"/>
  <c r="K66" i="21"/>
  <c r="C66" i="21"/>
  <c r="D66" i="21"/>
  <c r="R66" i="21"/>
  <c r="N64" i="1"/>
  <c r="M64" i="1"/>
  <c r="M65" i="1" s="1"/>
  <c r="T64" i="1"/>
  <c r="L64" i="1"/>
  <c r="J64" i="1"/>
  <c r="K64" i="1"/>
  <c r="O64" i="1"/>
  <c r="O65" i="1" s="1"/>
  <c r="C64" i="1"/>
  <c r="C65" i="1" s="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M66" i="26" l="1"/>
  <c r="K66" i="27"/>
  <c r="D66" i="26"/>
  <c r="C66" i="27"/>
  <c r="F65" i="26"/>
  <c r="R66" i="26"/>
  <c r="U66" i="27"/>
  <c r="U65" i="27"/>
  <c r="I66" i="26"/>
  <c r="R66" i="27"/>
  <c r="P66" i="27"/>
  <c r="N66" i="27"/>
  <c r="N65" i="27"/>
  <c r="T66" i="26"/>
  <c r="T65" i="26"/>
  <c r="N66" i="26"/>
  <c r="N65" i="26"/>
  <c r="T66" i="27"/>
  <c r="L65" i="1"/>
  <c r="K65" i="1"/>
  <c r="J65" i="1"/>
  <c r="I65" i="1"/>
  <c r="H65" i="1"/>
  <c r="G65" i="1"/>
  <c r="F65" i="1"/>
  <c r="E65" i="1"/>
  <c r="D65" i="1"/>
  <c r="B65" i="1"/>
  <c r="K66" i="22"/>
  <c r="O66" i="24"/>
  <c r="O65" i="24"/>
  <c r="O66" i="30"/>
  <c r="O65" i="30"/>
  <c r="O66" i="23"/>
  <c r="O65" i="23"/>
  <c r="O66" i="28"/>
  <c r="O65" i="28"/>
  <c r="O66" i="26"/>
  <c r="O65" i="26"/>
  <c r="O66" i="29"/>
  <c r="O65" i="29"/>
  <c r="O66" i="27"/>
  <c r="O65" i="27"/>
  <c r="L66" i="29"/>
  <c r="L66" i="27"/>
  <c r="L65" i="27"/>
  <c r="J66" i="27"/>
  <c r="I66" i="30"/>
  <c r="D66" i="22"/>
  <c r="D66" i="23"/>
  <c r="D66" i="29"/>
  <c r="C66" i="24"/>
  <c r="C65" i="24"/>
  <c r="C66" i="28"/>
  <c r="C65" i="28"/>
  <c r="K66" i="23"/>
  <c r="K65" i="23"/>
  <c r="K66" i="29"/>
  <c r="K65" i="29"/>
  <c r="K66" i="26"/>
  <c r="K65" i="26"/>
  <c r="I66" i="24"/>
  <c r="J66" i="29"/>
  <c r="J65" i="29"/>
  <c r="J66" i="22"/>
  <c r="J65" i="22"/>
  <c r="J66" i="26"/>
  <c r="J66" i="21"/>
  <c r="J65" i="21"/>
  <c r="M66" i="24"/>
  <c r="I66" i="21"/>
  <c r="I65" i="21"/>
  <c r="M66" i="22"/>
  <c r="H66" i="24"/>
  <c r="H65" i="24"/>
  <c r="H66" i="27"/>
  <c r="H65" i="27"/>
  <c r="H66" i="28"/>
  <c r="H65" i="28"/>
  <c r="H66" i="29"/>
  <c r="H65" i="29"/>
  <c r="G66" i="26"/>
  <c r="G65" i="26"/>
  <c r="G66" i="24"/>
  <c r="G65" i="24"/>
  <c r="G66" i="27"/>
  <c r="G65" i="27"/>
  <c r="G66" i="28"/>
  <c r="G65" i="28"/>
  <c r="G66" i="22"/>
  <c r="G65" i="22"/>
  <c r="G66" i="23"/>
  <c r="G65" i="23"/>
  <c r="G66" i="29"/>
  <c r="G65" i="29"/>
  <c r="G66" i="21"/>
  <c r="G65" i="21"/>
  <c r="M66" i="29"/>
  <c r="F66" i="28"/>
  <c r="F65" i="28"/>
  <c r="F66" i="24"/>
  <c r="F65" i="24"/>
  <c r="F66" i="29"/>
  <c r="F65" i="29"/>
  <c r="F66" i="30"/>
  <c r="F65" i="30"/>
  <c r="F66" i="21"/>
  <c r="F65" i="21"/>
  <c r="F66" i="23"/>
  <c r="F65" i="23"/>
  <c r="F66" i="27"/>
  <c r="F65" i="27"/>
  <c r="F66" i="22"/>
  <c r="F65" i="22"/>
  <c r="M66" i="28"/>
  <c r="M66" i="21"/>
  <c r="E66" i="21"/>
  <c r="E65" i="21"/>
  <c r="E66" i="24"/>
  <c r="E65" i="24"/>
  <c r="E66" i="28"/>
  <c r="E65" i="28"/>
  <c r="E66" i="29"/>
  <c r="E65" i="29"/>
  <c r="E66" i="26"/>
  <c r="E65" i="26"/>
  <c r="M66" i="27"/>
  <c r="M65" i="27"/>
  <c r="M66" i="23"/>
  <c r="M65" i="23"/>
  <c r="M66" i="30"/>
  <c r="M65" i="30"/>
  <c r="B66" i="27"/>
  <c r="B65" i="27"/>
  <c r="B66" i="28"/>
  <c r="B65" i="28"/>
  <c r="B66" i="29"/>
  <c r="B65" i="29"/>
  <c r="B66" i="22"/>
  <c r="B65" i="22"/>
  <c r="B66" i="26"/>
  <c r="B65" i="26"/>
  <c r="B66" i="23"/>
  <c r="B65" i="23"/>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G22" i="1" l="1"/>
  <c r="G23" i="1" s="1"/>
  <c r="G24" i="1" s="1"/>
  <c r="K3" i="20"/>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<sst xmlns="http://schemas.openxmlformats.org/spreadsheetml/2006/main" count="2196" uniqueCount="198">
  <si>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</si>
  <si>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</si>
  <si>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</si>
  <si>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</si>
  <si>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</si>
  <si>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</si>
  <si>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</si>
  <si>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</si>
  <si>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</si>
  <si>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</si>
  <si>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</si>
  <si>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</si>
  <si>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</si>
  <si>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</si>
  <si>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</si>
  <si>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</si>
  <si>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</si>
  <si>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</si>
  <si>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</si>
  <si>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</si>
  <si>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</si>
  <si>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</si>
  <si>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</si>
  <si>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</si>
  <si>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</si>
  <si>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</si>
  <si>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</si>
  <si>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</si>
  <si>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</si>
  <si>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</si>
  <si>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</si>
  <si>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</si>
  <si>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</si>
  <si>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</si>
  <si>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</si>
  <si>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</si>
  <si>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</si>
  <si>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</si>
  <si>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</si>
  <si>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</si>
  <si>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</si>
  <si>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</si>
  <si>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</si>
  <si>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</si>
  <si>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</si>
  <si>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</si>
  <si>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</si>
  <si>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</si>
  <si>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</si>
  <si>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</si>
  <si>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</si>
  <si>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</si>
  <si>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</si>
  <si>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</si>
  <si>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</si>
  <si>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</si>
  <si>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</si>
  <si>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</si>
  <si>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</si>
  <si>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</si>
  <si>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</si>
  <si>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</si>
  <si>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</si>
  <si>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</si>
  <si>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</si>
  <si>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</si>
  <si>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</si>
  <si>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</si>
  <si>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</si>
  <si>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</si>
  <si>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</si>
  <si>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</si>
  <si>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</si>
  <si>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</si>
  <si>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</si>
  <si>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</si>
  <si>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</si>
  <si>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</si>
  <si>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</si>
  <si>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</si>
  <si>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</si>
  <si>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</si>
  <si>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</si>
  <si>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</si>
  <si>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</si>
  <si>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</si>
  <si>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</si>
  <si>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</si>
  <si>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</si>
  <si>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</si>
  <si>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</si>
  <si>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</si>
  <si>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</si>
  <si>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</si>
  <si>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</si>
  <si>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</si>
  <si>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</si>
  <si>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</si>
  <si>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</si>
  <si>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</si>
  <si>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</si>
  <si>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</si>
  <si>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</si>
  <si>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</si>
  <si>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</si>
  <si>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</si>
  <si>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</si>
  <si>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</si>
  <si>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</si>
  <si>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</si>
  <si>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</si>
  <si>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</si>
  <si>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</si>
  <si>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</si>
  <si>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</si>
  <si>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</si>
  <si>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</si>
  <si>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</si>
  <si>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</si>
  <si>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</si>
  <si>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</si>
  <si>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</si>
  <si>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</si>
  <si>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</si>
  <si>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</si>
  <si>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</si>
  <si>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</si>
  <si>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</si>
  <si>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</si>
  <si>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</si>
  <si>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</si>
  <si>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</si>
  <si>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</si>
  <si>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</si>
  <si>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</si>
  <si>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</si>
  <si>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</si>
  <si>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</si>
  <si>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</si>
  <si>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</si>
  <si>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</si>
  <si>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</si>
  <si>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</si>
  <si>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</si>
  <si>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</si>
  <si>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</si>
  <si>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</si>
  <si>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</si>
  <si>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</si>
  <si>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</si>
  <si>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</si>
  <si>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</si>
  <si>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</si>
  <si>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</si>
  <si>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</si>
  <si>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</si>
  <si>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</si>
  <si>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</si>
  <si>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</si>
  <si>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</si>
  <si>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PAN-027465</t>
  </si>
  <si>
    <t>EPR/AB3891CX</t>
  </si>
  <si>
    <t>Mr Daniel James and Mrs Carys James</t>
  </si>
  <si>
    <t>Hook Farm and New House Farm</t>
  </si>
  <si>
    <t>Rhiannon Smith</t>
  </si>
  <si>
    <t>49.2ha</t>
  </si>
  <si>
    <t>19 09 02</t>
  </si>
  <si>
    <t>DCWW Llechryd Stackable</t>
  </si>
  <si>
    <t>DCWW Preseli Stackable</t>
  </si>
  <si>
    <t>DCWW Bolton Hill Stackable</t>
  </si>
  <si>
    <t>DCWW Bolton Hill Non Stackable</t>
  </si>
  <si>
    <t>DCWW Preseli Non-Stackable</t>
  </si>
  <si>
    <t>DCWW Llecryd Non-Stackable</t>
  </si>
  <si>
    <t>Hook Field 2</t>
  </si>
  <si>
    <t>Hook Field 3</t>
  </si>
  <si>
    <t>Hook Field 4</t>
  </si>
  <si>
    <t>Hook Field 8</t>
  </si>
  <si>
    <t>Hook Field 10</t>
  </si>
  <si>
    <t>Hook Field 20</t>
  </si>
  <si>
    <t>Moderate</t>
  </si>
  <si>
    <t>Application rate</t>
  </si>
  <si>
    <t>Yield (fw/ha)</t>
  </si>
  <si>
    <t>Bolton (cake)</t>
  </si>
  <si>
    <t>Preseili (cake)</t>
  </si>
  <si>
    <t>Llecryd (cake)</t>
  </si>
  <si>
    <t>Bolton (liquid)</t>
  </si>
  <si>
    <t>Preseli (liquid)</t>
  </si>
  <si>
    <t>Llecryd (liquid)</t>
  </si>
  <si>
    <t>Phosphate kg/t</t>
  </si>
  <si>
    <t>Potash kg/t</t>
  </si>
  <si>
    <t>Phosphate offtake total</t>
  </si>
  <si>
    <t>Potash offtake total</t>
  </si>
  <si>
    <t>Phosphate addition total</t>
  </si>
  <si>
    <t>Potash addition total</t>
  </si>
  <si>
    <t>Phosphate difference</t>
  </si>
  <si>
    <t>Potash difference</t>
  </si>
  <si>
    <t>Cauliflower (Hook Field 3)</t>
  </si>
  <si>
    <t xml:space="preserve">Stubble turnip assumed as beet stubble. No yield. Minimal additions to field so of no concern.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</si>
</sst>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2" fontId="0" fillId="0" borderId="0" xfId="0" applyNumberFormat="1"/>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0">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 Id="rId22"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99" dataDxfId="397" headerRowBorderDxfId="398" tableBorderDxfId="396" totalsRowBorderDxfId="395">
  <autoFilter ref="AI1:AN26" xr:uid="{F8B5EC87-3095-445A-A980-2CFAA0A7B9A2}"/>
  <sortState xmlns:xlrd2="http://schemas.microsoft.com/office/spreadsheetml/2017/richdata2" ref="AI2:AL25">
    <sortCondition ref="AL1:AL25"/>
  </sortState>
  <tableColumns count="6">
    <tableColumn id="1" xr3:uid="{360F44E4-7249-415F-8D5E-41D249F9A162}" name="Crop" dataDxfId="394"/>
    <tableColumn id="2" xr3:uid="{55E07717-B4EC-4E8A-B9A9-34F3CF85E32D}" name="P Offtake" dataDxfId="393"/>
    <tableColumn id="3" xr3:uid="{7B25FA52-8104-4FE3-AED4-B53CBFDF89B2}" name="K Offtake" dataDxfId="392"/>
    <tableColumn id="4" xr3:uid="{0DBAE461-2D09-43C8-9342-3980D552AE4D}" name="Order" dataDxfId="391"/>
    <tableColumn id="5" xr3:uid="{52CACE7B-0CBA-46FC-9F24-02CBD6100239}" name="Lime pH requirement" dataDxfId="390"/>
    <tableColumn id="6" xr3:uid="{F1432630-9B16-4266-8147-CE754A715307}" name="Column1" dataDxfId="38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7E96A84B-948F-445F-BD6E-30CC8E6E6DD1}" name="Crop" dataDxfId="383"/>
    <tableColumn id="2" xr3:uid="{12657DDB-F680-47DE-ABB1-8675D5F91E41}" name="P Offtake" dataDxfId="382"/>
    <tableColumn id="3" xr3:uid="{DEB99109-D325-4F98-8A71-E70C03433437}" name="K Offtake" dataDxfId="381"/>
    <tableColumn id="4" xr3:uid="{E96A561F-7E7F-4FB3-97AA-0B35D8C8E93A}" name="Order" dataDxfId="380"/>
    <tableColumn id="5" xr3:uid="{181DD475-0A71-4C52-AF1A-8BFF46F5A827}" name="Lime pH requirement" dataDxfId="379"/>
    <tableColumn id="6" xr3:uid="{AC3FA7E8-D76B-43A3-B715-04446DFF63C6}" name="Column1" dataDxfId="37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7" dataDxfId="375" headerRowBorderDxfId="376" tableBorderDxfId="374" totalsRowBorderDxfId="373">
  <autoFilter ref="AI1:AN26" xr:uid="{F8B5EC87-3095-445A-A980-2CFAA0A7B9A2}"/>
  <sortState xmlns:xlrd2="http://schemas.microsoft.com/office/spreadsheetml/2017/richdata2" ref="AI2:AL25">
    <sortCondition ref="AL1:AL25"/>
  </sortState>
  <tableColumns count="6">
    <tableColumn id="1" xr3:uid="{06008BA1-A1E9-4286-B67A-352533C06A26}" name="Crop" dataDxfId="372"/>
    <tableColumn id="2" xr3:uid="{2AEB5EEB-C9D1-41DC-913E-953A33D1A4AF}" name="P Offtake" dataDxfId="371"/>
    <tableColumn id="3" xr3:uid="{8FA16A0B-1017-4CEE-862E-0A8CBD8EB3D3}" name="K Offtake" dataDxfId="370"/>
    <tableColumn id="4" xr3:uid="{E7A3B8CD-4036-47F4-B818-C3F22E80C749}" name="Order" dataDxfId="369"/>
    <tableColumn id="5" xr3:uid="{8F3EBD84-7904-4559-9B5C-63088B792C98}" name="Lime pH requirement" dataDxfId="368"/>
    <tableColumn id="6" xr3:uid="{A21DD95A-C955-4510-9114-E3F1CB645370}" name="Column1" dataDxfId="36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6" dataDxfId="364" headerRowBorderDxfId="365" tableBorderDxfId="363" totalsRowBorderDxfId="362">
  <autoFilter ref="AI1:AN26" xr:uid="{F8B5EC87-3095-445A-A980-2CFAA0A7B9A2}"/>
  <sortState xmlns:xlrd2="http://schemas.microsoft.com/office/spreadsheetml/2017/richdata2" ref="AI2:AL25">
    <sortCondition ref="AL1:AL25"/>
  </sortState>
  <tableColumns count="6">
    <tableColumn id="1" xr3:uid="{11579FCC-3D9F-49AD-888D-5D79B801F6AE}" name="Crop" dataDxfId="361"/>
    <tableColumn id="2" xr3:uid="{05C08116-56D5-4CC6-A649-B06AF891B931}" name="P Offtake" dataDxfId="360"/>
    <tableColumn id="3" xr3:uid="{59CDE959-192B-4757-9203-A0F691CF0F96}" name="K Offtake" dataDxfId="359"/>
    <tableColumn id="4" xr3:uid="{9FB8E4F7-B91F-4CE0-AF39-D4895D0ECF2F}" name="Order" dataDxfId="358"/>
    <tableColumn id="5" xr3:uid="{688FF2A4-D7C6-4425-A915-A9ADD700A9EE}" name="Lime pH requirement" dataDxfId="357"/>
    <tableColumn id="6" xr3:uid="{05FC5CFF-3D81-4B5F-87C7-2364076F2714}" name="Column1" dataDxfId="35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5" dataDxfId="353" headerRowBorderDxfId="354" tableBorderDxfId="352" totalsRowBorderDxfId="351">
  <autoFilter ref="AI1:AN26" xr:uid="{F8B5EC87-3095-445A-A980-2CFAA0A7B9A2}"/>
  <sortState xmlns:xlrd2="http://schemas.microsoft.com/office/spreadsheetml/2017/richdata2" ref="AI2:AL25">
    <sortCondition ref="AL1:AL25"/>
  </sortState>
  <tableColumns count="6">
    <tableColumn id="1" xr3:uid="{973D7FFB-D248-4199-9B2E-B3C6CC09D382}" name="Crop" dataDxfId="350"/>
    <tableColumn id="2" xr3:uid="{7F2A3986-EC86-4CF9-BD10-791170BA6682}" name="P Offtake" dataDxfId="349"/>
    <tableColumn id="3" xr3:uid="{D6129C35-9DC6-42E5-AE3F-EA3A083168E6}" name="K Offtake" dataDxfId="348"/>
    <tableColumn id="4" xr3:uid="{C1CC42B5-564A-4DE7-B817-B7D686FE9A11}" name="Order" dataDxfId="347"/>
    <tableColumn id="5" xr3:uid="{620F3ABD-564C-411A-8DEA-CE1A34F9FC36}" name="Lime pH requirement" dataDxfId="346"/>
    <tableColumn id="6" xr3:uid="{76C9BC4F-4FF3-4AFB-8E7B-16DC0CC3E97C}" name="Column1" dataDxfId="34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4" dataDxfId="342" headerRowBorderDxfId="343" tableBorderDxfId="341" totalsRowBorderDxfId="340">
  <autoFilter ref="AI1:AN26" xr:uid="{F8B5EC87-3095-445A-A980-2CFAA0A7B9A2}"/>
  <sortState xmlns:xlrd2="http://schemas.microsoft.com/office/spreadsheetml/2017/richdata2" ref="AI2:AL25">
    <sortCondition ref="AL1:AL25"/>
  </sortState>
  <tableColumns count="6">
    <tableColumn id="1" xr3:uid="{D13A12FC-EAE6-4280-A219-C2622262E5F4}" name="Crop" dataDxfId="339"/>
    <tableColumn id="2" xr3:uid="{FD06C4A3-4B75-490D-88CF-232C7DC3EFC6}" name="P Offtake" dataDxfId="338"/>
    <tableColumn id="3" xr3:uid="{B043BEFF-10D4-4840-989B-BB13A502ECDF}" name="K Offtake" dataDxfId="337"/>
    <tableColumn id="4" xr3:uid="{48481FDC-5D20-466C-B554-D45886EA366A}" name="Order" dataDxfId="336"/>
    <tableColumn id="5" xr3:uid="{9E0852D2-9D0D-44AB-98B7-FBA51F331ACF}" name="Lime pH requirement" dataDxfId="335"/>
    <tableColumn id="6" xr3:uid="{29F9C4A5-6854-4F37-8BD1-0DD9B6024A55}" name="Column1" dataDxfId="33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3" dataDxfId="331" headerRowBorderDxfId="332" tableBorderDxfId="330" totalsRowBorderDxfId="329">
  <autoFilter ref="AI1:AN26" xr:uid="{F8B5EC87-3095-445A-A980-2CFAA0A7B9A2}"/>
  <sortState xmlns:xlrd2="http://schemas.microsoft.com/office/spreadsheetml/2017/richdata2" ref="AI2:AL25">
    <sortCondition ref="AL1:AL25"/>
  </sortState>
  <tableColumns count="6">
    <tableColumn id="1" xr3:uid="{1B554ED3-7AAF-4192-827C-B071945474B8}" name="Crop" dataDxfId="328"/>
    <tableColumn id="2" xr3:uid="{35F435E0-8D8E-44D1-84BD-C2FF51C3F944}" name="P Offtake" dataDxfId="327"/>
    <tableColumn id="3" xr3:uid="{38465C9D-AA8F-443A-80F5-96D1F6258317}" name="K Offtake" dataDxfId="326"/>
    <tableColumn id="4" xr3:uid="{E0C0E6AF-5628-4BC3-9625-81A87B93D279}" name="Order" dataDxfId="325"/>
    <tableColumn id="5" xr3:uid="{ACDE1D9A-7F94-4404-BDDC-1235C32C758F}" name="Lime pH requirement" dataDxfId="324"/>
    <tableColumn id="6" xr3:uid="{B093C9DF-C4CF-4906-9658-89F446EB9C12}" name="Column1" dataDxfId="323"/>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2" dataDxfId="320" headerRowBorderDxfId="321" tableBorderDxfId="319" totalsRowBorderDxfId="318">
  <autoFilter ref="AI1:AN26" xr:uid="{F8B5EC87-3095-445A-A980-2CFAA0A7B9A2}"/>
  <sortState xmlns:xlrd2="http://schemas.microsoft.com/office/spreadsheetml/2017/richdata2" ref="AI2:AL25">
    <sortCondition ref="AL1:AL25"/>
  </sortState>
  <tableColumns count="6">
    <tableColumn id="1" xr3:uid="{C4B2E6E9-5990-417D-9E04-7933BDF1FC69}" name="Crop" dataDxfId="317"/>
    <tableColumn id="2" xr3:uid="{E74EF8D0-6C68-49B8-AE52-40C276CA5FC9}" name="P Offtake" dataDxfId="316"/>
    <tableColumn id="3" xr3:uid="{9E0A7857-36E3-482D-B4B2-65B90760417F}" name="K Offtake" dataDxfId="315"/>
    <tableColumn id="4" xr3:uid="{A78867D2-7566-4070-AF99-15EE4CEB1699}" name="Order" dataDxfId="314"/>
    <tableColumn id="5" xr3:uid="{240FD5FA-5659-468E-8544-C93086800EC9}" name="Lime pH requirement" dataDxfId="313"/>
    <tableColumn id="6" xr3:uid="{D5C8E9C3-9076-473B-AE62-DA32692BAABC}" name="Column1" dataDxfId="3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1" dataDxfId="309" headerRowBorderDxfId="310" tableBorderDxfId="308" totalsRowBorderDxfId="307">
  <autoFilter ref="AI1:AN26" xr:uid="{F8B5EC87-3095-445A-A980-2CFAA0A7B9A2}"/>
  <sortState xmlns:xlrd2="http://schemas.microsoft.com/office/spreadsheetml/2017/richdata2" ref="AI2:AL25">
    <sortCondition ref="AL1:AL25"/>
  </sortState>
  <tableColumns count="6">
    <tableColumn id="1" xr3:uid="{82F1A1D2-F5AA-4D76-98E8-3C18592FB8CF}" name="Crop" dataDxfId="306"/>
    <tableColumn id="2" xr3:uid="{17F60BEE-3BBA-4198-AA21-518EC4696EB6}" name="P Offtake" dataDxfId="305"/>
    <tableColumn id="3" xr3:uid="{95D820EB-2583-433A-A070-6E8356E186E7}" name="K Offtake" dataDxfId="304"/>
    <tableColumn id="4" xr3:uid="{F3AE1839-F59F-4A70-B11A-A32E3FDD1A00}" name="Order" dataDxfId="303"/>
    <tableColumn id="5" xr3:uid="{C52880C5-B266-4CF0-9A11-778ABC47F9F0}" name="Lime pH requirement" dataDxfId="302"/>
    <tableColumn id="6" xr3:uid="{233F7657-9414-44B1-9E43-A91A69CB97ED}" name="Column1" dataDxfId="30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0" dataDxfId="298" headerRowBorderDxfId="299" tableBorderDxfId="297" totalsRowBorderDxfId="296">
  <autoFilter ref="AI1:AN26" xr:uid="{F8B5EC87-3095-445A-A980-2CFAA0A7B9A2}"/>
  <sortState xmlns:xlrd2="http://schemas.microsoft.com/office/spreadsheetml/2017/richdata2" ref="AI2:AL25">
    <sortCondition ref="AL1:AL25"/>
  </sortState>
  <tableColumns count="6">
    <tableColumn id="1" xr3:uid="{34C99CE0-FFE9-4282-9A7F-89014FFD2010}" name="Crop" dataDxfId="295"/>
    <tableColumn id="2" xr3:uid="{D81725A7-3522-491F-9BAF-35ADAADB5C49}" name="P Offtake" dataDxfId="294"/>
    <tableColumn id="3" xr3:uid="{E1F3CA70-D73E-4B9D-9A9F-F209536EAEFF}" name="K Offtake" dataDxfId="293"/>
    <tableColumn id="4" xr3:uid="{41F03B60-DF58-4AA1-9642-EF87A44AF9EC}" name="Order" dataDxfId="292"/>
    <tableColumn id="5" xr3:uid="{F3D9EC0E-6F67-4466-B24D-F47864B8CBA4}" name="Lime pH requirement" dataDxfId="291"/>
    <tableColumn id="6" xr3:uid="{D49CA6DF-7C49-4445-A0D2-0F2C2FDFB7ED}" name="Column1" dataDxfId="29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A27" zoomScale="90" zoomScaleNormal="90" workbookViewId="0">
      <selection activeCell="D38" sqref="D38"/>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13.140625"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1" width="13.140625" style="9" hidden="1" customWidth="1"/>
    <col min="42" max="42" width="0" style="9" hidden="1" customWidth="1"/>
    <col min="43" max="16384" width="13.140625" style="9"/>
  </cols>
  <sheetData>
    <row r="1" spans="1:40" x14ac:dyDescent="0.2">
      <c r="A1" s="131" t="s">
        <v>41</v>
      </c>
      <c r="B1" s="132"/>
      <c r="C1" s="161" t="s">
        <v>160</v>
      </c>
      <c r="D1" s="162"/>
      <c r="E1" s="106" t="s">
        <v>45</v>
      </c>
      <c r="F1" s="109" t="s">
        <v>165</v>
      </c>
      <c r="G1" s="163" t="s">
        <v>43</v>
      </c>
      <c r="H1" s="164"/>
      <c r="I1" s="109">
        <v>6.6</v>
      </c>
      <c r="J1" s="131" t="s">
        <v>153</v>
      </c>
      <c r="K1" s="132"/>
      <c r="L1" s="109">
        <v>33.799999999999997</v>
      </c>
      <c r="AB1" s="13"/>
      <c r="AC1" s="13"/>
      <c r="AD1" s="22" t="s">
        <v>126</v>
      </c>
      <c r="AE1" s="13"/>
      <c r="AF1" s="13"/>
      <c r="AG1" s="13"/>
      <c r="AH1" s="13"/>
      <c r="AI1" s="30" t="s">
        <v>79</v>
      </c>
      <c r="AJ1" s="31" t="s">
        <v>94</v>
      </c>
      <c r="AK1" s="32" t="s">
        <v>95</v>
      </c>
      <c r="AL1" s="33" t="s">
        <v>125</v>
      </c>
      <c r="AM1" s="33" t="s">
        <v>131</v>
      </c>
      <c r="AN1" s="33" t="s">
        <v>111</v>
      </c>
    </row>
    <row r="2" spans="1:40" x14ac:dyDescent="0.2">
      <c r="A2" s="133" t="s">
        <v>87</v>
      </c>
      <c r="B2" s="134"/>
      <c r="C2" s="155" t="s">
        <v>161</v>
      </c>
      <c r="D2" s="156"/>
      <c r="E2" s="96" t="s">
        <v>109</v>
      </c>
      <c r="F2" s="110" t="s">
        <v>166</v>
      </c>
      <c r="G2" s="165" t="s">
        <v>110</v>
      </c>
      <c r="H2" s="166"/>
      <c r="I2" s="110"/>
      <c r="J2" s="133" t="s">
        <v>158</v>
      </c>
      <c r="K2" s="134"/>
      <c r="L2" s="110">
        <v>1.07</v>
      </c>
      <c r="AB2" s="22" t="s">
        <v>56</v>
      </c>
      <c r="AC2" s="13"/>
      <c r="AD2" s="22" t="s">
        <v>70</v>
      </c>
      <c r="AE2" s="13"/>
      <c r="AF2" s="13"/>
      <c r="AG2" s="34" t="s">
        <v>76</v>
      </c>
      <c r="AH2" s="13"/>
      <c r="AI2" s="35" t="s">
        <v>126</v>
      </c>
      <c r="AJ2" s="36">
        <v>0</v>
      </c>
      <c r="AK2" s="37">
        <v>0</v>
      </c>
      <c r="AL2" s="7">
        <v>0</v>
      </c>
      <c r="AM2" s="9">
        <v>0</v>
      </c>
      <c r="AN2" s="9">
        <v>0</v>
      </c>
    </row>
    <row r="3" spans="1:40" x14ac:dyDescent="0.2">
      <c r="A3" s="135" t="s">
        <v>42</v>
      </c>
      <c r="B3" s="136"/>
      <c r="C3" s="155" t="s">
        <v>162</v>
      </c>
      <c r="D3" s="156"/>
      <c r="E3" s="96" t="s">
        <v>108</v>
      </c>
      <c r="F3" s="111" t="s">
        <v>104</v>
      </c>
      <c r="G3" s="133" t="s">
        <v>159</v>
      </c>
      <c r="H3" s="134"/>
      <c r="I3" s="110"/>
      <c r="J3" s="135" t="s">
        <v>154</v>
      </c>
      <c r="K3" s="136"/>
      <c r="L3" s="110">
        <f>(L1/(L2*10000))*100</f>
        <v>0.31588785046728968</v>
      </c>
      <c r="AB3" s="22" t="s">
        <v>57</v>
      </c>
      <c r="AC3" s="13"/>
      <c r="AD3" s="22" t="s">
        <v>71</v>
      </c>
      <c r="AE3" s="13"/>
      <c r="AF3" s="13"/>
      <c r="AG3" s="34" t="s">
        <v>77</v>
      </c>
      <c r="AH3" s="13"/>
      <c r="AI3" s="38" t="s">
        <v>113</v>
      </c>
      <c r="AJ3" s="39">
        <v>1.7</v>
      </c>
      <c r="AK3" s="40">
        <v>6</v>
      </c>
      <c r="AL3" s="41">
        <v>1</v>
      </c>
      <c r="AM3" s="9">
        <v>6.2</v>
      </c>
      <c r="AN3" s="9" t="s">
        <v>112</v>
      </c>
    </row>
    <row r="4" spans="1:40" x14ac:dyDescent="0.2">
      <c r="A4" s="133" t="s">
        <v>0</v>
      </c>
      <c r="B4" s="134"/>
      <c r="C4" s="157" t="s">
        <v>163</v>
      </c>
      <c r="D4" s="158"/>
      <c r="E4" s="99" t="s">
        <v>1</v>
      </c>
      <c r="F4" s="110" t="s">
        <v>169</v>
      </c>
      <c r="G4" s="133"/>
      <c r="H4" s="134"/>
      <c r="I4" s="110"/>
      <c r="J4" s="135"/>
      <c r="K4" s="136"/>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25">
      <c r="A5" s="147" t="s">
        <v>47</v>
      </c>
      <c r="B5" s="148"/>
      <c r="C5" s="159" t="s">
        <v>164</v>
      </c>
      <c r="D5" s="160"/>
      <c r="E5" s="112"/>
      <c r="F5" s="108"/>
      <c r="G5" s="147"/>
      <c r="H5" s="148"/>
      <c r="I5" s="108"/>
      <c r="J5" s="137"/>
      <c r="K5" s="138"/>
      <c r="L5" s="108"/>
      <c r="AB5" s="22" t="s">
        <v>53</v>
      </c>
      <c r="AC5" s="13"/>
      <c r="AD5" s="42" t="s">
        <v>73</v>
      </c>
      <c r="AE5" s="13"/>
      <c r="AF5" s="13"/>
      <c r="AG5" s="34" t="s">
        <v>104</v>
      </c>
      <c r="AH5" s="13"/>
      <c r="AI5" s="43" t="s">
        <v>123</v>
      </c>
      <c r="AJ5" s="44">
        <v>6.5</v>
      </c>
      <c r="AK5" s="45">
        <v>5.5</v>
      </c>
      <c r="AL5" s="9">
        <v>3</v>
      </c>
      <c r="AM5" s="9">
        <v>6.7</v>
      </c>
      <c r="AN5" s="9" t="s">
        <v>135</v>
      </c>
    </row>
    <row r="6" spans="1:40"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x14ac:dyDescent="0.2">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x14ac:dyDescent="0.2">
      <c r="A8" s="133" t="s">
        <v>2</v>
      </c>
      <c r="B8" s="134"/>
      <c r="C8" s="11" t="s">
        <v>173</v>
      </c>
      <c r="D8" s="11" t="s">
        <v>174</v>
      </c>
      <c r="E8" s="11" t="s">
        <v>175</v>
      </c>
      <c r="F8" s="11" t="s">
        <v>176</v>
      </c>
      <c r="G8" s="11" t="s">
        <v>177</v>
      </c>
      <c r="H8" s="11" t="s">
        <v>178</v>
      </c>
      <c r="I8" s="11">
        <v>1</v>
      </c>
      <c r="J8" s="11">
        <v>2</v>
      </c>
      <c r="K8" s="11">
        <v>3</v>
      </c>
      <c r="L8" s="11">
        <v>4</v>
      </c>
      <c r="M8" s="11">
        <v>7</v>
      </c>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x14ac:dyDescent="0.2">
      <c r="A9" s="133" t="s">
        <v>3</v>
      </c>
      <c r="B9" s="134"/>
      <c r="C9" s="11">
        <v>1</v>
      </c>
      <c r="D9" s="11">
        <v>1</v>
      </c>
      <c r="E9" s="11" t="s">
        <v>179</v>
      </c>
      <c r="F9" s="11">
        <v>1</v>
      </c>
      <c r="G9" s="11">
        <v>2</v>
      </c>
      <c r="H9" s="11" t="s">
        <v>179</v>
      </c>
      <c r="I9" s="11" t="s">
        <v>179</v>
      </c>
      <c r="J9" s="11" t="s">
        <v>179</v>
      </c>
      <c r="K9" s="11">
        <v>1</v>
      </c>
      <c r="L9" s="11" t="s">
        <v>179</v>
      </c>
      <c r="M9" s="11">
        <v>1</v>
      </c>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x14ac:dyDescent="0.2">
      <c r="A10" s="133" t="s">
        <v>4</v>
      </c>
      <c r="B10" s="134"/>
      <c r="C10" s="11">
        <v>6.9</v>
      </c>
      <c r="D10" s="11">
        <v>6.8</v>
      </c>
      <c r="E10" s="11">
        <v>6.8</v>
      </c>
      <c r="F10" s="11">
        <v>6.6</v>
      </c>
      <c r="G10" s="11">
        <v>7.1</v>
      </c>
      <c r="H10" s="11">
        <v>7.3</v>
      </c>
      <c r="I10" s="11">
        <v>6.4</v>
      </c>
      <c r="J10" s="11">
        <v>6.2</v>
      </c>
      <c r="K10" s="11">
        <v>6.2</v>
      </c>
      <c r="L10" s="11">
        <v>6.7</v>
      </c>
      <c r="M10" s="11">
        <v>6.3</v>
      </c>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x14ac:dyDescent="0.2">
      <c r="A11" s="133" t="s">
        <v>5</v>
      </c>
      <c r="B11" s="134"/>
      <c r="C11" s="11">
        <v>3</v>
      </c>
      <c r="D11" s="11">
        <v>3</v>
      </c>
      <c r="E11" s="11">
        <v>3</v>
      </c>
      <c r="F11" s="11">
        <v>3</v>
      </c>
      <c r="G11" s="11">
        <v>3</v>
      </c>
      <c r="H11" s="11">
        <v>3</v>
      </c>
      <c r="I11" s="11">
        <v>3</v>
      </c>
      <c r="J11" s="11">
        <v>2</v>
      </c>
      <c r="K11" s="11">
        <v>2</v>
      </c>
      <c r="L11" s="11">
        <v>3</v>
      </c>
      <c r="M11" s="11">
        <v>3</v>
      </c>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x14ac:dyDescent="0.2">
      <c r="A12" s="133" t="s">
        <v>6</v>
      </c>
      <c r="B12" s="134"/>
      <c r="C12" s="11">
        <v>3</v>
      </c>
      <c r="D12" s="11">
        <v>3</v>
      </c>
      <c r="E12" s="11">
        <v>2</v>
      </c>
      <c r="F12" s="11">
        <v>3</v>
      </c>
      <c r="G12" s="11">
        <v>2</v>
      </c>
      <c r="H12" s="11">
        <v>2</v>
      </c>
      <c r="I12" s="11">
        <v>2</v>
      </c>
      <c r="J12" s="11">
        <v>2</v>
      </c>
      <c r="K12" s="11">
        <v>2</v>
      </c>
      <c r="L12" s="11">
        <v>2</v>
      </c>
      <c r="M12" s="11">
        <v>1</v>
      </c>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x14ac:dyDescent="0.2">
      <c r="A13" s="133" t="s">
        <v>7</v>
      </c>
      <c r="B13" s="134"/>
      <c r="C13" s="11">
        <v>3</v>
      </c>
      <c r="D13" s="11">
        <v>2</v>
      </c>
      <c r="E13" s="11">
        <v>2</v>
      </c>
      <c r="F13" s="11">
        <v>3</v>
      </c>
      <c r="G13" s="11">
        <v>1</v>
      </c>
      <c r="H13" s="11">
        <v>1</v>
      </c>
      <c r="I13" s="11">
        <v>5</v>
      </c>
      <c r="J13" s="11">
        <v>2</v>
      </c>
      <c r="K13" s="11">
        <v>2</v>
      </c>
      <c r="L13" s="11">
        <v>2</v>
      </c>
      <c r="M13" s="11">
        <v>2</v>
      </c>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x14ac:dyDescent="0.2">
      <c r="A14" s="151" t="s">
        <v>8</v>
      </c>
      <c r="B14" s="152"/>
      <c r="C14" s="82" t="s">
        <v>105</v>
      </c>
      <c r="D14" s="82"/>
      <c r="E14" s="82" t="s">
        <v>113</v>
      </c>
      <c r="F14" s="82" t="s">
        <v>96</v>
      </c>
      <c r="G14" s="82" t="s">
        <v>68</v>
      </c>
      <c r="H14" s="82" t="s">
        <v>113</v>
      </c>
      <c r="I14" s="82" t="s">
        <v>113</v>
      </c>
      <c r="J14" s="82" t="s">
        <v>113</v>
      </c>
      <c r="K14" s="82" t="s">
        <v>96</v>
      </c>
      <c r="L14" s="82" t="s">
        <v>113</v>
      </c>
      <c r="M14" s="82" t="s">
        <v>103</v>
      </c>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x14ac:dyDescent="0.2">
      <c r="A15" s="149" t="s">
        <v>9</v>
      </c>
      <c r="B15" s="150"/>
      <c r="C15" s="11">
        <v>45</v>
      </c>
      <c r="D15" s="11">
        <v>30</v>
      </c>
      <c r="E15" s="11">
        <v>38</v>
      </c>
      <c r="F15" s="11">
        <v>7.5</v>
      </c>
      <c r="G15" s="11">
        <v>6.5</v>
      </c>
      <c r="H15" s="11">
        <v>38</v>
      </c>
      <c r="I15" s="11">
        <v>54</v>
      </c>
      <c r="J15" s="11">
        <v>54</v>
      </c>
      <c r="K15" s="11">
        <v>7.5</v>
      </c>
      <c r="L15" s="11">
        <v>54</v>
      </c>
      <c r="M15" s="11"/>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25">
      <c r="A16" s="153" t="s">
        <v>44</v>
      </c>
      <c r="B16" s="154"/>
      <c r="C16" s="100" t="s">
        <v>72</v>
      </c>
      <c r="D16" s="100" t="s">
        <v>72</v>
      </c>
      <c r="E16" s="100" t="s">
        <v>72</v>
      </c>
      <c r="F16" s="100" t="s">
        <v>72</v>
      </c>
      <c r="G16" s="100" t="s">
        <v>72</v>
      </c>
      <c r="H16" s="100" t="s">
        <v>72</v>
      </c>
      <c r="I16" s="100" t="s">
        <v>72</v>
      </c>
      <c r="J16" s="100" t="s">
        <v>72</v>
      </c>
      <c r="K16" s="100" t="s">
        <v>72</v>
      </c>
      <c r="L16" s="100" t="s">
        <v>72</v>
      </c>
      <c r="M16" s="100" t="s">
        <v>72</v>
      </c>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x14ac:dyDescent="0.2">
      <c r="A17" s="139" t="s">
        <v>69</v>
      </c>
      <c r="B17" s="140"/>
      <c r="C17" s="20">
        <f>(VLOOKUP(C$14,$AI2:$AK26,2,FALSE))*C$15</f>
        <v>62.999999999999993</v>
      </c>
      <c r="D17" s="20" t="e">
        <f t="shared" ref="D17:V17" si="0">(VLOOKUP(D$14,$AI2:$AK26,2,FALSE))*D$15</f>
        <v>#N/A</v>
      </c>
      <c r="E17" s="20">
        <f t="shared" si="0"/>
        <v>64.599999999999994</v>
      </c>
      <c r="F17" s="20">
        <f t="shared" si="0"/>
        <v>63.75</v>
      </c>
      <c r="G17" s="20">
        <f t="shared" si="0"/>
        <v>55.25</v>
      </c>
      <c r="H17" s="20">
        <f t="shared" si="0"/>
        <v>64.599999999999994</v>
      </c>
      <c r="I17" s="20">
        <f t="shared" si="0"/>
        <v>91.8</v>
      </c>
      <c r="J17" s="20">
        <f t="shared" si="0"/>
        <v>91.8</v>
      </c>
      <c r="K17" s="20">
        <f t="shared" si="0"/>
        <v>63.75</v>
      </c>
      <c r="L17" s="20">
        <f t="shared" si="0"/>
        <v>91.8</v>
      </c>
      <c r="M17" s="20">
        <f t="shared" si="0"/>
        <v>0</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1" t="s">
        <v>23</v>
      </c>
      <c r="B18" s="142"/>
      <c r="C18" s="12">
        <f>$D31</f>
        <v>62.311442759999991</v>
      </c>
      <c r="D18" s="12">
        <f>$D32</f>
        <v>41.540961839999987</v>
      </c>
      <c r="E18" s="12">
        <f>$D33</f>
        <v>62.311442759999991</v>
      </c>
      <c r="F18" s="12">
        <f>$D34</f>
        <v>62.311442759999991</v>
      </c>
      <c r="G18" s="12">
        <f>$D35</f>
        <v>54.398878599999989</v>
      </c>
      <c r="H18" s="12">
        <f>$D36</f>
        <v>62.311442759999991</v>
      </c>
      <c r="I18" s="12">
        <f>$D37</f>
        <v>69.234936399999981</v>
      </c>
      <c r="J18" s="12">
        <f>$D38</f>
        <v>69.234936399999981</v>
      </c>
      <c r="K18" s="12">
        <f>$D39</f>
        <v>62.311442759999991</v>
      </c>
      <c r="L18" s="12">
        <f>$D40</f>
        <v>69.234936399999981</v>
      </c>
      <c r="M18" s="12">
        <f>$D41</f>
        <v>24.726762999999998</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1" t="s">
        <v>90</v>
      </c>
      <c r="B19" s="142"/>
      <c r="C19" s="12">
        <f>C18-C17</f>
        <v>-0.68855724000000151</v>
      </c>
      <c r="D19" s="12" t="e">
        <f t="shared" ref="D19:V19" si="1">D18-D17</f>
        <v>#N/A</v>
      </c>
      <c r="E19" s="12">
        <f t="shared" si="1"/>
        <v>-2.2885572400000029</v>
      </c>
      <c r="F19" s="12">
        <f t="shared" si="1"/>
        <v>-1.4385572400000086</v>
      </c>
      <c r="G19" s="12">
        <f t="shared" si="1"/>
        <v>-0.85112140000001091</v>
      </c>
      <c r="H19" s="12">
        <f t="shared" si="1"/>
        <v>-2.2885572400000029</v>
      </c>
      <c r="I19" s="12">
        <f t="shared" si="1"/>
        <v>-22.565063600000016</v>
      </c>
      <c r="J19" s="12">
        <f t="shared" si="1"/>
        <v>-22.565063600000016</v>
      </c>
      <c r="K19" s="12">
        <f t="shared" si="1"/>
        <v>-1.4385572400000086</v>
      </c>
      <c r="L19" s="12">
        <f t="shared" si="1"/>
        <v>-22.565063600000016</v>
      </c>
      <c r="M19" s="12">
        <f t="shared" si="1"/>
        <v>24.726762999999998</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3" t="s">
        <v>91</v>
      </c>
      <c r="B20" s="144"/>
      <c r="C20" s="18" t="str">
        <f>IF($B31="","",IF(C$19&gt;=0,"INCREASE","DECREASE"))</f>
        <v>DECREASE</v>
      </c>
      <c r="D20" s="18" t="e">
        <f>IF($B32="","",IF(D$19&gt;=0,"INCREASE","DECREASE"))</f>
        <v>#N/A</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INCREASE</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9" t="s">
        <v>88</v>
      </c>
      <c r="B21" s="140"/>
      <c r="C21" s="20">
        <f>(VLOOKUP(C$14,$AI2:$AK26,3,FALSE))*C$15</f>
        <v>198.00000000000003</v>
      </c>
      <c r="D21" s="20" t="e">
        <f t="shared" ref="D21:V21" si="2">(VLOOKUP(D$14,$AI2:$AK26,3,FALSE))*D$15</f>
        <v>#N/A</v>
      </c>
      <c r="E21" s="20">
        <f t="shared" si="2"/>
        <v>228</v>
      </c>
      <c r="F21" s="20">
        <f t="shared" si="2"/>
        <v>78.75</v>
      </c>
      <c r="G21" s="20">
        <f t="shared" si="2"/>
        <v>78</v>
      </c>
      <c r="H21" s="20">
        <f t="shared" si="2"/>
        <v>228</v>
      </c>
      <c r="I21" s="20">
        <f t="shared" si="2"/>
        <v>324</v>
      </c>
      <c r="J21" s="20">
        <f t="shared" si="2"/>
        <v>324</v>
      </c>
      <c r="K21" s="20">
        <f t="shared" si="2"/>
        <v>78.75</v>
      </c>
      <c r="L21" s="20">
        <f t="shared" si="2"/>
        <v>324</v>
      </c>
      <c r="M21" s="20">
        <f t="shared" si="2"/>
        <v>0</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1" t="s">
        <v>89</v>
      </c>
      <c r="B22" s="142"/>
      <c r="C22" s="12">
        <f>$E31</f>
        <v>9.15322338</v>
      </c>
      <c r="D22" s="12">
        <f>$E32</f>
        <v>6.1021489199999994</v>
      </c>
      <c r="E22" s="12">
        <f>$E33</f>
        <v>9.15322338</v>
      </c>
      <c r="F22" s="12">
        <f>$E34</f>
        <v>9.15322338</v>
      </c>
      <c r="G22" s="12">
        <f>$E35</f>
        <v>7.9909092999999993</v>
      </c>
      <c r="H22" s="12">
        <f>$E36</f>
        <v>9.15322338</v>
      </c>
      <c r="I22" s="12">
        <f>$E37</f>
        <v>10.1702482</v>
      </c>
      <c r="J22" s="12">
        <f>$E38</f>
        <v>10.1702482</v>
      </c>
      <c r="K22" s="12">
        <f>$E39</f>
        <v>9.15322338</v>
      </c>
      <c r="L22" s="12">
        <f>$E40</f>
        <v>10.1702482</v>
      </c>
      <c r="M22" s="12">
        <f>$E41</f>
        <v>3.6322314999999996</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1" t="s">
        <v>92</v>
      </c>
      <c r="B23" s="142"/>
      <c r="C23" s="12">
        <f>C22-C21</f>
        <v>-188.84677662000001</v>
      </c>
      <c r="D23" s="12" t="e">
        <f t="shared" ref="D23:V23" si="3">D22-D21</f>
        <v>#N/A</v>
      </c>
      <c r="E23" s="12">
        <f t="shared" si="3"/>
        <v>-218.84677662000001</v>
      </c>
      <c r="F23" s="12">
        <f t="shared" si="3"/>
        <v>-69.59677662</v>
      </c>
      <c r="G23" s="12">
        <f t="shared" si="3"/>
        <v>-70.009090700000002</v>
      </c>
      <c r="H23" s="12">
        <f t="shared" si="3"/>
        <v>-218.84677662000001</v>
      </c>
      <c r="I23" s="12">
        <f t="shared" si="3"/>
        <v>-313.8297518</v>
      </c>
      <c r="J23" s="12">
        <f t="shared" si="3"/>
        <v>-313.8297518</v>
      </c>
      <c r="K23" s="12">
        <f t="shared" si="3"/>
        <v>-69.59677662</v>
      </c>
      <c r="L23" s="12">
        <f t="shared" si="3"/>
        <v>-313.8297518</v>
      </c>
      <c r="M23" s="12">
        <f t="shared" si="3"/>
        <v>3.6322314999999996</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3" t="s">
        <v>93</v>
      </c>
      <c r="B24" s="144"/>
      <c r="C24" s="18" t="str">
        <f>IF($B31="","",IF(C$23&gt;=0,"INCREASE","DECREASE"))</f>
        <v>DECREASE</v>
      </c>
      <c r="D24" s="18" t="e">
        <f t="shared" ref="D24:V24" si="4">IF($B31="","",IF(D$23&gt;=0,"INCREASE","DECREASE"))</f>
        <v>#N/A</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INCREASE</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17.2</v>
      </c>
      <c r="C28" s="11">
        <v>1.07</v>
      </c>
      <c r="D28" s="11">
        <v>0.251</v>
      </c>
      <c r="E28" s="11">
        <v>7.0099999999999996E-2</v>
      </c>
      <c r="F28" s="11">
        <v>1620</v>
      </c>
      <c r="G28" s="11">
        <v>21.1</v>
      </c>
      <c r="H28" s="11">
        <v>146</v>
      </c>
      <c r="I28" s="11">
        <v>9.9</v>
      </c>
      <c r="J28" s="11">
        <v>0.55000000000000004</v>
      </c>
      <c r="K28" s="15">
        <v>0.55000000000000004</v>
      </c>
      <c r="L28" s="11">
        <v>32.4</v>
      </c>
      <c r="M28" s="11">
        <v>21.1</v>
      </c>
      <c r="N28" s="11">
        <v>127000</v>
      </c>
      <c r="O28" s="11">
        <v>26900</v>
      </c>
      <c r="P28" s="11"/>
      <c r="Q28" s="11">
        <v>5550</v>
      </c>
      <c r="R28" s="11"/>
      <c r="S28" s="11">
        <v>19</v>
      </c>
      <c r="T28" s="11"/>
      <c r="U28" s="97"/>
    </row>
    <row r="29" spans="1:40" s="7" customFormat="1" ht="27" x14ac:dyDescent="0.2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Hook Field 2</v>
      </c>
      <c r="B31" s="11">
        <v>63</v>
      </c>
      <c r="C31" s="65">
        <f>IF(C$27="%w/w SAR",((C$28*10)*$B31),IF(C$27="%w/w DM",(((C$28*10)*($B$28/100))*$B31),IF(C$27="kg/t SAR",(C$28*$B31),IF(C$27="kg/t DM",((C$28*($B$28/100))*$B31),IF(C$27="mg/kg SAR",((C$28*0.001)*$B31),IF(C$27="mg/kg DM",(((C$28*0.001)*($B$28/100))*$B31),0))))))</f>
        <v>115.9452</v>
      </c>
      <c r="D31" s="65">
        <f>(IF(D$27="%w/w SAR",((D$28*10)*$B31),IF(D$27="%w/w DM",(((D$28*10)*($B$28/100))*$B31),IF(D$27="kg/t SAR",(D$28*$B31),IF(D$27="kg/t DM",((D$28*($B$28/100))*$B31),IF(D$27="mg/kg SAR",((D$28*0.001)*$B31),IF(D$27="mg/kg DM",(((D$28*0.001)*($B$28/100))*$B31),"0")))))))*2.291</f>
        <v>62.311442759999991</v>
      </c>
      <c r="E31" s="65">
        <f>(IF(E$27="%w/w SAR",((E$28*10)*$B31),IF(E$27="%w/w DM",(((E$28*10)*($B$28/100))*$B31),IF(E$27="kg/t SAR",(E$28*$B31),IF(E$27="kg/t DM",((E$28*($B$28/100))*$B31),IF(E$27="mg/kg SAR",((E$28*0.001)*$B31),IF(E$27="mg/kg DM",(((E$28*0.001)*($B$28/100))*$B31),"0")))))))*1.205</f>
        <v>9.15322338</v>
      </c>
      <c r="F31" s="65">
        <f>(IF(F$27="%w/w SAR",((F$28*10)*$B31),IF(F$27="%w/w DM",(((F$28*10)*($B$28/100))*$B31),IF(F$27="kg/t SAR",(F$28*$B31),IF(F$27="kg/t DM",((F$28*($B$28/100))*$B31),IF(F$27="mg/kg SAR",((F$28*0.001)*$B31),IF(F$27="mg/kg DM",(((F$28*0.001)*($B$28/100))*$B31),"0")))))))*1.658</f>
        <v>29.10506256</v>
      </c>
      <c r="G31" s="65">
        <f t="shared" ref="G31:P31" si="5">IF(G$27="%w/w SAR",((G$28*10)*$B31),IF(G$27="%w/w DM",(((G$28*10)*($B$28/100))*$B31),IF(G$27="kg/t SAR",(G$28*$B31),IF(G$27="kg/t DM",((G$28*($B$28/100))*$B31),IF(G$27="mg/kg SAR",((G$28*0.001)*$B31),IF(G$27="mg/kg DM",(((G$28*0.001)*($B$28/100))*$B31),0))))))</f>
        <v>0.2286396</v>
      </c>
      <c r="H31" s="65">
        <f t="shared" si="5"/>
        <v>1.5820559999999997</v>
      </c>
      <c r="I31" s="65">
        <f t="shared" si="5"/>
        <v>0.10727639999999999</v>
      </c>
      <c r="J31" s="65">
        <f t="shared" si="5"/>
        <v>5.9597999999999995E-3</v>
      </c>
      <c r="K31" s="65">
        <f t="shared" si="5"/>
        <v>5.9597999999999995E-3</v>
      </c>
      <c r="L31" s="65">
        <f t="shared" si="5"/>
        <v>0.35108639999999997</v>
      </c>
      <c r="M31" s="65">
        <f t="shared" si="5"/>
        <v>0.2286396</v>
      </c>
      <c r="N31" s="65">
        <f t="shared" si="5"/>
        <v>1376.1719999999998</v>
      </c>
      <c r="O31" s="65">
        <f t="shared" si="5"/>
        <v>291.48840000000001</v>
      </c>
      <c r="P31" s="65">
        <f t="shared" si="5"/>
        <v>0</v>
      </c>
      <c r="Q31" s="65">
        <f>(IF(Q$27="%w/w SAR",((Q$28*10)*$B31),IF(Q$27="%w/w DM",(((Q$28*10)*($B$28/100))*$B31),IF(Q$27="kg/t SAR",(Q$28*$B31),IF(Q$27="kg/t DM",((Q$28*($B$28/100))*$B31),IF(Q$27="mg/kg SAR",((Q$28*0.001)*$B31),IF(Q$27="mg/kg DM",(((Q$28*0.001)*($B$28/100))*$B31),0)))))))*2.5</f>
        <v>150.34949999999998</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0.20588399999999998</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Hook Field 3</v>
      </c>
      <c r="B32" s="11">
        <v>42</v>
      </c>
      <c r="C32" s="65">
        <f t="shared" ref="C32:C50" si="6">IF(C$27="%w/w SAR",((C$28*10)*$B32),IF(C$27="%w/w DM",(((C$28*10)*($B$28/100))*$B32),IF(C$27="kg/t SAR",(C$28*$B32),IF(C$27="kg/t DM",((C$28*($B$28/100))*$B32),IF(C$27="mg/kg SAR",((C$28*0.001)*$B32),IF(C$27="mg/kg DM",(((C$28*0.001)*($B$28/100))*$B32),0))))))</f>
        <v>77.296800000000005</v>
      </c>
      <c r="D32" s="65">
        <f t="shared" ref="D32:D50" si="7">(IF(D$27="%w/w SAR",((D$28*10)*$B32),IF(D$27="%w/w DM",(((D$28*10)*($B$28/100))*$B32),IF(D$27="kg/t SAR",(D$28*$B32),IF(D$27="kg/t DM",((D$28*($B$28/100))*$B32),IF(D$27="mg/kg SAR",((D$28*0.001)*$B32),IF(D$27="mg/kg DM",(((D$28*0.001)*($B$28/100))*$B32),"0")))))))*2.291</f>
        <v>41.540961839999987</v>
      </c>
      <c r="E32" s="65">
        <f t="shared" ref="E32:E50" si="8">(IF(E$27="%w/w SAR",((E$28*10)*$B32),IF(E$27="%w/w DM",(((E$28*10)*($B$28/100))*$B32),IF(E$27="kg/t SAR",(E$28*$B32),IF(E$27="kg/t DM",((E$28*($B$28/100))*$B32),IF(E$27="mg/kg SAR",((E$28*0.001)*$B32),IF(E$27="mg/kg DM",(((E$28*0.001)*($B$28/100))*$B32),"0")))))))*1.205</f>
        <v>6.1021489199999994</v>
      </c>
      <c r="F32" s="65">
        <f t="shared" ref="F32:F50" si="9">(IF(F$27="%w/w SAR",((F$28*10)*$B32),IF(F$27="%w/w DM",(((F$28*10)*($B$28/100))*$B32),IF(F$27="kg/t SAR",(F$28*$B32),IF(F$27="kg/t DM",((F$28*($B$28/100))*$B32),IF(F$27="mg/kg SAR",((F$28*0.001)*$B32),IF(F$27="mg/kg DM",(((F$28*0.001)*($B$28/100))*$B32),"0")))))))*1.658</f>
        <v>19.40337504</v>
      </c>
      <c r="G32" s="65">
        <f t="shared" ref="G32:P50" si="10">IF(G$27="%w/w SAR",((G$28*10)*$B32),IF(G$27="%w/w DM",(((G$28*10)*($B$28/100))*$B32),IF(G$27="kg/t SAR",(G$28*$B32),IF(G$27="kg/t DM",((G$28*($B$28/100))*$B32),IF(G$27="mg/kg SAR",((G$28*0.001)*$B32),IF(G$27="mg/kg DM",(((G$28*0.001)*($B$28/100))*$B32),0))))))</f>
        <v>0.15242639999999999</v>
      </c>
      <c r="H32" s="65">
        <f t="shared" si="10"/>
        <v>1.0547039999999999</v>
      </c>
      <c r="I32" s="65">
        <f t="shared" si="10"/>
        <v>7.1517600000000001E-2</v>
      </c>
      <c r="J32" s="65">
        <f t="shared" si="10"/>
        <v>3.9731999999999996E-3</v>
      </c>
      <c r="K32" s="65">
        <f t="shared" si="10"/>
        <v>3.9731999999999996E-3</v>
      </c>
      <c r="L32" s="65">
        <f t="shared" si="10"/>
        <v>0.23405759999999998</v>
      </c>
      <c r="M32" s="65">
        <f t="shared" si="10"/>
        <v>0.15242639999999999</v>
      </c>
      <c r="N32" s="65">
        <f t="shared" si="10"/>
        <v>917.44799999999987</v>
      </c>
      <c r="O32" s="65">
        <f t="shared" si="10"/>
        <v>194.32560000000001</v>
      </c>
      <c r="P32" s="65">
        <f t="shared" si="10"/>
        <v>0</v>
      </c>
      <c r="Q32" s="65">
        <f t="shared" ref="Q32:Q50" si="11">(IF(Q$27="%w/w SAR",((Q$28*10)*$B32),IF(Q$27="%w/w DM",(((Q$28*10)*($B$28/100))*$B32),IF(Q$27="kg/t SAR",(Q$28*$B32),IF(Q$27="kg/t DM",((Q$28*($B$28/100))*$B32),IF(Q$27="mg/kg SAR",((Q$28*0.001)*$B32),IF(Q$27="mg/kg DM",(((Q$28*0.001)*($B$28/100))*$B32),0)))))))*2.5</f>
        <v>100.23299999999999</v>
      </c>
      <c r="R32" s="65">
        <f t="shared" ref="R32:U50" si="12">IF(R$27="%w/w SAR",((R$28*10)*$B32),IF(R$27="%w/w DM",(((R$28*10)*($B$28/100))*$B32),IF(R$27="kg/t SAR",(R$28*$B32),IF(R$27="kg/t DM",((R$28*($B$28/100))*$B32),IF(R$27="mg/kg SAR",((R$28*0.001)*$B32),IF(R$27="mg/kg DM",(((R$28*0.001)*($B$28/100))*$B32),0))))))</f>
        <v>0</v>
      </c>
      <c r="S32" s="65">
        <f t="shared" si="12"/>
        <v>0.13725599999999999</v>
      </c>
      <c r="T32" s="65">
        <f t="shared" si="12"/>
        <v>0</v>
      </c>
      <c r="U32" s="126">
        <f t="shared" si="12"/>
        <v>0</v>
      </c>
    </row>
    <row r="33" spans="1:21" s="48" customFormat="1" x14ac:dyDescent="0.25">
      <c r="A33" s="125" t="str">
        <f>E8</f>
        <v>Hook Field 4</v>
      </c>
      <c r="B33" s="11">
        <v>63</v>
      </c>
      <c r="C33" s="65">
        <f t="shared" si="6"/>
        <v>115.9452</v>
      </c>
      <c r="D33" s="65">
        <f t="shared" si="7"/>
        <v>62.311442759999991</v>
      </c>
      <c r="E33" s="65">
        <f t="shared" si="8"/>
        <v>9.15322338</v>
      </c>
      <c r="F33" s="65">
        <f t="shared" si="9"/>
        <v>29.10506256</v>
      </c>
      <c r="G33" s="65">
        <f t="shared" si="10"/>
        <v>0.2286396</v>
      </c>
      <c r="H33" s="65">
        <f t="shared" si="10"/>
        <v>1.5820559999999997</v>
      </c>
      <c r="I33" s="65">
        <f t="shared" si="10"/>
        <v>0.10727639999999999</v>
      </c>
      <c r="J33" s="65">
        <f t="shared" si="10"/>
        <v>5.9597999999999995E-3</v>
      </c>
      <c r="K33" s="65">
        <f t="shared" si="10"/>
        <v>5.9597999999999995E-3</v>
      </c>
      <c r="L33" s="65">
        <f t="shared" si="10"/>
        <v>0.35108639999999997</v>
      </c>
      <c r="M33" s="65">
        <f t="shared" si="10"/>
        <v>0.2286396</v>
      </c>
      <c r="N33" s="65">
        <f t="shared" si="10"/>
        <v>1376.1719999999998</v>
      </c>
      <c r="O33" s="65">
        <f t="shared" si="10"/>
        <v>291.48840000000001</v>
      </c>
      <c r="P33" s="65">
        <f t="shared" si="10"/>
        <v>0</v>
      </c>
      <c r="Q33" s="65">
        <f t="shared" si="11"/>
        <v>150.34949999999998</v>
      </c>
      <c r="R33" s="65">
        <f t="shared" si="12"/>
        <v>0</v>
      </c>
      <c r="S33" s="65">
        <f t="shared" si="12"/>
        <v>0.20588399999999998</v>
      </c>
      <c r="T33" s="65">
        <f t="shared" si="12"/>
        <v>0</v>
      </c>
      <c r="U33" s="126">
        <f t="shared" si="12"/>
        <v>0</v>
      </c>
    </row>
    <row r="34" spans="1:21" s="48" customFormat="1" x14ac:dyDescent="0.25">
      <c r="A34" s="125" t="str">
        <f>F8</f>
        <v>Hook Field 8</v>
      </c>
      <c r="B34" s="11">
        <v>63</v>
      </c>
      <c r="C34" s="65">
        <f t="shared" si="6"/>
        <v>115.9452</v>
      </c>
      <c r="D34" s="65">
        <f t="shared" si="7"/>
        <v>62.311442759999991</v>
      </c>
      <c r="E34" s="65">
        <f t="shared" si="8"/>
        <v>9.15322338</v>
      </c>
      <c r="F34" s="65">
        <f t="shared" si="9"/>
        <v>29.10506256</v>
      </c>
      <c r="G34" s="65">
        <f t="shared" si="10"/>
        <v>0.2286396</v>
      </c>
      <c r="H34" s="65">
        <f t="shared" si="10"/>
        <v>1.5820559999999997</v>
      </c>
      <c r="I34" s="65">
        <f t="shared" si="10"/>
        <v>0.10727639999999999</v>
      </c>
      <c r="J34" s="65">
        <f t="shared" si="10"/>
        <v>5.9597999999999995E-3</v>
      </c>
      <c r="K34" s="65">
        <f t="shared" si="10"/>
        <v>5.9597999999999995E-3</v>
      </c>
      <c r="L34" s="65">
        <f t="shared" si="10"/>
        <v>0.35108639999999997</v>
      </c>
      <c r="M34" s="65">
        <f t="shared" si="10"/>
        <v>0.2286396</v>
      </c>
      <c r="N34" s="65">
        <f t="shared" si="10"/>
        <v>1376.1719999999998</v>
      </c>
      <c r="O34" s="65">
        <f t="shared" si="10"/>
        <v>291.48840000000001</v>
      </c>
      <c r="P34" s="65">
        <f t="shared" si="10"/>
        <v>0</v>
      </c>
      <c r="Q34" s="65">
        <f t="shared" si="11"/>
        <v>150.34949999999998</v>
      </c>
      <c r="R34" s="65">
        <f t="shared" si="12"/>
        <v>0</v>
      </c>
      <c r="S34" s="65">
        <f t="shared" si="12"/>
        <v>0.20588399999999998</v>
      </c>
      <c r="T34" s="65">
        <f t="shared" si="12"/>
        <v>0</v>
      </c>
      <c r="U34" s="126">
        <f t="shared" si="12"/>
        <v>0</v>
      </c>
    </row>
    <row r="35" spans="1:21" s="48" customFormat="1" x14ac:dyDescent="0.25">
      <c r="A35" s="125" t="str">
        <f>G8</f>
        <v>Hook Field 10</v>
      </c>
      <c r="B35" s="11">
        <v>55</v>
      </c>
      <c r="C35" s="65">
        <f t="shared" si="6"/>
        <v>101.22200000000001</v>
      </c>
      <c r="D35" s="65">
        <f t="shared" si="7"/>
        <v>54.398878599999989</v>
      </c>
      <c r="E35" s="65">
        <f t="shared" si="8"/>
        <v>7.9909092999999993</v>
      </c>
      <c r="F35" s="65">
        <f t="shared" si="9"/>
        <v>25.4091816</v>
      </c>
      <c r="G35" s="65">
        <f t="shared" si="10"/>
        <v>0.19960600000000001</v>
      </c>
      <c r="H35" s="65">
        <f t="shared" si="10"/>
        <v>1.3811599999999997</v>
      </c>
      <c r="I35" s="65">
        <f t="shared" si="10"/>
        <v>9.3654000000000001E-2</v>
      </c>
      <c r="J35" s="65">
        <f t="shared" si="10"/>
        <v>5.2030000000000002E-3</v>
      </c>
      <c r="K35" s="65">
        <f t="shared" si="10"/>
        <v>5.2030000000000002E-3</v>
      </c>
      <c r="L35" s="65">
        <f t="shared" si="10"/>
        <v>0.30650399999999994</v>
      </c>
      <c r="M35" s="65">
        <f t="shared" si="10"/>
        <v>0.19960600000000001</v>
      </c>
      <c r="N35" s="65">
        <f t="shared" si="10"/>
        <v>1201.4199999999998</v>
      </c>
      <c r="O35" s="65">
        <f t="shared" si="10"/>
        <v>254.47400000000002</v>
      </c>
      <c r="P35" s="65">
        <f t="shared" si="10"/>
        <v>0</v>
      </c>
      <c r="Q35" s="65">
        <f t="shared" si="11"/>
        <v>131.25749999999999</v>
      </c>
      <c r="R35" s="65">
        <f t="shared" si="12"/>
        <v>0</v>
      </c>
      <c r="S35" s="65">
        <f t="shared" si="12"/>
        <v>0.17973999999999998</v>
      </c>
      <c r="T35" s="65">
        <f t="shared" si="12"/>
        <v>0</v>
      </c>
      <c r="U35" s="126">
        <f t="shared" si="12"/>
        <v>0</v>
      </c>
    </row>
    <row r="36" spans="1:21" s="48" customFormat="1" x14ac:dyDescent="0.25">
      <c r="A36" s="125" t="str">
        <f>H8</f>
        <v>Hook Field 20</v>
      </c>
      <c r="B36" s="11">
        <v>63</v>
      </c>
      <c r="C36" s="65">
        <f t="shared" si="6"/>
        <v>115.9452</v>
      </c>
      <c r="D36" s="65">
        <f t="shared" si="7"/>
        <v>62.311442759999991</v>
      </c>
      <c r="E36" s="65">
        <f t="shared" si="8"/>
        <v>9.15322338</v>
      </c>
      <c r="F36" s="65">
        <f t="shared" si="9"/>
        <v>29.10506256</v>
      </c>
      <c r="G36" s="65">
        <f t="shared" si="10"/>
        <v>0.2286396</v>
      </c>
      <c r="H36" s="65">
        <f t="shared" si="10"/>
        <v>1.5820559999999997</v>
      </c>
      <c r="I36" s="65">
        <f t="shared" si="10"/>
        <v>0.10727639999999999</v>
      </c>
      <c r="J36" s="65">
        <f t="shared" si="10"/>
        <v>5.9597999999999995E-3</v>
      </c>
      <c r="K36" s="65">
        <f t="shared" si="10"/>
        <v>5.9597999999999995E-3</v>
      </c>
      <c r="L36" s="65">
        <f t="shared" si="10"/>
        <v>0.35108639999999997</v>
      </c>
      <c r="M36" s="65">
        <f t="shared" si="10"/>
        <v>0.2286396</v>
      </c>
      <c r="N36" s="65">
        <f t="shared" si="10"/>
        <v>1376.1719999999998</v>
      </c>
      <c r="O36" s="65">
        <f t="shared" si="10"/>
        <v>291.48840000000001</v>
      </c>
      <c r="P36" s="65">
        <f t="shared" si="10"/>
        <v>0</v>
      </c>
      <c r="Q36" s="65">
        <f t="shared" si="11"/>
        <v>150.34949999999998</v>
      </c>
      <c r="R36" s="65">
        <f t="shared" si="12"/>
        <v>0</v>
      </c>
      <c r="S36" s="65">
        <f t="shared" si="12"/>
        <v>0.20588399999999998</v>
      </c>
      <c r="T36" s="65">
        <f t="shared" si="12"/>
        <v>0</v>
      </c>
      <c r="U36" s="126">
        <f t="shared" si="12"/>
        <v>0</v>
      </c>
    </row>
    <row r="37" spans="1:21" s="48" customFormat="1" x14ac:dyDescent="0.25">
      <c r="A37" s="125">
        <f>I8</f>
        <v>1</v>
      </c>
      <c r="B37" s="11">
        <v>70</v>
      </c>
      <c r="C37" s="65">
        <f t="shared" si="6"/>
        <v>128.828</v>
      </c>
      <c r="D37" s="65">
        <f t="shared" si="7"/>
        <v>69.234936399999981</v>
      </c>
      <c r="E37" s="65">
        <f t="shared" si="8"/>
        <v>10.1702482</v>
      </c>
      <c r="F37" s="65">
        <f t="shared" si="9"/>
        <v>32.338958399999996</v>
      </c>
      <c r="G37" s="65">
        <f t="shared" si="10"/>
        <v>0.25404399999999999</v>
      </c>
      <c r="H37" s="65">
        <f t="shared" si="10"/>
        <v>1.7578399999999996</v>
      </c>
      <c r="I37" s="65">
        <f t="shared" si="10"/>
        <v>0.119196</v>
      </c>
      <c r="J37" s="65">
        <f t="shared" si="10"/>
        <v>6.6219999999999994E-3</v>
      </c>
      <c r="K37" s="65">
        <f t="shared" si="10"/>
        <v>6.6219999999999994E-3</v>
      </c>
      <c r="L37" s="65">
        <f t="shared" si="10"/>
        <v>0.39009599999999994</v>
      </c>
      <c r="M37" s="65">
        <f t="shared" si="10"/>
        <v>0.25404399999999999</v>
      </c>
      <c r="N37" s="65">
        <f t="shared" si="10"/>
        <v>1529.08</v>
      </c>
      <c r="O37" s="65">
        <f t="shared" si="10"/>
        <v>323.87600000000003</v>
      </c>
      <c r="P37" s="65">
        <f t="shared" si="10"/>
        <v>0</v>
      </c>
      <c r="Q37" s="65">
        <f t="shared" si="11"/>
        <v>167.05499999999998</v>
      </c>
      <c r="R37" s="65">
        <f t="shared" si="12"/>
        <v>0</v>
      </c>
      <c r="S37" s="65">
        <f t="shared" si="12"/>
        <v>0.22875999999999996</v>
      </c>
      <c r="T37" s="65">
        <f t="shared" si="12"/>
        <v>0</v>
      </c>
      <c r="U37" s="126">
        <f t="shared" si="12"/>
        <v>0</v>
      </c>
    </row>
    <row r="38" spans="1:21" s="48" customFormat="1" x14ac:dyDescent="0.25">
      <c r="A38" s="125">
        <f>J8</f>
        <v>2</v>
      </c>
      <c r="B38" s="11">
        <v>70</v>
      </c>
      <c r="C38" s="65">
        <f t="shared" si="6"/>
        <v>128.828</v>
      </c>
      <c r="D38" s="65">
        <f t="shared" si="7"/>
        <v>69.234936399999981</v>
      </c>
      <c r="E38" s="65">
        <f t="shared" si="8"/>
        <v>10.1702482</v>
      </c>
      <c r="F38" s="65">
        <f t="shared" si="9"/>
        <v>32.338958399999996</v>
      </c>
      <c r="G38" s="65">
        <f t="shared" si="10"/>
        <v>0.25404399999999999</v>
      </c>
      <c r="H38" s="65">
        <f t="shared" si="10"/>
        <v>1.7578399999999996</v>
      </c>
      <c r="I38" s="65">
        <f t="shared" si="10"/>
        <v>0.119196</v>
      </c>
      <c r="J38" s="65">
        <f t="shared" si="10"/>
        <v>6.6219999999999994E-3</v>
      </c>
      <c r="K38" s="65">
        <f t="shared" si="10"/>
        <v>6.6219999999999994E-3</v>
      </c>
      <c r="L38" s="65">
        <f t="shared" si="10"/>
        <v>0.39009599999999994</v>
      </c>
      <c r="M38" s="65">
        <f t="shared" si="10"/>
        <v>0.25404399999999999</v>
      </c>
      <c r="N38" s="65">
        <f t="shared" si="10"/>
        <v>1529.08</v>
      </c>
      <c r="O38" s="65">
        <f t="shared" si="10"/>
        <v>323.87600000000003</v>
      </c>
      <c r="P38" s="65">
        <f t="shared" si="10"/>
        <v>0</v>
      </c>
      <c r="Q38" s="65">
        <f t="shared" si="11"/>
        <v>167.05499999999998</v>
      </c>
      <c r="R38" s="65">
        <f t="shared" si="12"/>
        <v>0</v>
      </c>
      <c r="S38" s="65">
        <f t="shared" si="12"/>
        <v>0.22875999999999996</v>
      </c>
      <c r="T38" s="65">
        <f t="shared" si="12"/>
        <v>0</v>
      </c>
      <c r="U38" s="126">
        <f t="shared" si="12"/>
        <v>0</v>
      </c>
    </row>
    <row r="39" spans="1:21" s="48" customFormat="1" x14ac:dyDescent="0.25">
      <c r="A39" s="125">
        <f>K8</f>
        <v>3</v>
      </c>
      <c r="B39" s="11">
        <v>63</v>
      </c>
      <c r="C39" s="65">
        <f t="shared" si="6"/>
        <v>115.9452</v>
      </c>
      <c r="D39" s="65">
        <f t="shared" si="7"/>
        <v>62.311442759999991</v>
      </c>
      <c r="E39" s="65">
        <f t="shared" si="8"/>
        <v>9.15322338</v>
      </c>
      <c r="F39" s="65">
        <f t="shared" si="9"/>
        <v>29.10506256</v>
      </c>
      <c r="G39" s="65">
        <f t="shared" si="10"/>
        <v>0.2286396</v>
      </c>
      <c r="H39" s="65">
        <f t="shared" si="10"/>
        <v>1.5820559999999997</v>
      </c>
      <c r="I39" s="65">
        <f t="shared" si="10"/>
        <v>0.10727639999999999</v>
      </c>
      <c r="J39" s="65">
        <f t="shared" si="10"/>
        <v>5.9597999999999995E-3</v>
      </c>
      <c r="K39" s="65">
        <f t="shared" si="10"/>
        <v>5.9597999999999995E-3</v>
      </c>
      <c r="L39" s="65">
        <f t="shared" si="10"/>
        <v>0.35108639999999997</v>
      </c>
      <c r="M39" s="65">
        <f t="shared" si="10"/>
        <v>0.2286396</v>
      </c>
      <c r="N39" s="65">
        <f t="shared" si="10"/>
        <v>1376.1719999999998</v>
      </c>
      <c r="O39" s="65">
        <f t="shared" si="10"/>
        <v>291.48840000000001</v>
      </c>
      <c r="P39" s="65">
        <f t="shared" si="10"/>
        <v>0</v>
      </c>
      <c r="Q39" s="65">
        <f t="shared" si="11"/>
        <v>150.34949999999998</v>
      </c>
      <c r="R39" s="65">
        <f t="shared" si="12"/>
        <v>0</v>
      </c>
      <c r="S39" s="65">
        <f t="shared" si="12"/>
        <v>0.20588399999999998</v>
      </c>
      <c r="T39" s="65">
        <f t="shared" si="12"/>
        <v>0</v>
      </c>
      <c r="U39" s="126">
        <f t="shared" si="12"/>
        <v>0</v>
      </c>
    </row>
    <row r="40" spans="1:21" s="48" customFormat="1" x14ac:dyDescent="0.25">
      <c r="A40" s="125">
        <f>L8</f>
        <v>4</v>
      </c>
      <c r="B40" s="11">
        <v>70</v>
      </c>
      <c r="C40" s="65">
        <f t="shared" si="6"/>
        <v>128.828</v>
      </c>
      <c r="D40" s="65">
        <f t="shared" si="7"/>
        <v>69.234936399999981</v>
      </c>
      <c r="E40" s="65">
        <f t="shared" si="8"/>
        <v>10.1702482</v>
      </c>
      <c r="F40" s="65">
        <f t="shared" si="9"/>
        <v>32.338958399999996</v>
      </c>
      <c r="G40" s="65">
        <f t="shared" si="10"/>
        <v>0.25404399999999999</v>
      </c>
      <c r="H40" s="65">
        <f t="shared" si="10"/>
        <v>1.7578399999999996</v>
      </c>
      <c r="I40" s="65">
        <f t="shared" si="10"/>
        <v>0.119196</v>
      </c>
      <c r="J40" s="65">
        <f t="shared" si="10"/>
        <v>6.6219999999999994E-3</v>
      </c>
      <c r="K40" s="65">
        <f t="shared" si="10"/>
        <v>6.6219999999999994E-3</v>
      </c>
      <c r="L40" s="65">
        <f t="shared" si="10"/>
        <v>0.39009599999999994</v>
      </c>
      <c r="M40" s="65">
        <f t="shared" si="10"/>
        <v>0.25404399999999999</v>
      </c>
      <c r="N40" s="65">
        <f t="shared" si="10"/>
        <v>1529.08</v>
      </c>
      <c r="O40" s="65">
        <f t="shared" si="10"/>
        <v>323.87600000000003</v>
      </c>
      <c r="P40" s="65">
        <f t="shared" si="10"/>
        <v>0</v>
      </c>
      <c r="Q40" s="65">
        <f t="shared" si="11"/>
        <v>167.05499999999998</v>
      </c>
      <c r="R40" s="65">
        <f t="shared" si="12"/>
        <v>0</v>
      </c>
      <c r="S40" s="65">
        <f t="shared" si="12"/>
        <v>0.22875999999999996</v>
      </c>
      <c r="T40" s="65">
        <f t="shared" si="12"/>
        <v>0</v>
      </c>
      <c r="U40" s="126">
        <f t="shared" si="12"/>
        <v>0</v>
      </c>
    </row>
    <row r="41" spans="1:21" s="48" customFormat="1" x14ac:dyDescent="0.25">
      <c r="A41" s="125">
        <f>M8</f>
        <v>7</v>
      </c>
      <c r="B41" s="11">
        <v>25</v>
      </c>
      <c r="C41" s="65">
        <f t="shared" si="6"/>
        <v>46.01</v>
      </c>
      <c r="D41" s="65">
        <f t="shared" si="7"/>
        <v>24.726762999999998</v>
      </c>
      <c r="E41" s="65">
        <f t="shared" si="8"/>
        <v>3.6322314999999996</v>
      </c>
      <c r="F41" s="65">
        <f t="shared" si="9"/>
        <v>11.549628</v>
      </c>
      <c r="G41" s="65">
        <f t="shared" si="10"/>
        <v>9.0730000000000005E-2</v>
      </c>
      <c r="H41" s="65">
        <f t="shared" si="10"/>
        <v>0.62779999999999991</v>
      </c>
      <c r="I41" s="65">
        <f t="shared" si="10"/>
        <v>4.2569999999999997E-2</v>
      </c>
      <c r="J41" s="65">
        <f t="shared" si="10"/>
        <v>2.3649999999999999E-3</v>
      </c>
      <c r="K41" s="65">
        <f t="shared" si="10"/>
        <v>2.3649999999999999E-3</v>
      </c>
      <c r="L41" s="65">
        <f t="shared" si="10"/>
        <v>0.13931999999999997</v>
      </c>
      <c r="M41" s="65">
        <f t="shared" si="10"/>
        <v>9.0730000000000005E-2</v>
      </c>
      <c r="N41" s="65">
        <f t="shared" si="10"/>
        <v>546.09999999999991</v>
      </c>
      <c r="O41" s="65">
        <f t="shared" si="10"/>
        <v>115.67</v>
      </c>
      <c r="P41" s="65">
        <f t="shared" si="10"/>
        <v>0</v>
      </c>
      <c r="Q41" s="65">
        <f t="shared" si="11"/>
        <v>59.662499999999994</v>
      </c>
      <c r="R41" s="65">
        <f t="shared" si="12"/>
        <v>0</v>
      </c>
      <c r="S41" s="65">
        <f t="shared" si="12"/>
        <v>8.1699999999999995E-2</v>
      </c>
      <c r="T41" s="65">
        <f t="shared" si="12"/>
        <v>0</v>
      </c>
      <c r="U41" s="126">
        <f t="shared" si="12"/>
        <v>0</v>
      </c>
    </row>
    <row r="42" spans="1:21" s="48" customFormat="1" x14ac:dyDescent="0.2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x14ac:dyDescent="0.2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x14ac:dyDescent="0.2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x14ac:dyDescent="0.2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x14ac:dyDescent="0.2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x14ac:dyDescent="0.2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x14ac:dyDescent="0.2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x14ac:dyDescent="0.2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3">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Hook Field 2</v>
      </c>
      <c r="C57" s="8" t="str">
        <f t="shared" ref="C57:U57" si="13">D8</f>
        <v>Hook Field 3</v>
      </c>
      <c r="D57" s="8" t="str">
        <f t="shared" si="13"/>
        <v>Hook Field 4</v>
      </c>
      <c r="E57" s="8" t="str">
        <f t="shared" si="13"/>
        <v>Hook Field 8</v>
      </c>
      <c r="F57" s="8" t="str">
        <f t="shared" si="13"/>
        <v>Hook Field 10</v>
      </c>
      <c r="G57" s="8" t="str">
        <f t="shared" si="13"/>
        <v>Hook Field 20</v>
      </c>
      <c r="H57" s="8">
        <f t="shared" si="13"/>
        <v>1</v>
      </c>
      <c r="I57" s="8">
        <f t="shared" si="13"/>
        <v>2</v>
      </c>
      <c r="J57" s="8">
        <f t="shared" si="13"/>
        <v>3</v>
      </c>
      <c r="K57" s="8">
        <f t="shared" si="13"/>
        <v>4</v>
      </c>
      <c r="L57" s="8">
        <f t="shared" si="13"/>
        <v>7</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"&amp;(VLOOKUP(C14,Table24[],6,FALSE))</f>
        <v>Medium/Clay I Arable</v>
      </c>
      <c r="C58" s="10" t="e">
        <f>D16&amp;" I "&amp;(VLOOKUP(D14,Table24[],6,FALSE))</f>
        <v>#N/A</v>
      </c>
      <c r="D58" s="10" t="str">
        <f>E16&amp;" I "&amp;(VLOOKUP(E14,Table24[],6,FALSE))</f>
        <v>Medium/Clay I Grass</v>
      </c>
      <c r="E58" s="10" t="str">
        <f>F16&amp;" I "&amp;(VLOOKUP(F14,Table24[],6,FALSE))</f>
        <v>Medium/Clay I Arable</v>
      </c>
      <c r="F58" s="10" t="str">
        <f>G16&amp;" I "&amp;(VLOOKUP(G14,Table24[],6,FALSE))</f>
        <v>Medium/Clay I Arable</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Arable</v>
      </c>
      <c r="K58" s="10" t="str">
        <f>L16&amp;" I "&amp;(VLOOKUP(L14,Table24[],6,FALSE))</f>
        <v>Medium/Clay I Grass</v>
      </c>
      <c r="L58" s="10" t="str">
        <f>M16&amp;" I "&amp;(VLOOKUP(M14,Table24[],6,FALSE))</f>
        <v>Medium/Clay I Arable</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x14ac:dyDescent="0.2">
      <c r="A59" s="87" t="s">
        <v>132</v>
      </c>
      <c r="B59" s="64">
        <f>VLOOKUP(C$14,Table24[],5,FALSE)</f>
        <v>6.7</v>
      </c>
      <c r="C59" s="64" t="e">
        <f>VLOOKUP(D$14,Table24[],5,FALSE)</f>
        <v>#N/A</v>
      </c>
      <c r="D59" s="64">
        <f>VLOOKUP(E$14,Table24[],5,FALSE)</f>
        <v>6.2</v>
      </c>
      <c r="E59" s="64">
        <f>VLOOKUP(F$14,Table24[],5,FALSE)</f>
        <v>6.7</v>
      </c>
      <c r="F59" s="64">
        <f>VLOOKUP(G$14,Table24[],5,FALSE)</f>
        <v>6.7</v>
      </c>
      <c r="G59" s="64">
        <f>VLOOKUP(H$14,Table24[],5,FALSE)</f>
        <v>6.2</v>
      </c>
      <c r="H59" s="64">
        <f>VLOOKUP(I$14,Table24[],5,FALSE)</f>
        <v>6.2</v>
      </c>
      <c r="I59" s="64">
        <f>VLOOKUP(J$14,Table24[],5,FALSE)</f>
        <v>6.2</v>
      </c>
      <c r="J59" s="64">
        <f>VLOOKUP(K$14,Table24[],5,FALSE)</f>
        <v>6.7</v>
      </c>
      <c r="K59" s="64">
        <f>VLOOKUP(L$14,Table24[],5,FALSE)</f>
        <v>6.2</v>
      </c>
      <c r="L59" s="64">
        <f>VLOOKUP(M$14,Table24[],5,FALSE)</f>
        <v>6.7</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x14ac:dyDescent="0.2">
      <c r="A60" s="87" t="s">
        <v>4</v>
      </c>
      <c r="B60" s="64">
        <f>C10</f>
        <v>6.9</v>
      </c>
      <c r="C60" s="64">
        <f t="shared" ref="C60:U60" si="14">D10</f>
        <v>6.8</v>
      </c>
      <c r="D60" s="64">
        <f t="shared" si="14"/>
        <v>6.8</v>
      </c>
      <c r="E60" s="64">
        <f t="shared" si="14"/>
        <v>6.6</v>
      </c>
      <c r="F60" s="64">
        <f t="shared" si="14"/>
        <v>7.1</v>
      </c>
      <c r="G60" s="64">
        <f t="shared" si="14"/>
        <v>7.3</v>
      </c>
      <c r="H60" s="64">
        <f t="shared" si="14"/>
        <v>6.4</v>
      </c>
      <c r="I60" s="64">
        <f t="shared" si="14"/>
        <v>6.2</v>
      </c>
      <c r="J60" s="64">
        <f t="shared" si="14"/>
        <v>6.2</v>
      </c>
      <c r="K60" s="64">
        <f t="shared" si="14"/>
        <v>6.7</v>
      </c>
      <c r="L60" s="64">
        <f t="shared" si="14"/>
        <v>6.3</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8</v>
      </c>
      <c r="C61" s="64" t="e">
        <f t="shared" si="15"/>
        <v>#N/A</v>
      </c>
      <c r="D61" s="64">
        <f t="shared" si="15"/>
        <v>6</v>
      </c>
      <c r="E61" s="64">
        <f t="shared" si="15"/>
        <v>8</v>
      </c>
      <c r="F61" s="64">
        <f t="shared" si="15"/>
        <v>8</v>
      </c>
      <c r="G61" s="64">
        <f t="shared" si="15"/>
        <v>6</v>
      </c>
      <c r="H61" s="64">
        <f t="shared" si="15"/>
        <v>6</v>
      </c>
      <c r="I61" s="64">
        <f t="shared" si="15"/>
        <v>6</v>
      </c>
      <c r="J61" s="64">
        <f t="shared" si="15"/>
        <v>8</v>
      </c>
      <c r="K61" s="64">
        <f t="shared" si="15"/>
        <v>6</v>
      </c>
      <c r="L61" s="64">
        <f t="shared" si="15"/>
        <v>8</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63</v>
      </c>
      <c r="C62" s="65">
        <f>B32</f>
        <v>42</v>
      </c>
      <c r="D62" s="65">
        <f>B33</f>
        <v>63</v>
      </c>
      <c r="E62" s="65">
        <f>B34</f>
        <v>63</v>
      </c>
      <c r="F62" s="65">
        <f>B35</f>
        <v>55</v>
      </c>
      <c r="G62" s="65">
        <f>B36</f>
        <v>63</v>
      </c>
      <c r="H62" s="65">
        <f>B37</f>
        <v>70</v>
      </c>
      <c r="I62" s="65">
        <f>B38</f>
        <v>70</v>
      </c>
      <c r="J62" s="65">
        <f>B39</f>
        <v>63</v>
      </c>
      <c r="K62" s="65">
        <f>B40</f>
        <v>70</v>
      </c>
      <c r="L62" s="65">
        <f>B41</f>
        <v>25</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-1.6000000000000014</v>
      </c>
      <c r="C64" s="65" t="e">
        <f t="shared" ref="C64:U64" si="17">(C59-C60)*C61</f>
        <v>#N/A</v>
      </c>
      <c r="D64" s="65">
        <f t="shared" si="17"/>
        <v>-3.5999999999999979</v>
      </c>
      <c r="E64" s="65">
        <f t="shared" si="17"/>
        <v>0.80000000000000426</v>
      </c>
      <c r="F64" s="65">
        <f t="shared" si="17"/>
        <v>-3.1999999999999957</v>
      </c>
      <c r="G64" s="65">
        <f t="shared" si="17"/>
        <v>-6.5999999999999979</v>
      </c>
      <c r="H64" s="65">
        <f t="shared" si="17"/>
        <v>-1.2000000000000011</v>
      </c>
      <c r="I64" s="65">
        <f t="shared" si="17"/>
        <v>0</v>
      </c>
      <c r="J64" s="65">
        <f t="shared" si="17"/>
        <v>4</v>
      </c>
      <c r="K64" s="65">
        <f t="shared" si="17"/>
        <v>-3</v>
      </c>
      <c r="L64" s="65">
        <f t="shared" si="17"/>
        <v>3.2000000000000028</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1.6000000000000014</v>
      </c>
      <c r="C65" s="65" t="e">
        <f t="shared" ref="C65:U65" si="18">C63-C64</f>
        <v>#N/A</v>
      </c>
      <c r="D65" s="65">
        <f t="shared" si="18"/>
        <v>3.5999999999999979</v>
      </c>
      <c r="E65" s="65">
        <f t="shared" si="18"/>
        <v>-0.80000000000000426</v>
      </c>
      <c r="F65" s="65">
        <f t="shared" si="18"/>
        <v>3.1999999999999957</v>
      </c>
      <c r="G65" s="65">
        <f t="shared" si="18"/>
        <v>6.5999999999999979</v>
      </c>
      <c r="H65" s="65">
        <f t="shared" si="18"/>
        <v>1.2000000000000011</v>
      </c>
      <c r="I65" s="65">
        <f t="shared" si="18"/>
        <v>0</v>
      </c>
      <c r="J65" s="65">
        <f t="shared" si="18"/>
        <v>-4</v>
      </c>
      <c r="K65" s="65">
        <f t="shared" si="18"/>
        <v>3</v>
      </c>
      <c r="L65" s="65">
        <f t="shared" si="18"/>
        <v>-3.2000000000000028</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e">
        <f t="shared" ref="C66:U66" si="19">IF(C64&lt;=C63,"OVER","UNDER")</f>
        <v>#N/A</v>
      </c>
      <c r="D66" s="66" t="str">
        <f t="shared" si="19"/>
        <v>OVER</v>
      </c>
      <c r="E66" s="66" t="str">
        <f t="shared" si="19"/>
        <v>UNDER</v>
      </c>
      <c r="F66" s="66" t="str">
        <f t="shared" si="19"/>
        <v>OVER</v>
      </c>
      <c r="G66" s="66" t="str">
        <f t="shared" si="19"/>
        <v>OVER</v>
      </c>
      <c r="H66" s="66" t="str">
        <f t="shared" si="19"/>
        <v>OVER</v>
      </c>
      <c r="I66" s="66" t="str">
        <f t="shared" si="19"/>
        <v>OVER</v>
      </c>
      <c r="J66" s="66" t="str">
        <f t="shared" si="19"/>
        <v>UNDER</v>
      </c>
      <c r="K66" s="66" t="str">
        <f t="shared" si="19"/>
        <v>OVER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IYwQg+GC2M42rCP+BEbZ/y5PBcnbuZW4lqyE+Gi0auSm4cLUlUtI/qrmSkQi3kTAbfvcSKOV+QCPUfTzFmJf6w==" saltValue="lv3wvCB3sIpvJfBHoqDnX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289" priority="45" operator="greaterThan">
      <formula>$B$51</formula>
    </cfRule>
  </conditionalFormatting>
  <conditionalFormatting sqref="B66:U66">
    <cfRule type="cellIs" dxfId="288" priority="7" operator="equal">
      <formula>"UNDER"</formula>
    </cfRule>
    <cfRule type="cellIs" dxfId="287" priority="8" operator="equal">
      <formula>"OVER"</formula>
    </cfRule>
  </conditionalFormatting>
  <conditionalFormatting sqref="C31:C50">
    <cfRule type="cellIs" dxfId="286" priority="44" operator="greaterThan">
      <formula>$C$51</formula>
    </cfRule>
  </conditionalFormatting>
  <conditionalFormatting sqref="C11:V13">
    <cfRule type="cellIs" dxfId="285" priority="1" operator="greaterThan">
      <formula>2</formula>
    </cfRule>
  </conditionalFormatting>
  <conditionalFormatting sqref="C17:V19">
    <cfRule type="cellIs" dxfId="284" priority="37" operator="equal">
      <formula>0</formula>
    </cfRule>
  </conditionalFormatting>
  <conditionalFormatting sqref="C20:V21">
    <cfRule type="cellIs" dxfId="283" priority="46" operator="equal">
      <formula>"DECREASE"</formula>
    </cfRule>
    <cfRule type="cellIs" dxfId="282" priority="47" operator="equal">
      <formula>"INCREASE"</formula>
    </cfRule>
  </conditionalFormatting>
  <conditionalFormatting sqref="C21:V21">
    <cfRule type="cellIs" dxfId="281" priority="11" operator="equal">
      <formula>0</formula>
    </cfRule>
  </conditionalFormatting>
  <conditionalFormatting sqref="C22:V23">
    <cfRule type="cellIs" dxfId="280" priority="18" operator="equal">
      <formula>0</formula>
    </cfRule>
  </conditionalFormatting>
  <conditionalFormatting sqref="C24:V24">
    <cfRule type="cellIs" dxfId="279" priority="19" operator="equal">
      <formula>"DECREASE"</formula>
    </cfRule>
    <cfRule type="cellIs" dxfId="278" priority="20" operator="equal">
      <formula>"INCREASE"</formula>
    </cfRule>
  </conditionalFormatting>
  <conditionalFormatting sqref="G31:G50">
    <cfRule type="cellIs" dxfId="277" priority="34" operator="greaterThan">
      <formula>$G$51</formula>
    </cfRule>
  </conditionalFormatting>
  <conditionalFormatting sqref="H31:H50">
    <cfRule type="cellIs" dxfId="276" priority="33" operator="greaterThan">
      <formula>$H$51</formula>
    </cfRule>
  </conditionalFormatting>
  <conditionalFormatting sqref="I1">
    <cfRule type="cellIs" dxfId="275" priority="14" operator="between">
      <formula>0.1</formula>
      <formula>5</formula>
    </cfRule>
  </conditionalFormatting>
  <conditionalFormatting sqref="I2">
    <cfRule type="cellIs" dxfId="274" priority="13" operator="greaterThan">
      <formula>5000.1</formula>
    </cfRule>
  </conditionalFormatting>
  <conditionalFormatting sqref="I3">
    <cfRule type="cellIs" dxfId="273" priority="12" operator="greaterThan">
      <formula>40000.01</formula>
    </cfRule>
  </conditionalFormatting>
  <conditionalFormatting sqref="I31:I50">
    <cfRule type="cellIs" dxfId="272" priority="32" operator="greaterThan">
      <formula>$I$51</formula>
    </cfRule>
  </conditionalFormatting>
  <conditionalFormatting sqref="J31:J50">
    <cfRule type="cellIs" dxfId="271" priority="6" operator="greaterThan">
      <formula>$J$51</formula>
    </cfRule>
  </conditionalFormatting>
  <conditionalFormatting sqref="K31:K50">
    <cfRule type="cellIs" dxfId="270" priority="30" operator="greaterThan">
      <formula>$K$51</formula>
    </cfRule>
  </conditionalFormatting>
  <conditionalFormatting sqref="L3">
    <cfRule type="cellIs" dxfId="269" priority="4" operator="lessThan">
      <formula>30</formula>
    </cfRule>
    <cfRule type="cellIs" dxfId="268" priority="5" operator="greaterThanOrEqual">
      <formula>30</formula>
    </cfRule>
  </conditionalFormatting>
  <conditionalFormatting sqref="L31:L50">
    <cfRule type="cellIs" dxfId="267" priority="29" operator="greaterThan">
      <formula>$L$51</formula>
    </cfRule>
  </conditionalFormatting>
  <conditionalFormatting sqref="M31:M50">
    <cfRule type="cellIs" dxfId="266" priority="28" operator="greaterThan">
      <formula>$M$51</formula>
    </cfRule>
  </conditionalFormatting>
  <conditionalFormatting sqref="P31:P50">
    <cfRule type="cellIs" dxfId="265" priority="27" operator="greaterThan">
      <formula>$P$51</formula>
    </cfRule>
  </conditionalFormatting>
  <conditionalFormatting sqref="R31:R50">
    <cfRule type="cellIs" dxfId="264" priority="26" operator="greaterThan">
      <formula>$R$51</formula>
    </cfRule>
  </conditionalFormatting>
  <conditionalFormatting sqref="S31:S50">
    <cfRule type="cellIs" dxfId="263" priority="25" operator="greaterThan">
      <formula>$S$51</formula>
    </cfRule>
  </conditionalFormatting>
  <conditionalFormatting sqref="T31:T50">
    <cfRule type="cellIs" dxfId="262" priority="24" operator="greaterThan">
      <formula>$T$51</formula>
    </cfRule>
  </conditionalFormatting>
  <conditionalFormatting sqref="U31:U50">
    <cfRule type="cellIs" dxfId="261" priority="23"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21" zoomScale="90" zoomScaleNormal="90" workbookViewId="0">
      <selection activeCell="G22" sqref="G22"/>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1" t="s">
        <v>41</v>
      </c>
      <c r="B1" s="132"/>
      <c r="C1" s="173" t="str">
        <f>'Field data and Waste 1'!C1:D1</f>
        <v>PAN-027465</v>
      </c>
      <c r="D1" s="174"/>
      <c r="E1" s="106" t="s">
        <v>45</v>
      </c>
      <c r="F1" s="113" t="str">
        <f>'Field data and Waste 1'!F1</f>
        <v>49.2ha</v>
      </c>
      <c r="G1" s="163" t="s">
        <v>43</v>
      </c>
      <c r="H1" s="164"/>
      <c r="I1" s="109">
        <v>6.4</v>
      </c>
      <c r="J1" s="131" t="s">
        <v>153</v>
      </c>
      <c r="K1" s="132"/>
      <c r="L1" s="109">
        <v>45.3</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3" t="s">
        <v>87</v>
      </c>
      <c r="B2" s="134"/>
      <c r="C2" s="169" t="str">
        <f>'Field data and Waste 1'!C2:D2</f>
        <v>EPR/AB3891CX</v>
      </c>
      <c r="D2" s="170"/>
      <c r="E2" s="96" t="s">
        <v>109</v>
      </c>
      <c r="F2" s="110" t="s">
        <v>166</v>
      </c>
      <c r="G2" s="165" t="s">
        <v>110</v>
      </c>
      <c r="H2" s="166"/>
      <c r="I2" s="110"/>
      <c r="J2" s="133" t="s">
        <v>158</v>
      </c>
      <c r="K2" s="134"/>
      <c r="L2" s="110">
        <v>1.33</v>
      </c>
      <c r="AB2" s="22" t="s">
        <v>56</v>
      </c>
      <c r="AC2" s="13"/>
      <c r="AD2" s="22" t="s">
        <v>70</v>
      </c>
      <c r="AE2" s="13"/>
      <c r="AF2" s="13"/>
      <c r="AG2" s="34" t="s">
        <v>76</v>
      </c>
      <c r="AH2" s="13"/>
      <c r="AI2" s="35" t="s">
        <v>126</v>
      </c>
      <c r="AJ2" s="36">
        <v>0</v>
      </c>
      <c r="AK2" s="37">
        <v>0</v>
      </c>
      <c r="AL2" s="7">
        <v>0</v>
      </c>
      <c r="AM2" s="9">
        <v>0</v>
      </c>
      <c r="AN2" s="9">
        <v>0</v>
      </c>
    </row>
    <row r="3" spans="1:41" x14ac:dyDescent="0.2">
      <c r="A3" s="135" t="s">
        <v>42</v>
      </c>
      <c r="B3" s="136"/>
      <c r="C3" s="169" t="str">
        <f>'Field data and Waste 1'!C3:D3</f>
        <v>Mr Daniel James and Mrs Carys James</v>
      </c>
      <c r="D3" s="170"/>
      <c r="E3" s="96" t="s">
        <v>108</v>
      </c>
      <c r="F3" s="111" t="s">
        <v>104</v>
      </c>
      <c r="G3" s="133" t="s">
        <v>159</v>
      </c>
      <c r="H3" s="134"/>
      <c r="I3" s="110"/>
      <c r="J3" s="135" t="s">
        <v>154</v>
      </c>
      <c r="K3" s="136"/>
      <c r="L3" s="110">
        <f>(L1/(L2*10000))*100</f>
        <v>0.34060150375939846</v>
      </c>
      <c r="AB3" s="22" t="s">
        <v>57</v>
      </c>
      <c r="AC3" s="13"/>
      <c r="AD3" s="22" t="s">
        <v>71</v>
      </c>
      <c r="AE3" s="13"/>
      <c r="AF3" s="13"/>
      <c r="AG3" s="34" t="s">
        <v>77</v>
      </c>
      <c r="AH3" s="13"/>
      <c r="AI3" s="38" t="s">
        <v>113</v>
      </c>
      <c r="AJ3" s="39">
        <v>1.7</v>
      </c>
      <c r="AK3" s="40">
        <v>6</v>
      </c>
      <c r="AL3" s="41">
        <v>1</v>
      </c>
      <c r="AM3" s="9">
        <v>6.2</v>
      </c>
      <c r="AN3" s="9" t="s">
        <v>112</v>
      </c>
    </row>
    <row r="4" spans="1:41" x14ac:dyDescent="0.2">
      <c r="A4" s="133" t="s">
        <v>0</v>
      </c>
      <c r="B4" s="134"/>
      <c r="C4" s="171" t="str">
        <f>'Field data and Waste 1'!C4:D4</f>
        <v>Hook Farm and New House Farm</v>
      </c>
      <c r="D4" s="172"/>
      <c r="E4" s="99" t="s">
        <v>1</v>
      </c>
      <c r="F4" s="110" t="s">
        <v>168</v>
      </c>
      <c r="G4" s="135"/>
      <c r="H4" s="136"/>
      <c r="I4" s="115"/>
      <c r="J4" s="135"/>
      <c r="K4" s="136"/>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7" t="s">
        <v>47</v>
      </c>
      <c r="B5" s="148"/>
      <c r="C5" s="167" t="str">
        <f>'Field data and Waste 1'!C5:D5</f>
        <v>Rhiannon Smith</v>
      </c>
      <c r="D5" s="168"/>
      <c r="E5" s="107"/>
      <c r="F5" s="114"/>
      <c r="G5" s="137"/>
      <c r="H5" s="138"/>
      <c r="I5" s="114"/>
      <c r="J5" s="137"/>
      <c r="K5" s="138"/>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3" t="s">
        <v>2</v>
      </c>
      <c r="B8" s="134"/>
      <c r="C8" s="49" t="str">
        <f>'Field data and Waste 1'!C8</f>
        <v>Hook Field 2</v>
      </c>
      <c r="D8" s="49" t="str">
        <f>'Field data and Waste 1'!D8</f>
        <v>Hook Field 3</v>
      </c>
      <c r="E8" s="49" t="str">
        <f>'Field data and Waste 1'!E8</f>
        <v>Hook Field 4</v>
      </c>
      <c r="F8" s="49" t="str">
        <f>'Field data and Waste 1'!F8</f>
        <v>Hook Field 8</v>
      </c>
      <c r="G8" s="49" t="str">
        <f>'Field data and Waste 1'!G8</f>
        <v>Hook Field 10</v>
      </c>
      <c r="H8" s="49" t="str">
        <f>'Field data and Waste 1'!H8</f>
        <v>Hook Field 20</v>
      </c>
      <c r="I8" s="49">
        <f>'Field data and Waste 1'!I8</f>
        <v>1</v>
      </c>
      <c r="J8" s="49">
        <f>'Field data and Waste 1'!J8</f>
        <v>2</v>
      </c>
      <c r="K8" s="49">
        <f>'Field data and Waste 1'!K8</f>
        <v>3</v>
      </c>
      <c r="L8" s="49">
        <f>'Field data and Waste 1'!L8</f>
        <v>4</v>
      </c>
      <c r="M8" s="49">
        <f>'Field data and Waste 1'!M8</f>
        <v>7</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3" t="s">
        <v>3</v>
      </c>
      <c r="B9" s="134"/>
      <c r="C9" s="49">
        <f>'Field data and Waste 1'!C9</f>
        <v>1</v>
      </c>
      <c r="D9" s="49">
        <f>'Field data and Waste 1'!D9</f>
        <v>1</v>
      </c>
      <c r="E9" s="49" t="str">
        <f>'Field data and Waste 1'!E9</f>
        <v>Moderate</v>
      </c>
      <c r="F9" s="49">
        <f>'Field data and Waste 1'!F9</f>
        <v>1</v>
      </c>
      <c r="G9" s="49">
        <f>'Field data and Waste 1'!G9</f>
        <v>2</v>
      </c>
      <c r="H9" s="49" t="str">
        <f>'Field data and Waste 1'!H9</f>
        <v>Moderate</v>
      </c>
      <c r="I9" s="49" t="str">
        <f>'Field data and Waste 1'!I9</f>
        <v>Moderate</v>
      </c>
      <c r="J9" s="49" t="str">
        <f>'Field data and Waste 1'!J9</f>
        <v>Moderate</v>
      </c>
      <c r="K9" s="49">
        <f>'Field data and Waste 1'!K9</f>
        <v>1</v>
      </c>
      <c r="L9" s="49" t="str">
        <f>'Field data and Waste 1'!L9</f>
        <v>Moderate</v>
      </c>
      <c r="M9" s="49">
        <f>'Field data and Waste 1'!M9</f>
        <v>1</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3" t="s">
        <v>4</v>
      </c>
      <c r="B10" s="134"/>
      <c r="C10" s="49">
        <f>'Field data and Waste 1'!C10</f>
        <v>6.9</v>
      </c>
      <c r="D10" s="49">
        <f>'Field data and Waste 1'!D10</f>
        <v>6.8</v>
      </c>
      <c r="E10" s="49">
        <f>'Field data and Waste 1'!E10</f>
        <v>6.8</v>
      </c>
      <c r="F10" s="49">
        <f>'Field data and Waste 1'!F10</f>
        <v>6.6</v>
      </c>
      <c r="G10" s="49">
        <f>'Field data and Waste 1'!G10</f>
        <v>7.1</v>
      </c>
      <c r="H10" s="49">
        <f>'Field data and Waste 1'!H10</f>
        <v>7.3</v>
      </c>
      <c r="I10" s="49">
        <f>'Field data and Waste 1'!I10</f>
        <v>6.4</v>
      </c>
      <c r="J10" s="49">
        <f>'Field data and Waste 1'!J10</f>
        <v>6.2</v>
      </c>
      <c r="K10" s="49">
        <f>'Field data and Waste 1'!K10</f>
        <v>6.2</v>
      </c>
      <c r="L10" s="49">
        <f>'Field data and Waste 1'!L10</f>
        <v>6.7</v>
      </c>
      <c r="M10" s="49">
        <f>'Field data and Waste 1'!M10</f>
        <v>6.3</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3" t="s">
        <v>5</v>
      </c>
      <c r="B11" s="134"/>
      <c r="C11" s="49">
        <f>'Field data and Waste 1'!C11</f>
        <v>3</v>
      </c>
      <c r="D11" s="49">
        <f>'Field data and Waste 1'!D11</f>
        <v>3</v>
      </c>
      <c r="E11" s="49">
        <f>'Field data and Waste 1'!E11</f>
        <v>3</v>
      </c>
      <c r="F11" s="49">
        <f>'Field data and Waste 1'!F11</f>
        <v>3</v>
      </c>
      <c r="G11" s="49">
        <f>'Field data and Waste 1'!G11</f>
        <v>3</v>
      </c>
      <c r="H11" s="49">
        <f>'Field data and Waste 1'!H11</f>
        <v>3</v>
      </c>
      <c r="I11" s="49">
        <f>'Field data and Waste 1'!I11</f>
        <v>3</v>
      </c>
      <c r="J11" s="49">
        <f>'Field data and Waste 1'!J11</f>
        <v>2</v>
      </c>
      <c r="K11" s="49">
        <f>'Field data and Waste 1'!K11</f>
        <v>2</v>
      </c>
      <c r="L11" s="49">
        <f>'Field data and Waste 1'!L11</f>
        <v>3</v>
      </c>
      <c r="M11" s="49">
        <f>'Field data and Waste 1'!M11</f>
        <v>3</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3" t="s">
        <v>6</v>
      </c>
      <c r="B12" s="134"/>
      <c r="C12" s="49">
        <f>'Field data and Waste 1'!C12</f>
        <v>3</v>
      </c>
      <c r="D12" s="49">
        <f>'Field data and Waste 1'!D12</f>
        <v>3</v>
      </c>
      <c r="E12" s="49">
        <f>'Field data and Waste 1'!E12</f>
        <v>2</v>
      </c>
      <c r="F12" s="49">
        <f>'Field data and Waste 1'!F12</f>
        <v>3</v>
      </c>
      <c r="G12" s="49">
        <f>'Field data and Waste 1'!G12</f>
        <v>2</v>
      </c>
      <c r="H12" s="49">
        <f>'Field data and Waste 1'!H12</f>
        <v>2</v>
      </c>
      <c r="I12" s="49">
        <f>'Field data and Waste 1'!I12</f>
        <v>2</v>
      </c>
      <c r="J12" s="49">
        <f>'Field data and Waste 1'!J12</f>
        <v>2</v>
      </c>
      <c r="K12" s="49">
        <f>'Field data and Waste 1'!K12</f>
        <v>2</v>
      </c>
      <c r="L12" s="49">
        <f>'Field data and Waste 1'!L12</f>
        <v>2</v>
      </c>
      <c r="M12" s="49">
        <f>'Field data and Waste 1'!M12</f>
        <v>1</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3" t="s">
        <v>7</v>
      </c>
      <c r="B13" s="134"/>
      <c r="C13" s="49">
        <f>'Field data and Waste 1'!C13</f>
        <v>3</v>
      </c>
      <c r="D13" s="49">
        <f>'Field data and Waste 1'!D13</f>
        <v>2</v>
      </c>
      <c r="E13" s="49">
        <f>'Field data and Waste 1'!E13</f>
        <v>2</v>
      </c>
      <c r="F13" s="49">
        <f>'Field data and Waste 1'!F13</f>
        <v>3</v>
      </c>
      <c r="G13" s="49">
        <f>'Field data and Waste 1'!G13</f>
        <v>1</v>
      </c>
      <c r="H13" s="49">
        <f>'Field data and Waste 1'!H13</f>
        <v>1</v>
      </c>
      <c r="I13" s="49">
        <f>'Field data and Waste 1'!I13</f>
        <v>5</v>
      </c>
      <c r="J13" s="49">
        <f>'Field data and Waste 1'!J13</f>
        <v>2</v>
      </c>
      <c r="K13" s="49">
        <f>'Field data and Waste 1'!K13</f>
        <v>2</v>
      </c>
      <c r="L13" s="49">
        <f>'Field data and Waste 1'!L13</f>
        <v>2</v>
      </c>
      <c r="M13" s="49">
        <f>'Field data and Waste 1'!M13</f>
        <v>2</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1" t="s">
        <v>8</v>
      </c>
      <c r="B14" s="152"/>
      <c r="C14" s="83" t="str">
        <f>'Field data and Waste 1'!C14</f>
        <v>Maize- Silage (30% DM)</v>
      </c>
      <c r="D14" s="83">
        <f>'Field data and Waste 1'!D14</f>
        <v>0</v>
      </c>
      <c r="E14" s="83" t="str">
        <f>'Field data and Waste 1'!E14</f>
        <v xml:space="preserve">Grass Silage (25% DM) </v>
      </c>
      <c r="F14" s="83" t="str">
        <f>'Field data and Waste 1'!F14</f>
        <v>Winter barley/triticale/rye</v>
      </c>
      <c r="G14" s="83" t="str">
        <f>'Field data and Waste 1'!G14</f>
        <v>Spring wheat/barley</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Winter barley/triticale/rye</v>
      </c>
      <c r="L14" s="83" t="str">
        <f>'Field data and Waste 1'!L14</f>
        <v xml:space="preserve">Grass Silage (25% DM) </v>
      </c>
      <c r="M14" s="83" t="str">
        <f>'Field data and Waste 1'!M14</f>
        <v>Fodder beet (roots only)</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49" t="s">
        <v>9</v>
      </c>
      <c r="B15" s="150"/>
      <c r="C15" s="49">
        <f>'Field data and Waste 1'!C15</f>
        <v>45</v>
      </c>
      <c r="D15" s="49">
        <f>'Field data and Waste 1'!D15</f>
        <v>30</v>
      </c>
      <c r="E15" s="49">
        <f>'Field data and Waste 1'!E15</f>
        <v>38</v>
      </c>
      <c r="F15" s="49">
        <f>'Field data and Waste 1'!F15</f>
        <v>7.5</v>
      </c>
      <c r="G15" s="49">
        <f>'Field data and Waste 1'!G15</f>
        <v>6.5</v>
      </c>
      <c r="H15" s="49">
        <f>'Field data and Waste 1'!H15</f>
        <v>38</v>
      </c>
      <c r="I15" s="49">
        <f>'Field data and Waste 1'!I15</f>
        <v>54</v>
      </c>
      <c r="J15" s="49">
        <f>'Field data and Waste 1'!J15</f>
        <v>54</v>
      </c>
      <c r="K15" s="49">
        <f>'Field data and Waste 1'!K15</f>
        <v>7.5</v>
      </c>
      <c r="L15" s="49">
        <f>'Field data and Waste 1'!L15</f>
        <v>54</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3" t="s">
        <v>44</v>
      </c>
      <c r="B16" s="154"/>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39" t="s">
        <v>69</v>
      </c>
      <c r="B17" s="140"/>
      <c r="C17" s="20">
        <f>(VLOOKUP(C$14,$AI2:$AK26,2,FALSE))*C$15</f>
        <v>62.999999999999993</v>
      </c>
      <c r="D17" s="20" t="e">
        <f t="shared" ref="D17:V17" si="0">(VLOOKUP(D$14,$AI2:$AK26,2,FALSE))*D$15</f>
        <v>#N/A</v>
      </c>
      <c r="E17" s="20">
        <f t="shared" si="0"/>
        <v>64.599999999999994</v>
      </c>
      <c r="F17" s="20">
        <f t="shared" si="0"/>
        <v>63.75</v>
      </c>
      <c r="G17" s="20">
        <f t="shared" si="0"/>
        <v>55.25</v>
      </c>
      <c r="H17" s="20">
        <f t="shared" si="0"/>
        <v>64.599999999999994</v>
      </c>
      <c r="I17" s="20">
        <f t="shared" si="0"/>
        <v>91.8</v>
      </c>
      <c r="J17" s="20">
        <f t="shared" si="0"/>
        <v>91.8</v>
      </c>
      <c r="K17" s="20">
        <f t="shared" si="0"/>
        <v>63.75</v>
      </c>
      <c r="L17" s="20">
        <f t="shared" si="0"/>
        <v>91.8</v>
      </c>
      <c r="M17" s="20">
        <f t="shared" si="0"/>
        <v>0</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1" t="s">
        <v>23</v>
      </c>
      <c r="B18" s="142"/>
      <c r="C18" s="12">
        <f>$D31</f>
        <v>4.1626553599999996</v>
      </c>
      <c r="D18" s="12">
        <f>$D32</f>
        <v>2.8618255600000002</v>
      </c>
      <c r="E18" s="12">
        <f>$D33</f>
        <v>3.6423234399999997</v>
      </c>
      <c r="F18" s="12">
        <f>$D34</f>
        <v>4.1626553599999996</v>
      </c>
      <c r="G18" s="12">
        <f>$D35</f>
        <v>3.6423234399999997</v>
      </c>
      <c r="H18" s="12">
        <f>$D36</f>
        <v>3.6423234399999997</v>
      </c>
      <c r="I18" s="12">
        <f>$D37</f>
        <v>3.6423234399999997</v>
      </c>
      <c r="J18" s="12">
        <f>$D38</f>
        <v>3.6423234399999997</v>
      </c>
      <c r="K18" s="12">
        <f>$D39</f>
        <v>4.1626553599999996</v>
      </c>
      <c r="L18" s="12">
        <f>$D40</f>
        <v>3.6423234399999997</v>
      </c>
      <c r="M18" s="12">
        <f>$D41</f>
        <v>1.665062144</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1" t="s">
        <v>90</v>
      </c>
      <c r="B19" s="142"/>
      <c r="C19" s="12">
        <f>C18-C17</f>
        <v>-58.837344639999991</v>
      </c>
      <c r="D19" s="12" t="e">
        <f t="shared" ref="D19:V19" si="1">D18-D17</f>
        <v>#N/A</v>
      </c>
      <c r="E19" s="12">
        <f t="shared" si="1"/>
        <v>-60.957676559999996</v>
      </c>
      <c r="F19" s="12">
        <f t="shared" si="1"/>
        <v>-59.587344639999998</v>
      </c>
      <c r="G19" s="12">
        <f t="shared" si="1"/>
        <v>-51.607676560000002</v>
      </c>
      <c r="H19" s="12">
        <f t="shared" si="1"/>
        <v>-60.957676559999996</v>
      </c>
      <c r="I19" s="12">
        <f t="shared" si="1"/>
        <v>-88.157676559999999</v>
      </c>
      <c r="J19" s="12">
        <f t="shared" si="1"/>
        <v>-88.157676559999999</v>
      </c>
      <c r="K19" s="12">
        <f t="shared" si="1"/>
        <v>-59.587344639999998</v>
      </c>
      <c r="L19" s="12">
        <f t="shared" si="1"/>
        <v>-88.157676559999999</v>
      </c>
      <c r="M19" s="12">
        <f t="shared" si="1"/>
        <v>1.665062144</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3" t="s">
        <v>91</v>
      </c>
      <c r="B20" s="144"/>
      <c r="C20" s="18" t="str">
        <f>IF($B31="","",IF(C$19&gt;=0,"INCREASE","DECREASE"))</f>
        <v>DECREASE</v>
      </c>
      <c r="D20" s="18" t="e">
        <f>IF($B32="","",IF(D$19&gt;=0,"INCREASE","DECREASE"))</f>
        <v>#N/A</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INCREASE</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9" t="s">
        <v>88</v>
      </c>
      <c r="B21" s="140"/>
      <c r="C21" s="20">
        <f>(VLOOKUP(C$14,$AI2:$AK26,3,FALSE))*C$15</f>
        <v>198.00000000000003</v>
      </c>
      <c r="D21" s="20" t="e">
        <f t="shared" ref="D21:V21" si="2">(VLOOKUP(D$14,$AI2:$AK26,3,FALSE))*D$15</f>
        <v>#N/A</v>
      </c>
      <c r="E21" s="20">
        <f t="shared" si="2"/>
        <v>228</v>
      </c>
      <c r="F21" s="20">
        <f t="shared" si="2"/>
        <v>78.75</v>
      </c>
      <c r="G21" s="20">
        <f t="shared" si="2"/>
        <v>78</v>
      </c>
      <c r="H21" s="20">
        <f t="shared" si="2"/>
        <v>228</v>
      </c>
      <c r="I21" s="20">
        <f t="shared" si="2"/>
        <v>324</v>
      </c>
      <c r="J21" s="20">
        <f t="shared" si="2"/>
        <v>324</v>
      </c>
      <c r="K21" s="20">
        <f t="shared" si="2"/>
        <v>78.75</v>
      </c>
      <c r="L21" s="20">
        <f t="shared" si="2"/>
        <v>324</v>
      </c>
      <c r="M21" s="20">
        <f t="shared" si="2"/>
        <v>0</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1" t="s">
        <v>89</v>
      </c>
      <c r="B22" s="142"/>
      <c r="C22" s="12">
        <f>$E31</f>
        <v>32.120480000000008</v>
      </c>
      <c r="D22" s="12">
        <f>$E32</f>
        <v>22.082830000000005</v>
      </c>
      <c r="E22" s="12">
        <f>$E33</f>
        <v>28.105420000000009</v>
      </c>
      <c r="F22" s="12">
        <f>$E34</f>
        <v>32.120480000000008</v>
      </c>
      <c r="G22" s="12">
        <f>$E35</f>
        <v>28.105420000000009</v>
      </c>
      <c r="H22" s="12">
        <f>$E36</f>
        <v>28.105420000000009</v>
      </c>
      <c r="I22" s="12">
        <f>$E37</f>
        <v>28.105420000000009</v>
      </c>
      <c r="J22" s="12">
        <f>$E38</f>
        <v>28.105420000000009</v>
      </c>
      <c r="K22" s="12">
        <f>$E39</f>
        <v>32.120480000000008</v>
      </c>
      <c r="L22" s="12">
        <f>$E40</f>
        <v>28.105420000000009</v>
      </c>
      <c r="M22" s="12">
        <f>$E41</f>
        <v>12.848192000000003</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1" t="s">
        <v>92</v>
      </c>
      <c r="B23" s="142"/>
      <c r="C23" s="12">
        <f>C22-C21</f>
        <v>-165.87952000000001</v>
      </c>
      <c r="D23" s="12" t="e">
        <f t="shared" ref="D23:V23" si="3">D22-D21</f>
        <v>#N/A</v>
      </c>
      <c r="E23" s="12">
        <f t="shared" si="3"/>
        <v>-199.89457999999999</v>
      </c>
      <c r="F23" s="12">
        <f t="shared" si="3"/>
        <v>-46.629519999999992</v>
      </c>
      <c r="G23" s="12">
        <f t="shared" si="3"/>
        <v>-49.894579999999991</v>
      </c>
      <c r="H23" s="12">
        <f t="shared" si="3"/>
        <v>-199.89457999999999</v>
      </c>
      <c r="I23" s="12">
        <f t="shared" si="3"/>
        <v>-295.89458000000002</v>
      </c>
      <c r="J23" s="12">
        <f t="shared" si="3"/>
        <v>-295.89458000000002</v>
      </c>
      <c r="K23" s="12">
        <f t="shared" si="3"/>
        <v>-46.629519999999992</v>
      </c>
      <c r="L23" s="12">
        <f t="shared" si="3"/>
        <v>-295.89458000000002</v>
      </c>
      <c r="M23" s="12">
        <f t="shared" si="3"/>
        <v>12.848192000000003</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3" t="s">
        <v>93</v>
      </c>
      <c r="B24" s="144"/>
      <c r="C24" s="18" t="str">
        <f>IF($B31="","",IF(C$23&gt;=0,"INCREASE","DECREASE"))</f>
        <v>DECREASE</v>
      </c>
      <c r="D24" s="18" t="e">
        <f t="shared" ref="D24:V24" si="4">IF($B31="","",IF(D$23&gt;=0,"INCREASE","DECREASE"))</f>
        <v>#N/A</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INCREASE</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c r="T27" s="84"/>
      <c r="U27" s="121"/>
    </row>
    <row r="28" spans="1:40" x14ac:dyDescent="0.25">
      <c r="A28" s="122"/>
      <c r="B28" s="16">
        <v>13.6</v>
      </c>
      <c r="C28" s="11">
        <v>1.33</v>
      </c>
      <c r="D28" s="11">
        <v>1.67E-2</v>
      </c>
      <c r="E28" s="11">
        <v>0.245</v>
      </c>
      <c r="F28" s="11">
        <v>0.75</v>
      </c>
      <c r="G28" s="11">
        <v>21</v>
      </c>
      <c r="H28" s="11">
        <v>79.599999999999994</v>
      </c>
      <c r="I28" s="11">
        <v>31</v>
      </c>
      <c r="J28" s="11">
        <v>0.44</v>
      </c>
      <c r="K28" s="15">
        <v>0.75</v>
      </c>
      <c r="L28" s="11">
        <v>5.0999999999999996</v>
      </c>
      <c r="M28" s="11">
        <v>4.3</v>
      </c>
      <c r="N28" s="11">
        <v>126000</v>
      </c>
      <c r="O28" s="11">
        <v>30900</v>
      </c>
      <c r="P28" s="11"/>
      <c r="Q28" s="11">
        <v>4270</v>
      </c>
      <c r="R28" s="11"/>
      <c r="S28" s="11">
        <v>58.9</v>
      </c>
      <c r="T28" s="11"/>
      <c r="U28" s="97"/>
    </row>
    <row r="29" spans="1:40" s="7" customFormat="1" ht="27" x14ac:dyDescent="0.2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Hook Field 2</v>
      </c>
      <c r="B31" s="11">
        <v>80</v>
      </c>
      <c r="C31" s="65">
        <f>IF(C$27="%w/w SAR",((C$28*10)*$B31),IF(C$27="%w/w DM",(((C$28*10)*($B$28/100))*$B31),IF(C$27="kg/t SAR",(C$28*$B31),IF(C$27="kg/t DM",((C$28*($B$28/100))*$B31),IF(C$27="mg/kg SAR",((C$28*0.001)*$B31),IF(C$27="mg/kg DM",(((C$28*0.001)*($B$28/100))*$B31),0))))))</f>
        <v>144.70400000000001</v>
      </c>
      <c r="D31" s="65">
        <f>(IF(D$27="%w/w SAR",((D$28*10)*$B31),IF(D$27="%w/w DM",(((D$28*10)*($B$28/100))*$B31),IF(D$27="kg/t SAR",(D$28*$B31),IF(D$27="kg/t DM",((D$28*($B$28/100))*$B31),IF(D$27="mg/kg SAR",((D$28*0.001)*$B31),IF(D$27="mg/kg DM",(((D$28*0.001)*($B$28/100))*$B31),"0")))))))*2.291</f>
        <v>4.1626553599999996</v>
      </c>
      <c r="E31" s="65">
        <f>(IF(E$27="%w/w SAR",((E$28*10)*$B31),IF(E$27="%w/w DM",(((E$28*10)*($B$28/100))*$B31),IF(E$27="kg/t SAR",(E$28*$B31),IF(E$27="kg/t DM",((E$28*($B$28/100))*$B31),IF(E$27="mg/kg SAR",((E$28*0.001)*$B31),IF(E$27="mg/kg DM",(((E$28*0.001)*($B$28/100))*$B31),"0")))))))*1.205</f>
        <v>32.120480000000008</v>
      </c>
      <c r="F31" s="65">
        <f>(IF(F$27="%w/w SAR",((F$28*10)*$B31),IF(F$27="%w/w DM",(((F$28*10)*($B$28/100))*$B31),IF(F$27="kg/t SAR",(F$28*$B31),IF(F$27="kg/t DM",((F$28*($B$28/100))*$B31),IF(F$27="mg/kg SAR",((F$28*0.001)*$B31),IF(F$27="mg/kg DM",(((F$28*0.001)*($B$28/100))*$B31),"0")))))))*1.658</f>
        <v>1.3529280000000001E-2</v>
      </c>
      <c r="G31" s="65">
        <f t="shared" ref="G31:P46" si="5">IF(G$27="%w/w SAR",((G$28*10)*$B31),IF(G$27="%w/w DM",(((G$28*10)*($B$28/100))*$B31),IF(G$27="kg/t SAR",(G$28*$B31),IF(G$27="kg/t DM",((G$28*($B$28/100))*$B31),IF(G$27="mg/kg SAR",((G$28*0.001)*$B31),IF(G$27="mg/kg DM",(((G$28*0.001)*($B$28/100))*$B31),0))))))</f>
        <v>0.22848000000000004</v>
      </c>
      <c r="H31" s="65">
        <f t="shared" si="5"/>
        <v>0.86604799999999993</v>
      </c>
      <c r="I31" s="65">
        <f t="shared" si="5"/>
        <v>0.33728000000000002</v>
      </c>
      <c r="J31" s="65">
        <f t="shared" si="5"/>
        <v>4.7872000000000001E-3</v>
      </c>
      <c r="K31" s="65">
        <f t="shared" si="5"/>
        <v>8.1600000000000006E-3</v>
      </c>
      <c r="L31" s="65">
        <f t="shared" si="5"/>
        <v>5.5487999999999996E-2</v>
      </c>
      <c r="M31" s="65">
        <f t="shared" si="5"/>
        <v>4.6783999999999999E-2</v>
      </c>
      <c r="N31" s="65">
        <f t="shared" si="5"/>
        <v>1370.88</v>
      </c>
      <c r="O31" s="65">
        <f t="shared" si="5"/>
        <v>336.19200000000006</v>
      </c>
      <c r="P31" s="65">
        <f t="shared" si="5"/>
        <v>0</v>
      </c>
      <c r="Q31" s="65">
        <f>(IF(Q$27="%w/w SAR",((Q$28*10)*$B31),IF(Q$27="%w/w DM",(((Q$28*10)*($B$28/100))*$B31),IF(Q$27="kg/t SAR",(Q$28*$B31),IF(Q$27="kg/t DM",((Q$28*($B$28/100))*$B31),IF(Q$27="mg/kg SAR",((Q$28*0.001)*$B31),IF(Q$27="mg/kg DM",(((Q$28*0.001)*($B$28/100))*$B31),0)))))))*2.5</f>
        <v>116.14400000000003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Hook Field 3</v>
      </c>
      <c r="B32" s="11">
        <v>55</v>
      </c>
      <c r="C32" s="65">
        <f t="shared" ref="C32:C50" si="6">IF(C$27="%w/w SAR",((C$28*10)*$B32),IF(C$27="%w/w DM",(((C$28*10)*($B$28/100))*$B32),IF(C$27="kg/t SAR",(C$28*$B32),IF(C$27="kg/t DM",((C$28*($B$28/100))*$B32),IF(C$27="mg/kg SAR",((C$28*0.001)*$B32),IF(C$27="mg/kg DM",(((C$28*0.001)*($B$28/100))*$B32),0))))))</f>
        <v>99.484000000000009</v>
      </c>
      <c r="D32" s="65">
        <f t="shared" ref="D32:D50" si="7">(IF(D$27="%w/w SAR",((D$28*10)*$B32),IF(D$27="%w/w DM",(((D$28*10)*($B$28/100))*$B32),IF(D$27="kg/t SAR",(D$28*$B32),IF(D$27="kg/t DM",((D$28*($B$28/100))*$B32),IF(D$27="mg/kg SAR",((D$28*0.001)*$B32),IF(D$27="mg/kg DM",(((D$28*0.001)*($B$28/100))*$B32),"0")))))))*2.291</f>
        <v>2.8618255600000002</v>
      </c>
      <c r="E32" s="65">
        <f t="shared" ref="E32:E50" si="8">(IF(E$27="%w/w SAR",((E$28*10)*$B32),IF(E$27="%w/w DM",(((E$28*10)*($B$28/100))*$B32),IF(E$27="kg/t SAR",(E$28*$B32),IF(E$27="kg/t DM",((E$28*($B$28/100))*$B32),IF(E$27="mg/kg SAR",((E$28*0.001)*$B32),IF(E$27="mg/kg DM",(((E$28*0.001)*($B$28/100))*$B32),"0")))))))*1.205</f>
        <v>22.082830000000005</v>
      </c>
      <c r="F32" s="65">
        <f t="shared" ref="F32:F50" si="9">(IF(F$27="%w/w SAR",((F$28*10)*$B32),IF(F$27="%w/w DM",(((F$28*10)*($B$28/100))*$B32),IF(F$27="kg/t SAR",(F$28*$B32),IF(F$27="kg/t DM",((F$28*($B$28/100))*$B32),IF(F$27="mg/kg SAR",((F$28*0.001)*$B32),IF(F$27="mg/kg DM",(((F$28*0.001)*($B$28/100))*$B32),"0")))))))*1.658</f>
        <v>9.3013799999999997E-3</v>
      </c>
      <c r="G32" s="65">
        <f t="shared" si="5"/>
        <v>0.15708000000000003</v>
      </c>
      <c r="H32" s="65">
        <f t="shared" si="5"/>
        <v>0.59540799999999994</v>
      </c>
      <c r="I32" s="65">
        <f t="shared" si="5"/>
        <v>0.23188</v>
      </c>
      <c r="J32" s="65">
        <f t="shared" si="5"/>
        <v>3.2912000000000002E-3</v>
      </c>
      <c r="K32" s="65">
        <f t="shared" si="5"/>
        <v>5.6100000000000004E-3</v>
      </c>
      <c r="L32" s="65">
        <f t="shared" si="5"/>
        <v>3.8147999999999994E-2</v>
      </c>
      <c r="M32" s="65">
        <f t="shared" si="5"/>
        <v>3.2163999999999998E-2</v>
      </c>
      <c r="N32" s="65">
        <f t="shared" si="5"/>
        <v>942.48000000000013</v>
      </c>
      <c r="O32" s="65">
        <f t="shared" si="5"/>
        <v>231.13200000000003</v>
      </c>
      <c r="P32" s="65">
        <f t="shared" si="5"/>
        <v>0</v>
      </c>
      <c r="Q32" s="65">
        <f t="shared" ref="Q32:Q50" si="10">(IF(Q$27="%w/w SAR",((Q$28*10)*$B32),IF(Q$27="%w/w DM",(((Q$28*10)*($B$28/100))*$B32),IF(Q$27="kg/t SAR",(Q$28*$B32),IF(Q$27="kg/t DM",((Q$28*($B$28/100))*$B32),IF(Q$27="mg/kg SAR",((Q$28*0.001)*$B32),IF(Q$27="mg/kg DM",(((Q$28*0.001)*($B$28/100))*$B32),0)))))))*2.5</f>
        <v>79.849000000000018</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Hook Field 4</v>
      </c>
      <c r="B33" s="11">
        <v>70</v>
      </c>
      <c r="C33" s="65">
        <f t="shared" si="6"/>
        <v>126.61600000000001</v>
      </c>
      <c r="D33" s="65">
        <f t="shared" si="7"/>
        <v>3.6423234399999997</v>
      </c>
      <c r="E33" s="65">
        <f t="shared" si="8"/>
        <v>28.105420000000009</v>
      </c>
      <c r="F33" s="65">
        <f t="shared" si="9"/>
        <v>1.1838120000000001E-2</v>
      </c>
      <c r="G33" s="65">
        <f t="shared" si="5"/>
        <v>0.19992000000000004</v>
      </c>
      <c r="H33" s="65">
        <f t="shared" si="5"/>
        <v>0.75779199999999991</v>
      </c>
      <c r="I33" s="65">
        <f t="shared" si="5"/>
        <v>0.29511999999999999</v>
      </c>
      <c r="J33" s="65">
        <f t="shared" si="5"/>
        <v>4.1888000000000003E-3</v>
      </c>
      <c r="K33" s="65">
        <f t="shared" si="5"/>
        <v>7.1400000000000005E-3</v>
      </c>
      <c r="L33" s="65">
        <f t="shared" si="5"/>
        <v>4.8551999999999998E-2</v>
      </c>
      <c r="M33" s="65">
        <f t="shared" si="5"/>
        <v>4.0936E-2</v>
      </c>
      <c r="N33" s="65">
        <f t="shared" si="5"/>
        <v>1199.5200000000002</v>
      </c>
      <c r="O33" s="65">
        <f t="shared" si="5"/>
        <v>294.16800000000006</v>
      </c>
      <c r="P33" s="65">
        <f t="shared" si="5"/>
        <v>0</v>
      </c>
      <c r="Q33" s="65">
        <f t="shared" si="10"/>
        <v>101.62600000000003</v>
      </c>
      <c r="R33" s="65">
        <f t="shared" si="11"/>
        <v>0</v>
      </c>
      <c r="S33" s="65">
        <f t="shared" si="11"/>
        <v>0</v>
      </c>
      <c r="T33" s="65">
        <f t="shared" si="11"/>
        <v>0</v>
      </c>
      <c r="U33" s="126">
        <f t="shared" si="11"/>
        <v>0</v>
      </c>
    </row>
    <row r="34" spans="1:21" s="48" customFormat="1" x14ac:dyDescent="0.25">
      <c r="A34" s="125" t="str">
        <f>F8</f>
        <v>Hook Field 8</v>
      </c>
      <c r="B34" s="11">
        <v>80</v>
      </c>
      <c r="C34" s="65">
        <f t="shared" si="6"/>
        <v>144.70400000000001</v>
      </c>
      <c r="D34" s="65">
        <f t="shared" si="7"/>
        <v>4.1626553599999996</v>
      </c>
      <c r="E34" s="65">
        <f t="shared" si="8"/>
        <v>32.120480000000008</v>
      </c>
      <c r="F34" s="65">
        <f t="shared" si="9"/>
        <v>1.3529280000000001E-2</v>
      </c>
      <c r="G34" s="65">
        <f t="shared" si="5"/>
        <v>0.22848000000000004</v>
      </c>
      <c r="H34" s="65">
        <f t="shared" si="5"/>
        <v>0.86604799999999993</v>
      </c>
      <c r="I34" s="65">
        <f t="shared" si="5"/>
        <v>0.33728000000000002</v>
      </c>
      <c r="J34" s="65">
        <f t="shared" si="5"/>
        <v>4.7872000000000001E-3</v>
      </c>
      <c r="K34" s="65">
        <f t="shared" si="5"/>
        <v>8.1600000000000006E-3</v>
      </c>
      <c r="L34" s="65">
        <f t="shared" si="5"/>
        <v>5.5487999999999996E-2</v>
      </c>
      <c r="M34" s="65">
        <f t="shared" si="5"/>
        <v>4.6783999999999999E-2</v>
      </c>
      <c r="N34" s="65">
        <f t="shared" si="5"/>
        <v>1370.88</v>
      </c>
      <c r="O34" s="65">
        <f t="shared" si="5"/>
        <v>336.19200000000006</v>
      </c>
      <c r="P34" s="65">
        <f t="shared" si="5"/>
        <v>0</v>
      </c>
      <c r="Q34" s="65">
        <f t="shared" si="10"/>
        <v>116.14400000000003</v>
      </c>
      <c r="R34" s="65">
        <f t="shared" si="11"/>
        <v>0</v>
      </c>
      <c r="S34" s="65">
        <f t="shared" si="11"/>
        <v>0</v>
      </c>
      <c r="T34" s="65">
        <f t="shared" si="11"/>
        <v>0</v>
      </c>
      <c r="U34" s="126">
        <f t="shared" si="11"/>
        <v>0</v>
      </c>
    </row>
    <row r="35" spans="1:21" s="48" customFormat="1" x14ac:dyDescent="0.25">
      <c r="A35" s="125" t="str">
        <f>G8</f>
        <v>Hook Field 10</v>
      </c>
      <c r="B35" s="11">
        <v>70</v>
      </c>
      <c r="C35" s="65">
        <f t="shared" si="6"/>
        <v>126.61600000000001</v>
      </c>
      <c r="D35" s="65">
        <f t="shared" si="7"/>
        <v>3.6423234399999997</v>
      </c>
      <c r="E35" s="65">
        <f t="shared" si="8"/>
        <v>28.105420000000009</v>
      </c>
      <c r="F35" s="65">
        <f t="shared" si="9"/>
        <v>1.1838120000000001E-2</v>
      </c>
      <c r="G35" s="65">
        <f t="shared" si="5"/>
        <v>0.19992000000000004</v>
      </c>
      <c r="H35" s="65">
        <f t="shared" si="5"/>
        <v>0.75779199999999991</v>
      </c>
      <c r="I35" s="65">
        <f t="shared" si="5"/>
        <v>0.29511999999999999</v>
      </c>
      <c r="J35" s="65">
        <f t="shared" si="5"/>
        <v>4.1888000000000003E-3</v>
      </c>
      <c r="K35" s="65">
        <f t="shared" si="5"/>
        <v>7.1400000000000005E-3</v>
      </c>
      <c r="L35" s="65">
        <f t="shared" si="5"/>
        <v>4.8551999999999998E-2</v>
      </c>
      <c r="M35" s="65">
        <f t="shared" si="5"/>
        <v>4.0936E-2</v>
      </c>
      <c r="N35" s="65">
        <f t="shared" si="5"/>
        <v>1199.5200000000002</v>
      </c>
      <c r="O35" s="65">
        <f t="shared" si="5"/>
        <v>294.16800000000006</v>
      </c>
      <c r="P35" s="65">
        <f t="shared" si="5"/>
        <v>0</v>
      </c>
      <c r="Q35" s="65">
        <f t="shared" si="10"/>
        <v>101.62600000000003</v>
      </c>
      <c r="R35" s="65">
        <f t="shared" si="11"/>
        <v>0</v>
      </c>
      <c r="S35" s="65">
        <f t="shared" si="11"/>
        <v>0</v>
      </c>
      <c r="T35" s="65">
        <f t="shared" si="11"/>
        <v>0</v>
      </c>
      <c r="U35" s="126">
        <f t="shared" si="11"/>
        <v>0</v>
      </c>
    </row>
    <row r="36" spans="1:21" s="48" customFormat="1" x14ac:dyDescent="0.25">
      <c r="A36" s="125" t="str">
        <f>H8</f>
        <v>Hook Field 20</v>
      </c>
      <c r="B36" s="11">
        <v>70</v>
      </c>
      <c r="C36" s="65">
        <f t="shared" si="6"/>
        <v>126.61600000000001</v>
      </c>
      <c r="D36" s="65">
        <f t="shared" si="7"/>
        <v>3.6423234399999997</v>
      </c>
      <c r="E36" s="65">
        <f t="shared" si="8"/>
        <v>28.105420000000009</v>
      </c>
      <c r="F36" s="65">
        <f t="shared" si="9"/>
        <v>1.1838120000000001E-2</v>
      </c>
      <c r="G36" s="65">
        <f t="shared" si="5"/>
        <v>0.19992000000000004</v>
      </c>
      <c r="H36" s="65">
        <f t="shared" si="5"/>
        <v>0.75779199999999991</v>
      </c>
      <c r="I36" s="65">
        <f t="shared" si="5"/>
        <v>0.29511999999999999</v>
      </c>
      <c r="J36" s="65">
        <f t="shared" si="5"/>
        <v>4.1888000000000003E-3</v>
      </c>
      <c r="K36" s="65">
        <f t="shared" si="5"/>
        <v>7.1400000000000005E-3</v>
      </c>
      <c r="L36" s="65">
        <f t="shared" si="5"/>
        <v>4.8551999999999998E-2</v>
      </c>
      <c r="M36" s="65">
        <f t="shared" si="5"/>
        <v>4.0936E-2</v>
      </c>
      <c r="N36" s="65">
        <f t="shared" si="5"/>
        <v>1199.5200000000002</v>
      </c>
      <c r="O36" s="65">
        <f t="shared" si="5"/>
        <v>294.16800000000006</v>
      </c>
      <c r="P36" s="65">
        <f t="shared" si="5"/>
        <v>0</v>
      </c>
      <c r="Q36" s="65">
        <f t="shared" si="10"/>
        <v>101.62600000000003</v>
      </c>
      <c r="R36" s="65">
        <f t="shared" si="11"/>
        <v>0</v>
      </c>
      <c r="S36" s="65">
        <f t="shared" si="11"/>
        <v>0</v>
      </c>
      <c r="T36" s="65">
        <f t="shared" si="11"/>
        <v>0</v>
      </c>
      <c r="U36" s="126">
        <f t="shared" si="11"/>
        <v>0</v>
      </c>
    </row>
    <row r="37" spans="1:21" s="48" customFormat="1" x14ac:dyDescent="0.25">
      <c r="A37" s="125">
        <f>I8</f>
        <v>1</v>
      </c>
      <c r="B37" s="11">
        <v>70</v>
      </c>
      <c r="C37" s="65">
        <f t="shared" si="6"/>
        <v>126.61600000000001</v>
      </c>
      <c r="D37" s="65">
        <f t="shared" si="7"/>
        <v>3.6423234399999997</v>
      </c>
      <c r="E37" s="65">
        <f t="shared" si="8"/>
        <v>28.105420000000009</v>
      </c>
      <c r="F37" s="65">
        <f t="shared" si="9"/>
        <v>1.1838120000000001E-2</v>
      </c>
      <c r="G37" s="65">
        <f t="shared" si="5"/>
        <v>0.19992000000000004</v>
      </c>
      <c r="H37" s="65">
        <f t="shared" si="5"/>
        <v>0.75779199999999991</v>
      </c>
      <c r="I37" s="65">
        <f t="shared" si="5"/>
        <v>0.29511999999999999</v>
      </c>
      <c r="J37" s="65">
        <f t="shared" si="5"/>
        <v>4.1888000000000003E-3</v>
      </c>
      <c r="K37" s="65">
        <f t="shared" si="5"/>
        <v>7.1400000000000005E-3</v>
      </c>
      <c r="L37" s="65">
        <f t="shared" si="5"/>
        <v>4.8551999999999998E-2</v>
      </c>
      <c r="M37" s="65">
        <f t="shared" si="5"/>
        <v>4.0936E-2</v>
      </c>
      <c r="N37" s="65">
        <f t="shared" si="5"/>
        <v>1199.5200000000002</v>
      </c>
      <c r="O37" s="65">
        <f t="shared" si="5"/>
        <v>294.16800000000006</v>
      </c>
      <c r="P37" s="65">
        <f t="shared" si="5"/>
        <v>0</v>
      </c>
      <c r="Q37" s="65">
        <f t="shared" si="10"/>
        <v>101.62600000000003</v>
      </c>
      <c r="R37" s="65">
        <f t="shared" si="11"/>
        <v>0</v>
      </c>
      <c r="S37" s="65">
        <f t="shared" si="11"/>
        <v>0</v>
      </c>
      <c r="T37" s="65">
        <f t="shared" si="11"/>
        <v>0</v>
      </c>
      <c r="U37" s="126">
        <f t="shared" si="11"/>
        <v>0</v>
      </c>
    </row>
    <row r="38" spans="1:21" s="48" customFormat="1" x14ac:dyDescent="0.25">
      <c r="A38" s="125">
        <f>J8</f>
        <v>2</v>
      </c>
      <c r="B38" s="11">
        <v>70</v>
      </c>
      <c r="C38" s="65">
        <f t="shared" si="6"/>
        <v>126.61600000000001</v>
      </c>
      <c r="D38" s="65">
        <f t="shared" si="7"/>
        <v>3.6423234399999997</v>
      </c>
      <c r="E38" s="65">
        <f t="shared" si="8"/>
        <v>28.105420000000009</v>
      </c>
      <c r="F38" s="65">
        <f t="shared" si="9"/>
        <v>1.1838120000000001E-2</v>
      </c>
      <c r="G38" s="65">
        <f t="shared" si="5"/>
        <v>0.19992000000000004</v>
      </c>
      <c r="H38" s="65">
        <f t="shared" si="5"/>
        <v>0.75779199999999991</v>
      </c>
      <c r="I38" s="65">
        <f t="shared" si="5"/>
        <v>0.29511999999999999</v>
      </c>
      <c r="J38" s="65">
        <f t="shared" si="5"/>
        <v>4.1888000000000003E-3</v>
      </c>
      <c r="K38" s="65">
        <f t="shared" si="5"/>
        <v>7.1400000000000005E-3</v>
      </c>
      <c r="L38" s="65">
        <f t="shared" si="5"/>
        <v>4.8551999999999998E-2</v>
      </c>
      <c r="M38" s="65">
        <f t="shared" si="5"/>
        <v>4.0936E-2</v>
      </c>
      <c r="N38" s="65">
        <f t="shared" si="5"/>
        <v>1199.5200000000002</v>
      </c>
      <c r="O38" s="65">
        <f t="shared" si="5"/>
        <v>294.16800000000006</v>
      </c>
      <c r="P38" s="65">
        <f t="shared" si="5"/>
        <v>0</v>
      </c>
      <c r="Q38" s="65">
        <f t="shared" si="10"/>
        <v>101.62600000000003</v>
      </c>
      <c r="R38" s="65">
        <f t="shared" si="11"/>
        <v>0</v>
      </c>
      <c r="S38" s="65">
        <f t="shared" si="11"/>
        <v>0</v>
      </c>
      <c r="T38" s="65">
        <f t="shared" si="11"/>
        <v>0</v>
      </c>
      <c r="U38" s="126">
        <f t="shared" si="11"/>
        <v>0</v>
      </c>
    </row>
    <row r="39" spans="1:21" s="48" customFormat="1" x14ac:dyDescent="0.25">
      <c r="A39" s="125">
        <f>K8</f>
        <v>3</v>
      </c>
      <c r="B39" s="11">
        <v>80</v>
      </c>
      <c r="C39" s="65">
        <f t="shared" si="6"/>
        <v>144.70400000000001</v>
      </c>
      <c r="D39" s="65">
        <f t="shared" si="7"/>
        <v>4.1626553599999996</v>
      </c>
      <c r="E39" s="65">
        <f t="shared" si="8"/>
        <v>32.120480000000008</v>
      </c>
      <c r="F39" s="65">
        <f t="shared" si="9"/>
        <v>1.3529280000000001E-2</v>
      </c>
      <c r="G39" s="65">
        <f t="shared" si="5"/>
        <v>0.22848000000000004</v>
      </c>
      <c r="H39" s="65">
        <f t="shared" si="5"/>
        <v>0.86604799999999993</v>
      </c>
      <c r="I39" s="65">
        <f t="shared" si="5"/>
        <v>0.33728000000000002</v>
      </c>
      <c r="J39" s="65">
        <f t="shared" si="5"/>
        <v>4.7872000000000001E-3</v>
      </c>
      <c r="K39" s="65">
        <f t="shared" si="5"/>
        <v>8.1600000000000006E-3</v>
      </c>
      <c r="L39" s="65">
        <f t="shared" si="5"/>
        <v>5.5487999999999996E-2</v>
      </c>
      <c r="M39" s="65">
        <f t="shared" si="5"/>
        <v>4.6783999999999999E-2</v>
      </c>
      <c r="N39" s="65">
        <f t="shared" si="5"/>
        <v>1370.88</v>
      </c>
      <c r="O39" s="65">
        <f t="shared" si="5"/>
        <v>336.19200000000006</v>
      </c>
      <c r="P39" s="65">
        <f t="shared" si="5"/>
        <v>0</v>
      </c>
      <c r="Q39" s="65">
        <f t="shared" si="10"/>
        <v>116.14400000000003</v>
      </c>
      <c r="R39" s="65">
        <f t="shared" si="11"/>
        <v>0</v>
      </c>
      <c r="S39" s="65">
        <f t="shared" si="11"/>
        <v>0</v>
      </c>
      <c r="T39" s="65">
        <f t="shared" si="11"/>
        <v>0</v>
      </c>
      <c r="U39" s="126">
        <f t="shared" si="11"/>
        <v>0</v>
      </c>
    </row>
    <row r="40" spans="1:21" s="48" customFormat="1" x14ac:dyDescent="0.25">
      <c r="A40" s="125">
        <f>L8</f>
        <v>4</v>
      </c>
      <c r="B40" s="11">
        <v>70</v>
      </c>
      <c r="C40" s="65">
        <f t="shared" si="6"/>
        <v>126.61600000000001</v>
      </c>
      <c r="D40" s="65">
        <f t="shared" si="7"/>
        <v>3.6423234399999997</v>
      </c>
      <c r="E40" s="65">
        <f t="shared" si="8"/>
        <v>28.105420000000009</v>
      </c>
      <c r="F40" s="65">
        <f t="shared" si="9"/>
        <v>1.1838120000000001E-2</v>
      </c>
      <c r="G40" s="65">
        <f t="shared" si="5"/>
        <v>0.19992000000000004</v>
      </c>
      <c r="H40" s="65">
        <f t="shared" si="5"/>
        <v>0.75779199999999991</v>
      </c>
      <c r="I40" s="65">
        <f t="shared" si="5"/>
        <v>0.29511999999999999</v>
      </c>
      <c r="J40" s="65">
        <f t="shared" si="5"/>
        <v>4.1888000000000003E-3</v>
      </c>
      <c r="K40" s="65">
        <f t="shared" si="5"/>
        <v>7.1400000000000005E-3</v>
      </c>
      <c r="L40" s="65">
        <f t="shared" si="5"/>
        <v>4.8551999999999998E-2</v>
      </c>
      <c r="M40" s="65">
        <f t="shared" si="5"/>
        <v>4.0936E-2</v>
      </c>
      <c r="N40" s="65">
        <f t="shared" si="5"/>
        <v>1199.5200000000002</v>
      </c>
      <c r="O40" s="65">
        <f t="shared" si="5"/>
        <v>294.16800000000006</v>
      </c>
      <c r="P40" s="65">
        <f t="shared" si="5"/>
        <v>0</v>
      </c>
      <c r="Q40" s="65">
        <f t="shared" si="10"/>
        <v>101.62600000000003</v>
      </c>
      <c r="R40" s="65">
        <f t="shared" si="11"/>
        <v>0</v>
      </c>
      <c r="S40" s="65">
        <f t="shared" si="11"/>
        <v>0</v>
      </c>
      <c r="T40" s="65">
        <f t="shared" si="11"/>
        <v>0</v>
      </c>
      <c r="U40" s="126">
        <f t="shared" si="11"/>
        <v>0</v>
      </c>
    </row>
    <row r="41" spans="1:21" s="48" customFormat="1" x14ac:dyDescent="0.25">
      <c r="A41" s="125">
        <f>M8</f>
        <v>7</v>
      </c>
      <c r="B41" s="11">
        <v>32</v>
      </c>
      <c r="C41" s="65">
        <f t="shared" si="6"/>
        <v>57.881600000000006</v>
      </c>
      <c r="D41" s="65">
        <f t="shared" si="7"/>
        <v>1.665062144</v>
      </c>
      <c r="E41" s="65">
        <f t="shared" si="8"/>
        <v>12.848192000000003</v>
      </c>
      <c r="F41" s="65">
        <f t="shared" si="9"/>
        <v>5.4117120000000008E-3</v>
      </c>
      <c r="G41" s="65">
        <f t="shared" si="5"/>
        <v>9.1392000000000015E-2</v>
      </c>
      <c r="H41" s="65">
        <f t="shared" si="5"/>
        <v>0.34641919999999998</v>
      </c>
      <c r="I41" s="65">
        <f t="shared" si="5"/>
        <v>0.134912</v>
      </c>
      <c r="J41" s="65">
        <f t="shared" si="5"/>
        <v>1.9148800000000001E-3</v>
      </c>
      <c r="K41" s="65">
        <f t="shared" si="5"/>
        <v>3.2640000000000004E-3</v>
      </c>
      <c r="L41" s="65">
        <f t="shared" si="5"/>
        <v>2.2195199999999998E-2</v>
      </c>
      <c r="M41" s="65">
        <f t="shared" si="5"/>
        <v>1.87136E-2</v>
      </c>
      <c r="N41" s="65">
        <f t="shared" si="5"/>
        <v>548.35200000000009</v>
      </c>
      <c r="O41" s="65">
        <f t="shared" si="5"/>
        <v>134.47680000000003</v>
      </c>
      <c r="P41" s="65">
        <f t="shared" si="5"/>
        <v>0</v>
      </c>
      <c r="Q41" s="65">
        <f t="shared" si="10"/>
        <v>46.457600000000014</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Hook Field 2</v>
      </c>
      <c r="C57" s="8" t="str">
        <f t="shared" ref="C57:U57" si="13">D8</f>
        <v>Hook Field 3</v>
      </c>
      <c r="D57" s="8" t="str">
        <f t="shared" si="13"/>
        <v>Hook Field 4</v>
      </c>
      <c r="E57" s="8" t="str">
        <f t="shared" si="13"/>
        <v>Hook Field 8</v>
      </c>
      <c r="F57" s="8" t="str">
        <f t="shared" si="13"/>
        <v>Hook Field 10</v>
      </c>
      <c r="G57" s="8" t="str">
        <f t="shared" si="13"/>
        <v>Hook Field 20</v>
      </c>
      <c r="H57" s="8">
        <f t="shared" si="13"/>
        <v>1</v>
      </c>
      <c r="I57" s="8">
        <f t="shared" si="13"/>
        <v>2</v>
      </c>
      <c r="J57" s="8">
        <f t="shared" si="13"/>
        <v>3</v>
      </c>
      <c r="K57" s="8">
        <f t="shared" si="13"/>
        <v>4</v>
      </c>
      <c r="L57" s="8">
        <f t="shared" si="13"/>
        <v>7</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"&amp;(VLOOKUP(C14,Table245[],6,FALSE))</f>
        <v>Medium/Clay I Arable</v>
      </c>
      <c r="C58" s="10" t="e">
        <f>D16&amp;" I "&amp;(VLOOKUP(D14,Table245[],6,FALSE))</f>
        <v>#N/A</v>
      </c>
      <c r="D58" s="10" t="str">
        <f>E16&amp;" I "&amp;(VLOOKUP(E14,Table245[],6,FALSE))</f>
        <v>Medium/Clay I Grass</v>
      </c>
      <c r="E58" s="10" t="str">
        <f>F16&amp;" I "&amp;(VLOOKUP(F14,Table245[],6,FALSE))</f>
        <v>Medium/Clay I Arable</v>
      </c>
      <c r="F58" s="10" t="str">
        <f>G16&amp;" I "&amp;(VLOOKUP(G14,Table245[],6,FALSE))</f>
        <v>Medium/Clay I Arable</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Arable</v>
      </c>
      <c r="K58" s="10" t="str">
        <f>L16&amp;" I "&amp;(VLOOKUP(L14,Table245[],6,FALSE))</f>
        <v>Medium/Clay I Grass</v>
      </c>
      <c r="L58" s="10" t="str">
        <f>M16&amp;" I "&amp;(VLOOKUP(M14,Table245[],6,FALSE))</f>
        <v>Medium/Clay I Arable</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x14ac:dyDescent="0.2">
      <c r="A59" s="87" t="s">
        <v>132</v>
      </c>
      <c r="B59" s="64">
        <f>VLOOKUP(C$14,Table245[],5,FALSE)</f>
        <v>6.7</v>
      </c>
      <c r="C59" s="64" t="e">
        <f>VLOOKUP(D$14,Table245[],5,FALSE)</f>
        <v>#N/A</v>
      </c>
      <c r="D59" s="64">
        <f>VLOOKUP(E$14,Table245[],5,FALSE)</f>
        <v>6.2</v>
      </c>
      <c r="E59" s="64">
        <f>VLOOKUP(F$14,Table245[],5,FALSE)</f>
        <v>6.7</v>
      </c>
      <c r="F59" s="64">
        <f>VLOOKUP(G$14,Table245[],5,FALSE)</f>
        <v>6.7</v>
      </c>
      <c r="G59" s="64">
        <f>VLOOKUP(H$14,Table245[],5,FALSE)</f>
        <v>6.2</v>
      </c>
      <c r="H59" s="64">
        <f>VLOOKUP(I$14,Table245[],5,FALSE)</f>
        <v>6.2</v>
      </c>
      <c r="I59" s="64">
        <f>VLOOKUP(J$14,Table245[],5,FALSE)</f>
        <v>6.2</v>
      </c>
      <c r="J59" s="64">
        <f>VLOOKUP(K$14,Table245[],5,FALSE)</f>
        <v>6.7</v>
      </c>
      <c r="K59" s="64">
        <f>VLOOKUP(L$14,Table245[],5,FALSE)</f>
        <v>6.2</v>
      </c>
      <c r="L59" s="64">
        <f>VLOOKUP(M$14,Table245[],5,FALSE)</f>
        <v>6.7</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x14ac:dyDescent="0.2">
      <c r="A60" s="87" t="s">
        <v>4</v>
      </c>
      <c r="B60" s="64">
        <f>C10</f>
        <v>6.9</v>
      </c>
      <c r="C60" s="64">
        <f t="shared" ref="C60:U60" si="14">D10</f>
        <v>6.8</v>
      </c>
      <c r="D60" s="64">
        <f t="shared" si="14"/>
        <v>6.8</v>
      </c>
      <c r="E60" s="64">
        <f t="shared" si="14"/>
        <v>6.6</v>
      </c>
      <c r="F60" s="64">
        <f t="shared" si="14"/>
        <v>7.1</v>
      </c>
      <c r="G60" s="64">
        <f t="shared" si="14"/>
        <v>7.3</v>
      </c>
      <c r="H60" s="64">
        <f t="shared" si="14"/>
        <v>6.4</v>
      </c>
      <c r="I60" s="64">
        <f t="shared" si="14"/>
        <v>6.2</v>
      </c>
      <c r="J60" s="64">
        <f t="shared" si="14"/>
        <v>6.2</v>
      </c>
      <c r="K60" s="64">
        <f t="shared" si="14"/>
        <v>6.7</v>
      </c>
      <c r="L60" s="64">
        <f t="shared" si="14"/>
        <v>6.3</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8</v>
      </c>
      <c r="C61" s="64" t="e">
        <f t="shared" si="15"/>
        <v>#N/A</v>
      </c>
      <c r="D61" s="64">
        <f t="shared" si="15"/>
        <v>6</v>
      </c>
      <c r="E61" s="64">
        <f t="shared" si="15"/>
        <v>8</v>
      </c>
      <c r="F61" s="64">
        <f t="shared" si="15"/>
        <v>8</v>
      </c>
      <c r="G61" s="64">
        <f t="shared" si="15"/>
        <v>6</v>
      </c>
      <c r="H61" s="64">
        <f t="shared" si="15"/>
        <v>6</v>
      </c>
      <c r="I61" s="64">
        <f t="shared" si="15"/>
        <v>6</v>
      </c>
      <c r="J61" s="64">
        <f t="shared" si="15"/>
        <v>8</v>
      </c>
      <c r="K61" s="64">
        <f t="shared" si="15"/>
        <v>6</v>
      </c>
      <c r="L61" s="64">
        <f t="shared" si="15"/>
        <v>8</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80</v>
      </c>
      <c r="C62" s="65">
        <f>B32</f>
        <v>55</v>
      </c>
      <c r="D62" s="65">
        <f>B33</f>
        <v>70</v>
      </c>
      <c r="E62" s="65">
        <f>B34</f>
        <v>80</v>
      </c>
      <c r="F62" s="65">
        <f>B35</f>
        <v>70</v>
      </c>
      <c r="G62" s="65">
        <f>B36</f>
        <v>70</v>
      </c>
      <c r="H62" s="65">
        <f>B37</f>
        <v>70</v>
      </c>
      <c r="I62" s="65">
        <f>B38</f>
        <v>70</v>
      </c>
      <c r="J62" s="65">
        <f>B39</f>
        <v>80</v>
      </c>
      <c r="K62" s="65">
        <f>B40</f>
        <v>70</v>
      </c>
      <c r="L62" s="65">
        <f>B41</f>
        <v>32</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-1.6000000000000014</v>
      </c>
      <c r="C64" s="65" t="e">
        <f t="shared" ref="C64:U64" si="17">(C59-C60)*C61</f>
        <v>#N/A</v>
      </c>
      <c r="D64" s="65">
        <f t="shared" si="17"/>
        <v>-3.5999999999999979</v>
      </c>
      <c r="E64" s="65">
        <f t="shared" si="17"/>
        <v>0.80000000000000426</v>
      </c>
      <c r="F64" s="65">
        <f t="shared" si="17"/>
        <v>-3.1999999999999957</v>
      </c>
      <c r="G64" s="65">
        <f t="shared" si="17"/>
        <v>-6.5999999999999979</v>
      </c>
      <c r="H64" s="65">
        <f t="shared" si="17"/>
        <v>-1.2000000000000011</v>
      </c>
      <c r="I64" s="65">
        <f t="shared" si="17"/>
        <v>0</v>
      </c>
      <c r="J64" s="65">
        <f t="shared" si="17"/>
        <v>4</v>
      </c>
      <c r="K64" s="65">
        <f t="shared" si="17"/>
        <v>-3</v>
      </c>
      <c r="L64" s="65">
        <f t="shared" si="17"/>
        <v>3.2000000000000028</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1.6000000000000014</v>
      </c>
      <c r="C65" s="65" t="e">
        <f t="shared" ref="C65:U65" si="18">C63-C64</f>
        <v>#N/A</v>
      </c>
      <c r="D65" s="65">
        <f t="shared" si="18"/>
        <v>3.5999999999999979</v>
      </c>
      <c r="E65" s="65">
        <f t="shared" si="18"/>
        <v>-0.80000000000000426</v>
      </c>
      <c r="F65" s="65">
        <f t="shared" si="18"/>
        <v>3.1999999999999957</v>
      </c>
      <c r="G65" s="65">
        <f t="shared" si="18"/>
        <v>6.5999999999999979</v>
      </c>
      <c r="H65" s="65">
        <f t="shared" si="18"/>
        <v>1.2000000000000011</v>
      </c>
      <c r="I65" s="65">
        <f t="shared" si="18"/>
        <v>0</v>
      </c>
      <c r="J65" s="65">
        <f t="shared" si="18"/>
        <v>-4</v>
      </c>
      <c r="K65" s="65">
        <f t="shared" si="18"/>
        <v>3</v>
      </c>
      <c r="L65" s="65">
        <f t="shared" si="18"/>
        <v>-3.2000000000000028</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e">
        <f t="shared" ref="C66:U66" si="19">IF(C64&lt;=C63,"OVER","UNDER")</f>
        <v>#N/A</v>
      </c>
      <c r="D66" s="66" t="str">
        <f t="shared" si="19"/>
        <v>OVER</v>
      </c>
      <c r="E66" s="66" t="str">
        <f t="shared" si="19"/>
        <v>UNDER</v>
      </c>
      <c r="F66" s="66" t="str">
        <f t="shared" si="19"/>
        <v>OVER</v>
      </c>
      <c r="G66" s="66" t="str">
        <f t="shared" si="19"/>
        <v>OVER</v>
      </c>
      <c r="H66" s="66" t="str">
        <f t="shared" si="19"/>
        <v>OVER</v>
      </c>
      <c r="I66" s="66" t="str">
        <f t="shared" si="19"/>
        <v>OVER</v>
      </c>
      <c r="J66" s="66" t="str">
        <f t="shared" si="19"/>
        <v>UNDER</v>
      </c>
      <c r="K66" s="66" t="str">
        <f t="shared" si="19"/>
        <v>OVER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bpOaQUhrUaz9SJVwvxWeUcGb+cZrFqO0D9f1dOf9iigk4kXEEoyGbfcr1YHLNjK3PMsv0OuTqaeV4vqI7uWdQ==" saltValue="FsBbl/rlx8b6W+JftJ3dD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60" priority="37" operator="greaterThan">
      <formula>$B$51</formula>
    </cfRule>
  </conditionalFormatting>
  <conditionalFormatting sqref="B66:U66">
    <cfRule type="cellIs" dxfId="259" priority="12" operator="equal">
      <formula>"UNDER"</formula>
    </cfRule>
    <cfRule type="cellIs" dxfId="258" priority="13" operator="equal">
      <formula>"OVER"</formula>
    </cfRule>
  </conditionalFormatting>
  <conditionalFormatting sqref="C31:C50">
    <cfRule type="cellIs" dxfId="257" priority="36" operator="greaterThan">
      <formula>$C$51</formula>
    </cfRule>
  </conditionalFormatting>
  <conditionalFormatting sqref="C11:V13">
    <cfRule type="cellIs" dxfId="256" priority="1" operator="greaterThan">
      <formula>2</formula>
    </cfRule>
  </conditionalFormatting>
  <conditionalFormatting sqref="C17:V19">
    <cfRule type="cellIs" dxfId="255" priority="33" operator="equal">
      <formula>0</formula>
    </cfRule>
  </conditionalFormatting>
  <conditionalFormatting sqref="C20:V21">
    <cfRule type="cellIs" dxfId="254" priority="38" operator="equal">
      <formula>"DECREASE"</formula>
    </cfRule>
    <cfRule type="cellIs" dxfId="253" priority="39" operator="equal">
      <formula>"INCREASE"</formula>
    </cfRule>
  </conditionalFormatting>
  <conditionalFormatting sqref="C21:V21">
    <cfRule type="cellIs" dxfId="252" priority="14" operator="equal">
      <formula>0</formula>
    </cfRule>
  </conditionalFormatting>
  <conditionalFormatting sqref="C22:V23">
    <cfRule type="cellIs" dxfId="251" priority="18" operator="equal">
      <formula>0</formula>
    </cfRule>
  </conditionalFormatting>
  <conditionalFormatting sqref="C24:V24">
    <cfRule type="cellIs" dxfId="250" priority="19" operator="equal">
      <formula>"DECREASE"</formula>
    </cfRule>
    <cfRule type="cellIs" dxfId="249" priority="20" operator="equal">
      <formula>"INCREASE"</formula>
    </cfRule>
  </conditionalFormatting>
  <conditionalFormatting sqref="G31:G50">
    <cfRule type="cellIs" dxfId="248" priority="32" operator="greaterThan">
      <formula>$G$51</formula>
    </cfRule>
  </conditionalFormatting>
  <conditionalFormatting sqref="H31:H50">
    <cfRule type="cellIs" dxfId="247" priority="31" operator="greaterThan">
      <formula>$H$51</formula>
    </cfRule>
  </conditionalFormatting>
  <conditionalFormatting sqref="I1">
    <cfRule type="cellIs" dxfId="246" priority="4" operator="between">
      <formula>0.1</formula>
      <formula>5</formula>
    </cfRule>
  </conditionalFormatting>
  <conditionalFormatting sqref="I2">
    <cfRule type="cellIs" dxfId="245" priority="3" operator="greaterThan">
      <formula>5000.1</formula>
    </cfRule>
  </conditionalFormatting>
  <conditionalFormatting sqref="I3">
    <cfRule type="cellIs" dxfId="244" priority="2" operator="greaterThan">
      <formula>40000.01</formula>
    </cfRule>
  </conditionalFormatting>
  <conditionalFormatting sqref="I31:I50">
    <cfRule type="cellIs" dxfId="243" priority="30" operator="greaterThan">
      <formula>$I$51</formula>
    </cfRule>
  </conditionalFormatting>
  <conditionalFormatting sqref="J31:J50">
    <cfRule type="cellIs" dxfId="242" priority="9" operator="greaterThan">
      <formula>$J$51</formula>
    </cfRule>
  </conditionalFormatting>
  <conditionalFormatting sqref="K31:K50">
    <cfRule type="cellIs" dxfId="241" priority="29" operator="greaterThan">
      <formula>$K$51</formula>
    </cfRule>
  </conditionalFormatting>
  <conditionalFormatting sqref="L3">
    <cfRule type="cellIs" dxfId="240" priority="5" operator="lessThan">
      <formula>30</formula>
    </cfRule>
    <cfRule type="cellIs" dxfId="239" priority="6" operator="greaterThanOrEqual">
      <formula>30</formula>
    </cfRule>
  </conditionalFormatting>
  <conditionalFormatting sqref="L31:L50">
    <cfRule type="cellIs" dxfId="238" priority="28" operator="greaterThan">
      <formula>$L$51</formula>
    </cfRule>
  </conditionalFormatting>
  <conditionalFormatting sqref="M31:M50">
    <cfRule type="cellIs" dxfId="237" priority="27" operator="greaterThan">
      <formula>$M$51</formula>
    </cfRule>
  </conditionalFormatting>
  <conditionalFormatting sqref="P31:P50">
    <cfRule type="cellIs" dxfId="236" priority="26" operator="greaterThan">
      <formula>$P$51</formula>
    </cfRule>
  </conditionalFormatting>
  <conditionalFormatting sqref="R31:R50">
    <cfRule type="cellIs" dxfId="235" priority="25" operator="greaterThan">
      <formula>$R$51</formula>
    </cfRule>
  </conditionalFormatting>
  <conditionalFormatting sqref="S31:S50">
    <cfRule type="cellIs" dxfId="234" priority="24" operator="greaterThan">
      <formula>$S$51</formula>
    </cfRule>
  </conditionalFormatting>
  <conditionalFormatting sqref="T31:T50">
    <cfRule type="cellIs" dxfId="233" priority="23" operator="greaterThan">
      <formula>$T$51</formula>
    </cfRule>
  </conditionalFormatting>
  <conditionalFormatting sqref="U31:U50">
    <cfRule type="cellIs" dxfId="232" priority="22"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21" zoomScale="90" zoomScaleNormal="90" workbookViewId="0">
      <selection activeCell="G18" sqref="G18"/>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1" t="s">
        <v>41</v>
      </c>
      <c r="B1" s="132"/>
      <c r="C1" s="173" t="str">
        <f>'Field data and Waste 1'!C1:D1</f>
        <v>PAN-027465</v>
      </c>
      <c r="D1" s="174"/>
      <c r="E1" s="106" t="s">
        <v>45</v>
      </c>
      <c r="F1" s="113" t="str">
        <f>'Field data and Waste 1'!F1</f>
        <v>49.2ha</v>
      </c>
      <c r="G1" s="163" t="s">
        <v>43</v>
      </c>
      <c r="H1" s="164"/>
      <c r="I1" s="109">
        <v>6.5</v>
      </c>
      <c r="J1" s="131" t="s">
        <v>153</v>
      </c>
      <c r="K1" s="132"/>
      <c r="L1" s="109">
        <v>56</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3" t="s">
        <v>87</v>
      </c>
      <c r="B2" s="134"/>
      <c r="C2" s="169" t="str">
        <f>'Field data and Waste 1'!C2:D2</f>
        <v>EPR/AB3891CX</v>
      </c>
      <c r="D2" s="170"/>
      <c r="E2" s="96" t="s">
        <v>109</v>
      </c>
      <c r="F2" s="110" t="s">
        <v>166</v>
      </c>
      <c r="G2" s="165" t="s">
        <v>110</v>
      </c>
      <c r="H2" s="166"/>
      <c r="I2" s="110"/>
      <c r="J2" s="133" t="s">
        <v>158</v>
      </c>
      <c r="K2" s="134"/>
      <c r="L2" s="110">
        <v>0.879</v>
      </c>
      <c r="AB2" s="22" t="s">
        <v>56</v>
      </c>
      <c r="AC2" s="13"/>
      <c r="AD2" s="22" t="s">
        <v>70</v>
      </c>
      <c r="AE2" s="13"/>
      <c r="AF2" s="13"/>
      <c r="AG2" s="34" t="s">
        <v>76</v>
      </c>
      <c r="AH2" s="13"/>
      <c r="AI2" s="35" t="s">
        <v>126</v>
      </c>
      <c r="AJ2" s="36">
        <v>0</v>
      </c>
      <c r="AK2" s="37">
        <v>0</v>
      </c>
      <c r="AL2" s="7">
        <v>0</v>
      </c>
      <c r="AM2" s="9">
        <v>0</v>
      </c>
      <c r="AN2" s="9">
        <v>0</v>
      </c>
    </row>
    <row r="3" spans="1:41" x14ac:dyDescent="0.2">
      <c r="A3" s="135" t="s">
        <v>42</v>
      </c>
      <c r="B3" s="136"/>
      <c r="C3" s="169" t="str">
        <f>'Field data and Waste 1'!C3:D3</f>
        <v>Mr Daniel James and Mrs Carys James</v>
      </c>
      <c r="D3" s="170"/>
      <c r="E3" s="96" t="s">
        <v>108</v>
      </c>
      <c r="F3" s="111" t="s">
        <v>104</v>
      </c>
      <c r="G3" s="133" t="s">
        <v>159</v>
      </c>
      <c r="H3" s="134"/>
      <c r="I3" s="110"/>
      <c r="J3" s="135" t="s">
        <v>154</v>
      </c>
      <c r="K3" s="136"/>
      <c r="L3" s="110">
        <f>(L1/(L2*10000))*100</f>
        <v>0.63708759954493743</v>
      </c>
      <c r="AB3" s="22" t="s">
        <v>57</v>
      </c>
      <c r="AC3" s="13"/>
      <c r="AD3" s="22" t="s">
        <v>71</v>
      </c>
      <c r="AE3" s="13"/>
      <c r="AF3" s="13"/>
      <c r="AG3" s="34" t="s">
        <v>77</v>
      </c>
      <c r="AH3" s="13"/>
      <c r="AI3" s="38" t="s">
        <v>113</v>
      </c>
      <c r="AJ3" s="39">
        <v>1.7</v>
      </c>
      <c r="AK3" s="40">
        <v>6</v>
      </c>
      <c r="AL3" s="41">
        <v>1</v>
      </c>
      <c r="AM3" s="9">
        <v>6.2</v>
      </c>
      <c r="AN3" s="9" t="s">
        <v>112</v>
      </c>
    </row>
    <row r="4" spans="1:41" x14ac:dyDescent="0.2">
      <c r="A4" s="133" t="s">
        <v>0</v>
      </c>
      <c r="B4" s="134"/>
      <c r="C4" s="171" t="str">
        <f>'Field data and Waste 1'!C4:D4</f>
        <v>Hook Farm and New House Farm</v>
      </c>
      <c r="D4" s="172"/>
      <c r="E4" s="99" t="s">
        <v>1</v>
      </c>
      <c r="F4" s="110" t="s">
        <v>167</v>
      </c>
      <c r="G4" s="135"/>
      <c r="H4" s="136"/>
      <c r="I4" s="115"/>
      <c r="J4" s="135"/>
      <c r="K4" s="136"/>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7" t="s">
        <v>47</v>
      </c>
      <c r="B5" s="148"/>
      <c r="C5" s="167" t="str">
        <f>'Field data and Waste 1'!C5:D5</f>
        <v>Rhiannon Smith</v>
      </c>
      <c r="D5" s="168"/>
      <c r="E5" s="107"/>
      <c r="F5" s="114"/>
      <c r="G5" s="137"/>
      <c r="H5" s="138"/>
      <c r="I5" s="114"/>
      <c r="J5" s="137"/>
      <c r="K5" s="138"/>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3" t="s">
        <v>2</v>
      </c>
      <c r="B8" s="134"/>
      <c r="C8" s="49" t="str">
        <f>'Field data and Waste 1'!C8</f>
        <v>Hook Field 2</v>
      </c>
      <c r="D8" s="49" t="str">
        <f>'Field data and Waste 1'!D8</f>
        <v>Hook Field 3</v>
      </c>
      <c r="E8" s="49" t="str">
        <f>'Field data and Waste 1'!E8</f>
        <v>Hook Field 4</v>
      </c>
      <c r="F8" s="49" t="str">
        <f>'Field data and Waste 1'!F8</f>
        <v>Hook Field 8</v>
      </c>
      <c r="G8" s="49" t="str">
        <f>'Field data and Waste 1'!G8</f>
        <v>Hook Field 10</v>
      </c>
      <c r="H8" s="49" t="str">
        <f>'Field data and Waste 1'!H8</f>
        <v>Hook Field 20</v>
      </c>
      <c r="I8" s="49">
        <f>'Field data and Waste 1'!I8</f>
        <v>1</v>
      </c>
      <c r="J8" s="49">
        <f>'Field data and Waste 1'!J8</f>
        <v>2</v>
      </c>
      <c r="K8" s="49">
        <f>'Field data and Waste 1'!K8</f>
        <v>3</v>
      </c>
      <c r="L8" s="49">
        <f>'Field data and Waste 1'!L8</f>
        <v>4</v>
      </c>
      <c r="M8" s="49">
        <f>'Field data and Waste 1'!M8</f>
        <v>7</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3" t="s">
        <v>3</v>
      </c>
      <c r="B9" s="134"/>
      <c r="C9" s="49">
        <f>'Field data and Waste 1'!C9</f>
        <v>1</v>
      </c>
      <c r="D9" s="49">
        <f>'Field data and Waste 1'!D9</f>
        <v>1</v>
      </c>
      <c r="E9" s="49" t="str">
        <f>'Field data and Waste 1'!E9</f>
        <v>Moderate</v>
      </c>
      <c r="F9" s="49">
        <f>'Field data and Waste 1'!F9</f>
        <v>1</v>
      </c>
      <c r="G9" s="49">
        <f>'Field data and Waste 1'!G9</f>
        <v>2</v>
      </c>
      <c r="H9" s="49" t="str">
        <f>'Field data and Waste 1'!H9</f>
        <v>Moderate</v>
      </c>
      <c r="I9" s="49" t="str">
        <f>'Field data and Waste 1'!I9</f>
        <v>Moderate</v>
      </c>
      <c r="J9" s="49" t="str">
        <f>'Field data and Waste 1'!J9</f>
        <v>Moderate</v>
      </c>
      <c r="K9" s="49">
        <f>'Field data and Waste 1'!K9</f>
        <v>1</v>
      </c>
      <c r="L9" s="49" t="str">
        <f>'Field data and Waste 1'!L9</f>
        <v>Moderate</v>
      </c>
      <c r="M9" s="49">
        <f>'Field data and Waste 1'!M9</f>
        <v>1</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3" t="s">
        <v>4</v>
      </c>
      <c r="B10" s="134"/>
      <c r="C10" s="49">
        <f>'Field data and Waste 1'!C10</f>
        <v>6.9</v>
      </c>
      <c r="D10" s="49">
        <f>'Field data and Waste 1'!D10</f>
        <v>6.8</v>
      </c>
      <c r="E10" s="49">
        <f>'Field data and Waste 1'!E10</f>
        <v>6.8</v>
      </c>
      <c r="F10" s="49">
        <f>'Field data and Waste 1'!F10</f>
        <v>6.6</v>
      </c>
      <c r="G10" s="49">
        <f>'Field data and Waste 1'!G10</f>
        <v>7.1</v>
      </c>
      <c r="H10" s="49">
        <f>'Field data and Waste 1'!H10</f>
        <v>7.3</v>
      </c>
      <c r="I10" s="49">
        <f>'Field data and Waste 1'!I10</f>
        <v>6.4</v>
      </c>
      <c r="J10" s="49">
        <f>'Field data and Waste 1'!J10</f>
        <v>6.2</v>
      </c>
      <c r="K10" s="49">
        <f>'Field data and Waste 1'!K10</f>
        <v>6.2</v>
      </c>
      <c r="L10" s="49">
        <f>'Field data and Waste 1'!L10</f>
        <v>6.7</v>
      </c>
      <c r="M10" s="49">
        <f>'Field data and Waste 1'!M10</f>
        <v>6.3</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3" t="s">
        <v>5</v>
      </c>
      <c r="B11" s="134"/>
      <c r="C11" s="49">
        <f>'Field data and Waste 1'!C11</f>
        <v>3</v>
      </c>
      <c r="D11" s="49">
        <f>'Field data and Waste 1'!D11</f>
        <v>3</v>
      </c>
      <c r="E11" s="49">
        <f>'Field data and Waste 1'!E11</f>
        <v>3</v>
      </c>
      <c r="F11" s="49">
        <f>'Field data and Waste 1'!F11</f>
        <v>3</v>
      </c>
      <c r="G11" s="49">
        <f>'Field data and Waste 1'!G11</f>
        <v>3</v>
      </c>
      <c r="H11" s="49">
        <f>'Field data and Waste 1'!H11</f>
        <v>3</v>
      </c>
      <c r="I11" s="49">
        <f>'Field data and Waste 1'!I11</f>
        <v>3</v>
      </c>
      <c r="J11" s="49">
        <f>'Field data and Waste 1'!J11</f>
        <v>2</v>
      </c>
      <c r="K11" s="49">
        <f>'Field data and Waste 1'!K11</f>
        <v>2</v>
      </c>
      <c r="L11" s="49">
        <f>'Field data and Waste 1'!L11</f>
        <v>3</v>
      </c>
      <c r="M11" s="49">
        <f>'Field data and Waste 1'!M11</f>
        <v>3</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3" t="s">
        <v>6</v>
      </c>
      <c r="B12" s="134"/>
      <c r="C12" s="49">
        <f>'Field data and Waste 1'!C12</f>
        <v>3</v>
      </c>
      <c r="D12" s="49">
        <f>'Field data and Waste 1'!D12</f>
        <v>3</v>
      </c>
      <c r="E12" s="49">
        <f>'Field data and Waste 1'!E12</f>
        <v>2</v>
      </c>
      <c r="F12" s="49">
        <f>'Field data and Waste 1'!F12</f>
        <v>3</v>
      </c>
      <c r="G12" s="49">
        <f>'Field data and Waste 1'!G12</f>
        <v>2</v>
      </c>
      <c r="H12" s="49">
        <f>'Field data and Waste 1'!H12</f>
        <v>2</v>
      </c>
      <c r="I12" s="49">
        <f>'Field data and Waste 1'!I12</f>
        <v>2</v>
      </c>
      <c r="J12" s="49">
        <f>'Field data and Waste 1'!J12</f>
        <v>2</v>
      </c>
      <c r="K12" s="49">
        <f>'Field data and Waste 1'!K12</f>
        <v>2</v>
      </c>
      <c r="L12" s="49">
        <f>'Field data and Waste 1'!L12</f>
        <v>2</v>
      </c>
      <c r="M12" s="49">
        <f>'Field data and Waste 1'!M12</f>
        <v>1</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3" t="s">
        <v>7</v>
      </c>
      <c r="B13" s="134"/>
      <c r="C13" s="49">
        <f>'Field data and Waste 1'!C13</f>
        <v>3</v>
      </c>
      <c r="D13" s="49">
        <f>'Field data and Waste 1'!D13</f>
        <v>2</v>
      </c>
      <c r="E13" s="49">
        <f>'Field data and Waste 1'!E13</f>
        <v>2</v>
      </c>
      <c r="F13" s="49">
        <f>'Field data and Waste 1'!F13</f>
        <v>3</v>
      </c>
      <c r="G13" s="49">
        <f>'Field data and Waste 1'!G13</f>
        <v>1</v>
      </c>
      <c r="H13" s="49">
        <f>'Field data and Waste 1'!H13</f>
        <v>1</v>
      </c>
      <c r="I13" s="49">
        <f>'Field data and Waste 1'!I13</f>
        <v>5</v>
      </c>
      <c r="J13" s="49">
        <f>'Field data and Waste 1'!J13</f>
        <v>2</v>
      </c>
      <c r="K13" s="49">
        <f>'Field data and Waste 1'!K13</f>
        <v>2</v>
      </c>
      <c r="L13" s="49">
        <f>'Field data and Waste 1'!L13</f>
        <v>2</v>
      </c>
      <c r="M13" s="49">
        <f>'Field data and Waste 1'!M13</f>
        <v>2</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1" t="s">
        <v>8</v>
      </c>
      <c r="B14" s="152"/>
      <c r="C14" s="83" t="str">
        <f>'Field data and Waste 1'!C14</f>
        <v>Maize- Silage (30% DM)</v>
      </c>
      <c r="D14" s="83">
        <f>'Field data and Waste 1'!D14</f>
        <v>0</v>
      </c>
      <c r="E14" s="83" t="str">
        <f>'Field data and Waste 1'!E14</f>
        <v xml:space="preserve">Grass Silage (25% DM) </v>
      </c>
      <c r="F14" s="83" t="str">
        <f>'Field data and Waste 1'!F14</f>
        <v>Winter barley/triticale/rye</v>
      </c>
      <c r="G14" s="83" t="str">
        <f>'Field data and Waste 1'!G14</f>
        <v>Spring wheat/barley</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Winter barley/triticale/rye</v>
      </c>
      <c r="L14" s="83" t="str">
        <f>'Field data and Waste 1'!L14</f>
        <v xml:space="preserve">Grass Silage (25% DM) </v>
      </c>
      <c r="M14" s="83" t="str">
        <f>'Field data and Waste 1'!M14</f>
        <v>Fodder beet (roots only)</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49" t="s">
        <v>9</v>
      </c>
      <c r="B15" s="150"/>
      <c r="C15" s="49">
        <f>'Field data and Waste 1'!C15</f>
        <v>45</v>
      </c>
      <c r="D15" s="49">
        <f>'Field data and Waste 1'!D15</f>
        <v>30</v>
      </c>
      <c r="E15" s="49">
        <f>'Field data and Waste 1'!E15</f>
        <v>38</v>
      </c>
      <c r="F15" s="49">
        <f>'Field data and Waste 1'!F15</f>
        <v>7.5</v>
      </c>
      <c r="G15" s="49">
        <f>'Field data and Waste 1'!G15</f>
        <v>6.5</v>
      </c>
      <c r="H15" s="49">
        <f>'Field data and Waste 1'!H15</f>
        <v>38</v>
      </c>
      <c r="I15" s="49">
        <f>'Field data and Waste 1'!I15</f>
        <v>54</v>
      </c>
      <c r="J15" s="49">
        <f>'Field data and Waste 1'!J15</f>
        <v>54</v>
      </c>
      <c r="K15" s="49">
        <f>'Field data and Waste 1'!K15</f>
        <v>7.5</v>
      </c>
      <c r="L15" s="49">
        <f>'Field data and Waste 1'!L15</f>
        <v>54</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3" t="s">
        <v>44</v>
      </c>
      <c r="B16" s="154"/>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39" t="s">
        <v>69</v>
      </c>
      <c r="B17" s="140"/>
      <c r="C17" s="20">
        <f>(VLOOKUP(C$14,$AI2:$AK26,2,FALSE))*C$15</f>
        <v>62.999999999999993</v>
      </c>
      <c r="D17" s="20" t="e">
        <f t="shared" ref="D17:V17" si="0">(VLOOKUP(D$14,$AI2:$AK26,2,FALSE))*D$15</f>
        <v>#N/A</v>
      </c>
      <c r="E17" s="20">
        <f t="shared" si="0"/>
        <v>64.599999999999994</v>
      </c>
      <c r="F17" s="20">
        <f t="shared" si="0"/>
        <v>63.75</v>
      </c>
      <c r="G17" s="20">
        <f t="shared" si="0"/>
        <v>55.25</v>
      </c>
      <c r="H17" s="20">
        <f t="shared" si="0"/>
        <v>64.599999999999994</v>
      </c>
      <c r="I17" s="20">
        <f t="shared" si="0"/>
        <v>91.8</v>
      </c>
      <c r="J17" s="20">
        <f t="shared" si="0"/>
        <v>91.8</v>
      </c>
      <c r="K17" s="20">
        <f t="shared" si="0"/>
        <v>63.75</v>
      </c>
      <c r="L17" s="20">
        <f t="shared" si="0"/>
        <v>91.8</v>
      </c>
      <c r="M17" s="20">
        <f t="shared" si="0"/>
        <v>0</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1" t="s">
        <v>23</v>
      </c>
      <c r="B18" s="142"/>
      <c r="C18" s="12">
        <f>$D31</f>
        <v>61.83867200000001</v>
      </c>
      <c r="D18" s="12">
        <f>$D32</f>
        <v>40.636841600000011</v>
      </c>
      <c r="E18" s="12">
        <f>$D33</f>
        <v>61.83867200000001</v>
      </c>
      <c r="F18" s="12">
        <f>$D34</f>
        <v>61.83867200000001</v>
      </c>
      <c r="G18" s="12">
        <f>$D35</f>
        <v>54.771395200000008</v>
      </c>
      <c r="H18" s="12">
        <f>$D36</f>
        <v>61.83867200000001</v>
      </c>
      <c r="I18" s="12">
        <f>$D37</f>
        <v>79.506864000000022</v>
      </c>
      <c r="J18" s="12">
        <f>$D38</f>
        <v>79.506864000000022</v>
      </c>
      <c r="K18" s="12">
        <f>$D39</f>
        <v>61.83867200000001</v>
      </c>
      <c r="L18" s="12">
        <f>$D40</f>
        <v>79.506864000000022</v>
      </c>
      <c r="M18" s="12">
        <f>$D41</f>
        <v>24.735468800000003</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1" t="s">
        <v>90</v>
      </c>
      <c r="B19" s="142"/>
      <c r="C19" s="12">
        <f>C18-C17</f>
        <v>-1.1613279999999833</v>
      </c>
      <c r="D19" s="12" t="e">
        <f t="shared" ref="D19:V19" si="1">D18-D17</f>
        <v>#N/A</v>
      </c>
      <c r="E19" s="12">
        <f t="shared" si="1"/>
        <v>-2.7613279999999847</v>
      </c>
      <c r="F19" s="12">
        <f t="shared" si="1"/>
        <v>-1.9113279999999904</v>
      </c>
      <c r="G19" s="12">
        <f t="shared" si="1"/>
        <v>-0.47860479999999228</v>
      </c>
      <c r="H19" s="12">
        <f t="shared" si="1"/>
        <v>-2.7613279999999847</v>
      </c>
      <c r="I19" s="12">
        <f t="shared" si="1"/>
        <v>-12.293135999999976</v>
      </c>
      <c r="J19" s="12">
        <f t="shared" si="1"/>
        <v>-12.293135999999976</v>
      </c>
      <c r="K19" s="12">
        <f t="shared" si="1"/>
        <v>-1.9113279999999904</v>
      </c>
      <c r="L19" s="12">
        <f t="shared" si="1"/>
        <v>-12.293135999999976</v>
      </c>
      <c r="M19" s="12">
        <f t="shared" si="1"/>
        <v>24.735468800000003</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3" t="s">
        <v>91</v>
      </c>
      <c r="B20" s="144"/>
      <c r="C20" s="18" t="str">
        <f>IF($B31="","",IF(C$19&gt;=0,"INCREASE","DECREASE"))</f>
        <v>DECREASE</v>
      </c>
      <c r="D20" s="18" t="e">
        <f>IF($B32="","",IF(D$19&gt;=0,"INCREASE","DECREASE"))</f>
        <v>#N/A</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INCREASE</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9" t="s">
        <v>88</v>
      </c>
      <c r="B21" s="140"/>
      <c r="C21" s="20">
        <f>(VLOOKUP(C$14,$AI2:$AK26,3,FALSE))*C$15</f>
        <v>198.00000000000003</v>
      </c>
      <c r="D21" s="20" t="e">
        <f t="shared" ref="D21:V21" si="2">(VLOOKUP(D$14,$AI2:$AK24,3,FALSE))*D$15</f>
        <v>#N/A</v>
      </c>
      <c r="E21" s="20">
        <f t="shared" si="2"/>
        <v>228</v>
      </c>
      <c r="F21" s="20">
        <f t="shared" si="2"/>
        <v>78.75</v>
      </c>
      <c r="G21" s="20">
        <f t="shared" si="2"/>
        <v>78</v>
      </c>
      <c r="H21" s="20">
        <f t="shared" si="2"/>
        <v>228</v>
      </c>
      <c r="I21" s="20">
        <f t="shared" si="2"/>
        <v>324</v>
      </c>
      <c r="J21" s="20">
        <f t="shared" si="2"/>
        <v>324</v>
      </c>
      <c r="K21" s="20">
        <f t="shared" si="2"/>
        <v>78.75</v>
      </c>
      <c r="L21" s="20">
        <f t="shared" si="2"/>
        <v>324</v>
      </c>
      <c r="M21" s="20">
        <f t="shared" si="2"/>
        <v>0</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1" t="s">
        <v>89</v>
      </c>
      <c r="B22" s="142"/>
      <c r="C22" s="12">
        <f>$E31</f>
        <v>2.3072677250000004</v>
      </c>
      <c r="D22" s="12">
        <f>$E32</f>
        <v>1.5162045050000001</v>
      </c>
      <c r="E22" s="12">
        <f>$E33</f>
        <v>2.3072677250000004</v>
      </c>
      <c r="F22" s="12">
        <f>$E34</f>
        <v>2.3072677250000004</v>
      </c>
      <c r="G22" s="12">
        <f>$E35</f>
        <v>2.043579985</v>
      </c>
      <c r="H22" s="12">
        <f>$E36</f>
        <v>2.3072677250000004</v>
      </c>
      <c r="I22" s="12">
        <f>$E37</f>
        <v>2.9664870750000003</v>
      </c>
      <c r="J22" s="12">
        <f>$E38</f>
        <v>2.9664870750000003</v>
      </c>
      <c r="K22" s="12">
        <f>$E39</f>
        <v>2.3072677250000004</v>
      </c>
      <c r="L22" s="12">
        <f>$E40</f>
        <v>2.9664870750000003</v>
      </c>
      <c r="M22" s="12">
        <f>$E41</f>
        <v>0.92290709000000015</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1" t="s">
        <v>92</v>
      </c>
      <c r="B23" s="142"/>
      <c r="C23" s="12">
        <f>C22-C21</f>
        <v>-195.69273227500003</v>
      </c>
      <c r="D23" s="12" t="e">
        <f t="shared" ref="D23:V23" si="3">D22-D21</f>
        <v>#N/A</v>
      </c>
      <c r="E23" s="12">
        <f t="shared" si="3"/>
        <v>-225.692732275</v>
      </c>
      <c r="F23" s="12">
        <f t="shared" si="3"/>
        <v>-76.442732274999997</v>
      </c>
      <c r="G23" s="12">
        <f t="shared" si="3"/>
        <v>-75.956420015000006</v>
      </c>
      <c r="H23" s="12">
        <f t="shared" si="3"/>
        <v>-225.692732275</v>
      </c>
      <c r="I23" s="12">
        <f t="shared" si="3"/>
        <v>-321.03351292500003</v>
      </c>
      <c r="J23" s="12">
        <f t="shared" si="3"/>
        <v>-321.03351292500003</v>
      </c>
      <c r="K23" s="12">
        <f t="shared" si="3"/>
        <v>-76.442732274999997</v>
      </c>
      <c r="L23" s="12">
        <f t="shared" si="3"/>
        <v>-321.03351292500003</v>
      </c>
      <c r="M23" s="12">
        <f t="shared" si="3"/>
        <v>0.92290709000000015</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3" t="s">
        <v>93</v>
      </c>
      <c r="B24" s="144"/>
      <c r="C24" s="18" t="str">
        <f t="shared" ref="C24:V24" si="4">IF($B31="","",IF(C$23&gt;=0,"INCREASE","DECREASE"))</f>
        <v>DECREASE</v>
      </c>
      <c r="D24" s="18" t="e">
        <f t="shared" si="4"/>
        <v>#N/A</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INCREASE</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c r="T27" s="84"/>
      <c r="U27" s="121"/>
    </row>
    <row r="28" spans="1:40" x14ac:dyDescent="0.25">
      <c r="A28" s="122"/>
      <c r="B28" s="16">
        <v>24.1</v>
      </c>
      <c r="C28" s="11">
        <v>0.879</v>
      </c>
      <c r="D28" s="11">
        <v>0.32</v>
      </c>
      <c r="E28" s="11">
        <v>2.2700000000000001E-2</v>
      </c>
      <c r="F28" s="11">
        <v>696</v>
      </c>
      <c r="G28" s="11">
        <v>26.5</v>
      </c>
      <c r="H28" s="11">
        <v>153</v>
      </c>
      <c r="I28" s="11">
        <v>26.3</v>
      </c>
      <c r="J28" s="11">
        <v>0.11</v>
      </c>
      <c r="K28" s="15">
        <v>0.42</v>
      </c>
      <c r="L28" s="11">
        <v>22</v>
      </c>
      <c r="M28" s="11">
        <v>9.2899999999999991</v>
      </c>
      <c r="N28" s="11">
        <v>3150</v>
      </c>
      <c r="O28" s="11">
        <v>246000</v>
      </c>
      <c r="P28" s="11"/>
      <c r="Q28" s="11">
        <v>2730</v>
      </c>
      <c r="R28" s="11"/>
      <c r="S28" s="11"/>
      <c r="T28" s="11"/>
      <c r="U28" s="97"/>
    </row>
    <row r="29" spans="1:40" s="7" customFormat="1" ht="27" x14ac:dyDescent="0.2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Hook Field 2</v>
      </c>
      <c r="B31" s="11">
        <v>35</v>
      </c>
      <c r="C31" s="65">
        <f t="shared" ref="C31:C41" si="5">IF(C$27="%w/w SAR",((C$28*10)*$B31),IF(C$27="%w/w DM",(((C$28*10)*($B$28/100))*$B31),IF(C$27="kg/t SAR",(C$28*$B31),IF(C$27="kg/t DM",((C$28*($B$28/100))*$B31),IF(C$27="mg/kg SAR",((C$28*0.001)*$B31),IF(C$27="mg/kg DM",(((C$28*0.001)*($B$28/100))*$B31),0))))))</f>
        <v>74.143649999999994</v>
      </c>
      <c r="D31" s="65">
        <f t="shared" ref="D31:D41" si="6">(IF(D$27="%w/w SAR",((D$28*10)*$B31),IF(D$27="%w/w DM",(((D$28*10)*($B$28/100))*$B31),IF(D$27="kg/t SAR",(D$28*$B31),IF(D$27="kg/t DM",((D$28*($B$28/100))*$B31),IF(D$27="mg/kg SAR",((D$28*0.001)*$B31),IF(D$27="mg/kg DM",(((D$28*0.001)*($B$28/100))*$B31),"0")))))))*2.291</f>
        <v>61.83867200000001</v>
      </c>
      <c r="E31" s="65">
        <f t="shared" ref="E31:E41" si="7">(IF(E$27="%w/w SAR",((E$28*10)*$B31),IF(E$27="%w/w DM",(((E$28*10)*($B$28/100))*$B31),IF(E$27="kg/t SAR",(E$28*$B31),IF(E$27="kg/t DM",((E$28*($B$28/100))*$B31),IF(E$27="mg/kg SAR",((E$28*0.001)*$B31),IF(E$27="mg/kg DM",(((E$28*0.001)*($B$28/100))*$B31),"0")))))))*1.205</f>
        <v>2.3072677250000004</v>
      </c>
      <c r="F31" s="65">
        <f t="shared" ref="F31:F41" si="8">(IF(F$27="%w/w SAR",((F$28*10)*$B31),IF(F$27="%w/w DM",(((F$28*10)*($B$28/100))*$B31),IF(F$27="kg/t SAR",(F$28*$B31),IF(F$27="kg/t DM",((F$28*($B$28/100))*$B31),IF(F$27="mg/kg SAR",((F$28*0.001)*$B31),IF(F$27="mg/kg DM",(((F$28*0.001)*($B$28/100))*$B31),"0")))))))*1.658</f>
        <v>9.7337200800000012</v>
      </c>
      <c r="G31" s="65">
        <f t="shared" ref="G31:P41" si="9">IF(G$27="%w/w SAR",((G$28*10)*$B31),IF(G$27="%w/w DM",(((G$28*10)*($B$28/100))*$B31),IF(G$27="kg/t SAR",(G$28*$B31),IF(G$27="kg/t DM",((G$28*($B$28/100))*$B31),IF(G$27="mg/kg SAR",((G$28*0.001)*$B31),IF(G$27="mg/kg DM",(((G$28*0.001)*($B$28/100))*$B31),0))))))</f>
        <v>0.22352750000000002</v>
      </c>
      <c r="H31" s="65">
        <f t="shared" si="9"/>
        <v>1.2905550000000001</v>
      </c>
      <c r="I31" s="65">
        <f t="shared" si="9"/>
        <v>0.22184050000000002</v>
      </c>
      <c r="J31" s="65">
        <f t="shared" si="9"/>
        <v>9.2785000000000003E-4</v>
      </c>
      <c r="K31" s="65">
        <f t="shared" si="9"/>
        <v>3.5427000000000002E-3</v>
      </c>
      <c r="L31" s="65">
        <f t="shared" si="9"/>
        <v>0.18557000000000001</v>
      </c>
      <c r="M31" s="65">
        <f t="shared" si="9"/>
        <v>7.8361149999999991E-2</v>
      </c>
      <c r="N31" s="65">
        <f t="shared" si="9"/>
        <v>26.570250000000001</v>
      </c>
      <c r="O31" s="65">
        <f t="shared" si="9"/>
        <v>2075.0100000000002</v>
      </c>
      <c r="P31" s="65">
        <f t="shared" si="9"/>
        <v>0</v>
      </c>
      <c r="Q31" s="65">
        <f t="shared" ref="Q31:Q41" si="10">(IF(Q$27="%w/w SAR",((Q$28*10)*$B31),IF(Q$27="%w/w DM",(((Q$28*10)*($B$28/100))*$B31),IF(Q$27="kg/t SAR",(Q$28*$B31),IF(Q$27="kg/t DM",((Q$28*($B$28/100))*$B31),IF(Q$27="mg/kg SAR",((Q$28*0.001)*$B31),IF(Q$27="mg/kg DM",(((Q$28*0.001)*($B$28/100))*$B31),0)))))))*2.5</f>
        <v>57.568875000000006</v>
      </c>
      <c r="R31" s="65">
        <f t="shared" ref="R31:U41" si="11">IF(R$27="%w/w SAR",((R$28*10)*$B31),IF(R$27="%w/w DM",(((R$28*10)*($B$28/100))*$B31),IF(R$27="kg/t SAR",(R$28*$B31),IF(R$27="kg/t DM",((R$28*($B$28/100))*$B31),IF(R$27="mg/kg SAR",((R$28*0.001)*$B31),IF(R$27="mg/kg DM",(((R$28*0.001)*($B$28/100))*$B31),0))))))</f>
        <v>0</v>
      </c>
      <c r="S31" s="65">
        <f t="shared" si="11"/>
        <v>0</v>
      </c>
      <c r="T31" s="65">
        <f t="shared" si="11"/>
        <v>0</v>
      </c>
      <c r="U31" s="126">
        <f t="shared" si="11"/>
        <v>0</v>
      </c>
    </row>
    <row r="32" spans="1:40" s="48" customFormat="1" x14ac:dyDescent="0.25">
      <c r="A32" s="125" t="str">
        <f>D8</f>
        <v>Hook Field 3</v>
      </c>
      <c r="B32" s="11">
        <v>23</v>
      </c>
      <c r="C32" s="65">
        <f t="shared" si="5"/>
        <v>48.722969999999997</v>
      </c>
      <c r="D32" s="65">
        <f t="shared" si="6"/>
        <v>40.636841600000011</v>
      </c>
      <c r="E32" s="65">
        <f t="shared" si="7"/>
        <v>1.5162045050000001</v>
      </c>
      <c r="F32" s="65">
        <f t="shared" si="8"/>
        <v>6.3964446240000008</v>
      </c>
      <c r="G32" s="65">
        <f t="shared" si="9"/>
        <v>0.14688950000000001</v>
      </c>
      <c r="H32" s="65">
        <f t="shared" si="9"/>
        <v>0.84807900000000003</v>
      </c>
      <c r="I32" s="65">
        <f t="shared" si="9"/>
        <v>0.14578090000000002</v>
      </c>
      <c r="J32" s="65">
        <f t="shared" si="9"/>
        <v>6.0973000000000006E-4</v>
      </c>
      <c r="K32" s="65">
        <f t="shared" si="9"/>
        <v>2.3280600000000003E-3</v>
      </c>
      <c r="L32" s="65">
        <f t="shared" si="9"/>
        <v>0.12194600000000001</v>
      </c>
      <c r="M32" s="65">
        <f t="shared" si="9"/>
        <v>5.1494470000000001E-2</v>
      </c>
      <c r="N32" s="65">
        <f t="shared" si="9"/>
        <v>17.460450000000002</v>
      </c>
      <c r="O32" s="65">
        <f t="shared" si="9"/>
        <v>1363.578</v>
      </c>
      <c r="P32" s="65">
        <f t="shared" si="9"/>
        <v>0</v>
      </c>
      <c r="Q32" s="65">
        <f t="shared" si="10"/>
        <v>37.830975000000002</v>
      </c>
      <c r="R32" s="65">
        <f t="shared" si="11"/>
        <v>0</v>
      </c>
      <c r="S32" s="65">
        <f t="shared" si="11"/>
        <v>0</v>
      </c>
      <c r="T32" s="65">
        <f t="shared" si="11"/>
        <v>0</v>
      </c>
      <c r="U32" s="126">
        <f t="shared" si="11"/>
        <v>0</v>
      </c>
    </row>
    <row r="33" spans="1:21" s="48" customFormat="1" x14ac:dyDescent="0.25">
      <c r="A33" s="125" t="str">
        <f>E8</f>
        <v>Hook Field 4</v>
      </c>
      <c r="B33" s="11">
        <v>35</v>
      </c>
      <c r="C33" s="65">
        <f t="shared" si="5"/>
        <v>74.143649999999994</v>
      </c>
      <c r="D33" s="65">
        <f t="shared" si="6"/>
        <v>61.83867200000001</v>
      </c>
      <c r="E33" s="65">
        <f t="shared" si="7"/>
        <v>2.3072677250000004</v>
      </c>
      <c r="F33" s="65">
        <f t="shared" si="8"/>
        <v>9.7337200800000012</v>
      </c>
      <c r="G33" s="65">
        <f t="shared" si="9"/>
        <v>0.22352750000000002</v>
      </c>
      <c r="H33" s="65">
        <f t="shared" si="9"/>
        <v>1.2905550000000001</v>
      </c>
      <c r="I33" s="65">
        <f t="shared" si="9"/>
        <v>0.22184050000000002</v>
      </c>
      <c r="J33" s="65">
        <f t="shared" si="9"/>
        <v>9.2785000000000003E-4</v>
      </c>
      <c r="K33" s="65">
        <f t="shared" si="9"/>
        <v>3.5427000000000002E-3</v>
      </c>
      <c r="L33" s="65">
        <f t="shared" si="9"/>
        <v>0.18557000000000001</v>
      </c>
      <c r="M33" s="65">
        <f t="shared" si="9"/>
        <v>7.8361149999999991E-2</v>
      </c>
      <c r="N33" s="65">
        <f t="shared" si="9"/>
        <v>26.570250000000001</v>
      </c>
      <c r="O33" s="65">
        <f t="shared" si="9"/>
        <v>2075.0100000000002</v>
      </c>
      <c r="P33" s="65">
        <f t="shared" si="9"/>
        <v>0</v>
      </c>
      <c r="Q33" s="65">
        <f t="shared" si="10"/>
        <v>57.568875000000006</v>
      </c>
      <c r="R33" s="65">
        <f t="shared" si="11"/>
        <v>0</v>
      </c>
      <c r="S33" s="65">
        <f t="shared" si="11"/>
        <v>0</v>
      </c>
      <c r="T33" s="65">
        <f t="shared" si="11"/>
        <v>0</v>
      </c>
      <c r="U33" s="126">
        <f t="shared" si="11"/>
        <v>0</v>
      </c>
    </row>
    <row r="34" spans="1:21" s="48" customFormat="1" x14ac:dyDescent="0.25">
      <c r="A34" s="125" t="str">
        <f>F8</f>
        <v>Hook Field 8</v>
      </c>
      <c r="B34" s="11">
        <v>35</v>
      </c>
      <c r="C34" s="65">
        <f t="shared" si="5"/>
        <v>74.143649999999994</v>
      </c>
      <c r="D34" s="65">
        <f t="shared" si="6"/>
        <v>61.83867200000001</v>
      </c>
      <c r="E34" s="65">
        <f t="shared" si="7"/>
        <v>2.3072677250000004</v>
      </c>
      <c r="F34" s="65">
        <f t="shared" si="8"/>
        <v>9.7337200800000012</v>
      </c>
      <c r="G34" s="65">
        <f t="shared" si="9"/>
        <v>0.22352750000000002</v>
      </c>
      <c r="H34" s="65">
        <f t="shared" si="9"/>
        <v>1.2905550000000001</v>
      </c>
      <c r="I34" s="65">
        <f t="shared" si="9"/>
        <v>0.22184050000000002</v>
      </c>
      <c r="J34" s="65">
        <f t="shared" si="9"/>
        <v>9.2785000000000003E-4</v>
      </c>
      <c r="K34" s="65">
        <f t="shared" si="9"/>
        <v>3.5427000000000002E-3</v>
      </c>
      <c r="L34" s="65">
        <f t="shared" si="9"/>
        <v>0.18557000000000001</v>
      </c>
      <c r="M34" s="65">
        <f t="shared" si="9"/>
        <v>7.8361149999999991E-2</v>
      </c>
      <c r="N34" s="65">
        <f t="shared" si="9"/>
        <v>26.570250000000001</v>
      </c>
      <c r="O34" s="65">
        <f t="shared" si="9"/>
        <v>2075.0100000000002</v>
      </c>
      <c r="P34" s="65">
        <f t="shared" si="9"/>
        <v>0</v>
      </c>
      <c r="Q34" s="65">
        <f t="shared" si="10"/>
        <v>57.568875000000006</v>
      </c>
      <c r="R34" s="65">
        <f t="shared" si="11"/>
        <v>0</v>
      </c>
      <c r="S34" s="65">
        <f t="shared" si="11"/>
        <v>0</v>
      </c>
      <c r="T34" s="65">
        <f t="shared" si="11"/>
        <v>0</v>
      </c>
      <c r="U34" s="126">
        <f t="shared" si="11"/>
        <v>0</v>
      </c>
    </row>
    <row r="35" spans="1:21" s="48" customFormat="1" x14ac:dyDescent="0.25">
      <c r="A35" s="125" t="str">
        <f>G8</f>
        <v>Hook Field 10</v>
      </c>
      <c r="B35" s="11">
        <v>31</v>
      </c>
      <c r="C35" s="65">
        <f t="shared" si="5"/>
        <v>65.670089999999988</v>
      </c>
      <c r="D35" s="65">
        <f t="shared" si="6"/>
        <v>54.771395200000008</v>
      </c>
      <c r="E35" s="65">
        <f t="shared" si="7"/>
        <v>2.043579985</v>
      </c>
      <c r="F35" s="65">
        <f t="shared" si="8"/>
        <v>8.6212949280000011</v>
      </c>
      <c r="G35" s="65">
        <f t="shared" si="9"/>
        <v>0.19798150000000003</v>
      </c>
      <c r="H35" s="65">
        <f t="shared" si="9"/>
        <v>1.1430630000000002</v>
      </c>
      <c r="I35" s="65">
        <f t="shared" si="9"/>
        <v>0.19648730000000003</v>
      </c>
      <c r="J35" s="65">
        <f t="shared" si="9"/>
        <v>8.2181000000000008E-4</v>
      </c>
      <c r="K35" s="65">
        <f t="shared" si="9"/>
        <v>3.1378200000000004E-3</v>
      </c>
      <c r="L35" s="65">
        <f t="shared" si="9"/>
        <v>0.16436200000000001</v>
      </c>
      <c r="M35" s="65">
        <f t="shared" si="9"/>
        <v>6.9405590000000003E-2</v>
      </c>
      <c r="N35" s="65">
        <f t="shared" si="9"/>
        <v>23.533650000000002</v>
      </c>
      <c r="O35" s="65">
        <f t="shared" si="9"/>
        <v>1837.866</v>
      </c>
      <c r="P35" s="65">
        <f t="shared" si="9"/>
        <v>0</v>
      </c>
      <c r="Q35" s="65">
        <f t="shared" si="10"/>
        <v>50.989575000000002</v>
      </c>
      <c r="R35" s="65">
        <f t="shared" si="11"/>
        <v>0</v>
      </c>
      <c r="S35" s="65">
        <f t="shared" si="11"/>
        <v>0</v>
      </c>
      <c r="T35" s="65">
        <f t="shared" si="11"/>
        <v>0</v>
      </c>
      <c r="U35" s="126">
        <f t="shared" si="11"/>
        <v>0</v>
      </c>
    </row>
    <row r="36" spans="1:21" s="48" customFormat="1" x14ac:dyDescent="0.25">
      <c r="A36" s="125" t="str">
        <f>H8</f>
        <v>Hook Field 20</v>
      </c>
      <c r="B36" s="11">
        <v>35</v>
      </c>
      <c r="C36" s="65">
        <f t="shared" si="5"/>
        <v>74.143649999999994</v>
      </c>
      <c r="D36" s="65">
        <f t="shared" si="6"/>
        <v>61.83867200000001</v>
      </c>
      <c r="E36" s="65">
        <f t="shared" si="7"/>
        <v>2.3072677250000004</v>
      </c>
      <c r="F36" s="65">
        <f t="shared" si="8"/>
        <v>9.7337200800000012</v>
      </c>
      <c r="G36" s="65">
        <f t="shared" si="9"/>
        <v>0.22352750000000002</v>
      </c>
      <c r="H36" s="65">
        <f t="shared" si="9"/>
        <v>1.2905550000000001</v>
      </c>
      <c r="I36" s="65">
        <f t="shared" si="9"/>
        <v>0.22184050000000002</v>
      </c>
      <c r="J36" s="65">
        <f t="shared" si="9"/>
        <v>9.2785000000000003E-4</v>
      </c>
      <c r="K36" s="65">
        <f t="shared" si="9"/>
        <v>3.5427000000000002E-3</v>
      </c>
      <c r="L36" s="65">
        <f t="shared" si="9"/>
        <v>0.18557000000000001</v>
      </c>
      <c r="M36" s="65">
        <f t="shared" si="9"/>
        <v>7.8361149999999991E-2</v>
      </c>
      <c r="N36" s="65">
        <f t="shared" si="9"/>
        <v>26.570250000000001</v>
      </c>
      <c r="O36" s="65">
        <f t="shared" si="9"/>
        <v>2075.0100000000002</v>
      </c>
      <c r="P36" s="65">
        <f t="shared" si="9"/>
        <v>0</v>
      </c>
      <c r="Q36" s="65">
        <f t="shared" si="10"/>
        <v>57.568875000000006</v>
      </c>
      <c r="R36" s="65">
        <f t="shared" si="11"/>
        <v>0</v>
      </c>
      <c r="S36" s="65">
        <f t="shared" si="11"/>
        <v>0</v>
      </c>
      <c r="T36" s="65">
        <f t="shared" si="11"/>
        <v>0</v>
      </c>
      <c r="U36" s="126">
        <f t="shared" si="11"/>
        <v>0</v>
      </c>
    </row>
    <row r="37" spans="1:21" s="48" customFormat="1" x14ac:dyDescent="0.25">
      <c r="A37" s="125">
        <f>I8</f>
        <v>1</v>
      </c>
      <c r="B37" s="11">
        <v>45</v>
      </c>
      <c r="C37" s="65">
        <f t="shared" si="5"/>
        <v>95.327549999999988</v>
      </c>
      <c r="D37" s="65">
        <f t="shared" si="6"/>
        <v>79.506864000000022</v>
      </c>
      <c r="E37" s="65">
        <f t="shared" si="7"/>
        <v>2.9664870750000003</v>
      </c>
      <c r="F37" s="65">
        <f t="shared" si="8"/>
        <v>12.514782960000002</v>
      </c>
      <c r="G37" s="65">
        <f t="shared" si="9"/>
        <v>0.28739250000000005</v>
      </c>
      <c r="H37" s="65">
        <f t="shared" si="9"/>
        <v>1.6592850000000001</v>
      </c>
      <c r="I37" s="65">
        <f t="shared" si="9"/>
        <v>0.28522350000000002</v>
      </c>
      <c r="J37" s="65">
        <f t="shared" si="9"/>
        <v>1.1929500000000001E-3</v>
      </c>
      <c r="K37" s="65">
        <f t="shared" si="9"/>
        <v>4.5549000000000006E-3</v>
      </c>
      <c r="L37" s="65">
        <f t="shared" si="9"/>
        <v>0.23859000000000002</v>
      </c>
      <c r="M37" s="65">
        <f t="shared" si="9"/>
        <v>0.10075004999999999</v>
      </c>
      <c r="N37" s="65">
        <f t="shared" si="9"/>
        <v>34.161749999999998</v>
      </c>
      <c r="O37" s="65">
        <f t="shared" si="9"/>
        <v>2667.87</v>
      </c>
      <c r="P37" s="65">
        <f t="shared" si="9"/>
        <v>0</v>
      </c>
      <c r="Q37" s="65">
        <f t="shared" si="10"/>
        <v>74.017125000000007</v>
      </c>
      <c r="R37" s="65">
        <f t="shared" si="11"/>
        <v>0</v>
      </c>
      <c r="S37" s="65">
        <f t="shared" si="11"/>
        <v>0</v>
      </c>
      <c r="T37" s="65">
        <f t="shared" si="11"/>
        <v>0</v>
      </c>
      <c r="U37" s="126">
        <f t="shared" si="11"/>
        <v>0</v>
      </c>
    </row>
    <row r="38" spans="1:21" s="48" customFormat="1" x14ac:dyDescent="0.25">
      <c r="A38" s="125">
        <f>J8</f>
        <v>2</v>
      </c>
      <c r="B38" s="11">
        <v>45</v>
      </c>
      <c r="C38" s="65">
        <f t="shared" si="5"/>
        <v>95.327549999999988</v>
      </c>
      <c r="D38" s="65">
        <f t="shared" si="6"/>
        <v>79.506864000000022</v>
      </c>
      <c r="E38" s="65">
        <f t="shared" si="7"/>
        <v>2.9664870750000003</v>
      </c>
      <c r="F38" s="65">
        <f t="shared" si="8"/>
        <v>12.514782960000002</v>
      </c>
      <c r="G38" s="65">
        <f t="shared" si="9"/>
        <v>0.28739250000000005</v>
      </c>
      <c r="H38" s="65">
        <f t="shared" si="9"/>
        <v>1.6592850000000001</v>
      </c>
      <c r="I38" s="65">
        <f t="shared" si="9"/>
        <v>0.28522350000000002</v>
      </c>
      <c r="J38" s="65">
        <f t="shared" si="9"/>
        <v>1.1929500000000001E-3</v>
      </c>
      <c r="K38" s="65">
        <f t="shared" si="9"/>
        <v>4.5549000000000006E-3</v>
      </c>
      <c r="L38" s="65">
        <f t="shared" si="9"/>
        <v>0.23859000000000002</v>
      </c>
      <c r="M38" s="65">
        <f t="shared" si="9"/>
        <v>0.10075004999999999</v>
      </c>
      <c r="N38" s="65">
        <f t="shared" si="9"/>
        <v>34.161749999999998</v>
      </c>
      <c r="O38" s="65">
        <f t="shared" si="9"/>
        <v>2667.87</v>
      </c>
      <c r="P38" s="65">
        <f t="shared" si="9"/>
        <v>0</v>
      </c>
      <c r="Q38" s="65">
        <f t="shared" si="10"/>
        <v>74.017125000000007</v>
      </c>
      <c r="R38" s="65">
        <f t="shared" si="11"/>
        <v>0</v>
      </c>
      <c r="S38" s="65">
        <f t="shared" si="11"/>
        <v>0</v>
      </c>
      <c r="T38" s="65">
        <f t="shared" si="11"/>
        <v>0</v>
      </c>
      <c r="U38" s="126">
        <f t="shared" si="11"/>
        <v>0</v>
      </c>
    </row>
    <row r="39" spans="1:21" s="48" customFormat="1" x14ac:dyDescent="0.25">
      <c r="A39" s="125">
        <f>K8</f>
        <v>3</v>
      </c>
      <c r="B39" s="11">
        <v>35</v>
      </c>
      <c r="C39" s="65">
        <f t="shared" si="5"/>
        <v>74.143649999999994</v>
      </c>
      <c r="D39" s="65">
        <f t="shared" si="6"/>
        <v>61.83867200000001</v>
      </c>
      <c r="E39" s="65">
        <f t="shared" si="7"/>
        <v>2.3072677250000004</v>
      </c>
      <c r="F39" s="65">
        <f t="shared" si="8"/>
        <v>9.7337200800000012</v>
      </c>
      <c r="G39" s="65">
        <f t="shared" si="9"/>
        <v>0.22352750000000002</v>
      </c>
      <c r="H39" s="65">
        <f t="shared" si="9"/>
        <v>1.2905550000000001</v>
      </c>
      <c r="I39" s="65">
        <f t="shared" si="9"/>
        <v>0.22184050000000002</v>
      </c>
      <c r="J39" s="65">
        <f t="shared" si="9"/>
        <v>9.2785000000000003E-4</v>
      </c>
      <c r="K39" s="65">
        <f t="shared" si="9"/>
        <v>3.5427000000000002E-3</v>
      </c>
      <c r="L39" s="65">
        <f t="shared" si="9"/>
        <v>0.18557000000000001</v>
      </c>
      <c r="M39" s="65">
        <f t="shared" si="9"/>
        <v>7.8361149999999991E-2</v>
      </c>
      <c r="N39" s="65">
        <f t="shared" si="9"/>
        <v>26.570250000000001</v>
      </c>
      <c r="O39" s="65">
        <f t="shared" si="9"/>
        <v>2075.0100000000002</v>
      </c>
      <c r="P39" s="65">
        <f t="shared" si="9"/>
        <v>0</v>
      </c>
      <c r="Q39" s="65">
        <f t="shared" si="10"/>
        <v>57.568875000000006</v>
      </c>
      <c r="R39" s="65">
        <f t="shared" si="11"/>
        <v>0</v>
      </c>
      <c r="S39" s="65">
        <f t="shared" si="11"/>
        <v>0</v>
      </c>
      <c r="T39" s="65">
        <f t="shared" si="11"/>
        <v>0</v>
      </c>
      <c r="U39" s="126">
        <f t="shared" si="11"/>
        <v>0</v>
      </c>
    </row>
    <row r="40" spans="1:21" s="48" customFormat="1" x14ac:dyDescent="0.25">
      <c r="A40" s="125">
        <f>L8</f>
        <v>4</v>
      </c>
      <c r="B40" s="11">
        <v>45</v>
      </c>
      <c r="C40" s="65">
        <f t="shared" si="5"/>
        <v>95.327549999999988</v>
      </c>
      <c r="D40" s="65">
        <f t="shared" si="6"/>
        <v>79.506864000000022</v>
      </c>
      <c r="E40" s="65">
        <f t="shared" si="7"/>
        <v>2.9664870750000003</v>
      </c>
      <c r="F40" s="65">
        <f t="shared" si="8"/>
        <v>12.514782960000002</v>
      </c>
      <c r="G40" s="65">
        <f t="shared" si="9"/>
        <v>0.28739250000000005</v>
      </c>
      <c r="H40" s="65">
        <f t="shared" si="9"/>
        <v>1.6592850000000001</v>
      </c>
      <c r="I40" s="65">
        <f t="shared" si="9"/>
        <v>0.28522350000000002</v>
      </c>
      <c r="J40" s="65">
        <f t="shared" si="9"/>
        <v>1.1929500000000001E-3</v>
      </c>
      <c r="K40" s="65">
        <f t="shared" si="9"/>
        <v>4.5549000000000006E-3</v>
      </c>
      <c r="L40" s="65">
        <f t="shared" si="9"/>
        <v>0.23859000000000002</v>
      </c>
      <c r="M40" s="65">
        <f t="shared" si="9"/>
        <v>0.10075004999999999</v>
      </c>
      <c r="N40" s="65">
        <f t="shared" si="9"/>
        <v>34.161749999999998</v>
      </c>
      <c r="O40" s="65">
        <f t="shared" si="9"/>
        <v>2667.87</v>
      </c>
      <c r="P40" s="65">
        <f t="shared" si="9"/>
        <v>0</v>
      </c>
      <c r="Q40" s="65">
        <f t="shared" si="10"/>
        <v>74.017125000000007</v>
      </c>
      <c r="R40" s="65">
        <f t="shared" si="11"/>
        <v>0</v>
      </c>
      <c r="S40" s="65">
        <f t="shared" si="11"/>
        <v>0</v>
      </c>
      <c r="T40" s="65">
        <f t="shared" si="11"/>
        <v>0</v>
      </c>
      <c r="U40" s="126">
        <f t="shared" si="11"/>
        <v>0</v>
      </c>
    </row>
    <row r="41" spans="1:21" s="48" customFormat="1" x14ac:dyDescent="0.25">
      <c r="A41" s="125">
        <f>M8</f>
        <v>7</v>
      </c>
      <c r="B41" s="11">
        <v>14</v>
      </c>
      <c r="C41" s="65">
        <f t="shared" si="5"/>
        <v>29.657459999999997</v>
      </c>
      <c r="D41" s="65">
        <f t="shared" si="6"/>
        <v>24.735468800000003</v>
      </c>
      <c r="E41" s="65">
        <f t="shared" si="7"/>
        <v>0.92290709000000015</v>
      </c>
      <c r="F41" s="65">
        <f t="shared" si="8"/>
        <v>3.893488032</v>
      </c>
      <c r="G41" s="65">
        <f t="shared" si="9"/>
        <v>8.9411000000000004E-2</v>
      </c>
      <c r="H41" s="65">
        <f t="shared" si="9"/>
        <v>0.51622200000000007</v>
      </c>
      <c r="I41" s="65">
        <f t="shared" si="9"/>
        <v>8.8736200000000015E-2</v>
      </c>
      <c r="J41" s="65">
        <f t="shared" si="9"/>
        <v>3.7114000000000005E-4</v>
      </c>
      <c r="K41" s="65">
        <f t="shared" si="9"/>
        <v>1.4170800000000002E-3</v>
      </c>
      <c r="L41" s="65">
        <f t="shared" si="9"/>
        <v>7.4228000000000002E-2</v>
      </c>
      <c r="M41" s="65">
        <f t="shared" si="9"/>
        <v>3.1344459999999998E-2</v>
      </c>
      <c r="N41" s="65">
        <f t="shared" si="9"/>
        <v>10.6281</v>
      </c>
      <c r="O41" s="65">
        <f t="shared" si="9"/>
        <v>830.00400000000002</v>
      </c>
      <c r="P41" s="65">
        <f t="shared" si="9"/>
        <v>0</v>
      </c>
      <c r="Q41" s="65">
        <f t="shared" si="10"/>
        <v>23.027549999999998</v>
      </c>
      <c r="R41" s="65">
        <f t="shared" si="11"/>
        <v>0</v>
      </c>
      <c r="S41" s="65">
        <f t="shared" si="11"/>
        <v>0</v>
      </c>
      <c r="T41" s="65">
        <f t="shared" si="11"/>
        <v>0</v>
      </c>
      <c r="U41" s="126">
        <f t="shared" si="11"/>
        <v>0</v>
      </c>
    </row>
    <row r="42" spans="1:21" s="48" customFormat="1" x14ac:dyDescent="0.25">
      <c r="A42" s="125">
        <f>N8</f>
        <v>0</v>
      </c>
      <c r="B42" s="11"/>
      <c r="C42" s="65">
        <f t="shared" ref="C42:C50" si="12">IF(C$27="%w/w SAR",((C$28*10)*$B42),IF(C$27="%w/w DM",(((C$28*10)*($B$28/100))*$B42),IF(C$27="kg/t SAR",(C$28*$B42),IF(C$27="kg/t DM",((C$28*($B$28/100))*$B42),IF(C$27="mg/kg SAR",((C$28*0.001)*$B42),IF(C$27="mg/kg DM",(((C$28*0.001)*($B$28/100))*$B42),0))))))</f>
        <v>0</v>
      </c>
      <c r="D42" s="65">
        <f t="shared" ref="D42:D50" si="13">(IF(D$27="%w/w SAR",((D$28*10)*$B42),IF(D$27="%w/w DM",(((D$28*10)*($B$28/100))*$B42),IF(D$27="kg/t SAR",(D$28*$B42),IF(D$27="kg/t DM",((D$28*($B$28/100))*$B42),IF(D$27="mg/kg SAR",((D$28*0.001)*$B42),IF(D$27="mg/kg DM",(((D$28*0.001)*($B$28/100))*$B42),"0")))))))*2.291</f>
        <v>0</v>
      </c>
      <c r="E42" s="65">
        <f t="shared" ref="E42:E50" si="14">(IF(E$27="%w/w SAR",((E$28*10)*$B42),IF(E$27="%w/w DM",(((E$28*10)*($B$28/100))*$B42),IF(E$27="kg/t SAR",(E$28*$B42),IF(E$27="kg/t DM",((E$28*($B$28/100))*$B42),IF(E$27="mg/kg SAR",((E$28*0.001)*$B42),IF(E$27="mg/kg DM",(((E$28*0.001)*($B$28/100))*$B42),"0")))))))*1.205</f>
        <v>0</v>
      </c>
      <c r="F42" s="65">
        <f t="shared" ref="F42:F50" si="15">(IF(F$27="%w/w SAR",((F$28*10)*$B42),IF(F$27="%w/w DM",(((F$28*10)*($B$28/100))*$B42),IF(F$27="kg/t SAR",(F$28*$B42),IF(F$27="kg/t DM",((F$28*($B$28/100))*$B42),IF(F$27="mg/kg SAR",((F$28*0.001)*$B42),IF(F$27="mg/kg DM",(((F$28*0.001)*($B$28/100))*$B42),"0")))))))*1.658</f>
        <v>0</v>
      </c>
      <c r="G42" s="65">
        <f t="shared" ref="G42:P46" si="16">IF(G$27="%w/w SAR",((G$28*10)*$B42),IF(G$27="%w/w DM",(((G$28*10)*($B$28/100))*$B42),IF(G$27="kg/t SAR",(G$28*$B42),IF(G$27="kg/t DM",((G$28*($B$28/100))*$B42),IF(G$27="mg/kg SAR",((G$28*0.001)*$B42),IF(G$27="mg/kg DM",(((G$28*0.001)*($B$28/100))*$B42),0))))))</f>
        <v>0</v>
      </c>
      <c r="H42" s="65">
        <f t="shared" si="16"/>
        <v>0</v>
      </c>
      <c r="I42" s="65">
        <f t="shared" si="16"/>
        <v>0</v>
      </c>
      <c r="J42" s="65">
        <f t="shared" si="16"/>
        <v>0</v>
      </c>
      <c r="K42" s="65">
        <f t="shared" si="16"/>
        <v>0</v>
      </c>
      <c r="L42" s="65">
        <f t="shared" si="16"/>
        <v>0</v>
      </c>
      <c r="M42" s="65">
        <f t="shared" si="16"/>
        <v>0</v>
      </c>
      <c r="N42" s="65">
        <f t="shared" si="16"/>
        <v>0</v>
      </c>
      <c r="O42" s="65">
        <f t="shared" si="16"/>
        <v>0</v>
      </c>
      <c r="P42" s="65">
        <f t="shared" si="16"/>
        <v>0</v>
      </c>
      <c r="Q42" s="65">
        <f t="shared" ref="Q42:Q50" si="17">(IF(Q$27="%w/w SAR",((Q$28*10)*$B42),IF(Q$27="%w/w DM",(((Q$28*10)*($B$28/100))*$B42),IF(Q$27="kg/t SAR",(Q$28*$B42),IF(Q$27="kg/t DM",((Q$28*($B$28/100))*$B42),IF(Q$27="mg/kg SAR",((Q$28*0.001)*$B42),IF(Q$27="mg/kg DM",(((Q$28*0.001)*($B$28/100))*$B42),0)))))))*2.5</f>
        <v>0</v>
      </c>
      <c r="R42" s="65">
        <f t="shared" ref="R42:U50" si="18">IF(R$27="%w/w SAR",((R$28*10)*$B42),IF(R$27="%w/w DM",(((R$28*10)*($B$28/100))*$B42),IF(R$27="kg/t SAR",(R$28*$B42),IF(R$27="kg/t DM",((R$28*($B$28/100))*$B42),IF(R$27="mg/kg SAR",((R$28*0.001)*$B42),IF(R$27="mg/kg DM",(((R$28*0.001)*($B$28/100))*$B42),0))))))</f>
        <v>0</v>
      </c>
      <c r="S42" s="65">
        <f t="shared" si="18"/>
        <v>0</v>
      </c>
      <c r="T42" s="65">
        <f t="shared" si="18"/>
        <v>0</v>
      </c>
      <c r="U42" s="126">
        <f t="shared" si="18"/>
        <v>0</v>
      </c>
    </row>
    <row r="43" spans="1:21" s="48" customFormat="1" x14ac:dyDescent="0.25">
      <c r="A43" s="125">
        <f>O8</f>
        <v>0</v>
      </c>
      <c r="B43" s="11"/>
      <c r="C43" s="65">
        <f t="shared" si="12"/>
        <v>0</v>
      </c>
      <c r="D43" s="65">
        <f t="shared" si="13"/>
        <v>0</v>
      </c>
      <c r="E43" s="65">
        <f t="shared" si="14"/>
        <v>0</v>
      </c>
      <c r="F43" s="65">
        <f t="shared" si="15"/>
        <v>0</v>
      </c>
      <c r="G43" s="65">
        <f t="shared" si="16"/>
        <v>0</v>
      </c>
      <c r="H43" s="65">
        <f t="shared" si="16"/>
        <v>0</v>
      </c>
      <c r="I43" s="65">
        <f t="shared" si="16"/>
        <v>0</v>
      </c>
      <c r="J43" s="65">
        <f t="shared" si="16"/>
        <v>0</v>
      </c>
      <c r="K43" s="65">
        <f t="shared" si="16"/>
        <v>0</v>
      </c>
      <c r="L43" s="65">
        <f t="shared" si="16"/>
        <v>0</v>
      </c>
      <c r="M43" s="65">
        <f t="shared" si="16"/>
        <v>0</v>
      </c>
      <c r="N43" s="65">
        <f t="shared" si="16"/>
        <v>0</v>
      </c>
      <c r="O43" s="65">
        <f t="shared" si="16"/>
        <v>0</v>
      </c>
      <c r="P43" s="65">
        <f t="shared" si="16"/>
        <v>0</v>
      </c>
      <c r="Q43" s="65">
        <f t="shared" si="17"/>
        <v>0</v>
      </c>
      <c r="R43" s="65">
        <f t="shared" si="18"/>
        <v>0</v>
      </c>
      <c r="S43" s="65">
        <f t="shared" si="18"/>
        <v>0</v>
      </c>
      <c r="T43" s="65">
        <f t="shared" si="18"/>
        <v>0</v>
      </c>
      <c r="U43" s="126">
        <f t="shared" si="18"/>
        <v>0</v>
      </c>
    </row>
    <row r="44" spans="1:21" s="48" customFormat="1" x14ac:dyDescent="0.25">
      <c r="A44" s="125">
        <f>P8</f>
        <v>0</v>
      </c>
      <c r="B44" s="11"/>
      <c r="C44" s="65">
        <f t="shared" si="12"/>
        <v>0</v>
      </c>
      <c r="D44" s="65">
        <f t="shared" si="13"/>
        <v>0</v>
      </c>
      <c r="E44" s="65">
        <f t="shared" si="14"/>
        <v>0</v>
      </c>
      <c r="F44" s="65">
        <f t="shared" si="15"/>
        <v>0</v>
      </c>
      <c r="G44" s="65">
        <f t="shared" si="16"/>
        <v>0</v>
      </c>
      <c r="H44" s="65">
        <f t="shared" si="16"/>
        <v>0</v>
      </c>
      <c r="I44" s="65">
        <f t="shared" si="16"/>
        <v>0</v>
      </c>
      <c r="J44" s="65">
        <f t="shared" si="16"/>
        <v>0</v>
      </c>
      <c r="K44" s="65">
        <f t="shared" si="16"/>
        <v>0</v>
      </c>
      <c r="L44" s="65">
        <f t="shared" si="16"/>
        <v>0</v>
      </c>
      <c r="M44" s="65">
        <f t="shared" si="16"/>
        <v>0</v>
      </c>
      <c r="N44" s="65">
        <f t="shared" si="16"/>
        <v>0</v>
      </c>
      <c r="O44" s="65">
        <f t="shared" si="16"/>
        <v>0</v>
      </c>
      <c r="P44" s="65">
        <f t="shared" si="16"/>
        <v>0</v>
      </c>
      <c r="Q44" s="65">
        <f t="shared" si="17"/>
        <v>0</v>
      </c>
      <c r="R44" s="65">
        <f t="shared" si="18"/>
        <v>0</v>
      </c>
      <c r="S44" s="65">
        <f t="shared" si="18"/>
        <v>0</v>
      </c>
      <c r="T44" s="65">
        <f t="shared" si="18"/>
        <v>0</v>
      </c>
      <c r="U44" s="126">
        <f t="shared" si="18"/>
        <v>0</v>
      </c>
    </row>
    <row r="45" spans="1:21" s="48" customFormat="1" x14ac:dyDescent="0.25">
      <c r="A45" s="125">
        <f>Q8</f>
        <v>0</v>
      </c>
      <c r="B45" s="11"/>
      <c r="C45" s="65">
        <f t="shared" si="12"/>
        <v>0</v>
      </c>
      <c r="D45" s="65">
        <f t="shared" si="13"/>
        <v>0</v>
      </c>
      <c r="E45" s="65">
        <f t="shared" si="14"/>
        <v>0</v>
      </c>
      <c r="F45" s="65">
        <f t="shared" si="15"/>
        <v>0</v>
      </c>
      <c r="G45" s="65">
        <f t="shared" si="16"/>
        <v>0</v>
      </c>
      <c r="H45" s="65">
        <f t="shared" si="16"/>
        <v>0</v>
      </c>
      <c r="I45" s="65">
        <f t="shared" si="16"/>
        <v>0</v>
      </c>
      <c r="J45" s="65">
        <f t="shared" si="16"/>
        <v>0</v>
      </c>
      <c r="K45" s="65">
        <f t="shared" si="16"/>
        <v>0</v>
      </c>
      <c r="L45" s="65">
        <f t="shared" si="16"/>
        <v>0</v>
      </c>
      <c r="M45" s="65">
        <f t="shared" si="16"/>
        <v>0</v>
      </c>
      <c r="N45" s="65">
        <f t="shared" si="16"/>
        <v>0</v>
      </c>
      <c r="O45" s="65">
        <f t="shared" si="16"/>
        <v>0</v>
      </c>
      <c r="P45" s="65">
        <f t="shared" si="16"/>
        <v>0</v>
      </c>
      <c r="Q45" s="65">
        <f t="shared" si="17"/>
        <v>0</v>
      </c>
      <c r="R45" s="65">
        <f t="shared" si="18"/>
        <v>0</v>
      </c>
      <c r="S45" s="65">
        <f t="shared" si="18"/>
        <v>0</v>
      </c>
      <c r="T45" s="65">
        <f t="shared" si="18"/>
        <v>0</v>
      </c>
      <c r="U45" s="126">
        <f t="shared" si="18"/>
        <v>0</v>
      </c>
    </row>
    <row r="46" spans="1:21" s="48" customFormat="1" x14ac:dyDescent="0.25">
      <c r="A46" s="125">
        <f>R8</f>
        <v>0</v>
      </c>
      <c r="B46" s="11"/>
      <c r="C46" s="65">
        <f t="shared" si="12"/>
        <v>0</v>
      </c>
      <c r="D46" s="65">
        <f t="shared" si="13"/>
        <v>0</v>
      </c>
      <c r="E46" s="65">
        <f t="shared" si="14"/>
        <v>0</v>
      </c>
      <c r="F46" s="65">
        <f t="shared" si="15"/>
        <v>0</v>
      </c>
      <c r="G46" s="65">
        <f t="shared" si="16"/>
        <v>0</v>
      </c>
      <c r="H46" s="65">
        <f t="shared" si="16"/>
        <v>0</v>
      </c>
      <c r="I46" s="65">
        <f t="shared" si="16"/>
        <v>0</v>
      </c>
      <c r="J46" s="65">
        <f t="shared" si="16"/>
        <v>0</v>
      </c>
      <c r="K46" s="65">
        <f t="shared" si="16"/>
        <v>0</v>
      </c>
      <c r="L46" s="65">
        <f t="shared" si="16"/>
        <v>0</v>
      </c>
      <c r="M46" s="65">
        <f t="shared" si="16"/>
        <v>0</v>
      </c>
      <c r="N46" s="65">
        <f t="shared" si="16"/>
        <v>0</v>
      </c>
      <c r="O46" s="65">
        <f t="shared" si="16"/>
        <v>0</v>
      </c>
      <c r="P46" s="65">
        <f t="shared" si="16"/>
        <v>0</v>
      </c>
      <c r="Q46" s="65">
        <f t="shared" si="17"/>
        <v>0</v>
      </c>
      <c r="R46" s="65">
        <f t="shared" si="18"/>
        <v>0</v>
      </c>
      <c r="S46" s="65">
        <f t="shared" si="18"/>
        <v>0</v>
      </c>
      <c r="T46" s="65">
        <f t="shared" si="18"/>
        <v>0</v>
      </c>
      <c r="U46" s="126">
        <f t="shared" si="18"/>
        <v>0</v>
      </c>
    </row>
    <row r="47" spans="1:21" s="48" customFormat="1" x14ac:dyDescent="0.25">
      <c r="A47" s="125">
        <f>S8</f>
        <v>0</v>
      </c>
      <c r="B47" s="11"/>
      <c r="C47" s="65">
        <f t="shared" si="12"/>
        <v>0</v>
      </c>
      <c r="D47" s="65">
        <f t="shared" si="13"/>
        <v>0</v>
      </c>
      <c r="E47" s="65">
        <f t="shared" si="14"/>
        <v>0</v>
      </c>
      <c r="F47" s="65">
        <f t="shared" si="15"/>
        <v>0</v>
      </c>
      <c r="G47" s="65">
        <f t="shared" ref="G47:P50" si="19">IF(G$27="%w/w SAR",((G$28*10)*$B47),IF(G$27="%w/w DM",(((G$28*10)*($B$28/100))*$B47),IF(G$27="kg/t SAR",(G$28*$B47),IF(G$27="kg/t DM",((G$28*($B$28/100))*$B47),IF(G$27="mg/kg SAR",((G$28*0.001)*$B47),IF(G$27="mg/kg DM",(((G$28*0.001)*($B$28/100))*$B47),0))))))</f>
        <v>0</v>
      </c>
      <c r="H47" s="65">
        <f t="shared" si="19"/>
        <v>0</v>
      </c>
      <c r="I47" s="65">
        <f t="shared" si="19"/>
        <v>0</v>
      </c>
      <c r="J47" s="65">
        <f t="shared" si="19"/>
        <v>0</v>
      </c>
      <c r="K47" s="65">
        <f t="shared" si="19"/>
        <v>0</v>
      </c>
      <c r="L47" s="65">
        <f t="shared" si="19"/>
        <v>0</v>
      </c>
      <c r="M47" s="65">
        <f t="shared" si="19"/>
        <v>0</v>
      </c>
      <c r="N47" s="65">
        <f t="shared" si="19"/>
        <v>0</v>
      </c>
      <c r="O47" s="65">
        <f t="shared" si="19"/>
        <v>0</v>
      </c>
      <c r="P47" s="65">
        <f t="shared" si="19"/>
        <v>0</v>
      </c>
      <c r="Q47" s="65">
        <f t="shared" si="17"/>
        <v>0</v>
      </c>
      <c r="R47" s="65">
        <f t="shared" si="18"/>
        <v>0</v>
      </c>
      <c r="S47" s="65">
        <f t="shared" si="18"/>
        <v>0</v>
      </c>
      <c r="T47" s="65">
        <f t="shared" si="18"/>
        <v>0</v>
      </c>
      <c r="U47" s="126">
        <f t="shared" si="18"/>
        <v>0</v>
      </c>
    </row>
    <row r="48" spans="1:21" s="48" customFormat="1" x14ac:dyDescent="0.25">
      <c r="A48" s="125">
        <f>T8</f>
        <v>0</v>
      </c>
      <c r="B48" s="11"/>
      <c r="C48" s="65">
        <f t="shared" si="12"/>
        <v>0</v>
      </c>
      <c r="D48" s="65">
        <f t="shared" si="13"/>
        <v>0</v>
      </c>
      <c r="E48" s="65">
        <f t="shared" si="14"/>
        <v>0</v>
      </c>
      <c r="F48" s="65">
        <f t="shared" si="15"/>
        <v>0</v>
      </c>
      <c r="G48" s="65">
        <f t="shared" si="19"/>
        <v>0</v>
      </c>
      <c r="H48" s="65">
        <f t="shared" si="19"/>
        <v>0</v>
      </c>
      <c r="I48" s="65">
        <f t="shared" si="19"/>
        <v>0</v>
      </c>
      <c r="J48" s="65">
        <f t="shared" si="19"/>
        <v>0</v>
      </c>
      <c r="K48" s="65">
        <f t="shared" si="19"/>
        <v>0</v>
      </c>
      <c r="L48" s="65">
        <f t="shared" si="19"/>
        <v>0</v>
      </c>
      <c r="M48" s="65">
        <f t="shared" si="19"/>
        <v>0</v>
      </c>
      <c r="N48" s="65">
        <f t="shared" si="19"/>
        <v>0</v>
      </c>
      <c r="O48" s="65">
        <f t="shared" si="19"/>
        <v>0</v>
      </c>
      <c r="P48" s="65">
        <f t="shared" si="19"/>
        <v>0</v>
      </c>
      <c r="Q48" s="65">
        <f t="shared" si="17"/>
        <v>0</v>
      </c>
      <c r="R48" s="65">
        <f t="shared" si="18"/>
        <v>0</v>
      </c>
      <c r="S48" s="65">
        <f t="shared" si="18"/>
        <v>0</v>
      </c>
      <c r="T48" s="65">
        <f t="shared" si="18"/>
        <v>0</v>
      </c>
      <c r="U48" s="126">
        <f t="shared" si="18"/>
        <v>0</v>
      </c>
    </row>
    <row r="49" spans="1:21" s="48" customFormat="1" x14ac:dyDescent="0.25">
      <c r="A49" s="125">
        <f>U8</f>
        <v>0</v>
      </c>
      <c r="B49" s="11"/>
      <c r="C49" s="65">
        <f t="shared" si="12"/>
        <v>0</v>
      </c>
      <c r="D49" s="65">
        <f t="shared" si="13"/>
        <v>0</v>
      </c>
      <c r="E49" s="65">
        <f t="shared" si="14"/>
        <v>0</v>
      </c>
      <c r="F49" s="65">
        <f t="shared" si="15"/>
        <v>0</v>
      </c>
      <c r="G49" s="65">
        <f t="shared" si="19"/>
        <v>0</v>
      </c>
      <c r="H49" s="65">
        <f t="shared" si="19"/>
        <v>0</v>
      </c>
      <c r="I49" s="65">
        <f t="shared" si="19"/>
        <v>0</v>
      </c>
      <c r="J49" s="65">
        <f t="shared" si="19"/>
        <v>0</v>
      </c>
      <c r="K49" s="65">
        <f t="shared" si="19"/>
        <v>0</v>
      </c>
      <c r="L49" s="65">
        <f t="shared" si="19"/>
        <v>0</v>
      </c>
      <c r="M49" s="65">
        <f t="shared" si="19"/>
        <v>0</v>
      </c>
      <c r="N49" s="65">
        <f t="shared" si="19"/>
        <v>0</v>
      </c>
      <c r="O49" s="65">
        <f t="shared" si="19"/>
        <v>0</v>
      </c>
      <c r="P49" s="65">
        <f t="shared" si="19"/>
        <v>0</v>
      </c>
      <c r="Q49" s="65">
        <f t="shared" si="17"/>
        <v>0</v>
      </c>
      <c r="R49" s="65">
        <f t="shared" si="18"/>
        <v>0</v>
      </c>
      <c r="S49" s="65">
        <f t="shared" si="18"/>
        <v>0</v>
      </c>
      <c r="T49" s="65">
        <f t="shared" si="18"/>
        <v>0</v>
      </c>
      <c r="U49" s="126">
        <f t="shared" si="18"/>
        <v>0</v>
      </c>
    </row>
    <row r="50" spans="1:21" s="48" customFormat="1" ht="13.5" thickBot="1" x14ac:dyDescent="0.3">
      <c r="A50" s="127">
        <f>V8</f>
        <v>0</v>
      </c>
      <c r="B50" s="11"/>
      <c r="C50" s="80">
        <f t="shared" si="12"/>
        <v>0</v>
      </c>
      <c r="D50" s="80">
        <f t="shared" si="13"/>
        <v>0</v>
      </c>
      <c r="E50" s="80">
        <f t="shared" si="14"/>
        <v>0</v>
      </c>
      <c r="F50" s="80">
        <f t="shared" si="15"/>
        <v>0</v>
      </c>
      <c r="G50" s="80">
        <f t="shared" si="19"/>
        <v>0</v>
      </c>
      <c r="H50" s="80">
        <f t="shared" si="19"/>
        <v>0</v>
      </c>
      <c r="I50" s="80">
        <f t="shared" si="19"/>
        <v>0</v>
      </c>
      <c r="J50" s="80">
        <f t="shared" si="19"/>
        <v>0</v>
      </c>
      <c r="K50" s="80">
        <f t="shared" si="19"/>
        <v>0</v>
      </c>
      <c r="L50" s="80">
        <f t="shared" si="19"/>
        <v>0</v>
      </c>
      <c r="M50" s="80">
        <f t="shared" si="19"/>
        <v>0</v>
      </c>
      <c r="N50" s="80">
        <f t="shared" si="19"/>
        <v>0</v>
      </c>
      <c r="O50" s="80">
        <f t="shared" si="19"/>
        <v>0</v>
      </c>
      <c r="P50" s="80">
        <f t="shared" si="19"/>
        <v>0</v>
      </c>
      <c r="Q50" s="80">
        <f t="shared" si="17"/>
        <v>0</v>
      </c>
      <c r="R50" s="80">
        <f t="shared" si="18"/>
        <v>0</v>
      </c>
      <c r="S50" s="80">
        <f t="shared" si="18"/>
        <v>0</v>
      </c>
      <c r="T50" s="80">
        <f t="shared" si="18"/>
        <v>0</v>
      </c>
      <c r="U50" s="128">
        <f t="shared" si="18"/>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Hook Field 2</v>
      </c>
      <c r="C57" s="8" t="str">
        <f t="shared" ref="C57:U57" si="20">D8</f>
        <v>Hook Field 3</v>
      </c>
      <c r="D57" s="8" t="str">
        <f t="shared" si="20"/>
        <v>Hook Field 4</v>
      </c>
      <c r="E57" s="8" t="str">
        <f t="shared" si="20"/>
        <v>Hook Field 8</v>
      </c>
      <c r="F57" s="8" t="str">
        <f t="shared" si="20"/>
        <v>Hook Field 10</v>
      </c>
      <c r="G57" s="8" t="str">
        <f t="shared" si="20"/>
        <v>Hook Field 20</v>
      </c>
      <c r="H57" s="8">
        <f t="shared" si="20"/>
        <v>1</v>
      </c>
      <c r="I57" s="8">
        <f t="shared" si="20"/>
        <v>2</v>
      </c>
      <c r="J57" s="8">
        <f t="shared" si="20"/>
        <v>3</v>
      </c>
      <c r="K57" s="8">
        <f t="shared" si="20"/>
        <v>4</v>
      </c>
      <c r="L57" s="8">
        <f t="shared" si="20"/>
        <v>7</v>
      </c>
      <c r="M57" s="8">
        <f t="shared" si="20"/>
        <v>0</v>
      </c>
      <c r="N57" s="8">
        <f t="shared" si="20"/>
        <v>0</v>
      </c>
      <c r="O57" s="8">
        <f t="shared" si="20"/>
        <v>0</v>
      </c>
      <c r="P57" s="8">
        <f t="shared" si="20"/>
        <v>0</v>
      </c>
      <c r="Q57" s="8">
        <f t="shared" si="20"/>
        <v>0</v>
      </c>
      <c r="R57" s="8">
        <f t="shared" si="20"/>
        <v>0</v>
      </c>
      <c r="S57" s="8">
        <f t="shared" si="20"/>
        <v>0</v>
      </c>
      <c r="T57" s="8">
        <f t="shared" si="20"/>
        <v>0</v>
      </c>
      <c r="U57" s="8">
        <f t="shared" si="20"/>
        <v>0</v>
      </c>
    </row>
    <row r="58" spans="1:21" x14ac:dyDescent="0.25">
      <c r="A58" s="79" t="s">
        <v>136</v>
      </c>
      <c r="B58" s="10" t="str">
        <f>C16&amp;" I "&amp;(VLOOKUP(C14,Table245811[],6,FALSE))</f>
        <v>Medium/Clay I Arable</v>
      </c>
      <c r="C58" s="10" t="e">
        <f>D16&amp;" I "&amp;(VLOOKUP(D14,Table245811[],6,FALSE))</f>
        <v>#N/A</v>
      </c>
      <c r="D58" s="10" t="str">
        <f>E16&amp;" I "&amp;(VLOOKUP(E14,Table245811[],6,FALSE))</f>
        <v>Medium/Clay I Grass</v>
      </c>
      <c r="E58" s="10" t="str">
        <f>F16&amp;" I "&amp;(VLOOKUP(F14,Table245811[],6,FALSE))</f>
        <v>Medium/Clay I Arable</v>
      </c>
      <c r="F58" s="10" t="str">
        <f>G16&amp;" I "&amp;(VLOOKUP(G14,Table245811[],6,FALSE))</f>
        <v>Medium/Clay I Arable</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Arable</v>
      </c>
      <c r="K58" s="10" t="str">
        <f>L16&amp;" I "&amp;(VLOOKUP(L14,Table245811[],6,FALSE))</f>
        <v>Medium/Clay I Grass</v>
      </c>
      <c r="L58" s="10" t="str">
        <f>M16&amp;" I "&amp;(VLOOKUP(M14,Table245811[],6,FALSE))</f>
        <v>Medium/Clay I Arable</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x14ac:dyDescent="0.2">
      <c r="A59" s="87" t="s">
        <v>132</v>
      </c>
      <c r="B59" s="64">
        <f>VLOOKUP(C$14,Table245811[],5,FALSE)</f>
        <v>6.7</v>
      </c>
      <c r="C59" s="64" t="e">
        <f>VLOOKUP(D$14,Table245811[],5,FALSE)</f>
        <v>#N/A</v>
      </c>
      <c r="D59" s="64">
        <f>VLOOKUP(E$14,Table245811[],5,FALSE)</f>
        <v>6.2</v>
      </c>
      <c r="E59" s="64">
        <f>VLOOKUP(F$14,Table245811[],5,FALSE)</f>
        <v>6.7</v>
      </c>
      <c r="F59" s="64">
        <f>VLOOKUP(G$14,Table245811[],5,FALSE)</f>
        <v>6.7</v>
      </c>
      <c r="G59" s="64">
        <f>VLOOKUP(H$14,Table245811[],5,FALSE)</f>
        <v>6.2</v>
      </c>
      <c r="H59" s="64">
        <f>VLOOKUP(I$14,Table245811[],5,FALSE)</f>
        <v>6.2</v>
      </c>
      <c r="I59" s="64">
        <f>VLOOKUP(J$14,Table245811[],5,FALSE)</f>
        <v>6.2</v>
      </c>
      <c r="J59" s="64">
        <f>VLOOKUP(K$14,Table245811[],5,FALSE)</f>
        <v>6.7</v>
      </c>
      <c r="K59" s="64">
        <f>VLOOKUP(L$14,Table245811[],5,FALSE)</f>
        <v>6.2</v>
      </c>
      <c r="L59" s="64">
        <f>VLOOKUP(M$14,Table245811[],5,FALSE)</f>
        <v>6.7</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x14ac:dyDescent="0.2">
      <c r="A60" s="87" t="s">
        <v>4</v>
      </c>
      <c r="B60" s="64">
        <f>C10</f>
        <v>6.9</v>
      </c>
      <c r="C60" s="64">
        <f t="shared" ref="C60:U60" si="21">D10</f>
        <v>6.8</v>
      </c>
      <c r="D60" s="64">
        <f t="shared" si="21"/>
        <v>6.8</v>
      </c>
      <c r="E60" s="64">
        <f t="shared" si="21"/>
        <v>6.6</v>
      </c>
      <c r="F60" s="64">
        <f t="shared" si="21"/>
        <v>7.1</v>
      </c>
      <c r="G60" s="64">
        <f t="shared" si="21"/>
        <v>7.3</v>
      </c>
      <c r="H60" s="64">
        <f t="shared" si="21"/>
        <v>6.4</v>
      </c>
      <c r="I60" s="64">
        <f t="shared" si="21"/>
        <v>6.2</v>
      </c>
      <c r="J60" s="64">
        <f t="shared" si="21"/>
        <v>6.2</v>
      </c>
      <c r="K60" s="64">
        <f t="shared" si="21"/>
        <v>6.7</v>
      </c>
      <c r="L60" s="64">
        <f t="shared" si="21"/>
        <v>6.3</v>
      </c>
      <c r="M60" s="64">
        <f t="shared" si="21"/>
        <v>0</v>
      </c>
      <c r="N60" s="64">
        <f t="shared" si="21"/>
        <v>0</v>
      </c>
      <c r="O60" s="64">
        <f t="shared" si="21"/>
        <v>0</v>
      </c>
      <c r="P60" s="64">
        <f t="shared" si="21"/>
        <v>0</v>
      </c>
      <c r="Q60" s="64">
        <f t="shared" si="21"/>
        <v>0</v>
      </c>
      <c r="R60" s="64">
        <f t="shared" si="21"/>
        <v>0</v>
      </c>
      <c r="S60" s="64">
        <f t="shared" si="21"/>
        <v>0</v>
      </c>
      <c r="T60" s="64">
        <f t="shared" si="21"/>
        <v>0</v>
      </c>
      <c r="U60" s="64">
        <f t="shared" si="21"/>
        <v>0</v>
      </c>
    </row>
    <row r="61" spans="1:21" x14ac:dyDescent="0.2">
      <c r="A61" s="87" t="s">
        <v>133</v>
      </c>
      <c r="B61" s="64">
        <f t="shared" ref="B61:U61" si="22">VLOOKUP(B58,$AD9:$AE18,2,FALSE)</f>
        <v>8</v>
      </c>
      <c r="C61" s="64" t="e">
        <f t="shared" si="22"/>
        <v>#N/A</v>
      </c>
      <c r="D61" s="64">
        <f t="shared" si="22"/>
        <v>6</v>
      </c>
      <c r="E61" s="64">
        <f t="shared" si="22"/>
        <v>8</v>
      </c>
      <c r="F61" s="64">
        <f t="shared" si="22"/>
        <v>8</v>
      </c>
      <c r="G61" s="64">
        <f t="shared" si="22"/>
        <v>6</v>
      </c>
      <c r="H61" s="64">
        <f t="shared" si="22"/>
        <v>6</v>
      </c>
      <c r="I61" s="64">
        <f t="shared" si="22"/>
        <v>6</v>
      </c>
      <c r="J61" s="64">
        <f t="shared" si="22"/>
        <v>8</v>
      </c>
      <c r="K61" s="64">
        <f t="shared" si="22"/>
        <v>6</v>
      </c>
      <c r="L61" s="64">
        <f t="shared" si="22"/>
        <v>8</v>
      </c>
      <c r="M61" s="64" t="e">
        <f t="shared" si="22"/>
        <v>#N/A</v>
      </c>
      <c r="N61" s="64" t="e">
        <f t="shared" si="22"/>
        <v>#N/A</v>
      </c>
      <c r="O61" s="64" t="e">
        <f t="shared" si="22"/>
        <v>#N/A</v>
      </c>
      <c r="P61" s="64" t="e">
        <f t="shared" si="22"/>
        <v>#N/A</v>
      </c>
      <c r="Q61" s="64" t="e">
        <f t="shared" si="22"/>
        <v>#N/A</v>
      </c>
      <c r="R61" s="64" t="e">
        <f t="shared" si="22"/>
        <v>#N/A</v>
      </c>
      <c r="S61" s="64" t="e">
        <f t="shared" si="22"/>
        <v>#N/A</v>
      </c>
      <c r="T61" s="64" t="e">
        <f t="shared" si="22"/>
        <v>#N/A</v>
      </c>
      <c r="U61" s="64" t="e">
        <f t="shared" si="22"/>
        <v>#N/A</v>
      </c>
    </row>
    <row r="62" spans="1:21" x14ac:dyDescent="0.2">
      <c r="A62" s="87" t="s">
        <v>134</v>
      </c>
      <c r="B62" s="65">
        <f>B31</f>
        <v>35</v>
      </c>
      <c r="C62" s="65">
        <f>B32</f>
        <v>23</v>
      </c>
      <c r="D62" s="65">
        <f>B33</f>
        <v>35</v>
      </c>
      <c r="E62" s="65">
        <f>B34</f>
        <v>35</v>
      </c>
      <c r="F62" s="65">
        <f>B35</f>
        <v>31</v>
      </c>
      <c r="G62" s="65">
        <f>B36</f>
        <v>35</v>
      </c>
      <c r="H62" s="65">
        <f>B37</f>
        <v>45</v>
      </c>
      <c r="I62" s="65">
        <f>B38</f>
        <v>45</v>
      </c>
      <c r="J62" s="65">
        <f>B39</f>
        <v>35</v>
      </c>
      <c r="K62" s="65">
        <f>B40</f>
        <v>45</v>
      </c>
      <c r="L62" s="65">
        <f>B41</f>
        <v>14</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23">$E55*(C62/100)</f>
        <v>0</v>
      </c>
      <c r="D63" s="65">
        <f t="shared" si="23"/>
        <v>0</v>
      </c>
      <c r="E63" s="65">
        <f t="shared" si="23"/>
        <v>0</v>
      </c>
      <c r="F63" s="65">
        <f>$E55*(F62/100)</f>
        <v>0</v>
      </c>
      <c r="G63" s="65">
        <f t="shared" si="23"/>
        <v>0</v>
      </c>
      <c r="H63" s="65">
        <f t="shared" si="23"/>
        <v>0</v>
      </c>
      <c r="I63" s="65">
        <f t="shared" si="23"/>
        <v>0</v>
      </c>
      <c r="J63" s="65">
        <f t="shared" si="23"/>
        <v>0</v>
      </c>
      <c r="K63" s="65">
        <f t="shared" si="23"/>
        <v>0</v>
      </c>
      <c r="L63" s="65">
        <f t="shared" si="23"/>
        <v>0</v>
      </c>
      <c r="M63" s="65">
        <f t="shared" si="23"/>
        <v>0</v>
      </c>
      <c r="N63" s="65">
        <f t="shared" si="23"/>
        <v>0</v>
      </c>
      <c r="O63" s="65">
        <f t="shared" si="23"/>
        <v>0</v>
      </c>
      <c r="P63" s="65">
        <f t="shared" si="23"/>
        <v>0</v>
      </c>
      <c r="Q63" s="65">
        <f t="shared" si="23"/>
        <v>0</v>
      </c>
      <c r="R63" s="65">
        <f t="shared" si="23"/>
        <v>0</v>
      </c>
      <c r="S63" s="65">
        <f t="shared" si="23"/>
        <v>0</v>
      </c>
      <c r="T63" s="65">
        <f t="shared" si="23"/>
        <v>0</v>
      </c>
      <c r="U63" s="65">
        <f t="shared" si="23"/>
        <v>0</v>
      </c>
    </row>
    <row r="64" spans="1:21" ht="63.75" x14ac:dyDescent="0.2">
      <c r="A64" s="88" t="s">
        <v>156</v>
      </c>
      <c r="B64" s="65">
        <f>(B59-B60)*B61</f>
        <v>-1.6000000000000014</v>
      </c>
      <c r="C64" s="65" t="e">
        <f t="shared" ref="C64:U64" si="24">(C59-C60)*C61</f>
        <v>#N/A</v>
      </c>
      <c r="D64" s="65">
        <f t="shared" si="24"/>
        <v>-3.5999999999999979</v>
      </c>
      <c r="E64" s="65">
        <f t="shared" si="24"/>
        <v>0.80000000000000426</v>
      </c>
      <c r="F64" s="65">
        <f t="shared" si="24"/>
        <v>-3.1999999999999957</v>
      </c>
      <c r="G64" s="65">
        <f t="shared" si="24"/>
        <v>-6.5999999999999979</v>
      </c>
      <c r="H64" s="65">
        <f t="shared" si="24"/>
        <v>-1.2000000000000011</v>
      </c>
      <c r="I64" s="65">
        <f t="shared" si="24"/>
        <v>0</v>
      </c>
      <c r="J64" s="65">
        <f t="shared" si="24"/>
        <v>4</v>
      </c>
      <c r="K64" s="65">
        <f t="shared" si="24"/>
        <v>-3</v>
      </c>
      <c r="L64" s="65">
        <f t="shared" si="24"/>
        <v>3.2000000000000028</v>
      </c>
      <c r="M64" s="65" t="e">
        <f t="shared" si="24"/>
        <v>#N/A</v>
      </c>
      <c r="N64" s="65" t="e">
        <f t="shared" si="24"/>
        <v>#N/A</v>
      </c>
      <c r="O64" s="65" t="e">
        <f t="shared" si="24"/>
        <v>#N/A</v>
      </c>
      <c r="P64" s="65" t="e">
        <f t="shared" si="24"/>
        <v>#N/A</v>
      </c>
      <c r="Q64" s="65" t="e">
        <f t="shared" si="24"/>
        <v>#N/A</v>
      </c>
      <c r="R64" s="65" t="e">
        <f t="shared" si="24"/>
        <v>#N/A</v>
      </c>
      <c r="S64" s="65" t="e">
        <f t="shared" si="24"/>
        <v>#N/A</v>
      </c>
      <c r="T64" s="65" t="e">
        <f t="shared" si="24"/>
        <v>#N/A</v>
      </c>
      <c r="U64" s="65" t="e">
        <f t="shared" si="24"/>
        <v>#N/A</v>
      </c>
    </row>
    <row r="65" spans="1:21" ht="51" x14ac:dyDescent="0.2">
      <c r="A65" s="88" t="s">
        <v>157</v>
      </c>
      <c r="B65" s="65">
        <f>B63-B64</f>
        <v>1.6000000000000014</v>
      </c>
      <c r="C65" s="65" t="e">
        <f t="shared" ref="C65:U65" si="25">C63-C64</f>
        <v>#N/A</v>
      </c>
      <c r="D65" s="65">
        <f t="shared" si="25"/>
        <v>3.5999999999999979</v>
      </c>
      <c r="E65" s="65">
        <f t="shared" si="25"/>
        <v>-0.80000000000000426</v>
      </c>
      <c r="F65" s="65">
        <f t="shared" si="25"/>
        <v>3.1999999999999957</v>
      </c>
      <c r="G65" s="65">
        <f t="shared" si="25"/>
        <v>6.5999999999999979</v>
      </c>
      <c r="H65" s="65">
        <f t="shared" si="25"/>
        <v>1.2000000000000011</v>
      </c>
      <c r="I65" s="65">
        <f t="shared" si="25"/>
        <v>0</v>
      </c>
      <c r="J65" s="65">
        <f t="shared" si="25"/>
        <v>-4</v>
      </c>
      <c r="K65" s="65">
        <f t="shared" si="25"/>
        <v>3</v>
      </c>
      <c r="L65" s="65">
        <f t="shared" si="25"/>
        <v>-3.2000000000000028</v>
      </c>
      <c r="M65" s="65" t="e">
        <f t="shared" si="25"/>
        <v>#N/A</v>
      </c>
      <c r="N65" s="65" t="e">
        <f t="shared" si="25"/>
        <v>#N/A</v>
      </c>
      <c r="O65" s="65" t="e">
        <f t="shared" si="25"/>
        <v>#N/A</v>
      </c>
      <c r="P65" s="65" t="e">
        <f t="shared" si="25"/>
        <v>#N/A</v>
      </c>
      <c r="Q65" s="65" t="e">
        <f t="shared" si="25"/>
        <v>#N/A</v>
      </c>
      <c r="R65" s="65" t="e">
        <f t="shared" si="25"/>
        <v>#N/A</v>
      </c>
      <c r="S65" s="65" t="e">
        <f t="shared" si="25"/>
        <v>#N/A</v>
      </c>
      <c r="T65" s="65" t="e">
        <f t="shared" si="25"/>
        <v>#N/A</v>
      </c>
      <c r="U65" s="65" t="e">
        <f t="shared" si="25"/>
        <v>#N/A</v>
      </c>
    </row>
    <row r="66" spans="1:21" ht="38.25" x14ac:dyDescent="0.2">
      <c r="A66" s="88" t="s">
        <v>148</v>
      </c>
      <c r="B66" s="66" t="str">
        <f>IF(B64&lt;=B63,"OVER","UNDER")</f>
        <v>OVER</v>
      </c>
      <c r="C66" s="66" t="e">
        <f t="shared" ref="C66:U66" si="26">IF(C64&lt;=C63,"OVER","UNDER")</f>
        <v>#N/A</v>
      </c>
      <c r="D66" s="66" t="str">
        <f t="shared" si="26"/>
        <v>OVER</v>
      </c>
      <c r="E66" s="66" t="str">
        <f t="shared" si="26"/>
        <v>UNDER</v>
      </c>
      <c r="F66" s="66" t="str">
        <f t="shared" si="26"/>
        <v>OVER</v>
      </c>
      <c r="G66" s="66" t="str">
        <f t="shared" si="26"/>
        <v>OVER</v>
      </c>
      <c r="H66" s="66" t="str">
        <f t="shared" si="26"/>
        <v>OVER</v>
      </c>
      <c r="I66" s="66" t="str">
        <f t="shared" si="26"/>
        <v>OVER</v>
      </c>
      <c r="J66" s="66" t="str">
        <f t="shared" si="26"/>
        <v>UNDER</v>
      </c>
      <c r="K66" s="66" t="str">
        <f t="shared" si="26"/>
        <v>OVER</v>
      </c>
      <c r="L66" s="66" t="str">
        <f t="shared" si="26"/>
        <v>UNDER</v>
      </c>
      <c r="M66" s="66" t="e">
        <f t="shared" si="26"/>
        <v>#N/A</v>
      </c>
      <c r="N66" s="66" t="e">
        <f t="shared" si="26"/>
        <v>#N/A</v>
      </c>
      <c r="O66" s="66" t="e">
        <f t="shared" si="26"/>
        <v>#N/A</v>
      </c>
      <c r="P66" s="66" t="e">
        <f t="shared" si="26"/>
        <v>#N/A</v>
      </c>
      <c r="Q66" s="66" t="e">
        <f t="shared" si="26"/>
        <v>#N/A</v>
      </c>
      <c r="R66" s="66" t="e">
        <f t="shared" si="26"/>
        <v>#N/A</v>
      </c>
      <c r="S66" s="66" t="e">
        <f t="shared" si="26"/>
        <v>#N/A</v>
      </c>
      <c r="T66" s="66" t="e">
        <f t="shared" si="26"/>
        <v>#N/A</v>
      </c>
      <c r="U66" s="66" t="e">
        <f t="shared" si="26"/>
        <v>#N/A</v>
      </c>
    </row>
  </sheetData>
  <sheetProtection algorithmName="SHA-512" hashValue="E1VE8yGdM1m/HbdufIWBPBw/eJ6uL4gBBIlY8VW8RbU3r65Et2lFqzKGz6vQKLUwpFxELx1+9q3CFpxkEgkXCQ==" saltValue="cDH1E/gBoYirQJhDgfavL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31" priority="37" operator="greaterThan">
      <formula>$B$51</formula>
    </cfRule>
  </conditionalFormatting>
  <conditionalFormatting sqref="B66:U66">
    <cfRule type="cellIs" dxfId="230" priority="12" operator="equal">
      <formula>"UNDER"</formula>
    </cfRule>
    <cfRule type="cellIs" dxfId="229" priority="13" operator="equal">
      <formula>"OVER"</formula>
    </cfRule>
  </conditionalFormatting>
  <conditionalFormatting sqref="C31:C50">
    <cfRule type="cellIs" dxfId="228" priority="36" operator="greaterThan">
      <formula>$C$51</formula>
    </cfRule>
  </conditionalFormatting>
  <conditionalFormatting sqref="C11:V13">
    <cfRule type="cellIs" dxfId="227" priority="1" operator="greaterThan">
      <formula>2</formula>
    </cfRule>
  </conditionalFormatting>
  <conditionalFormatting sqref="C17:V19">
    <cfRule type="cellIs" dxfId="226" priority="33" operator="equal">
      <formula>0</formula>
    </cfRule>
  </conditionalFormatting>
  <conditionalFormatting sqref="C20:V21">
    <cfRule type="cellIs" dxfId="225" priority="38" operator="equal">
      <formula>"DECREASE"</formula>
    </cfRule>
    <cfRule type="cellIs" dxfId="224" priority="39" operator="equal">
      <formula>"INCREASE"</formula>
    </cfRule>
  </conditionalFormatting>
  <conditionalFormatting sqref="C21:V21">
    <cfRule type="cellIs" dxfId="223" priority="14" operator="equal">
      <formula>0</formula>
    </cfRule>
  </conditionalFormatting>
  <conditionalFormatting sqref="C22:V23">
    <cfRule type="cellIs" dxfId="222" priority="18" operator="equal">
      <formula>0</formula>
    </cfRule>
  </conditionalFormatting>
  <conditionalFormatting sqref="C24:V24">
    <cfRule type="cellIs" dxfId="221" priority="19" operator="equal">
      <formula>"DECREASE"</formula>
    </cfRule>
    <cfRule type="cellIs" dxfId="220" priority="20" operator="equal">
      <formula>"INCREASE"</formula>
    </cfRule>
  </conditionalFormatting>
  <conditionalFormatting sqref="G31:G50">
    <cfRule type="cellIs" dxfId="219" priority="32" operator="greaterThan">
      <formula>$G$51</formula>
    </cfRule>
  </conditionalFormatting>
  <conditionalFormatting sqref="H31:H50">
    <cfRule type="cellIs" dxfId="218" priority="31" operator="greaterThan">
      <formula>$H$51</formula>
    </cfRule>
  </conditionalFormatting>
  <conditionalFormatting sqref="I1">
    <cfRule type="cellIs" dxfId="217" priority="4" operator="between">
      <formula>0.1</formula>
      <formula>5</formula>
    </cfRule>
  </conditionalFormatting>
  <conditionalFormatting sqref="I2">
    <cfRule type="cellIs" dxfId="216" priority="3" operator="greaterThan">
      <formula>5000.1</formula>
    </cfRule>
  </conditionalFormatting>
  <conditionalFormatting sqref="I3">
    <cfRule type="cellIs" dxfId="215" priority="2" operator="greaterThan">
      <formula>40000.01</formula>
    </cfRule>
  </conditionalFormatting>
  <conditionalFormatting sqref="I31:I50">
    <cfRule type="cellIs" dxfId="214" priority="30" operator="greaterThan">
      <formula>$I$51</formula>
    </cfRule>
  </conditionalFormatting>
  <conditionalFormatting sqref="J31:J50">
    <cfRule type="cellIs" dxfId="213" priority="9" operator="greaterThan">
      <formula>$J$51</formula>
    </cfRule>
  </conditionalFormatting>
  <conditionalFormatting sqref="K31:K50">
    <cfRule type="cellIs" dxfId="212" priority="29" operator="greaterThan">
      <formula>$K$51</formula>
    </cfRule>
  </conditionalFormatting>
  <conditionalFormatting sqref="L3">
    <cfRule type="cellIs" dxfId="211" priority="5" operator="lessThan">
      <formula>30</formula>
    </cfRule>
    <cfRule type="cellIs" dxfId="210" priority="6" operator="greaterThanOrEqual">
      <formula>30</formula>
    </cfRule>
  </conditionalFormatting>
  <conditionalFormatting sqref="L31:L50">
    <cfRule type="cellIs" dxfId="209" priority="28" operator="greaterThan">
      <formula>$L$51</formula>
    </cfRule>
  </conditionalFormatting>
  <conditionalFormatting sqref="M31:M50">
    <cfRule type="cellIs" dxfId="208" priority="27" operator="greaterThan">
      <formula>$M$51</formula>
    </cfRule>
  </conditionalFormatting>
  <conditionalFormatting sqref="P31:P50">
    <cfRule type="cellIs" dxfId="207" priority="26" operator="greaterThan">
      <formula>$P$51</formula>
    </cfRule>
  </conditionalFormatting>
  <conditionalFormatting sqref="R31:R50">
    <cfRule type="cellIs" dxfId="206" priority="25" operator="greaterThan">
      <formula>$R$51</formula>
    </cfRule>
  </conditionalFormatting>
  <conditionalFormatting sqref="S31:S50">
    <cfRule type="cellIs" dxfId="205" priority="24" operator="greaterThan">
      <formula>$S$51</formula>
    </cfRule>
  </conditionalFormatting>
  <conditionalFormatting sqref="T31:T50">
    <cfRule type="cellIs" dxfId="204" priority="23" operator="greaterThan">
      <formula>$T$51</formula>
    </cfRule>
  </conditionalFormatting>
  <conditionalFormatting sqref="U31:U50">
    <cfRule type="cellIs" dxfId="203" priority="22"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A29" zoomScale="90" zoomScaleNormal="90" workbookViewId="0">
      <selection activeCell="E34" sqref="E34"/>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1" t="s">
        <v>41</v>
      </c>
      <c r="B1" s="132"/>
      <c r="C1" s="173" t="str">
        <f>'Field data and Waste 1'!C1:D1</f>
        <v>PAN-027465</v>
      </c>
      <c r="D1" s="174"/>
      <c r="E1" s="106" t="s">
        <v>45</v>
      </c>
      <c r="F1" s="113" t="str">
        <f>'Field data and Waste 1'!F1</f>
        <v>49.2ha</v>
      </c>
      <c r="G1" s="163" t="s">
        <v>43</v>
      </c>
      <c r="H1" s="164"/>
      <c r="I1" s="109">
        <v>6.62</v>
      </c>
      <c r="J1" s="131" t="s">
        <v>153</v>
      </c>
      <c r="K1" s="132"/>
      <c r="L1" s="109">
        <v>25</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3" t="s">
        <v>87</v>
      </c>
      <c r="B2" s="134"/>
      <c r="C2" s="169" t="str">
        <f>'Field data and Waste 1'!C2:D2</f>
        <v>EPR/AB3891CX</v>
      </c>
      <c r="D2" s="170"/>
      <c r="E2" s="96" t="s">
        <v>109</v>
      </c>
      <c r="F2" s="110" t="s">
        <v>166</v>
      </c>
      <c r="G2" s="165" t="s">
        <v>110</v>
      </c>
      <c r="H2" s="166"/>
      <c r="I2" s="110">
        <v>62.1</v>
      </c>
      <c r="J2" s="133" t="s">
        <v>158</v>
      </c>
      <c r="K2" s="134"/>
      <c r="L2" s="110">
        <v>0.05</v>
      </c>
      <c r="AB2" s="22" t="s">
        <v>56</v>
      </c>
      <c r="AC2" s="13"/>
      <c r="AD2" s="22" t="s">
        <v>70</v>
      </c>
      <c r="AE2" s="13"/>
      <c r="AF2" s="13"/>
      <c r="AG2" s="34" t="s">
        <v>76</v>
      </c>
      <c r="AH2" s="13"/>
      <c r="AI2" s="35" t="s">
        <v>126</v>
      </c>
      <c r="AJ2" s="36">
        <v>0</v>
      </c>
      <c r="AK2" s="37">
        <v>0</v>
      </c>
      <c r="AL2" s="7">
        <v>0</v>
      </c>
      <c r="AM2" s="9">
        <v>0</v>
      </c>
      <c r="AN2" s="9">
        <v>0</v>
      </c>
    </row>
    <row r="3" spans="1:41" x14ac:dyDescent="0.2">
      <c r="A3" s="135" t="s">
        <v>42</v>
      </c>
      <c r="B3" s="136"/>
      <c r="C3" s="169" t="str">
        <f>'Field data and Waste 1'!C3:D3</f>
        <v>Mr Daniel James and Mrs Carys James</v>
      </c>
      <c r="D3" s="170"/>
      <c r="E3" s="96" t="s">
        <v>108</v>
      </c>
      <c r="F3" s="111" t="s">
        <v>78</v>
      </c>
      <c r="G3" s="133" t="s">
        <v>159</v>
      </c>
      <c r="H3" s="134"/>
      <c r="I3" s="110">
        <v>200</v>
      </c>
      <c r="J3" s="135" t="s">
        <v>154</v>
      </c>
      <c r="K3" s="136"/>
      <c r="L3" s="110">
        <f>(L1/(L2*10000))*100</f>
        <v>5</v>
      </c>
      <c r="AB3" s="22" t="s">
        <v>57</v>
      </c>
      <c r="AC3" s="13"/>
      <c r="AD3" s="22" t="s">
        <v>71</v>
      </c>
      <c r="AE3" s="13"/>
      <c r="AF3" s="13"/>
      <c r="AG3" s="34" t="s">
        <v>77</v>
      </c>
      <c r="AH3" s="13"/>
      <c r="AI3" s="38" t="s">
        <v>113</v>
      </c>
      <c r="AJ3" s="39">
        <v>1.7</v>
      </c>
      <c r="AK3" s="40">
        <v>6</v>
      </c>
      <c r="AL3" s="41">
        <v>1</v>
      </c>
      <c r="AM3" s="9">
        <v>6.2</v>
      </c>
      <c r="AN3" s="9" t="s">
        <v>112</v>
      </c>
    </row>
    <row r="4" spans="1:41" x14ac:dyDescent="0.2">
      <c r="A4" s="133" t="s">
        <v>0</v>
      </c>
      <c r="B4" s="134"/>
      <c r="C4" s="171" t="str">
        <f>'Field data and Waste 1'!C4:D4</f>
        <v>Hook Farm and New House Farm</v>
      </c>
      <c r="D4" s="172"/>
      <c r="E4" s="99" t="s">
        <v>1</v>
      </c>
      <c r="F4" s="110" t="s">
        <v>170</v>
      </c>
      <c r="G4" s="135"/>
      <c r="H4" s="136"/>
      <c r="I4" s="115"/>
      <c r="J4" s="135"/>
      <c r="K4" s="136"/>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7" t="s">
        <v>47</v>
      </c>
      <c r="B5" s="148"/>
      <c r="C5" s="167" t="str">
        <f>'Field data and Waste 1'!C5:D5</f>
        <v>Rhiannon Smith</v>
      </c>
      <c r="D5" s="168"/>
      <c r="E5" s="107"/>
      <c r="F5" s="114"/>
      <c r="G5" s="137"/>
      <c r="H5" s="138"/>
      <c r="I5" s="114"/>
      <c r="J5" s="137"/>
      <c r="K5" s="138"/>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3" t="s">
        <v>2</v>
      </c>
      <c r="B8" s="134"/>
      <c r="C8" s="49" t="str">
        <f>'Field data and Waste 1'!C8</f>
        <v>Hook Field 2</v>
      </c>
      <c r="D8" s="49" t="str">
        <f>'Field data and Waste 1'!D8</f>
        <v>Hook Field 3</v>
      </c>
      <c r="E8" s="49" t="str">
        <f>'Field data and Waste 1'!E8</f>
        <v>Hook Field 4</v>
      </c>
      <c r="F8" s="49" t="str">
        <f>'Field data and Waste 1'!F8</f>
        <v>Hook Field 8</v>
      </c>
      <c r="G8" s="49" t="str">
        <f>'Field data and Waste 1'!G8</f>
        <v>Hook Field 10</v>
      </c>
      <c r="H8" s="49" t="str">
        <f>'Field data and Waste 1'!H8</f>
        <v>Hook Field 20</v>
      </c>
      <c r="I8" s="49">
        <f>'Field data and Waste 1'!I8</f>
        <v>1</v>
      </c>
      <c r="J8" s="49">
        <f>'Field data and Waste 1'!J8</f>
        <v>2</v>
      </c>
      <c r="K8" s="49">
        <f>'Field data and Waste 1'!K8</f>
        <v>3</v>
      </c>
      <c r="L8" s="49">
        <f>'Field data and Waste 1'!L8</f>
        <v>4</v>
      </c>
      <c r="M8" s="49">
        <f>'Field data and Waste 1'!M8</f>
        <v>7</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3" t="s">
        <v>3</v>
      </c>
      <c r="B9" s="134"/>
      <c r="C9" s="49">
        <f>'Field data and Waste 1'!C9</f>
        <v>1</v>
      </c>
      <c r="D9" s="49">
        <f>'Field data and Waste 1'!D9</f>
        <v>1</v>
      </c>
      <c r="E9" s="49" t="str">
        <f>'Field data and Waste 1'!E9</f>
        <v>Moderate</v>
      </c>
      <c r="F9" s="49">
        <f>'Field data and Waste 1'!F9</f>
        <v>1</v>
      </c>
      <c r="G9" s="49">
        <f>'Field data and Waste 1'!G9</f>
        <v>2</v>
      </c>
      <c r="H9" s="49" t="str">
        <f>'Field data and Waste 1'!H9</f>
        <v>Moderate</v>
      </c>
      <c r="I9" s="49" t="str">
        <f>'Field data and Waste 1'!I9</f>
        <v>Moderate</v>
      </c>
      <c r="J9" s="49" t="str">
        <f>'Field data and Waste 1'!J9</f>
        <v>Moderate</v>
      </c>
      <c r="K9" s="49">
        <f>'Field data and Waste 1'!K9</f>
        <v>1</v>
      </c>
      <c r="L9" s="49" t="str">
        <f>'Field data and Waste 1'!L9</f>
        <v>Moderate</v>
      </c>
      <c r="M9" s="49">
        <f>'Field data and Waste 1'!M9</f>
        <v>1</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3" t="s">
        <v>4</v>
      </c>
      <c r="B10" s="134"/>
      <c r="C10" s="49">
        <f>'Field data and Waste 1'!C10</f>
        <v>6.9</v>
      </c>
      <c r="D10" s="49">
        <f>'Field data and Waste 1'!D10</f>
        <v>6.8</v>
      </c>
      <c r="E10" s="49">
        <f>'Field data and Waste 1'!E10</f>
        <v>6.8</v>
      </c>
      <c r="F10" s="49">
        <f>'Field data and Waste 1'!F10</f>
        <v>6.6</v>
      </c>
      <c r="G10" s="49">
        <f>'Field data and Waste 1'!G10</f>
        <v>7.1</v>
      </c>
      <c r="H10" s="49">
        <f>'Field data and Waste 1'!H10</f>
        <v>7.3</v>
      </c>
      <c r="I10" s="49">
        <f>'Field data and Waste 1'!I10</f>
        <v>6.4</v>
      </c>
      <c r="J10" s="49">
        <f>'Field data and Waste 1'!J10</f>
        <v>6.2</v>
      </c>
      <c r="K10" s="49">
        <f>'Field data and Waste 1'!K10</f>
        <v>6.2</v>
      </c>
      <c r="L10" s="49">
        <f>'Field data and Waste 1'!L10</f>
        <v>6.7</v>
      </c>
      <c r="M10" s="49">
        <f>'Field data and Waste 1'!M10</f>
        <v>6.3</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3" t="s">
        <v>5</v>
      </c>
      <c r="B11" s="134"/>
      <c r="C11" s="49">
        <f>'Field data and Waste 1'!C11</f>
        <v>3</v>
      </c>
      <c r="D11" s="49">
        <f>'Field data and Waste 1'!D11</f>
        <v>3</v>
      </c>
      <c r="E11" s="49">
        <f>'Field data and Waste 1'!E11</f>
        <v>3</v>
      </c>
      <c r="F11" s="49">
        <f>'Field data and Waste 1'!F11</f>
        <v>3</v>
      </c>
      <c r="G11" s="49">
        <f>'Field data and Waste 1'!G11</f>
        <v>3</v>
      </c>
      <c r="H11" s="49">
        <f>'Field data and Waste 1'!H11</f>
        <v>3</v>
      </c>
      <c r="I11" s="49">
        <f>'Field data and Waste 1'!I11</f>
        <v>3</v>
      </c>
      <c r="J11" s="49">
        <f>'Field data and Waste 1'!J11</f>
        <v>2</v>
      </c>
      <c r="K11" s="49">
        <f>'Field data and Waste 1'!K11</f>
        <v>2</v>
      </c>
      <c r="L11" s="49">
        <f>'Field data and Waste 1'!L11</f>
        <v>3</v>
      </c>
      <c r="M11" s="49">
        <f>'Field data and Waste 1'!M11</f>
        <v>3</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3" t="s">
        <v>6</v>
      </c>
      <c r="B12" s="134"/>
      <c r="C12" s="49">
        <f>'Field data and Waste 1'!C12</f>
        <v>3</v>
      </c>
      <c r="D12" s="49">
        <f>'Field data and Waste 1'!D12</f>
        <v>3</v>
      </c>
      <c r="E12" s="49">
        <f>'Field data and Waste 1'!E12</f>
        <v>2</v>
      </c>
      <c r="F12" s="49">
        <f>'Field data and Waste 1'!F12</f>
        <v>3</v>
      </c>
      <c r="G12" s="49">
        <f>'Field data and Waste 1'!G12</f>
        <v>2</v>
      </c>
      <c r="H12" s="49">
        <f>'Field data and Waste 1'!H12</f>
        <v>2</v>
      </c>
      <c r="I12" s="49">
        <f>'Field data and Waste 1'!I12</f>
        <v>2</v>
      </c>
      <c r="J12" s="49">
        <f>'Field data and Waste 1'!J12</f>
        <v>2</v>
      </c>
      <c r="K12" s="49">
        <f>'Field data and Waste 1'!K12</f>
        <v>2</v>
      </c>
      <c r="L12" s="49">
        <f>'Field data and Waste 1'!L12</f>
        <v>2</v>
      </c>
      <c r="M12" s="49">
        <f>'Field data and Waste 1'!M12</f>
        <v>1</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3" t="s">
        <v>7</v>
      </c>
      <c r="B13" s="134"/>
      <c r="C13" s="49">
        <f>'Field data and Waste 1'!C13</f>
        <v>3</v>
      </c>
      <c r="D13" s="49">
        <f>'Field data and Waste 1'!D13</f>
        <v>2</v>
      </c>
      <c r="E13" s="49">
        <f>'Field data and Waste 1'!E13</f>
        <v>2</v>
      </c>
      <c r="F13" s="49">
        <f>'Field data and Waste 1'!F13</f>
        <v>3</v>
      </c>
      <c r="G13" s="49">
        <f>'Field data and Waste 1'!G13</f>
        <v>1</v>
      </c>
      <c r="H13" s="49">
        <f>'Field data and Waste 1'!H13</f>
        <v>1</v>
      </c>
      <c r="I13" s="49">
        <f>'Field data and Waste 1'!I13</f>
        <v>5</v>
      </c>
      <c r="J13" s="49">
        <f>'Field data and Waste 1'!J13</f>
        <v>2</v>
      </c>
      <c r="K13" s="49">
        <f>'Field data and Waste 1'!K13</f>
        <v>2</v>
      </c>
      <c r="L13" s="49">
        <f>'Field data and Waste 1'!L13</f>
        <v>2</v>
      </c>
      <c r="M13" s="49">
        <f>'Field data and Waste 1'!M13</f>
        <v>2</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1" t="s">
        <v>8</v>
      </c>
      <c r="B14" s="152"/>
      <c r="C14" s="83" t="str">
        <f>'Field data and Waste 1'!C14</f>
        <v>Maize- Silage (30% DM)</v>
      </c>
      <c r="D14" s="83">
        <f>'Field data and Waste 1'!D14</f>
        <v>0</v>
      </c>
      <c r="E14" s="83" t="str">
        <f>'Field data and Waste 1'!E14</f>
        <v xml:space="preserve">Grass Silage (25% DM) </v>
      </c>
      <c r="F14" s="83" t="str">
        <f>'Field data and Waste 1'!F14</f>
        <v>Winter barley/triticale/rye</v>
      </c>
      <c r="G14" s="83" t="str">
        <f>'Field data and Waste 1'!G14</f>
        <v>Spring wheat/barley</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Winter barley/triticale/rye</v>
      </c>
      <c r="L14" s="83" t="str">
        <f>'Field data and Waste 1'!L14</f>
        <v xml:space="preserve">Grass Silage (25% DM) </v>
      </c>
      <c r="M14" s="83" t="str">
        <f>'Field data and Waste 1'!M14</f>
        <v>Fodder beet (roots only)</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49" t="s">
        <v>9</v>
      </c>
      <c r="B15" s="150"/>
      <c r="C15" s="49">
        <f>'Field data and Waste 1'!C15</f>
        <v>45</v>
      </c>
      <c r="D15" s="49">
        <f>'Field data and Waste 1'!D15</f>
        <v>30</v>
      </c>
      <c r="E15" s="49">
        <f>'Field data and Waste 1'!E15</f>
        <v>38</v>
      </c>
      <c r="F15" s="49">
        <f>'Field data and Waste 1'!F15</f>
        <v>7.5</v>
      </c>
      <c r="G15" s="49">
        <f>'Field data and Waste 1'!G15</f>
        <v>6.5</v>
      </c>
      <c r="H15" s="49">
        <f>'Field data and Waste 1'!H15</f>
        <v>38</v>
      </c>
      <c r="I15" s="49">
        <f>'Field data and Waste 1'!I15</f>
        <v>54</v>
      </c>
      <c r="J15" s="49">
        <f>'Field data and Waste 1'!J15</f>
        <v>54</v>
      </c>
      <c r="K15" s="49">
        <f>'Field data and Waste 1'!K15</f>
        <v>7.5</v>
      </c>
      <c r="L15" s="49">
        <f>'Field data and Waste 1'!L15</f>
        <v>54</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3" t="s">
        <v>44</v>
      </c>
      <c r="B16" s="154"/>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39" t="s">
        <v>69</v>
      </c>
      <c r="B17" s="140"/>
      <c r="C17" s="20">
        <f>(VLOOKUP(C$14,$AI2:$AK26,2,FALSE))*C$15</f>
        <v>62.999999999999993</v>
      </c>
      <c r="D17" s="20" t="e">
        <f t="shared" ref="D17:V17" si="0">(VLOOKUP(D$14,$AI2:$AK26,2,FALSE))*D$15</f>
        <v>#N/A</v>
      </c>
      <c r="E17" s="20">
        <f t="shared" si="0"/>
        <v>64.599999999999994</v>
      </c>
      <c r="F17" s="20">
        <f t="shared" si="0"/>
        <v>63.75</v>
      </c>
      <c r="G17" s="20">
        <f t="shared" si="0"/>
        <v>55.25</v>
      </c>
      <c r="H17" s="20">
        <f t="shared" si="0"/>
        <v>64.599999999999994</v>
      </c>
      <c r="I17" s="20">
        <f t="shared" si="0"/>
        <v>91.8</v>
      </c>
      <c r="J17" s="20">
        <f t="shared" si="0"/>
        <v>91.8</v>
      </c>
      <c r="K17" s="20">
        <f t="shared" si="0"/>
        <v>63.75</v>
      </c>
      <c r="L17" s="20">
        <f t="shared" si="0"/>
        <v>91.8</v>
      </c>
      <c r="M17" s="20">
        <f t="shared" si="0"/>
        <v>0</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1" t="s">
        <v>23</v>
      </c>
      <c r="B18" s="142"/>
      <c r="C18" s="12">
        <f>$D31</f>
        <v>21.970690000000005</v>
      </c>
      <c r="D18" s="12">
        <f>$D32</f>
        <v>10.985345000000002</v>
      </c>
      <c r="E18" s="12">
        <f>$D33</f>
        <v>54.926725000000012</v>
      </c>
      <c r="F18" s="12">
        <f>$D34</f>
        <v>21.970690000000005</v>
      </c>
      <c r="G18" s="12">
        <f>$D35</f>
        <v>21.970690000000005</v>
      </c>
      <c r="H18" s="12">
        <f>$D36</f>
        <v>54.926725000000012</v>
      </c>
      <c r="I18" s="12">
        <f>$D37</f>
        <v>54.926725000000012</v>
      </c>
      <c r="J18" s="12">
        <f>$D38</f>
        <v>54.926725000000012</v>
      </c>
      <c r="K18" s="12">
        <f>$D39</f>
        <v>21.970690000000005</v>
      </c>
      <c r="L18" s="12">
        <f>$D40</f>
        <v>54.926725000000012</v>
      </c>
      <c r="M18" s="12">
        <f>$D41</f>
        <v>10.985345000000002</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1" t="s">
        <v>90</v>
      </c>
      <c r="B19" s="142"/>
      <c r="C19" s="12">
        <f>C18-C17</f>
        <v>-41.029309999999988</v>
      </c>
      <c r="D19" s="12" t="e">
        <f t="shared" ref="D19:V19" si="1">D18-D17</f>
        <v>#N/A</v>
      </c>
      <c r="E19" s="12">
        <f t="shared" si="1"/>
        <v>-9.6732749999999825</v>
      </c>
      <c r="F19" s="12">
        <f t="shared" si="1"/>
        <v>-41.779309999999995</v>
      </c>
      <c r="G19" s="12">
        <f t="shared" si="1"/>
        <v>-33.279309999999995</v>
      </c>
      <c r="H19" s="12">
        <f t="shared" si="1"/>
        <v>-9.6732749999999825</v>
      </c>
      <c r="I19" s="12">
        <f t="shared" si="1"/>
        <v>-36.873274999999985</v>
      </c>
      <c r="J19" s="12">
        <f t="shared" si="1"/>
        <v>-36.873274999999985</v>
      </c>
      <c r="K19" s="12">
        <f t="shared" si="1"/>
        <v>-41.779309999999995</v>
      </c>
      <c r="L19" s="12">
        <f t="shared" si="1"/>
        <v>-36.873274999999985</v>
      </c>
      <c r="M19" s="12">
        <f t="shared" si="1"/>
        <v>10.985345000000002</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3" t="s">
        <v>91</v>
      </c>
      <c r="B20" s="144"/>
      <c r="C20" s="18" t="str">
        <f>IF($B31="","",IF(C$19&gt;=0,"INCREASE","DECREASE"))</f>
        <v>DECREASE</v>
      </c>
      <c r="D20" s="18" t="e">
        <f>IF($B32="","",IF(D$19&gt;=0,"INCREASE","DECREASE"))</f>
        <v>#N/A</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INCREASE</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9" t="s">
        <v>88</v>
      </c>
      <c r="B21" s="140"/>
      <c r="C21" s="20">
        <f>(VLOOKUP(C$14,$AI2:$AK26,3,FALSE))*C$15</f>
        <v>198.00000000000003</v>
      </c>
      <c r="D21" s="20" t="e">
        <f t="shared" ref="D21:V21" si="2">(VLOOKUP(D$14,$AI2:$AK26,3,FALSE))*D$15</f>
        <v>#N/A</v>
      </c>
      <c r="E21" s="20">
        <f t="shared" si="2"/>
        <v>228</v>
      </c>
      <c r="F21" s="20">
        <f t="shared" si="2"/>
        <v>78.75</v>
      </c>
      <c r="G21" s="20">
        <f t="shared" si="2"/>
        <v>78</v>
      </c>
      <c r="H21" s="20">
        <f t="shared" si="2"/>
        <v>228</v>
      </c>
      <c r="I21" s="20">
        <f t="shared" si="2"/>
        <v>324</v>
      </c>
      <c r="J21" s="20">
        <f t="shared" si="2"/>
        <v>324</v>
      </c>
      <c r="K21" s="20">
        <f t="shared" si="2"/>
        <v>78.75</v>
      </c>
      <c r="L21" s="20">
        <f t="shared" si="2"/>
        <v>324</v>
      </c>
      <c r="M21" s="20">
        <f t="shared" si="2"/>
        <v>0</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1" t="s">
        <v>89</v>
      </c>
      <c r="B22" s="142"/>
      <c r="C22" s="12">
        <f>$E31</f>
        <v>5.2778999999999998</v>
      </c>
      <c r="D22" s="12">
        <f>$E32</f>
        <v>2.6389499999999999</v>
      </c>
      <c r="E22" s="12">
        <f>$E33</f>
        <v>13.194749999999999</v>
      </c>
      <c r="F22" s="12">
        <f>$E34</f>
        <v>5.2778999999999998</v>
      </c>
      <c r="G22" s="12">
        <f>$E35</f>
        <v>5.2778999999999998</v>
      </c>
      <c r="H22" s="12">
        <f>$E36</f>
        <v>13.194749999999999</v>
      </c>
      <c r="I22" s="12">
        <f>$E37</f>
        <v>13.194749999999999</v>
      </c>
      <c r="J22" s="12">
        <f>$E38</f>
        <v>13.194749999999999</v>
      </c>
      <c r="K22" s="12">
        <f>$E39</f>
        <v>5.2778999999999998</v>
      </c>
      <c r="L22" s="12">
        <f>$E40</f>
        <v>13.194749999999999</v>
      </c>
      <c r="M22" s="12">
        <f>$E41</f>
        <v>2.6389499999999999</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1" t="s">
        <v>92</v>
      </c>
      <c r="B23" s="142"/>
      <c r="C23" s="12">
        <f>C22-C21</f>
        <v>-192.72210000000004</v>
      </c>
      <c r="D23" s="12" t="e">
        <f t="shared" ref="D23:V23" si="3">D22-D21</f>
        <v>#N/A</v>
      </c>
      <c r="E23" s="12">
        <f t="shared" si="3"/>
        <v>-214.80525</v>
      </c>
      <c r="F23" s="12">
        <f t="shared" si="3"/>
        <v>-73.472099999999998</v>
      </c>
      <c r="G23" s="12">
        <f t="shared" si="3"/>
        <v>-72.722099999999998</v>
      </c>
      <c r="H23" s="12">
        <f t="shared" si="3"/>
        <v>-214.80525</v>
      </c>
      <c r="I23" s="12">
        <f t="shared" si="3"/>
        <v>-310.80525</v>
      </c>
      <c r="J23" s="12">
        <f t="shared" si="3"/>
        <v>-310.80525</v>
      </c>
      <c r="K23" s="12">
        <f t="shared" si="3"/>
        <v>-73.472099999999998</v>
      </c>
      <c r="L23" s="12">
        <f t="shared" si="3"/>
        <v>-310.80525</v>
      </c>
      <c r="M23" s="12">
        <f t="shared" si="3"/>
        <v>2.6389499999999999</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3" t="s">
        <v>93</v>
      </c>
      <c r="B24" s="144"/>
      <c r="C24" s="18" t="str">
        <f>IF($B31="","",IF(C$23&gt;=0,"INCREASE","DECREASE"))</f>
        <v>DECREASE</v>
      </c>
      <c r="D24" s="18" t="e">
        <f t="shared" ref="D24:V24" si="4">IF($B31="","",IF(D$23&gt;=0,"INCREASE","DECREASE"))</f>
        <v>#N/A</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INCREASE</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t="s">
        <v>54</v>
      </c>
      <c r="O27" s="84" t="s">
        <v>54</v>
      </c>
      <c r="P27" s="84" t="s">
        <v>54</v>
      </c>
      <c r="Q27" s="84" t="s">
        <v>54</v>
      </c>
      <c r="R27" s="84" t="s">
        <v>54</v>
      </c>
      <c r="S27" s="84" t="s">
        <v>54</v>
      </c>
      <c r="T27" s="84" t="s">
        <v>54</v>
      </c>
      <c r="U27" s="121" t="s">
        <v>54</v>
      </c>
    </row>
    <row r="28" spans="1:40" x14ac:dyDescent="0.25">
      <c r="A28" s="122"/>
      <c r="B28" s="16"/>
      <c r="C28" s="11">
        <v>0.05</v>
      </c>
      <c r="D28" s="11">
        <v>95.9</v>
      </c>
      <c r="E28" s="11">
        <v>43.8</v>
      </c>
      <c r="F28" s="11">
        <v>57.9</v>
      </c>
      <c r="G28" s="11">
        <v>2.34</v>
      </c>
      <c r="H28" s="11">
        <v>4.68</v>
      </c>
      <c r="I28" s="11">
        <v>0.77</v>
      </c>
      <c r="J28" s="11">
        <v>0.02</v>
      </c>
      <c r="K28" s="15">
        <v>0.05</v>
      </c>
      <c r="L28" s="11">
        <v>1.33</v>
      </c>
      <c r="M28" s="11">
        <v>1.25</v>
      </c>
      <c r="N28" s="11">
        <v>5354</v>
      </c>
      <c r="O28" s="11">
        <v>895</v>
      </c>
      <c r="P28" s="11">
        <v>16.7</v>
      </c>
      <c r="Q28" s="11">
        <v>362</v>
      </c>
      <c r="R28" s="11">
        <v>0.15</v>
      </c>
      <c r="S28" s="11">
        <v>0.68</v>
      </c>
      <c r="T28" s="11">
        <v>7.0000000000000007E-2</v>
      </c>
      <c r="U28" s="97">
        <v>20.6</v>
      </c>
    </row>
    <row r="29" spans="1:40" s="7" customFormat="1" ht="27" x14ac:dyDescent="0.2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Hook Field 2</v>
      </c>
      <c r="B31" s="11">
        <v>100</v>
      </c>
      <c r="C31" s="65">
        <f>IF(C$27="%w/w SAR",((C$28*10)*$B31),IF(C$27="%w/w DM",(((C$28*10)*($B$28/100))*$B31),IF(C$27="kg/t SAR",(C$28*$B31),IF(C$27="kg/t DM",((C$28*($B$28/100))*$B31),IF(C$27="mg/kg SAR",((C$28*0.001)*$B31),IF(C$27="mg/kg DM",(((C$28*0.001)*($B$28/100))*$B31),0))))))</f>
        <v>50</v>
      </c>
      <c r="D31" s="65">
        <f>(IF(D$27="%w/w SAR",((D$28*10)*$B31),IF(D$27="%w/w DM",(((D$28*10)*($B$28/100))*$B31),IF(D$27="kg/t SAR",(D$28*$B31),IF(D$27="kg/t DM",((D$28*($B$28/100))*$B31),IF(D$27="mg/kg SAR",((D$28*0.001)*$B31),IF(D$27="mg/kg DM",(((D$28*0.001)*($B$28/100))*$B31),"0")))))))*2.291</f>
        <v>21.970690000000005</v>
      </c>
      <c r="E31" s="65">
        <f>(IF(E$27="%w/w SAR",((E$28*10)*$B31),IF(E$27="%w/w DM",(((E$28*10)*($B$28/100))*$B31),IF(E$27="kg/t SAR",(E$28*$B31),IF(E$27="kg/t DM",((E$28*($B$28/100))*$B31),IF(E$27="mg/kg SAR",((E$28*0.001)*$B31),IF(E$27="mg/kg DM",(((E$28*0.001)*($B$28/100))*$B31),"0")))))))*1.205</f>
        <v>5.2778999999999998</v>
      </c>
      <c r="F31" s="65">
        <f>(IF(F$27="%w/w SAR",((F$28*10)*$B31),IF(F$27="%w/w DM",(((F$28*10)*($B$28/100))*$B31),IF(F$27="kg/t SAR",(F$28*$B31),IF(F$27="kg/t DM",((F$28*($B$28/100))*$B31),IF(F$27="mg/kg SAR",((F$28*0.001)*$B31),IF(F$27="mg/kg DM",(((F$28*0.001)*($B$28/100))*$B31),"0")))))))*1.658</f>
        <v>9.5998199999999994</v>
      </c>
      <c r="G31" s="65">
        <f t="shared" ref="G31:P46" si="5">IF(G$27="%w/w SAR",((G$28*10)*$B31),IF(G$27="%w/w DM",(((G$28*10)*($B$28/100))*$B31),IF(G$27="kg/t SAR",(G$28*$B31),IF(G$27="kg/t DM",((G$28*($B$28/100))*$B31),IF(G$27="mg/kg SAR",((G$28*0.001)*$B31),IF(G$27="mg/kg DM",(((G$28*0.001)*($B$28/100))*$B31),0))))))</f>
        <v>0.23400000000000001</v>
      </c>
      <c r="H31" s="65">
        <f t="shared" si="5"/>
        <v>0.46800000000000003</v>
      </c>
      <c r="I31" s="65">
        <f t="shared" si="5"/>
        <v>7.7000000000000013E-2</v>
      </c>
      <c r="J31" s="65">
        <f t="shared" si="5"/>
        <v>2E-3</v>
      </c>
      <c r="K31" s="65">
        <f t="shared" si="5"/>
        <v>5.0000000000000001E-3</v>
      </c>
      <c r="L31" s="65">
        <f t="shared" si="5"/>
        <v>0.13300000000000001</v>
      </c>
      <c r="M31" s="65">
        <f t="shared" si="5"/>
        <v>0.125</v>
      </c>
      <c r="N31" s="65">
        <f t="shared" si="5"/>
        <v>535.4</v>
      </c>
      <c r="O31" s="65">
        <f t="shared" si="5"/>
        <v>89.5</v>
      </c>
      <c r="P31" s="65">
        <f t="shared" si="5"/>
        <v>1.67</v>
      </c>
      <c r="Q31" s="65">
        <f>(IF(Q$27="%w/w SAR",((Q$28*10)*$B31),IF(Q$27="%w/w DM",(((Q$28*10)*($B$28/100))*$B31),IF(Q$27="kg/t SAR",(Q$28*$B31),IF(Q$27="kg/t DM",((Q$28*($B$28/100))*$B31),IF(Q$27="mg/kg SAR",((Q$28*0.001)*$B31),IF(Q$27="mg/kg DM",(((Q$28*0.001)*($B$28/100))*$B31),0)))))))*2.5</f>
        <v>90.499999999999986</v>
      </c>
      <c r="R31" s="65">
        <f>IF(R$27="%w/w SAR",((R$28*10)*$B31),IF(R$27="%w/w DM",(((R$28*10)*($B$28/100))*$B31),IF(R$27="kg/t SAR",(R$28*$B31),IF(R$27="kg/t DM",((R$28*($B$28/100))*$B31),IF(R$27="mg/kg SAR",((R$28*0.001)*$B31),IF(R$27="mg/kg DM",(((R$28*0.001)*($B$28/100))*$B31),0))))))</f>
        <v>1.4999999999999999E-2</v>
      </c>
      <c r="S31" s="65">
        <f>IF(S$27="%w/w SAR",((S$28*10)*$B31),IF(S$27="%w/w DM",(((S$28*10)*($B$28/100))*$B31),IF(S$27="kg/t SAR",(S$28*$B31),IF(S$27="kg/t DM",((S$28*($B$28/100))*$B31),IF(S$27="mg/kg SAR",((S$28*0.001)*$B31),IF(S$27="mg/kg DM",(((S$28*0.001)*($B$28/100))*$B31),0))))))</f>
        <v>6.8000000000000005E-2</v>
      </c>
      <c r="T31" s="65">
        <f>IF(T$27="%w/w SAR",((T$28*10)*$B31),IF(T$27="%w/w DM",(((T$28*10)*($B$28/100))*$B31),IF(T$27="kg/t SAR",(T$28*$B31),IF(T$27="kg/t DM",((T$28*($B$28/100))*$B31),IF(T$27="mg/kg SAR",((T$28*0.001)*$B31),IF(T$27="mg/kg DM",(((T$28*0.001)*($B$28/100))*$B31),0))))))</f>
        <v>7.000000000000001E-3</v>
      </c>
      <c r="U31" s="126">
        <f>IF(U$27="%w/w SAR",((U$28*10)*$B31),IF(U$27="%w/w DM",(((U$28*10)*($B$28/100))*$B31),IF(U$27="kg/t SAR",(U$28*$B31),IF(U$27="kg/t DM",((U$28*($B$28/100))*$B31),IF(U$27="mg/kg SAR",((U$28*0.001)*$B31),IF(U$27="mg/kg DM",(((U$28*0.001)*($B$28/100))*$B31),0))))))</f>
        <v>2.06</v>
      </c>
    </row>
    <row r="32" spans="1:40" s="48" customFormat="1" x14ac:dyDescent="0.25">
      <c r="A32" s="125" t="str">
        <f>D8</f>
        <v>Hook Field 3</v>
      </c>
      <c r="B32" s="11">
        <v>50</v>
      </c>
      <c r="C32" s="65">
        <f t="shared" ref="C32:C50" si="6">IF(C$27="%w/w SAR",((C$28*10)*$B32),IF(C$27="%w/w DM",(((C$28*10)*($B$28/100))*$B32),IF(C$27="kg/t SAR",(C$28*$B32),IF(C$27="kg/t DM",((C$28*($B$28/100))*$B32),IF(C$27="mg/kg SAR",((C$28*0.001)*$B32),IF(C$27="mg/kg DM",(((C$28*0.001)*($B$28/100))*$B32),0))))))</f>
        <v>25</v>
      </c>
      <c r="D32" s="65">
        <f t="shared" ref="D32:D50" si="7">(IF(D$27="%w/w SAR",((D$28*10)*$B32),IF(D$27="%w/w DM",(((D$28*10)*($B$28/100))*$B32),IF(D$27="kg/t SAR",(D$28*$B32),IF(D$27="kg/t DM",((D$28*($B$28/100))*$B32),IF(D$27="mg/kg SAR",((D$28*0.001)*$B32),IF(D$27="mg/kg DM",(((D$28*0.001)*($B$28/100))*$B32),"0")))))))*2.291</f>
        <v>10.985345000000002</v>
      </c>
      <c r="E32" s="65">
        <f t="shared" ref="E32:E50" si="8">(IF(E$27="%w/w SAR",((E$28*10)*$B32),IF(E$27="%w/w DM",(((E$28*10)*($B$28/100))*$B32),IF(E$27="kg/t SAR",(E$28*$B32),IF(E$27="kg/t DM",((E$28*($B$28/100))*$B32),IF(E$27="mg/kg SAR",((E$28*0.001)*$B32),IF(E$27="mg/kg DM",(((E$28*0.001)*($B$28/100))*$B32),"0")))))))*1.205</f>
        <v>2.6389499999999999</v>
      </c>
      <c r="F32" s="65">
        <f t="shared" ref="F32:F50" si="9">(IF(F$27="%w/w SAR",((F$28*10)*$B32),IF(F$27="%w/w DM",(((F$28*10)*($B$28/100))*$B32),IF(F$27="kg/t SAR",(F$28*$B32),IF(F$27="kg/t DM",((F$28*($B$28/100))*$B32),IF(F$27="mg/kg SAR",((F$28*0.001)*$B32),IF(F$27="mg/kg DM",(((F$28*0.001)*($B$28/100))*$B32),"0")))))))*1.658</f>
        <v>4.7999099999999997</v>
      </c>
      <c r="G32" s="65">
        <f t="shared" si="5"/>
        <v>0.11700000000000001</v>
      </c>
      <c r="H32" s="65">
        <f t="shared" si="5"/>
        <v>0.23400000000000001</v>
      </c>
      <c r="I32" s="65">
        <f t="shared" si="5"/>
        <v>3.8500000000000006E-2</v>
      </c>
      <c r="J32" s="65">
        <f t="shared" si="5"/>
        <v>1E-3</v>
      </c>
      <c r="K32" s="65">
        <f t="shared" si="5"/>
        <v>2.5000000000000001E-3</v>
      </c>
      <c r="L32" s="65">
        <f t="shared" si="5"/>
        <v>6.6500000000000004E-2</v>
      </c>
      <c r="M32" s="65">
        <f t="shared" si="5"/>
        <v>6.25E-2</v>
      </c>
      <c r="N32" s="65">
        <f t="shared" si="5"/>
        <v>267.7</v>
      </c>
      <c r="O32" s="65">
        <f t="shared" si="5"/>
        <v>44.75</v>
      </c>
      <c r="P32" s="65">
        <f t="shared" si="5"/>
        <v>0.83499999999999996</v>
      </c>
      <c r="Q32" s="65">
        <f t="shared" ref="Q32:Q50" si="10">(IF(Q$27="%w/w SAR",((Q$28*10)*$B32),IF(Q$27="%w/w DM",(((Q$28*10)*($B$28/100))*$B32),IF(Q$27="kg/t SAR",(Q$28*$B32),IF(Q$27="kg/t DM",((Q$28*($B$28/100))*$B32),IF(Q$27="mg/kg SAR",((Q$28*0.001)*$B32),IF(Q$27="mg/kg DM",(((Q$28*0.001)*($B$28/100))*$B32),0)))))))*2.5</f>
        <v>45.249999999999993</v>
      </c>
      <c r="R32" s="65">
        <f t="shared" ref="R32:U50" si="11">IF(R$27="%w/w SAR",((R$28*10)*$B32),IF(R$27="%w/w DM",(((R$28*10)*($B$28/100))*$B32),IF(R$27="kg/t SAR",(R$28*$B32),IF(R$27="kg/t DM",((R$28*($B$28/100))*$B32),IF(R$27="mg/kg SAR",((R$28*0.001)*$B32),IF(R$27="mg/kg DM",(((R$28*0.001)*($B$28/100))*$B32),0))))))</f>
        <v>7.4999999999999997E-3</v>
      </c>
      <c r="S32" s="65">
        <f t="shared" si="11"/>
        <v>3.4000000000000002E-2</v>
      </c>
      <c r="T32" s="65">
        <f t="shared" si="11"/>
        <v>3.5000000000000005E-3</v>
      </c>
      <c r="U32" s="126">
        <f t="shared" si="11"/>
        <v>1.03</v>
      </c>
    </row>
    <row r="33" spans="1:21" s="48" customFormat="1" x14ac:dyDescent="0.25">
      <c r="A33" s="125" t="str">
        <f>E8</f>
        <v>Hook Field 4</v>
      </c>
      <c r="B33" s="11">
        <v>250</v>
      </c>
      <c r="C33" s="65">
        <f t="shared" si="6"/>
        <v>125</v>
      </c>
      <c r="D33" s="65">
        <f t="shared" si="7"/>
        <v>54.926725000000012</v>
      </c>
      <c r="E33" s="65">
        <f t="shared" si="8"/>
        <v>13.194749999999999</v>
      </c>
      <c r="F33" s="65">
        <f t="shared" si="9"/>
        <v>23.999549999999999</v>
      </c>
      <c r="G33" s="65">
        <f t="shared" si="5"/>
        <v>0.58499999999999996</v>
      </c>
      <c r="H33" s="65">
        <f t="shared" si="5"/>
        <v>1.17</v>
      </c>
      <c r="I33" s="65">
        <f t="shared" si="5"/>
        <v>0.1925</v>
      </c>
      <c r="J33" s="65">
        <f t="shared" si="5"/>
        <v>5.0000000000000001E-3</v>
      </c>
      <c r="K33" s="65">
        <f t="shared" si="5"/>
        <v>1.2500000000000001E-2</v>
      </c>
      <c r="L33" s="65">
        <f t="shared" si="5"/>
        <v>0.33250000000000002</v>
      </c>
      <c r="M33" s="65">
        <f t="shared" si="5"/>
        <v>0.3125</v>
      </c>
      <c r="N33" s="65">
        <f t="shared" si="5"/>
        <v>1338.5</v>
      </c>
      <c r="O33" s="65">
        <f t="shared" si="5"/>
        <v>223.75</v>
      </c>
      <c r="P33" s="65">
        <f t="shared" si="5"/>
        <v>4.1749999999999998</v>
      </c>
      <c r="Q33" s="65">
        <f t="shared" si="10"/>
        <v>226.25</v>
      </c>
      <c r="R33" s="65">
        <f t="shared" si="11"/>
        <v>3.7499999999999999E-2</v>
      </c>
      <c r="S33" s="65">
        <f t="shared" si="11"/>
        <v>0.17</v>
      </c>
      <c r="T33" s="65">
        <f t="shared" si="11"/>
        <v>1.7500000000000002E-2</v>
      </c>
      <c r="U33" s="126">
        <f t="shared" si="11"/>
        <v>5.15</v>
      </c>
    </row>
    <row r="34" spans="1:21" s="48" customFormat="1" x14ac:dyDescent="0.25">
      <c r="A34" s="125" t="str">
        <f>F8</f>
        <v>Hook Field 8</v>
      </c>
      <c r="B34" s="11">
        <v>100</v>
      </c>
      <c r="C34" s="65">
        <f t="shared" si="6"/>
        <v>50</v>
      </c>
      <c r="D34" s="65">
        <f t="shared" si="7"/>
        <v>21.970690000000005</v>
      </c>
      <c r="E34" s="65">
        <f t="shared" si="8"/>
        <v>5.2778999999999998</v>
      </c>
      <c r="F34" s="65">
        <f t="shared" si="9"/>
        <v>9.5998199999999994</v>
      </c>
      <c r="G34" s="65">
        <f t="shared" si="5"/>
        <v>0.23400000000000001</v>
      </c>
      <c r="H34" s="65">
        <f t="shared" si="5"/>
        <v>0.46800000000000003</v>
      </c>
      <c r="I34" s="65">
        <f t="shared" si="5"/>
        <v>7.7000000000000013E-2</v>
      </c>
      <c r="J34" s="65">
        <f t="shared" si="5"/>
        <v>2E-3</v>
      </c>
      <c r="K34" s="65">
        <f t="shared" si="5"/>
        <v>5.0000000000000001E-3</v>
      </c>
      <c r="L34" s="65">
        <f t="shared" si="5"/>
        <v>0.13300000000000001</v>
      </c>
      <c r="M34" s="65">
        <f t="shared" si="5"/>
        <v>0.125</v>
      </c>
      <c r="N34" s="65">
        <f t="shared" si="5"/>
        <v>535.4</v>
      </c>
      <c r="O34" s="65">
        <f t="shared" si="5"/>
        <v>89.5</v>
      </c>
      <c r="P34" s="65">
        <f t="shared" si="5"/>
        <v>1.67</v>
      </c>
      <c r="Q34" s="65">
        <f t="shared" si="10"/>
        <v>90.499999999999986</v>
      </c>
      <c r="R34" s="65">
        <f t="shared" si="11"/>
        <v>1.4999999999999999E-2</v>
      </c>
      <c r="S34" s="65">
        <f t="shared" si="11"/>
        <v>6.8000000000000005E-2</v>
      </c>
      <c r="T34" s="65">
        <f t="shared" si="11"/>
        <v>7.000000000000001E-3</v>
      </c>
      <c r="U34" s="126">
        <f t="shared" si="11"/>
        <v>2.06</v>
      </c>
    </row>
    <row r="35" spans="1:21" s="48" customFormat="1" x14ac:dyDescent="0.25">
      <c r="A35" s="125" t="str">
        <f>G8</f>
        <v>Hook Field 10</v>
      </c>
      <c r="B35" s="11">
        <v>100</v>
      </c>
      <c r="C35" s="65">
        <f t="shared" si="6"/>
        <v>50</v>
      </c>
      <c r="D35" s="65">
        <f t="shared" si="7"/>
        <v>21.970690000000005</v>
      </c>
      <c r="E35" s="65">
        <f t="shared" si="8"/>
        <v>5.2778999999999998</v>
      </c>
      <c r="F35" s="65">
        <f t="shared" si="9"/>
        <v>9.5998199999999994</v>
      </c>
      <c r="G35" s="65">
        <f t="shared" si="5"/>
        <v>0.23400000000000001</v>
      </c>
      <c r="H35" s="65">
        <f t="shared" si="5"/>
        <v>0.46800000000000003</v>
      </c>
      <c r="I35" s="65">
        <f t="shared" si="5"/>
        <v>7.7000000000000013E-2</v>
      </c>
      <c r="J35" s="65">
        <f t="shared" si="5"/>
        <v>2E-3</v>
      </c>
      <c r="K35" s="65">
        <f t="shared" si="5"/>
        <v>5.0000000000000001E-3</v>
      </c>
      <c r="L35" s="65">
        <f t="shared" si="5"/>
        <v>0.13300000000000001</v>
      </c>
      <c r="M35" s="65">
        <f t="shared" si="5"/>
        <v>0.125</v>
      </c>
      <c r="N35" s="65">
        <f t="shared" si="5"/>
        <v>535.4</v>
      </c>
      <c r="O35" s="65">
        <f t="shared" si="5"/>
        <v>89.5</v>
      </c>
      <c r="P35" s="65">
        <f t="shared" si="5"/>
        <v>1.67</v>
      </c>
      <c r="Q35" s="65">
        <f t="shared" si="10"/>
        <v>90.499999999999986</v>
      </c>
      <c r="R35" s="65">
        <f t="shared" si="11"/>
        <v>1.4999999999999999E-2</v>
      </c>
      <c r="S35" s="65">
        <f t="shared" si="11"/>
        <v>6.8000000000000005E-2</v>
      </c>
      <c r="T35" s="65">
        <f t="shared" si="11"/>
        <v>7.000000000000001E-3</v>
      </c>
      <c r="U35" s="126">
        <f t="shared" si="11"/>
        <v>2.06</v>
      </c>
    </row>
    <row r="36" spans="1:21" s="48" customFormat="1" x14ac:dyDescent="0.25">
      <c r="A36" s="125" t="str">
        <f>H8</f>
        <v>Hook Field 20</v>
      </c>
      <c r="B36" s="11">
        <v>250</v>
      </c>
      <c r="C36" s="65">
        <f t="shared" si="6"/>
        <v>125</v>
      </c>
      <c r="D36" s="65">
        <f t="shared" si="7"/>
        <v>54.926725000000012</v>
      </c>
      <c r="E36" s="65">
        <f t="shared" si="8"/>
        <v>13.194749999999999</v>
      </c>
      <c r="F36" s="65">
        <f t="shared" si="9"/>
        <v>23.999549999999999</v>
      </c>
      <c r="G36" s="65">
        <f t="shared" si="5"/>
        <v>0.58499999999999996</v>
      </c>
      <c r="H36" s="65">
        <f t="shared" si="5"/>
        <v>1.17</v>
      </c>
      <c r="I36" s="65">
        <f t="shared" si="5"/>
        <v>0.1925</v>
      </c>
      <c r="J36" s="65">
        <f t="shared" si="5"/>
        <v>5.0000000000000001E-3</v>
      </c>
      <c r="K36" s="65">
        <f t="shared" si="5"/>
        <v>1.2500000000000001E-2</v>
      </c>
      <c r="L36" s="65">
        <f t="shared" si="5"/>
        <v>0.33250000000000002</v>
      </c>
      <c r="M36" s="65">
        <f t="shared" si="5"/>
        <v>0.3125</v>
      </c>
      <c r="N36" s="65">
        <f t="shared" si="5"/>
        <v>1338.5</v>
      </c>
      <c r="O36" s="65">
        <f t="shared" si="5"/>
        <v>223.75</v>
      </c>
      <c r="P36" s="65">
        <f t="shared" si="5"/>
        <v>4.1749999999999998</v>
      </c>
      <c r="Q36" s="65">
        <f t="shared" si="10"/>
        <v>226.25</v>
      </c>
      <c r="R36" s="65">
        <f t="shared" si="11"/>
        <v>3.7499999999999999E-2</v>
      </c>
      <c r="S36" s="65">
        <f t="shared" si="11"/>
        <v>0.17</v>
      </c>
      <c r="T36" s="65">
        <f t="shared" si="11"/>
        <v>1.7500000000000002E-2</v>
      </c>
      <c r="U36" s="126">
        <f t="shared" si="11"/>
        <v>5.15</v>
      </c>
    </row>
    <row r="37" spans="1:21" s="48" customFormat="1" x14ac:dyDescent="0.25">
      <c r="A37" s="125">
        <f>I8</f>
        <v>1</v>
      </c>
      <c r="B37" s="11">
        <v>250</v>
      </c>
      <c r="C37" s="65">
        <f t="shared" si="6"/>
        <v>125</v>
      </c>
      <c r="D37" s="65">
        <f t="shared" si="7"/>
        <v>54.926725000000012</v>
      </c>
      <c r="E37" s="65">
        <f t="shared" si="8"/>
        <v>13.194749999999999</v>
      </c>
      <c r="F37" s="65">
        <f t="shared" si="9"/>
        <v>23.999549999999999</v>
      </c>
      <c r="G37" s="65">
        <f t="shared" si="5"/>
        <v>0.58499999999999996</v>
      </c>
      <c r="H37" s="65">
        <f t="shared" si="5"/>
        <v>1.17</v>
      </c>
      <c r="I37" s="65">
        <f t="shared" si="5"/>
        <v>0.1925</v>
      </c>
      <c r="J37" s="65">
        <f t="shared" si="5"/>
        <v>5.0000000000000001E-3</v>
      </c>
      <c r="K37" s="65">
        <f t="shared" si="5"/>
        <v>1.2500000000000001E-2</v>
      </c>
      <c r="L37" s="65">
        <f t="shared" si="5"/>
        <v>0.33250000000000002</v>
      </c>
      <c r="M37" s="65">
        <f t="shared" si="5"/>
        <v>0.3125</v>
      </c>
      <c r="N37" s="65">
        <f t="shared" si="5"/>
        <v>1338.5</v>
      </c>
      <c r="O37" s="65">
        <f t="shared" si="5"/>
        <v>223.75</v>
      </c>
      <c r="P37" s="65">
        <f t="shared" si="5"/>
        <v>4.1749999999999998</v>
      </c>
      <c r="Q37" s="65">
        <f t="shared" si="10"/>
        <v>226.25</v>
      </c>
      <c r="R37" s="65">
        <f t="shared" si="11"/>
        <v>3.7499999999999999E-2</v>
      </c>
      <c r="S37" s="65">
        <f t="shared" si="11"/>
        <v>0.17</v>
      </c>
      <c r="T37" s="65">
        <f t="shared" si="11"/>
        <v>1.7500000000000002E-2</v>
      </c>
      <c r="U37" s="126">
        <f t="shared" si="11"/>
        <v>5.15</v>
      </c>
    </row>
    <row r="38" spans="1:21" s="48" customFormat="1" x14ac:dyDescent="0.25">
      <c r="A38" s="125">
        <f>J8</f>
        <v>2</v>
      </c>
      <c r="B38" s="11">
        <v>250</v>
      </c>
      <c r="C38" s="65">
        <f t="shared" si="6"/>
        <v>125</v>
      </c>
      <c r="D38" s="65">
        <f t="shared" si="7"/>
        <v>54.926725000000012</v>
      </c>
      <c r="E38" s="65">
        <f t="shared" si="8"/>
        <v>13.194749999999999</v>
      </c>
      <c r="F38" s="65">
        <f t="shared" si="9"/>
        <v>23.999549999999999</v>
      </c>
      <c r="G38" s="65">
        <f t="shared" si="5"/>
        <v>0.58499999999999996</v>
      </c>
      <c r="H38" s="65">
        <f t="shared" si="5"/>
        <v>1.17</v>
      </c>
      <c r="I38" s="65">
        <f t="shared" si="5"/>
        <v>0.1925</v>
      </c>
      <c r="J38" s="65">
        <f t="shared" si="5"/>
        <v>5.0000000000000001E-3</v>
      </c>
      <c r="K38" s="65">
        <f t="shared" si="5"/>
        <v>1.2500000000000001E-2</v>
      </c>
      <c r="L38" s="65">
        <f t="shared" si="5"/>
        <v>0.33250000000000002</v>
      </c>
      <c r="M38" s="65">
        <f t="shared" si="5"/>
        <v>0.3125</v>
      </c>
      <c r="N38" s="65">
        <f t="shared" si="5"/>
        <v>1338.5</v>
      </c>
      <c r="O38" s="65">
        <f t="shared" si="5"/>
        <v>223.75</v>
      </c>
      <c r="P38" s="65">
        <f t="shared" si="5"/>
        <v>4.1749999999999998</v>
      </c>
      <c r="Q38" s="65">
        <f t="shared" si="10"/>
        <v>226.25</v>
      </c>
      <c r="R38" s="65">
        <f t="shared" si="11"/>
        <v>3.7499999999999999E-2</v>
      </c>
      <c r="S38" s="65">
        <f t="shared" si="11"/>
        <v>0.17</v>
      </c>
      <c r="T38" s="65">
        <f t="shared" si="11"/>
        <v>1.7500000000000002E-2</v>
      </c>
      <c r="U38" s="126">
        <f t="shared" si="11"/>
        <v>5.15</v>
      </c>
    </row>
    <row r="39" spans="1:21" s="48" customFormat="1" x14ac:dyDescent="0.25">
      <c r="A39" s="125">
        <f>K8</f>
        <v>3</v>
      </c>
      <c r="B39" s="11">
        <v>100</v>
      </c>
      <c r="C39" s="65">
        <f t="shared" si="6"/>
        <v>50</v>
      </c>
      <c r="D39" s="65">
        <f t="shared" si="7"/>
        <v>21.970690000000005</v>
      </c>
      <c r="E39" s="65">
        <f t="shared" si="8"/>
        <v>5.2778999999999998</v>
      </c>
      <c r="F39" s="65">
        <f t="shared" si="9"/>
        <v>9.5998199999999994</v>
      </c>
      <c r="G39" s="65">
        <f t="shared" si="5"/>
        <v>0.23400000000000001</v>
      </c>
      <c r="H39" s="65">
        <f t="shared" si="5"/>
        <v>0.46800000000000003</v>
      </c>
      <c r="I39" s="65">
        <f t="shared" si="5"/>
        <v>7.7000000000000013E-2</v>
      </c>
      <c r="J39" s="65">
        <f t="shared" si="5"/>
        <v>2E-3</v>
      </c>
      <c r="K39" s="65">
        <f t="shared" si="5"/>
        <v>5.0000000000000001E-3</v>
      </c>
      <c r="L39" s="65">
        <f t="shared" si="5"/>
        <v>0.13300000000000001</v>
      </c>
      <c r="M39" s="65">
        <f t="shared" si="5"/>
        <v>0.125</v>
      </c>
      <c r="N39" s="65">
        <f t="shared" si="5"/>
        <v>535.4</v>
      </c>
      <c r="O39" s="65">
        <f t="shared" si="5"/>
        <v>89.5</v>
      </c>
      <c r="P39" s="65">
        <f t="shared" si="5"/>
        <v>1.67</v>
      </c>
      <c r="Q39" s="65">
        <f t="shared" si="10"/>
        <v>90.499999999999986</v>
      </c>
      <c r="R39" s="65">
        <f t="shared" si="11"/>
        <v>1.4999999999999999E-2</v>
      </c>
      <c r="S39" s="65">
        <f t="shared" si="11"/>
        <v>6.8000000000000005E-2</v>
      </c>
      <c r="T39" s="65">
        <f t="shared" si="11"/>
        <v>7.000000000000001E-3</v>
      </c>
      <c r="U39" s="126">
        <f t="shared" si="11"/>
        <v>2.06</v>
      </c>
    </row>
    <row r="40" spans="1:21" s="48" customFormat="1" x14ac:dyDescent="0.25">
      <c r="A40" s="125">
        <f>L8</f>
        <v>4</v>
      </c>
      <c r="B40" s="11">
        <v>250</v>
      </c>
      <c r="C40" s="65">
        <f t="shared" si="6"/>
        <v>125</v>
      </c>
      <c r="D40" s="65">
        <f t="shared" si="7"/>
        <v>54.926725000000012</v>
      </c>
      <c r="E40" s="65">
        <f t="shared" si="8"/>
        <v>13.194749999999999</v>
      </c>
      <c r="F40" s="65">
        <f t="shared" si="9"/>
        <v>23.999549999999999</v>
      </c>
      <c r="G40" s="65">
        <f t="shared" si="5"/>
        <v>0.58499999999999996</v>
      </c>
      <c r="H40" s="65">
        <f t="shared" si="5"/>
        <v>1.17</v>
      </c>
      <c r="I40" s="65">
        <f t="shared" si="5"/>
        <v>0.1925</v>
      </c>
      <c r="J40" s="65">
        <f t="shared" si="5"/>
        <v>5.0000000000000001E-3</v>
      </c>
      <c r="K40" s="65">
        <f t="shared" si="5"/>
        <v>1.2500000000000001E-2</v>
      </c>
      <c r="L40" s="65">
        <f t="shared" si="5"/>
        <v>0.33250000000000002</v>
      </c>
      <c r="M40" s="65">
        <f t="shared" si="5"/>
        <v>0.3125</v>
      </c>
      <c r="N40" s="65">
        <f t="shared" si="5"/>
        <v>1338.5</v>
      </c>
      <c r="O40" s="65">
        <f t="shared" si="5"/>
        <v>223.75</v>
      </c>
      <c r="P40" s="65">
        <f t="shared" si="5"/>
        <v>4.1749999999999998</v>
      </c>
      <c r="Q40" s="65">
        <f t="shared" si="10"/>
        <v>226.25</v>
      </c>
      <c r="R40" s="65">
        <f t="shared" si="11"/>
        <v>3.7499999999999999E-2</v>
      </c>
      <c r="S40" s="65">
        <f t="shared" si="11"/>
        <v>0.17</v>
      </c>
      <c r="T40" s="65">
        <f t="shared" si="11"/>
        <v>1.7500000000000002E-2</v>
      </c>
      <c r="U40" s="126">
        <f t="shared" si="11"/>
        <v>5.15</v>
      </c>
    </row>
    <row r="41" spans="1:21" s="48" customFormat="1" x14ac:dyDescent="0.25">
      <c r="A41" s="125">
        <f>M8</f>
        <v>7</v>
      </c>
      <c r="B41" s="11">
        <v>50</v>
      </c>
      <c r="C41" s="65">
        <f t="shared" si="6"/>
        <v>25</v>
      </c>
      <c r="D41" s="65">
        <f t="shared" si="7"/>
        <v>10.985345000000002</v>
      </c>
      <c r="E41" s="65">
        <f t="shared" si="8"/>
        <v>2.6389499999999999</v>
      </c>
      <c r="F41" s="65">
        <f t="shared" si="9"/>
        <v>4.7999099999999997</v>
      </c>
      <c r="G41" s="65">
        <f t="shared" si="5"/>
        <v>0.11700000000000001</v>
      </c>
      <c r="H41" s="65">
        <f t="shared" si="5"/>
        <v>0.23400000000000001</v>
      </c>
      <c r="I41" s="65">
        <f t="shared" si="5"/>
        <v>3.8500000000000006E-2</v>
      </c>
      <c r="J41" s="65">
        <f t="shared" si="5"/>
        <v>1E-3</v>
      </c>
      <c r="K41" s="65">
        <f t="shared" si="5"/>
        <v>2.5000000000000001E-3</v>
      </c>
      <c r="L41" s="65">
        <f t="shared" si="5"/>
        <v>6.6500000000000004E-2</v>
      </c>
      <c r="M41" s="65">
        <f t="shared" si="5"/>
        <v>6.25E-2</v>
      </c>
      <c r="N41" s="65">
        <f t="shared" si="5"/>
        <v>267.7</v>
      </c>
      <c r="O41" s="65">
        <f t="shared" si="5"/>
        <v>44.75</v>
      </c>
      <c r="P41" s="65">
        <f t="shared" si="5"/>
        <v>0.83499999999999996</v>
      </c>
      <c r="Q41" s="65">
        <f t="shared" si="10"/>
        <v>45.249999999999993</v>
      </c>
      <c r="R41" s="65">
        <f t="shared" si="11"/>
        <v>7.4999999999999997E-3</v>
      </c>
      <c r="S41" s="65">
        <f t="shared" si="11"/>
        <v>3.4000000000000002E-2</v>
      </c>
      <c r="T41" s="65">
        <f t="shared" si="11"/>
        <v>3.5000000000000005E-3</v>
      </c>
      <c r="U41" s="126">
        <f t="shared" si="11"/>
        <v>1.03</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Hook Field 2</v>
      </c>
      <c r="C57" s="8" t="str">
        <f t="shared" ref="C57:U57" si="13">D8</f>
        <v>Hook Field 3</v>
      </c>
      <c r="D57" s="8" t="str">
        <f t="shared" si="13"/>
        <v>Hook Field 4</v>
      </c>
      <c r="E57" s="8" t="str">
        <f t="shared" si="13"/>
        <v>Hook Field 8</v>
      </c>
      <c r="F57" s="8" t="str">
        <f t="shared" si="13"/>
        <v>Hook Field 10</v>
      </c>
      <c r="G57" s="8" t="str">
        <f t="shared" si="13"/>
        <v>Hook Field 20</v>
      </c>
      <c r="H57" s="8">
        <f t="shared" si="13"/>
        <v>1</v>
      </c>
      <c r="I57" s="8">
        <f t="shared" si="13"/>
        <v>2</v>
      </c>
      <c r="J57" s="8">
        <f t="shared" si="13"/>
        <v>3</v>
      </c>
      <c r="K57" s="8">
        <f t="shared" si="13"/>
        <v>4</v>
      </c>
      <c r="L57" s="8">
        <f t="shared" si="13"/>
        <v>7</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"&amp;(VLOOKUP(C14,Table24581112[],6,FALSE))</f>
        <v>Medium/Clay I Arable</v>
      </c>
      <c r="C58" s="10" t="e">
        <f>D16&amp;" I "&amp;(VLOOKUP(D14,Table24581112[],6,FALSE))</f>
        <v>#N/A</v>
      </c>
      <c r="D58" s="10" t="str">
        <f>E16&amp;" I "&amp;(VLOOKUP(E14,Table24581112[],6,FALSE))</f>
        <v>Medium/Clay I Grass</v>
      </c>
      <c r="E58" s="10" t="str">
        <f>F16&amp;" I "&amp;(VLOOKUP(F14,Table24581112[],6,FALSE))</f>
        <v>Medium/Clay I Arable</v>
      </c>
      <c r="F58" s="10" t="str">
        <f>G16&amp;" I "&amp;(VLOOKUP(G14,Table24581112[],6,FALSE))</f>
        <v>Medium/Clay I Arable</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Arable</v>
      </c>
      <c r="K58" s="10" t="str">
        <f>L16&amp;" I "&amp;(VLOOKUP(L14,Table24581112[],6,FALSE))</f>
        <v>Medium/Clay I Grass</v>
      </c>
      <c r="L58" s="10" t="str">
        <f>M16&amp;" I "&amp;(VLOOKUP(M14,Table24581112[],6,FALSE))</f>
        <v>Medium/Clay I Arable</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x14ac:dyDescent="0.2">
      <c r="A59" s="87" t="s">
        <v>132</v>
      </c>
      <c r="B59" s="64">
        <f>VLOOKUP(C$14,Table24581112[],5,FALSE)</f>
        <v>6.7</v>
      </c>
      <c r="C59" s="64" t="e">
        <f>VLOOKUP(D$14,Table24581112[],5,FALSE)</f>
        <v>#N/A</v>
      </c>
      <c r="D59" s="64">
        <f>VLOOKUP(E$14,Table24581112[],5,FALSE)</f>
        <v>6.2</v>
      </c>
      <c r="E59" s="64">
        <f>VLOOKUP(F$14,Table24581112[],5,FALSE)</f>
        <v>6.7</v>
      </c>
      <c r="F59" s="64">
        <f>VLOOKUP(G$14,Table24581112[],5,FALSE)</f>
        <v>6.7</v>
      </c>
      <c r="G59" s="64">
        <f>VLOOKUP(H$14,Table24581112[],5,FALSE)</f>
        <v>6.2</v>
      </c>
      <c r="H59" s="64">
        <f>VLOOKUP(I$14,Table24581112[],5,FALSE)</f>
        <v>6.2</v>
      </c>
      <c r="I59" s="64">
        <f>VLOOKUP(J$14,Table24581112[],5,FALSE)</f>
        <v>6.2</v>
      </c>
      <c r="J59" s="64">
        <f>VLOOKUP(K$14,Table24581112[],5,FALSE)</f>
        <v>6.7</v>
      </c>
      <c r="K59" s="64">
        <f>VLOOKUP(L$14,Table24581112[],5,FALSE)</f>
        <v>6.2</v>
      </c>
      <c r="L59" s="64">
        <f>VLOOKUP(M$14,Table24581112[],5,FALSE)</f>
        <v>6.7</v>
      </c>
      <c r="M59" s="64" t="e">
        <f>VLOOKUP(N$14,Table24581112[],5,FALSE)</f>
        <v>#N/A</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x14ac:dyDescent="0.2">
      <c r="A60" s="87" t="s">
        <v>4</v>
      </c>
      <c r="B60" s="64">
        <f>C10</f>
        <v>6.9</v>
      </c>
      <c r="C60" s="64">
        <f t="shared" ref="C60:U60" si="14">D10</f>
        <v>6.8</v>
      </c>
      <c r="D60" s="64">
        <f t="shared" si="14"/>
        <v>6.8</v>
      </c>
      <c r="E60" s="64">
        <f t="shared" si="14"/>
        <v>6.6</v>
      </c>
      <c r="F60" s="64">
        <f t="shared" si="14"/>
        <v>7.1</v>
      </c>
      <c r="G60" s="64">
        <f t="shared" si="14"/>
        <v>7.3</v>
      </c>
      <c r="H60" s="64">
        <f t="shared" si="14"/>
        <v>6.4</v>
      </c>
      <c r="I60" s="64">
        <f t="shared" si="14"/>
        <v>6.2</v>
      </c>
      <c r="J60" s="64">
        <f t="shared" si="14"/>
        <v>6.2</v>
      </c>
      <c r="K60" s="64">
        <f t="shared" si="14"/>
        <v>6.7</v>
      </c>
      <c r="L60" s="64">
        <f t="shared" si="14"/>
        <v>6.3</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8</v>
      </c>
      <c r="C61" s="64" t="e">
        <f t="shared" si="15"/>
        <v>#N/A</v>
      </c>
      <c r="D61" s="64">
        <f t="shared" si="15"/>
        <v>6</v>
      </c>
      <c r="E61" s="64">
        <f t="shared" si="15"/>
        <v>8</v>
      </c>
      <c r="F61" s="64">
        <f t="shared" si="15"/>
        <v>8</v>
      </c>
      <c r="G61" s="64">
        <f t="shared" si="15"/>
        <v>6</v>
      </c>
      <c r="H61" s="64">
        <f t="shared" si="15"/>
        <v>6</v>
      </c>
      <c r="I61" s="64">
        <f t="shared" si="15"/>
        <v>6</v>
      </c>
      <c r="J61" s="64">
        <f t="shared" si="15"/>
        <v>8</v>
      </c>
      <c r="K61" s="64">
        <f t="shared" si="15"/>
        <v>6</v>
      </c>
      <c r="L61" s="64">
        <f t="shared" si="15"/>
        <v>8</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100</v>
      </c>
      <c r="C62" s="65">
        <f>B32</f>
        <v>50</v>
      </c>
      <c r="D62" s="65">
        <f>B33</f>
        <v>250</v>
      </c>
      <c r="E62" s="65">
        <f>B34</f>
        <v>100</v>
      </c>
      <c r="F62" s="65">
        <f>B35</f>
        <v>100</v>
      </c>
      <c r="G62" s="65">
        <f>B36</f>
        <v>250</v>
      </c>
      <c r="H62" s="65">
        <f>B37</f>
        <v>250</v>
      </c>
      <c r="I62" s="65">
        <f>B38</f>
        <v>250</v>
      </c>
      <c r="J62" s="65">
        <f>B39</f>
        <v>100</v>
      </c>
      <c r="K62" s="65">
        <f>B40</f>
        <v>250</v>
      </c>
      <c r="L62" s="65">
        <f>B41</f>
        <v>50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-1.6000000000000014</v>
      </c>
      <c r="C64" s="65" t="e">
        <f t="shared" ref="C64:U64" si="17">(C59-C60)*C61</f>
        <v>#N/A</v>
      </c>
      <c r="D64" s="65">
        <f t="shared" si="17"/>
        <v>-3.5999999999999979</v>
      </c>
      <c r="E64" s="65">
        <f t="shared" si="17"/>
        <v>0.80000000000000426</v>
      </c>
      <c r="F64" s="65">
        <f t="shared" si="17"/>
        <v>-3.1999999999999957</v>
      </c>
      <c r="G64" s="65">
        <f t="shared" si="17"/>
        <v>-6.5999999999999979</v>
      </c>
      <c r="H64" s="65">
        <f t="shared" si="17"/>
        <v>-1.2000000000000011</v>
      </c>
      <c r="I64" s="65">
        <f t="shared" si="17"/>
        <v>0</v>
      </c>
      <c r="J64" s="65">
        <f t="shared" si="17"/>
        <v>4</v>
      </c>
      <c r="K64" s="65">
        <f t="shared" si="17"/>
        <v>-3</v>
      </c>
      <c r="L64" s="65">
        <f t="shared" si="17"/>
        <v>3.2000000000000028</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1.6000000000000014</v>
      </c>
      <c r="C65" s="65" t="e">
        <f t="shared" ref="C65:U65" si="18">C63-C64</f>
        <v>#N/A</v>
      </c>
      <c r="D65" s="65">
        <f t="shared" si="18"/>
        <v>3.5999999999999979</v>
      </c>
      <c r="E65" s="65">
        <f t="shared" si="18"/>
        <v>-0.80000000000000426</v>
      </c>
      <c r="F65" s="65">
        <f t="shared" si="18"/>
        <v>3.1999999999999957</v>
      </c>
      <c r="G65" s="65">
        <f t="shared" si="18"/>
        <v>6.5999999999999979</v>
      </c>
      <c r="H65" s="65">
        <f t="shared" si="18"/>
        <v>1.2000000000000011</v>
      </c>
      <c r="I65" s="65">
        <f t="shared" si="18"/>
        <v>0</v>
      </c>
      <c r="J65" s="65">
        <f t="shared" si="18"/>
        <v>-4</v>
      </c>
      <c r="K65" s="65">
        <f t="shared" si="18"/>
        <v>3</v>
      </c>
      <c r="L65" s="65">
        <f t="shared" si="18"/>
        <v>-3.2000000000000028</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e">
        <f t="shared" ref="C66:U66" si="19">IF(C64&lt;=C63,"OVER","UNDER")</f>
        <v>#N/A</v>
      </c>
      <c r="D66" s="66" t="str">
        <f t="shared" si="19"/>
        <v>OVER</v>
      </c>
      <c r="E66" s="66" t="str">
        <f t="shared" si="19"/>
        <v>UNDER</v>
      </c>
      <c r="F66" s="66" t="str">
        <f t="shared" si="19"/>
        <v>OVER</v>
      </c>
      <c r="G66" s="66" t="str">
        <f t="shared" si="19"/>
        <v>OVER</v>
      </c>
      <c r="H66" s="66" t="str">
        <f t="shared" si="19"/>
        <v>OVER</v>
      </c>
      <c r="I66" s="66" t="str">
        <f t="shared" si="19"/>
        <v>OVER</v>
      </c>
      <c r="J66" s="66" t="str">
        <f t="shared" si="19"/>
        <v>UNDER</v>
      </c>
      <c r="K66" s="66" t="str">
        <f t="shared" si="19"/>
        <v>OVER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wWqGTsZAiWq0NbDl3Z4xJfX0F2J0WoqonxiBPHU0pyCXJW11L7j4VnZZaZXKaTlws6Fr8pvwQhOO4EjXIhmEQ==" saltValue="5Wy087rYJF8A1m7Tqxx4y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02" priority="37" operator="greaterThan">
      <formula>$B$51</formula>
    </cfRule>
  </conditionalFormatting>
  <conditionalFormatting sqref="B66:U66">
    <cfRule type="cellIs" dxfId="201" priority="12" operator="equal">
      <formula>"UNDER"</formula>
    </cfRule>
    <cfRule type="cellIs" dxfId="200" priority="13" operator="equal">
      <formula>"OVER"</formula>
    </cfRule>
  </conditionalFormatting>
  <conditionalFormatting sqref="C31:C50">
    <cfRule type="cellIs" dxfId="199" priority="36" operator="greaterThan">
      <formula>$C$51</formula>
    </cfRule>
  </conditionalFormatting>
  <conditionalFormatting sqref="C11:V13">
    <cfRule type="cellIs" dxfId="198" priority="1" operator="greaterThan">
      <formula>2</formula>
    </cfRule>
  </conditionalFormatting>
  <conditionalFormatting sqref="C17:V19">
    <cfRule type="cellIs" dxfId="197" priority="33" operator="equal">
      <formula>0</formula>
    </cfRule>
  </conditionalFormatting>
  <conditionalFormatting sqref="C20:V21">
    <cfRule type="cellIs" dxfId="196" priority="38" operator="equal">
      <formula>"DECREASE"</formula>
    </cfRule>
    <cfRule type="cellIs" dxfId="195" priority="39" operator="equal">
      <formula>"INCREASE"</formula>
    </cfRule>
  </conditionalFormatting>
  <conditionalFormatting sqref="C21:V21">
    <cfRule type="cellIs" dxfId="194" priority="14" operator="equal">
      <formula>0</formula>
    </cfRule>
  </conditionalFormatting>
  <conditionalFormatting sqref="C22:V23">
    <cfRule type="cellIs" dxfId="193" priority="18" operator="equal">
      <formula>0</formula>
    </cfRule>
  </conditionalFormatting>
  <conditionalFormatting sqref="C24:V24">
    <cfRule type="cellIs" dxfId="192" priority="19" operator="equal">
      <formula>"DECREASE"</formula>
    </cfRule>
    <cfRule type="cellIs" dxfId="191" priority="20" operator="equal">
      <formula>"INCREASE"</formula>
    </cfRule>
  </conditionalFormatting>
  <conditionalFormatting sqref="G31:G50">
    <cfRule type="cellIs" dxfId="190" priority="32" operator="greaterThan">
      <formula>$G$51</formula>
    </cfRule>
  </conditionalFormatting>
  <conditionalFormatting sqref="H31:H50">
    <cfRule type="cellIs" dxfId="189" priority="31" operator="greaterThan">
      <formula>$H$51</formula>
    </cfRule>
  </conditionalFormatting>
  <conditionalFormatting sqref="I1">
    <cfRule type="cellIs" dxfId="188" priority="4" operator="between">
      <formula>0.1</formula>
      <formula>5</formula>
    </cfRule>
  </conditionalFormatting>
  <conditionalFormatting sqref="I2">
    <cfRule type="cellIs" dxfId="187" priority="3" operator="greaterThan">
      <formula>5000.1</formula>
    </cfRule>
  </conditionalFormatting>
  <conditionalFormatting sqref="I3">
    <cfRule type="cellIs" dxfId="186" priority="2" operator="greaterThan">
      <formula>40000.01</formula>
    </cfRule>
  </conditionalFormatting>
  <conditionalFormatting sqref="I31:I50">
    <cfRule type="cellIs" dxfId="185" priority="30" operator="greaterThan">
      <formula>$I$51</formula>
    </cfRule>
  </conditionalFormatting>
  <conditionalFormatting sqref="J31:J50">
    <cfRule type="cellIs" dxfId="184" priority="9" operator="greaterThan">
      <formula>$J$51</formula>
    </cfRule>
  </conditionalFormatting>
  <conditionalFormatting sqref="K31:K50">
    <cfRule type="cellIs" dxfId="183" priority="29" operator="greaterThan">
      <formula>$K$51</formula>
    </cfRule>
  </conditionalFormatting>
  <conditionalFormatting sqref="L3">
    <cfRule type="cellIs" dxfId="182" priority="5" operator="lessThan">
      <formula>30</formula>
    </cfRule>
    <cfRule type="cellIs" dxfId="181" priority="6" operator="greaterThanOrEqual">
      <formula>30</formula>
    </cfRule>
  </conditionalFormatting>
  <conditionalFormatting sqref="L31:L50">
    <cfRule type="cellIs" dxfId="180" priority="28" operator="greaterThan">
      <formula>$L$51</formula>
    </cfRule>
  </conditionalFormatting>
  <conditionalFormatting sqref="M31:M50">
    <cfRule type="cellIs" dxfId="179" priority="27" operator="greaterThan">
      <formula>$M$51</formula>
    </cfRule>
  </conditionalFormatting>
  <conditionalFormatting sqref="P31:P50">
    <cfRule type="cellIs" dxfId="178" priority="26" operator="greaterThan">
      <formula>$P$51</formula>
    </cfRule>
  </conditionalFormatting>
  <conditionalFormatting sqref="R31:R50">
    <cfRule type="cellIs" dxfId="177" priority="25" operator="greaterThan">
      <formula>$R$51</formula>
    </cfRule>
  </conditionalFormatting>
  <conditionalFormatting sqref="S31:S50">
    <cfRule type="cellIs" dxfId="176" priority="24" operator="greaterThan">
      <formula>$S$51</formula>
    </cfRule>
  </conditionalFormatting>
  <conditionalFormatting sqref="T31:T50">
    <cfRule type="cellIs" dxfId="175" priority="23" operator="greaterThan">
      <formula>$T$51</formula>
    </cfRule>
  </conditionalFormatting>
  <conditionalFormatting sqref="U31:U50">
    <cfRule type="cellIs" dxfId="174" priority="22"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abSelected="1" zoomScale="90" zoomScaleNormal="90" workbookViewId="0">
      <selection activeCell="E31" sqref="E31"/>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42" width="0" style="9" hidden="1" customWidth="1"/>
    <col min="43" max="16384" width="13.140625" style="9"/>
  </cols>
  <sheetData>
    <row r="1" spans="1:41" x14ac:dyDescent="0.2">
      <c r="A1" s="131" t="s">
        <v>41</v>
      </c>
      <c r="B1" s="132"/>
      <c r="C1" s="173" t="str">
        <f>'Field data and Waste 1'!C1:D1</f>
        <v>PAN-027465</v>
      </c>
      <c r="D1" s="174"/>
      <c r="E1" s="106" t="s">
        <v>45</v>
      </c>
      <c r="F1" s="113" t="str">
        <f>'Field data and Waste 1'!F1</f>
        <v>49.2ha</v>
      </c>
      <c r="G1" s="163" t="s">
        <v>43</v>
      </c>
      <c r="H1" s="164"/>
      <c r="I1" s="109">
        <v>6.3</v>
      </c>
      <c r="J1" s="131" t="s">
        <v>153</v>
      </c>
      <c r="K1" s="132"/>
      <c r="L1" s="109">
        <v>1.1000000000000001</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3" t="s">
        <v>87</v>
      </c>
      <c r="B2" s="134"/>
      <c r="C2" s="169" t="str">
        <f>'Field data and Waste 1'!C2:D2</f>
        <v>EPR/AB3891CX</v>
      </c>
      <c r="D2" s="170"/>
      <c r="E2" s="96" t="s">
        <v>109</v>
      </c>
      <c r="F2" s="110" t="s">
        <v>166</v>
      </c>
      <c r="G2" s="165" t="s">
        <v>110</v>
      </c>
      <c r="H2" s="166"/>
      <c r="I2" s="110"/>
      <c r="J2" s="133" t="s">
        <v>158</v>
      </c>
      <c r="K2" s="134"/>
      <c r="L2" s="110">
        <v>1.74</v>
      </c>
      <c r="AB2" s="22" t="s">
        <v>56</v>
      </c>
      <c r="AC2" s="13"/>
      <c r="AD2" s="22" t="s">
        <v>70</v>
      </c>
      <c r="AE2" s="13"/>
      <c r="AF2" s="13"/>
      <c r="AG2" s="34" t="s">
        <v>76</v>
      </c>
      <c r="AH2" s="13"/>
      <c r="AI2" s="35" t="s">
        <v>126</v>
      </c>
      <c r="AJ2" s="36">
        <v>0</v>
      </c>
      <c r="AK2" s="37">
        <v>0</v>
      </c>
      <c r="AL2" s="7">
        <v>0</v>
      </c>
      <c r="AM2" s="9">
        <v>0</v>
      </c>
      <c r="AN2" s="9">
        <v>0</v>
      </c>
    </row>
    <row r="3" spans="1:41" x14ac:dyDescent="0.2">
      <c r="A3" s="135" t="s">
        <v>42</v>
      </c>
      <c r="B3" s="136"/>
      <c r="C3" s="169" t="str">
        <f>'Field data and Waste 1'!C3:D3</f>
        <v>Mr Daniel James and Mrs Carys James</v>
      </c>
      <c r="D3" s="170"/>
      <c r="E3" s="96" t="s">
        <v>108</v>
      </c>
      <c r="F3" s="111" t="s">
        <v>78</v>
      </c>
      <c r="G3" s="133" t="s">
        <v>159</v>
      </c>
      <c r="H3" s="134"/>
      <c r="I3" s="110"/>
      <c r="J3" s="135" t="s">
        <v>154</v>
      </c>
      <c r="K3" s="136"/>
      <c r="L3" s="110">
        <f>(L1/(L2*10000))*100</f>
        <v>6.3218390804597709E-3</v>
      </c>
      <c r="AB3" s="22" t="s">
        <v>57</v>
      </c>
      <c r="AC3" s="13"/>
      <c r="AD3" s="22" t="s">
        <v>71</v>
      </c>
      <c r="AE3" s="13"/>
      <c r="AF3" s="13"/>
      <c r="AG3" s="34" t="s">
        <v>77</v>
      </c>
      <c r="AH3" s="13"/>
      <c r="AI3" s="38" t="s">
        <v>113</v>
      </c>
      <c r="AJ3" s="39">
        <v>1.7</v>
      </c>
      <c r="AK3" s="40">
        <v>6</v>
      </c>
      <c r="AL3" s="41">
        <v>1</v>
      </c>
      <c r="AM3" s="9">
        <v>6.2</v>
      </c>
      <c r="AN3" s="9" t="s">
        <v>112</v>
      </c>
    </row>
    <row r="4" spans="1:41" x14ac:dyDescent="0.2">
      <c r="A4" s="133" t="s">
        <v>0</v>
      </c>
      <c r="B4" s="134"/>
      <c r="C4" s="171" t="str">
        <f>'Field data and Waste 1'!C4:D4</f>
        <v>Hook Farm and New House Farm</v>
      </c>
      <c r="D4" s="172"/>
      <c r="E4" s="99" t="s">
        <v>1</v>
      </c>
      <c r="F4" s="110" t="s">
        <v>171</v>
      </c>
      <c r="G4" s="135"/>
      <c r="H4" s="136"/>
      <c r="I4" s="115"/>
      <c r="J4" s="135"/>
      <c r="K4" s="136"/>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7" t="s">
        <v>47</v>
      </c>
      <c r="B5" s="148"/>
      <c r="C5" s="167" t="str">
        <f>'Field data and Waste 1'!C5:D5</f>
        <v>Rhiannon Smith</v>
      </c>
      <c r="D5" s="168"/>
      <c r="E5" s="107"/>
      <c r="F5" s="114"/>
      <c r="G5" s="137"/>
      <c r="H5" s="138"/>
      <c r="I5" s="114"/>
      <c r="J5" s="137"/>
      <c r="K5" s="138"/>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3" t="s">
        <v>2</v>
      </c>
      <c r="B8" s="134"/>
      <c r="C8" s="49" t="str">
        <f>'Field data and Waste 1'!C8</f>
        <v>Hook Field 2</v>
      </c>
      <c r="D8" s="49" t="str">
        <f>'Field data and Waste 1'!D8</f>
        <v>Hook Field 3</v>
      </c>
      <c r="E8" s="49" t="str">
        <f>'Field data and Waste 1'!E8</f>
        <v>Hook Field 4</v>
      </c>
      <c r="F8" s="49" t="str">
        <f>'Field data and Waste 1'!F8</f>
        <v>Hook Field 8</v>
      </c>
      <c r="G8" s="49" t="str">
        <f>'Field data and Waste 1'!G8</f>
        <v>Hook Field 10</v>
      </c>
      <c r="H8" s="49" t="str">
        <f>'Field data and Waste 1'!H8</f>
        <v>Hook Field 20</v>
      </c>
      <c r="I8" s="49">
        <f>'Field data and Waste 1'!I8</f>
        <v>1</v>
      </c>
      <c r="J8" s="49">
        <f>'Field data and Waste 1'!J8</f>
        <v>2</v>
      </c>
      <c r="K8" s="49">
        <f>'Field data and Waste 1'!K8</f>
        <v>3</v>
      </c>
      <c r="L8" s="49">
        <f>'Field data and Waste 1'!L8</f>
        <v>4</v>
      </c>
      <c r="M8" s="49">
        <f>'Field data and Waste 1'!M8</f>
        <v>7</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3" t="s">
        <v>3</v>
      </c>
      <c r="B9" s="134"/>
      <c r="C9" s="49">
        <f>'Field data and Waste 1'!C9</f>
        <v>1</v>
      </c>
      <c r="D9" s="49">
        <f>'Field data and Waste 1'!D9</f>
        <v>1</v>
      </c>
      <c r="E9" s="49" t="str">
        <f>'Field data and Waste 1'!E9</f>
        <v>Moderate</v>
      </c>
      <c r="F9" s="49">
        <f>'Field data and Waste 1'!F9</f>
        <v>1</v>
      </c>
      <c r="G9" s="49">
        <f>'Field data and Waste 1'!G9</f>
        <v>2</v>
      </c>
      <c r="H9" s="49" t="str">
        <f>'Field data and Waste 1'!H9</f>
        <v>Moderate</v>
      </c>
      <c r="I9" s="49" t="str">
        <f>'Field data and Waste 1'!I9</f>
        <v>Moderate</v>
      </c>
      <c r="J9" s="49" t="str">
        <f>'Field data and Waste 1'!J9</f>
        <v>Moderate</v>
      </c>
      <c r="K9" s="49">
        <f>'Field data and Waste 1'!K9</f>
        <v>1</v>
      </c>
      <c r="L9" s="49" t="str">
        <f>'Field data and Waste 1'!L9</f>
        <v>Moderate</v>
      </c>
      <c r="M9" s="49">
        <f>'Field data and Waste 1'!M9</f>
        <v>1</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3" t="s">
        <v>4</v>
      </c>
      <c r="B10" s="134"/>
      <c r="C10" s="49">
        <f>'Field data and Waste 1'!C10</f>
        <v>6.9</v>
      </c>
      <c r="D10" s="49">
        <f>'Field data and Waste 1'!D10</f>
        <v>6.8</v>
      </c>
      <c r="E10" s="49">
        <f>'Field data and Waste 1'!E10</f>
        <v>6.8</v>
      </c>
      <c r="F10" s="49">
        <f>'Field data and Waste 1'!F10</f>
        <v>6.6</v>
      </c>
      <c r="G10" s="49">
        <f>'Field data and Waste 1'!G10</f>
        <v>7.1</v>
      </c>
      <c r="H10" s="49">
        <f>'Field data and Waste 1'!H10</f>
        <v>7.3</v>
      </c>
      <c r="I10" s="49">
        <f>'Field data and Waste 1'!I10</f>
        <v>6.4</v>
      </c>
      <c r="J10" s="49">
        <f>'Field data and Waste 1'!J10</f>
        <v>6.2</v>
      </c>
      <c r="K10" s="49">
        <f>'Field data and Waste 1'!K10</f>
        <v>6.2</v>
      </c>
      <c r="L10" s="49">
        <f>'Field data and Waste 1'!L10</f>
        <v>6.7</v>
      </c>
      <c r="M10" s="49">
        <f>'Field data and Waste 1'!M10</f>
        <v>6.3</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3" t="s">
        <v>5</v>
      </c>
      <c r="B11" s="134"/>
      <c r="C11" s="49">
        <f>'Field data and Waste 1'!C11</f>
        <v>3</v>
      </c>
      <c r="D11" s="49">
        <f>'Field data and Waste 1'!D11</f>
        <v>3</v>
      </c>
      <c r="E11" s="49">
        <f>'Field data and Waste 1'!E11</f>
        <v>3</v>
      </c>
      <c r="F11" s="49">
        <f>'Field data and Waste 1'!F11</f>
        <v>3</v>
      </c>
      <c r="G11" s="49">
        <f>'Field data and Waste 1'!G11</f>
        <v>3</v>
      </c>
      <c r="H11" s="49">
        <f>'Field data and Waste 1'!H11</f>
        <v>3</v>
      </c>
      <c r="I11" s="49">
        <f>'Field data and Waste 1'!I11</f>
        <v>3</v>
      </c>
      <c r="J11" s="49">
        <f>'Field data and Waste 1'!J11</f>
        <v>2</v>
      </c>
      <c r="K11" s="49">
        <f>'Field data and Waste 1'!K11</f>
        <v>2</v>
      </c>
      <c r="L11" s="49">
        <f>'Field data and Waste 1'!L11</f>
        <v>3</v>
      </c>
      <c r="M11" s="49">
        <f>'Field data and Waste 1'!M11</f>
        <v>3</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3" t="s">
        <v>6</v>
      </c>
      <c r="B12" s="134"/>
      <c r="C12" s="49">
        <f>'Field data and Waste 1'!C12</f>
        <v>3</v>
      </c>
      <c r="D12" s="49">
        <f>'Field data and Waste 1'!D12</f>
        <v>3</v>
      </c>
      <c r="E12" s="49">
        <f>'Field data and Waste 1'!E12</f>
        <v>2</v>
      </c>
      <c r="F12" s="49">
        <f>'Field data and Waste 1'!F12</f>
        <v>3</v>
      </c>
      <c r="G12" s="49">
        <f>'Field data and Waste 1'!G12</f>
        <v>2</v>
      </c>
      <c r="H12" s="49">
        <f>'Field data and Waste 1'!H12</f>
        <v>2</v>
      </c>
      <c r="I12" s="49">
        <f>'Field data and Waste 1'!I12</f>
        <v>2</v>
      </c>
      <c r="J12" s="49">
        <f>'Field data and Waste 1'!J12</f>
        <v>2</v>
      </c>
      <c r="K12" s="49">
        <f>'Field data and Waste 1'!K12</f>
        <v>2</v>
      </c>
      <c r="L12" s="49">
        <f>'Field data and Waste 1'!L12</f>
        <v>2</v>
      </c>
      <c r="M12" s="49">
        <f>'Field data and Waste 1'!M12</f>
        <v>1</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3" t="s">
        <v>7</v>
      </c>
      <c r="B13" s="134"/>
      <c r="C13" s="49">
        <f>'Field data and Waste 1'!C13</f>
        <v>3</v>
      </c>
      <c r="D13" s="49">
        <f>'Field data and Waste 1'!D13</f>
        <v>2</v>
      </c>
      <c r="E13" s="49">
        <f>'Field data and Waste 1'!E13</f>
        <v>2</v>
      </c>
      <c r="F13" s="49">
        <f>'Field data and Waste 1'!F13</f>
        <v>3</v>
      </c>
      <c r="G13" s="49">
        <f>'Field data and Waste 1'!G13</f>
        <v>1</v>
      </c>
      <c r="H13" s="49">
        <f>'Field data and Waste 1'!H13</f>
        <v>1</v>
      </c>
      <c r="I13" s="49">
        <f>'Field data and Waste 1'!I13</f>
        <v>5</v>
      </c>
      <c r="J13" s="49">
        <f>'Field data and Waste 1'!J13</f>
        <v>2</v>
      </c>
      <c r="K13" s="49">
        <f>'Field data and Waste 1'!K13</f>
        <v>2</v>
      </c>
      <c r="L13" s="49">
        <f>'Field data and Waste 1'!L13</f>
        <v>2</v>
      </c>
      <c r="M13" s="49">
        <f>'Field data and Waste 1'!M13</f>
        <v>2</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1" t="s">
        <v>8</v>
      </c>
      <c r="B14" s="152"/>
      <c r="C14" s="83" t="str">
        <f>'Field data and Waste 1'!C14</f>
        <v>Maize- Silage (30% DM)</v>
      </c>
      <c r="D14" s="83">
        <f>'Field data and Waste 1'!D14</f>
        <v>0</v>
      </c>
      <c r="E14" s="83" t="str">
        <f>'Field data and Waste 1'!E14</f>
        <v xml:space="preserve">Grass Silage (25% DM) </v>
      </c>
      <c r="F14" s="83" t="str">
        <f>'Field data and Waste 1'!F14</f>
        <v>Winter barley/triticale/rye</v>
      </c>
      <c r="G14" s="83" t="str">
        <f>'Field data and Waste 1'!G14</f>
        <v>Spring wheat/barley</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Winter barley/triticale/rye</v>
      </c>
      <c r="L14" s="83" t="str">
        <f>'Field data and Waste 1'!L14</f>
        <v xml:space="preserve">Grass Silage (25% DM) </v>
      </c>
      <c r="M14" s="83" t="str">
        <f>'Field data and Waste 1'!M14</f>
        <v>Fodder beet (roots only)</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49" t="s">
        <v>9</v>
      </c>
      <c r="B15" s="150"/>
      <c r="C15" s="49">
        <f>'Field data and Waste 1'!C15</f>
        <v>45</v>
      </c>
      <c r="D15" s="49">
        <f>'Field data and Waste 1'!D15</f>
        <v>30</v>
      </c>
      <c r="E15" s="49">
        <f>'Field data and Waste 1'!E15</f>
        <v>38</v>
      </c>
      <c r="F15" s="49">
        <f>'Field data and Waste 1'!F15</f>
        <v>7.5</v>
      </c>
      <c r="G15" s="49">
        <f>'Field data and Waste 1'!G15</f>
        <v>6.5</v>
      </c>
      <c r="H15" s="49">
        <f>'Field data and Waste 1'!H15</f>
        <v>38</v>
      </c>
      <c r="I15" s="49">
        <f>'Field data and Waste 1'!I15</f>
        <v>54</v>
      </c>
      <c r="J15" s="49">
        <f>'Field data and Waste 1'!J15</f>
        <v>54</v>
      </c>
      <c r="K15" s="49">
        <f>'Field data and Waste 1'!K15</f>
        <v>7.5</v>
      </c>
      <c r="L15" s="49">
        <f>'Field data and Waste 1'!L15</f>
        <v>54</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3" t="s">
        <v>44</v>
      </c>
      <c r="B16" s="154"/>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39" t="s">
        <v>69</v>
      </c>
      <c r="B17" s="140"/>
      <c r="C17" s="20">
        <f>(VLOOKUP(C$14,$AI2:$AK26,2,FALSE))*C$15</f>
        <v>62.999999999999993</v>
      </c>
      <c r="D17" s="20" t="e">
        <f t="shared" ref="D17:V17" si="0">(VLOOKUP(D$14,$AI2:$AK26,2,FALSE))*D$15</f>
        <v>#N/A</v>
      </c>
      <c r="E17" s="20">
        <f t="shared" si="0"/>
        <v>64.599999999999994</v>
      </c>
      <c r="F17" s="20">
        <f t="shared" si="0"/>
        <v>63.75</v>
      </c>
      <c r="G17" s="20">
        <f t="shared" si="0"/>
        <v>55.25</v>
      </c>
      <c r="H17" s="20">
        <f t="shared" si="0"/>
        <v>64.599999999999994</v>
      </c>
      <c r="I17" s="20">
        <f t="shared" si="0"/>
        <v>91.8</v>
      </c>
      <c r="J17" s="20">
        <f t="shared" si="0"/>
        <v>91.8</v>
      </c>
      <c r="K17" s="20">
        <f t="shared" si="0"/>
        <v>63.75</v>
      </c>
      <c r="L17" s="20">
        <f t="shared" si="0"/>
        <v>91.8</v>
      </c>
      <c r="M17" s="20">
        <f t="shared" si="0"/>
        <v>0</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1" t="s">
        <v>23</v>
      </c>
      <c r="B18" s="142"/>
      <c r="C18" s="12">
        <f>$D31</f>
        <v>29.691360000000007</v>
      </c>
      <c r="D18" s="12">
        <f>$D32</f>
        <v>14.845680000000003</v>
      </c>
      <c r="E18" s="12">
        <f>$D33</f>
        <v>54.929016000000004</v>
      </c>
      <c r="F18" s="12">
        <f>$D34</f>
        <v>29.691360000000007</v>
      </c>
      <c r="G18" s="12">
        <f>$D35</f>
        <v>29.691360000000007</v>
      </c>
      <c r="H18" s="12">
        <f>$D36</f>
        <v>54.929016000000004</v>
      </c>
      <c r="I18" s="12">
        <f>$D37</f>
        <v>54.929016000000004</v>
      </c>
      <c r="J18" s="12">
        <f>$D38</f>
        <v>54.929016000000004</v>
      </c>
      <c r="K18" s="12">
        <f>$D39</f>
        <v>29.691360000000007</v>
      </c>
      <c r="L18" s="12">
        <f>$D40</f>
        <v>54.929016000000004</v>
      </c>
      <c r="M18" s="12">
        <f>$D41</f>
        <v>14.845680000000003</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1" t="s">
        <v>90</v>
      </c>
      <c r="B19" s="142"/>
      <c r="C19" s="12">
        <f>C18-C17</f>
        <v>-33.308639999999983</v>
      </c>
      <c r="D19" s="12" t="e">
        <f t="shared" ref="D19:V19" si="1">D18-D17</f>
        <v>#N/A</v>
      </c>
      <c r="E19" s="12">
        <f t="shared" si="1"/>
        <v>-9.67098399999999</v>
      </c>
      <c r="F19" s="12">
        <f t="shared" si="1"/>
        <v>-34.058639999999997</v>
      </c>
      <c r="G19" s="12">
        <f t="shared" si="1"/>
        <v>-25.558639999999993</v>
      </c>
      <c r="H19" s="12">
        <f t="shared" si="1"/>
        <v>-9.67098399999999</v>
      </c>
      <c r="I19" s="12">
        <f t="shared" si="1"/>
        <v>-36.870983999999993</v>
      </c>
      <c r="J19" s="12">
        <f t="shared" si="1"/>
        <v>-36.870983999999993</v>
      </c>
      <c r="K19" s="12">
        <f t="shared" si="1"/>
        <v>-34.058639999999997</v>
      </c>
      <c r="L19" s="12">
        <f t="shared" si="1"/>
        <v>-36.870983999999993</v>
      </c>
      <c r="M19" s="12">
        <f t="shared" si="1"/>
        <v>14.845680000000003</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3" t="s">
        <v>91</v>
      </c>
      <c r="B20" s="144"/>
      <c r="C20" s="18" t="str">
        <f>IF($B31="","",IF(C$19&gt;=0,"INCREASE","DECREASE"))</f>
        <v>DECREASE</v>
      </c>
      <c r="D20" s="18" t="e">
        <f>IF($B32="","",IF(D$19&gt;=0,"INCREASE","DECREASE"))</f>
        <v>#N/A</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INCREASE</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9" t="s">
        <v>88</v>
      </c>
      <c r="B21" s="140"/>
      <c r="C21" s="20">
        <f>(VLOOKUP(C$14,$AI2:$AK26,3,FALSE))*C$15</f>
        <v>198.00000000000003</v>
      </c>
      <c r="D21" s="20" t="e">
        <f t="shared" ref="D21:V21" si="2">(VLOOKUP(D$14,$AI2:$AK26,3,FALSE))*D$15</f>
        <v>#N/A</v>
      </c>
      <c r="E21" s="20">
        <f t="shared" si="2"/>
        <v>228</v>
      </c>
      <c r="F21" s="20">
        <f t="shared" si="2"/>
        <v>78.75</v>
      </c>
      <c r="G21" s="20">
        <f t="shared" si="2"/>
        <v>78</v>
      </c>
      <c r="H21" s="20">
        <f t="shared" si="2"/>
        <v>228</v>
      </c>
      <c r="I21" s="20">
        <f t="shared" si="2"/>
        <v>324</v>
      </c>
      <c r="J21" s="20">
        <f t="shared" si="2"/>
        <v>324</v>
      </c>
      <c r="K21" s="20">
        <f t="shared" si="2"/>
        <v>78.75</v>
      </c>
      <c r="L21" s="20">
        <f t="shared" si="2"/>
        <v>324</v>
      </c>
      <c r="M21" s="20">
        <f t="shared" si="2"/>
        <v>0</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1" t="s">
        <v>89</v>
      </c>
      <c r="B22" s="142"/>
      <c r="C22" s="12">
        <f>$E31</f>
        <v>1.0150920000000001</v>
      </c>
      <c r="D22" s="12">
        <f>$E32</f>
        <v>0.50754600000000005</v>
      </c>
      <c r="E22" s="12">
        <f>$E33</f>
        <v>1.8779202000000004</v>
      </c>
      <c r="F22" s="12">
        <f>$E34</f>
        <v>1.0150920000000001</v>
      </c>
      <c r="G22" s="12">
        <f>$E35</f>
        <v>1.0150920000000001</v>
      </c>
      <c r="H22" s="12">
        <f>$E36</f>
        <v>1.8779202000000004</v>
      </c>
      <c r="I22" s="12">
        <f>$E37</f>
        <v>1.8779202000000004</v>
      </c>
      <c r="J22" s="12">
        <f>$E38</f>
        <v>1.8779202000000004</v>
      </c>
      <c r="K22" s="12">
        <f>$E39</f>
        <v>1.0150920000000001</v>
      </c>
      <c r="L22" s="12">
        <f>$E40</f>
        <v>1.8779202000000004</v>
      </c>
      <c r="M22" s="12">
        <f>$E41</f>
        <v>0.50754600000000005</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1" t="s">
        <v>92</v>
      </c>
      <c r="B23" s="142"/>
      <c r="C23" s="12">
        <f>C22-C21</f>
        <v>-196.98490800000002</v>
      </c>
      <c r="D23" s="12" t="e">
        <f t="shared" ref="D23:V23" si="3">D22-D21</f>
        <v>#N/A</v>
      </c>
      <c r="E23" s="12">
        <f t="shared" si="3"/>
        <v>-226.12207979999999</v>
      </c>
      <c r="F23" s="12">
        <f t="shared" si="3"/>
        <v>-77.734908000000004</v>
      </c>
      <c r="G23" s="12">
        <f t="shared" si="3"/>
        <v>-76.984908000000004</v>
      </c>
      <c r="H23" s="12">
        <f t="shared" si="3"/>
        <v>-226.12207979999999</v>
      </c>
      <c r="I23" s="12">
        <f t="shared" si="3"/>
        <v>-322.12207979999999</v>
      </c>
      <c r="J23" s="12">
        <f t="shared" si="3"/>
        <v>-322.12207979999999</v>
      </c>
      <c r="K23" s="12">
        <f t="shared" si="3"/>
        <v>-77.734908000000004</v>
      </c>
      <c r="L23" s="12">
        <f t="shared" si="3"/>
        <v>-322.12207979999999</v>
      </c>
      <c r="M23" s="12">
        <f t="shared" si="3"/>
        <v>0.50754600000000005</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3" t="s">
        <v>93</v>
      </c>
      <c r="B24" s="144"/>
      <c r="C24" s="18" t="str">
        <f>IF($B31="","",IF(C$23&gt;=0,"INCREASE","DECREASE"))</f>
        <v>DECREASE</v>
      </c>
      <c r="D24" s="18" t="e">
        <f t="shared" ref="D24:V24" si="4">IF($B31="","",IF(D$23&gt;=0,"INCREASE","DECREASE"))</f>
        <v>#N/A</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INCREASE</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5.4</v>
      </c>
      <c r="C28" s="11">
        <v>1.74</v>
      </c>
      <c r="D28" s="11">
        <v>0.24</v>
      </c>
      <c r="E28" s="11">
        <v>1.5599999999999999E-2</v>
      </c>
      <c r="F28" s="11">
        <v>241</v>
      </c>
      <c r="G28" s="11">
        <v>20.100000000000001</v>
      </c>
      <c r="H28" s="11">
        <v>77.5</v>
      </c>
      <c r="I28" s="11">
        <v>2.41</v>
      </c>
      <c r="J28" s="11">
        <v>0.36</v>
      </c>
      <c r="K28" s="15">
        <v>0.75</v>
      </c>
      <c r="L28" s="11">
        <v>5.0999999999999996</v>
      </c>
      <c r="M28" s="11">
        <v>4.3</v>
      </c>
      <c r="N28" s="11">
        <v>130000</v>
      </c>
      <c r="O28" s="11">
        <v>31100</v>
      </c>
      <c r="P28" s="11"/>
      <c r="Q28" s="11">
        <v>4350</v>
      </c>
      <c r="R28" s="11"/>
      <c r="S28" s="11">
        <v>69.099999999999994</v>
      </c>
      <c r="T28" s="11"/>
      <c r="U28" s="97"/>
    </row>
    <row r="29" spans="1:40" s="7" customFormat="1" ht="27" x14ac:dyDescent="0.2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Hook Field 2</v>
      </c>
      <c r="B31" s="11">
        <v>100</v>
      </c>
      <c r="C31" s="65">
        <f>IF(C$27="%w/w SAR",((C$28*10)*$B31),IF(C$27="%w/w DM",(((C$28*10)*($B$28/100))*$B31),IF(C$27="kg/t SAR",(C$28*$B31),IF(C$27="kg/t DM",((C$28*($B$28/100))*$B31),IF(C$27="mg/kg SAR",((C$28*0.001)*$B31),IF(C$27="mg/kg DM",(((C$28*0.001)*($B$28/100))*$B31),0))))))</f>
        <v>93.96</v>
      </c>
      <c r="D31" s="65">
        <f>(IF(D$27="%w/w SAR",((D$28*10)*$B31),IF(D$27="%w/w DM",(((D$28*10)*($B$28/100))*$B31),IF(D$27="kg/t SAR",(D$28*$B31),IF(D$27="kg/t DM",((D$28*($B$28/100))*$B31),IF(D$27="mg/kg SAR",((D$28*0.001)*$B31),IF(D$27="mg/kg DM",(((D$28*0.001)*($B$28/100))*$B31),"0")))))))*2.291</f>
        <v>29.691360000000007</v>
      </c>
      <c r="E31" s="65">
        <f>(IF(E$27="%w/w SAR",((E$28*10)*$B31),IF(E$27="%w/w DM",(((E$28*10)*($B$28/100))*$B31),IF(E$27="kg/t SAR",(E$28*$B31),IF(E$27="kg/t DM",((E$28*($B$28/100))*$B31),IF(E$27="mg/kg SAR",((E$28*0.001)*$B31),IF(E$27="mg/kg DM",(((E$28*0.001)*($B$28/100))*$B31),"0")))))))*1.205</f>
        <v>1.0150920000000001</v>
      </c>
      <c r="F31" s="65">
        <f>(IF(F$27="%w/w SAR",((F$28*10)*$B31),IF(F$27="%w/w DM",(((F$28*10)*($B$28/100))*$B31),IF(F$27="kg/t SAR",(F$28*$B31),IF(F$27="kg/t DM",((F$28*($B$28/100))*$B31),IF(F$27="mg/kg SAR",((F$28*0.001)*$B31),IF(F$27="mg/kg DM",(((F$28*0.001)*($B$28/100))*$B31),"0")))))))*1.658</f>
        <v>2.1577212000000001</v>
      </c>
      <c r="G31" s="65">
        <f t="shared" ref="G31:P46" si="5">IF(G$27="%w/w SAR",((G$28*10)*$B31),IF(G$27="%w/w DM",(((G$28*10)*($B$28/100))*$B31),IF(G$27="kg/t SAR",(G$28*$B31),IF(G$27="kg/t DM",((G$28*($B$28/100))*$B31),IF(G$27="mg/kg SAR",((G$28*0.001)*$B31),IF(G$27="mg/kg DM",(((G$28*0.001)*($B$28/100))*$B31),0))))))</f>
        <v>0.10854000000000003</v>
      </c>
      <c r="H31" s="65">
        <f t="shared" si="5"/>
        <v>0.41850000000000004</v>
      </c>
      <c r="I31" s="65">
        <f t="shared" si="5"/>
        <v>1.3014000000000003E-2</v>
      </c>
      <c r="J31" s="65">
        <f t="shared" si="5"/>
        <v>1.944E-3</v>
      </c>
      <c r="K31" s="65">
        <f t="shared" si="5"/>
        <v>4.0500000000000006E-3</v>
      </c>
      <c r="L31" s="65">
        <f t="shared" si="5"/>
        <v>2.7540000000000002E-2</v>
      </c>
      <c r="M31" s="65">
        <f t="shared" si="5"/>
        <v>2.3220000000000005E-2</v>
      </c>
      <c r="N31" s="65">
        <f t="shared" si="5"/>
        <v>702</v>
      </c>
      <c r="O31" s="65">
        <f t="shared" si="5"/>
        <v>167.94000000000003</v>
      </c>
      <c r="P31" s="65">
        <f t="shared" si="5"/>
        <v>0</v>
      </c>
      <c r="Q31" s="65">
        <f>(IF(Q$27="%w/w SAR",((Q$28*10)*$B31),IF(Q$27="%w/w DM",(((Q$28*10)*($B$28/100))*$B31),IF(Q$27="kg/t SAR",(Q$28*$B31),IF(Q$27="kg/t DM",((Q$28*($B$28/100))*$B31),IF(Q$27="mg/kg SAR",((Q$28*0.001)*$B31),IF(Q$27="mg/kg DM",(((Q$28*0.001)*($B$28/100))*$B31),0)))))))*2.5</f>
        <v>58.725000000000016</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0.37314000000000003</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Hook Field 3</v>
      </c>
      <c r="B32" s="11">
        <v>50</v>
      </c>
      <c r="C32" s="65">
        <f t="shared" ref="C32:C50" si="6">IF(C$27="%w/w SAR",((C$28*10)*$B32),IF(C$27="%w/w DM",(((C$28*10)*($B$28/100))*$B32),IF(C$27="kg/t SAR",(C$28*$B32),IF(C$27="kg/t DM",((C$28*($B$28/100))*$B32),IF(C$27="mg/kg SAR",((C$28*0.001)*$B32),IF(C$27="mg/kg DM",(((C$28*0.001)*($B$28/100))*$B32),0))))))</f>
        <v>46.98</v>
      </c>
      <c r="D32" s="65">
        <f t="shared" ref="D32:D50" si="7">(IF(D$27="%w/w SAR",((D$28*10)*$B32),IF(D$27="%w/w DM",(((D$28*10)*($B$28/100))*$B32),IF(D$27="kg/t SAR",(D$28*$B32),IF(D$27="kg/t DM",((D$28*($B$28/100))*$B32),IF(D$27="mg/kg SAR",((D$28*0.001)*$B32),IF(D$27="mg/kg DM",(((D$28*0.001)*($B$28/100))*$B32),"0")))))))*2.291</f>
        <v>14.845680000000003</v>
      </c>
      <c r="E32" s="65">
        <f t="shared" ref="E32:E50" si="8">(IF(E$27="%w/w SAR",((E$28*10)*$B32),IF(E$27="%w/w DM",(((E$28*10)*($B$28/100))*$B32),IF(E$27="kg/t SAR",(E$28*$B32),IF(E$27="kg/t DM",((E$28*($B$28/100))*$B32),IF(E$27="mg/kg SAR",((E$28*0.001)*$B32),IF(E$27="mg/kg DM",(((E$28*0.001)*($B$28/100))*$B32),"0")))))))*1.205</f>
        <v>0.50754600000000005</v>
      </c>
      <c r="F32" s="65">
        <f t="shared" ref="F32:F50" si="9">(IF(F$27="%w/w SAR",((F$28*10)*$B32),IF(F$27="%w/w DM",(((F$28*10)*($B$28/100))*$B32),IF(F$27="kg/t SAR",(F$28*$B32),IF(F$27="kg/t DM",((F$28*($B$28/100))*$B32),IF(F$27="mg/kg SAR",((F$28*0.001)*$B32),IF(F$27="mg/kg DM",(((F$28*0.001)*($B$28/100))*$B32),"0")))))))*1.658</f>
        <v>1.0788606000000001</v>
      </c>
      <c r="G32" s="65">
        <f t="shared" si="5"/>
        <v>5.4270000000000013E-2</v>
      </c>
      <c r="H32" s="65">
        <f t="shared" si="5"/>
        <v>0.20925000000000002</v>
      </c>
      <c r="I32" s="65">
        <f t="shared" si="5"/>
        <v>6.5070000000000015E-3</v>
      </c>
      <c r="J32" s="65">
        <f t="shared" si="5"/>
        <v>9.7199999999999999E-4</v>
      </c>
      <c r="K32" s="65">
        <f t="shared" si="5"/>
        <v>2.0250000000000003E-3</v>
      </c>
      <c r="L32" s="65">
        <f t="shared" si="5"/>
        <v>1.3770000000000001E-2</v>
      </c>
      <c r="M32" s="65">
        <f t="shared" si="5"/>
        <v>1.1610000000000002E-2</v>
      </c>
      <c r="N32" s="65">
        <f t="shared" si="5"/>
        <v>351</v>
      </c>
      <c r="O32" s="65">
        <f t="shared" si="5"/>
        <v>83.970000000000013</v>
      </c>
      <c r="P32" s="65">
        <f t="shared" si="5"/>
        <v>0</v>
      </c>
      <c r="Q32" s="65">
        <f t="shared" ref="Q32:Q50" si="10">(IF(Q$27="%w/w SAR",((Q$28*10)*$B32),IF(Q$27="%w/w DM",(((Q$28*10)*($B$28/100))*$B32),IF(Q$27="kg/t SAR",(Q$28*$B32),IF(Q$27="kg/t DM",((Q$28*($B$28/100))*$B32),IF(Q$27="mg/kg SAR",((Q$28*0.001)*$B32),IF(Q$27="mg/kg DM",(((Q$28*0.001)*($B$28/100))*$B32),0)))))))*2.5</f>
        <v>29.362500000000008</v>
      </c>
      <c r="R32" s="65">
        <f t="shared" ref="R32:U50" si="11">IF(R$27="%w/w SAR",((R$28*10)*$B32),IF(R$27="%w/w DM",(((R$28*10)*($B$28/100))*$B32),IF(R$27="kg/t SAR",(R$28*$B32),IF(R$27="kg/t DM",((R$28*($B$28/100))*$B32),IF(R$27="mg/kg SAR",((R$28*0.001)*$B32),IF(R$27="mg/kg DM",(((R$28*0.001)*($B$28/100))*$B32),0))))))</f>
        <v>0</v>
      </c>
      <c r="S32" s="65">
        <f t="shared" si="11"/>
        <v>0.18657000000000001</v>
      </c>
      <c r="T32" s="65">
        <f t="shared" si="11"/>
        <v>0</v>
      </c>
      <c r="U32" s="126">
        <f t="shared" si="11"/>
        <v>0</v>
      </c>
    </row>
    <row r="33" spans="1:21" s="48" customFormat="1" x14ac:dyDescent="0.25">
      <c r="A33" s="125" t="str">
        <f>E8</f>
        <v>Hook Field 4</v>
      </c>
      <c r="B33" s="11">
        <v>185</v>
      </c>
      <c r="C33" s="65">
        <f t="shared" si="6"/>
        <v>173.82599999999999</v>
      </c>
      <c r="D33" s="65">
        <f t="shared" si="7"/>
        <v>54.929016000000004</v>
      </c>
      <c r="E33" s="65">
        <f t="shared" si="8"/>
        <v>1.8779202000000004</v>
      </c>
      <c r="F33" s="65">
        <f t="shared" si="9"/>
        <v>3.9917842200000004</v>
      </c>
      <c r="G33" s="65">
        <f t="shared" si="5"/>
        <v>0.20079900000000006</v>
      </c>
      <c r="H33" s="65">
        <f t="shared" si="5"/>
        <v>0.77422500000000005</v>
      </c>
      <c r="I33" s="65">
        <f t="shared" si="5"/>
        <v>2.4075900000000004E-2</v>
      </c>
      <c r="J33" s="65">
        <f t="shared" si="5"/>
        <v>3.5964E-3</v>
      </c>
      <c r="K33" s="65">
        <f t="shared" si="5"/>
        <v>7.4925000000000018E-3</v>
      </c>
      <c r="L33" s="65">
        <f t="shared" si="5"/>
        <v>5.0949000000000008E-2</v>
      </c>
      <c r="M33" s="65">
        <f t="shared" si="5"/>
        <v>4.2957000000000009E-2</v>
      </c>
      <c r="N33" s="65">
        <f t="shared" si="5"/>
        <v>1298.7</v>
      </c>
      <c r="O33" s="65">
        <f t="shared" si="5"/>
        <v>310.68900000000002</v>
      </c>
      <c r="P33" s="65">
        <f t="shared" si="5"/>
        <v>0</v>
      </c>
      <c r="Q33" s="65">
        <f t="shared" si="10"/>
        <v>108.64125000000003</v>
      </c>
      <c r="R33" s="65">
        <f t="shared" si="11"/>
        <v>0</v>
      </c>
      <c r="S33" s="65">
        <f t="shared" si="11"/>
        <v>0.69030900000000006</v>
      </c>
      <c r="T33" s="65">
        <f t="shared" si="11"/>
        <v>0</v>
      </c>
      <c r="U33" s="126">
        <f t="shared" si="11"/>
        <v>0</v>
      </c>
    </row>
    <row r="34" spans="1:21" s="48" customFormat="1" x14ac:dyDescent="0.25">
      <c r="A34" s="125" t="str">
        <f>F8</f>
        <v>Hook Field 8</v>
      </c>
      <c r="B34" s="11">
        <v>100</v>
      </c>
      <c r="C34" s="65">
        <f t="shared" si="6"/>
        <v>93.96</v>
      </c>
      <c r="D34" s="65">
        <f t="shared" si="7"/>
        <v>29.691360000000007</v>
      </c>
      <c r="E34" s="65">
        <f t="shared" si="8"/>
        <v>1.0150920000000001</v>
      </c>
      <c r="F34" s="65">
        <f t="shared" si="9"/>
        <v>2.1577212000000001</v>
      </c>
      <c r="G34" s="65">
        <f t="shared" si="5"/>
        <v>0.10854000000000003</v>
      </c>
      <c r="H34" s="65">
        <f t="shared" si="5"/>
        <v>0.41850000000000004</v>
      </c>
      <c r="I34" s="65">
        <f t="shared" si="5"/>
        <v>1.3014000000000003E-2</v>
      </c>
      <c r="J34" s="65">
        <f t="shared" si="5"/>
        <v>1.944E-3</v>
      </c>
      <c r="K34" s="65">
        <f t="shared" si="5"/>
        <v>4.0500000000000006E-3</v>
      </c>
      <c r="L34" s="65">
        <f t="shared" si="5"/>
        <v>2.7540000000000002E-2</v>
      </c>
      <c r="M34" s="65">
        <f t="shared" si="5"/>
        <v>2.3220000000000005E-2</v>
      </c>
      <c r="N34" s="65">
        <f t="shared" si="5"/>
        <v>702</v>
      </c>
      <c r="O34" s="65">
        <f t="shared" si="5"/>
        <v>167.94000000000003</v>
      </c>
      <c r="P34" s="65">
        <f t="shared" si="5"/>
        <v>0</v>
      </c>
      <c r="Q34" s="65">
        <f t="shared" si="10"/>
        <v>58.725000000000016</v>
      </c>
      <c r="R34" s="65">
        <f t="shared" si="11"/>
        <v>0</v>
      </c>
      <c r="S34" s="65">
        <f t="shared" si="11"/>
        <v>0.37314000000000003</v>
      </c>
      <c r="T34" s="65">
        <f t="shared" si="11"/>
        <v>0</v>
      </c>
      <c r="U34" s="126">
        <f t="shared" si="11"/>
        <v>0</v>
      </c>
    </row>
    <row r="35" spans="1:21" s="48" customFormat="1" x14ac:dyDescent="0.25">
      <c r="A35" s="125" t="str">
        <f>G8</f>
        <v>Hook Field 10</v>
      </c>
      <c r="B35" s="11">
        <v>100</v>
      </c>
      <c r="C35" s="65">
        <f t="shared" si="6"/>
        <v>93.96</v>
      </c>
      <c r="D35" s="65">
        <f t="shared" si="7"/>
        <v>29.691360000000007</v>
      </c>
      <c r="E35" s="65">
        <f t="shared" si="8"/>
        <v>1.0150920000000001</v>
      </c>
      <c r="F35" s="65">
        <f t="shared" si="9"/>
        <v>2.1577212000000001</v>
      </c>
      <c r="G35" s="65">
        <f t="shared" si="5"/>
        <v>0.10854000000000003</v>
      </c>
      <c r="H35" s="65">
        <f t="shared" si="5"/>
        <v>0.41850000000000004</v>
      </c>
      <c r="I35" s="65">
        <f t="shared" si="5"/>
        <v>1.3014000000000003E-2</v>
      </c>
      <c r="J35" s="65">
        <f t="shared" si="5"/>
        <v>1.944E-3</v>
      </c>
      <c r="K35" s="65">
        <f t="shared" si="5"/>
        <v>4.0500000000000006E-3</v>
      </c>
      <c r="L35" s="65">
        <f t="shared" si="5"/>
        <v>2.7540000000000002E-2</v>
      </c>
      <c r="M35" s="65">
        <f t="shared" si="5"/>
        <v>2.3220000000000005E-2</v>
      </c>
      <c r="N35" s="65">
        <f t="shared" si="5"/>
        <v>702</v>
      </c>
      <c r="O35" s="65">
        <f t="shared" si="5"/>
        <v>167.94000000000003</v>
      </c>
      <c r="P35" s="65">
        <f t="shared" si="5"/>
        <v>0</v>
      </c>
      <c r="Q35" s="65">
        <f t="shared" si="10"/>
        <v>58.725000000000016</v>
      </c>
      <c r="R35" s="65">
        <f t="shared" si="11"/>
        <v>0</v>
      </c>
      <c r="S35" s="65">
        <f t="shared" si="11"/>
        <v>0.37314000000000003</v>
      </c>
      <c r="T35" s="65">
        <f t="shared" si="11"/>
        <v>0</v>
      </c>
      <c r="U35" s="126">
        <f t="shared" si="11"/>
        <v>0</v>
      </c>
    </row>
    <row r="36" spans="1:21" s="48" customFormat="1" x14ac:dyDescent="0.25">
      <c r="A36" s="125" t="str">
        <f>H8</f>
        <v>Hook Field 20</v>
      </c>
      <c r="B36" s="11">
        <v>185</v>
      </c>
      <c r="C36" s="65">
        <f t="shared" si="6"/>
        <v>173.82599999999999</v>
      </c>
      <c r="D36" s="65">
        <f t="shared" si="7"/>
        <v>54.929016000000004</v>
      </c>
      <c r="E36" s="65">
        <f t="shared" si="8"/>
        <v>1.8779202000000004</v>
      </c>
      <c r="F36" s="65">
        <f t="shared" si="9"/>
        <v>3.9917842200000004</v>
      </c>
      <c r="G36" s="65">
        <f t="shared" si="5"/>
        <v>0.20079900000000006</v>
      </c>
      <c r="H36" s="65">
        <f t="shared" si="5"/>
        <v>0.77422500000000005</v>
      </c>
      <c r="I36" s="65">
        <f t="shared" si="5"/>
        <v>2.4075900000000004E-2</v>
      </c>
      <c r="J36" s="65">
        <f t="shared" si="5"/>
        <v>3.5964E-3</v>
      </c>
      <c r="K36" s="65">
        <f t="shared" si="5"/>
        <v>7.4925000000000018E-3</v>
      </c>
      <c r="L36" s="65">
        <f t="shared" si="5"/>
        <v>5.0949000000000008E-2</v>
      </c>
      <c r="M36" s="65">
        <f t="shared" si="5"/>
        <v>4.2957000000000009E-2</v>
      </c>
      <c r="N36" s="65">
        <f t="shared" si="5"/>
        <v>1298.7</v>
      </c>
      <c r="O36" s="65">
        <f t="shared" si="5"/>
        <v>310.68900000000002</v>
      </c>
      <c r="P36" s="65">
        <f t="shared" si="5"/>
        <v>0</v>
      </c>
      <c r="Q36" s="65">
        <f t="shared" si="10"/>
        <v>108.64125000000003</v>
      </c>
      <c r="R36" s="65">
        <f t="shared" si="11"/>
        <v>0</v>
      </c>
      <c r="S36" s="65">
        <f t="shared" si="11"/>
        <v>0.69030900000000006</v>
      </c>
      <c r="T36" s="65">
        <f t="shared" si="11"/>
        <v>0</v>
      </c>
      <c r="U36" s="126">
        <f t="shared" si="11"/>
        <v>0</v>
      </c>
    </row>
    <row r="37" spans="1:21" s="48" customFormat="1" x14ac:dyDescent="0.25">
      <c r="A37" s="125">
        <f>I8</f>
        <v>1</v>
      </c>
      <c r="B37" s="11">
        <v>185</v>
      </c>
      <c r="C37" s="65">
        <f t="shared" si="6"/>
        <v>173.82599999999999</v>
      </c>
      <c r="D37" s="65">
        <f t="shared" si="7"/>
        <v>54.929016000000004</v>
      </c>
      <c r="E37" s="65">
        <f t="shared" si="8"/>
        <v>1.8779202000000004</v>
      </c>
      <c r="F37" s="65">
        <f t="shared" si="9"/>
        <v>3.9917842200000004</v>
      </c>
      <c r="G37" s="65">
        <f t="shared" si="5"/>
        <v>0.20079900000000006</v>
      </c>
      <c r="H37" s="65">
        <f t="shared" si="5"/>
        <v>0.77422500000000005</v>
      </c>
      <c r="I37" s="65">
        <f t="shared" si="5"/>
        <v>2.4075900000000004E-2</v>
      </c>
      <c r="J37" s="65">
        <f t="shared" si="5"/>
        <v>3.5964E-3</v>
      </c>
      <c r="K37" s="65">
        <f t="shared" si="5"/>
        <v>7.4925000000000018E-3</v>
      </c>
      <c r="L37" s="65">
        <f t="shared" si="5"/>
        <v>5.0949000000000008E-2</v>
      </c>
      <c r="M37" s="65">
        <f t="shared" si="5"/>
        <v>4.2957000000000009E-2</v>
      </c>
      <c r="N37" s="65">
        <f t="shared" si="5"/>
        <v>1298.7</v>
      </c>
      <c r="O37" s="65">
        <f t="shared" si="5"/>
        <v>310.68900000000002</v>
      </c>
      <c r="P37" s="65">
        <f t="shared" si="5"/>
        <v>0</v>
      </c>
      <c r="Q37" s="65">
        <f t="shared" si="10"/>
        <v>108.64125000000003</v>
      </c>
      <c r="R37" s="65">
        <f t="shared" si="11"/>
        <v>0</v>
      </c>
      <c r="S37" s="65">
        <f t="shared" si="11"/>
        <v>0.69030900000000006</v>
      </c>
      <c r="T37" s="65">
        <f t="shared" si="11"/>
        <v>0</v>
      </c>
      <c r="U37" s="126">
        <f t="shared" si="11"/>
        <v>0</v>
      </c>
    </row>
    <row r="38" spans="1:21" s="48" customFormat="1" x14ac:dyDescent="0.25">
      <c r="A38" s="125">
        <f>J8</f>
        <v>2</v>
      </c>
      <c r="B38" s="11">
        <v>185</v>
      </c>
      <c r="C38" s="65">
        <f t="shared" si="6"/>
        <v>173.82599999999999</v>
      </c>
      <c r="D38" s="65">
        <f t="shared" si="7"/>
        <v>54.929016000000004</v>
      </c>
      <c r="E38" s="65">
        <f t="shared" si="8"/>
        <v>1.8779202000000004</v>
      </c>
      <c r="F38" s="65">
        <f t="shared" si="9"/>
        <v>3.9917842200000004</v>
      </c>
      <c r="G38" s="65">
        <f t="shared" si="5"/>
        <v>0.20079900000000006</v>
      </c>
      <c r="H38" s="65">
        <f t="shared" si="5"/>
        <v>0.77422500000000005</v>
      </c>
      <c r="I38" s="65">
        <f t="shared" si="5"/>
        <v>2.4075900000000004E-2</v>
      </c>
      <c r="J38" s="65">
        <f t="shared" si="5"/>
        <v>3.5964E-3</v>
      </c>
      <c r="K38" s="65">
        <f t="shared" si="5"/>
        <v>7.4925000000000018E-3</v>
      </c>
      <c r="L38" s="65">
        <f t="shared" si="5"/>
        <v>5.0949000000000008E-2</v>
      </c>
      <c r="M38" s="65">
        <f t="shared" si="5"/>
        <v>4.2957000000000009E-2</v>
      </c>
      <c r="N38" s="65">
        <f t="shared" si="5"/>
        <v>1298.7</v>
      </c>
      <c r="O38" s="65">
        <f t="shared" si="5"/>
        <v>310.68900000000002</v>
      </c>
      <c r="P38" s="65">
        <f t="shared" si="5"/>
        <v>0</v>
      </c>
      <c r="Q38" s="65">
        <f t="shared" si="10"/>
        <v>108.64125000000003</v>
      </c>
      <c r="R38" s="65">
        <f t="shared" si="11"/>
        <v>0</v>
      </c>
      <c r="S38" s="65">
        <f t="shared" si="11"/>
        <v>0.69030900000000006</v>
      </c>
      <c r="T38" s="65">
        <f t="shared" si="11"/>
        <v>0</v>
      </c>
      <c r="U38" s="126">
        <f t="shared" si="11"/>
        <v>0</v>
      </c>
    </row>
    <row r="39" spans="1:21" s="48" customFormat="1" x14ac:dyDescent="0.25">
      <c r="A39" s="125">
        <f>K8</f>
        <v>3</v>
      </c>
      <c r="B39" s="11">
        <v>100</v>
      </c>
      <c r="C39" s="65">
        <f t="shared" si="6"/>
        <v>93.96</v>
      </c>
      <c r="D39" s="65">
        <f t="shared" si="7"/>
        <v>29.691360000000007</v>
      </c>
      <c r="E39" s="65">
        <f t="shared" si="8"/>
        <v>1.0150920000000001</v>
      </c>
      <c r="F39" s="65">
        <f t="shared" si="9"/>
        <v>2.1577212000000001</v>
      </c>
      <c r="G39" s="65">
        <f t="shared" si="5"/>
        <v>0.10854000000000003</v>
      </c>
      <c r="H39" s="65">
        <f t="shared" si="5"/>
        <v>0.41850000000000004</v>
      </c>
      <c r="I39" s="65">
        <f t="shared" si="5"/>
        <v>1.3014000000000003E-2</v>
      </c>
      <c r="J39" s="65">
        <f t="shared" si="5"/>
        <v>1.944E-3</v>
      </c>
      <c r="K39" s="65">
        <f t="shared" si="5"/>
        <v>4.0500000000000006E-3</v>
      </c>
      <c r="L39" s="65">
        <f t="shared" si="5"/>
        <v>2.7540000000000002E-2</v>
      </c>
      <c r="M39" s="65">
        <f t="shared" si="5"/>
        <v>2.3220000000000005E-2</v>
      </c>
      <c r="N39" s="65">
        <f t="shared" si="5"/>
        <v>702</v>
      </c>
      <c r="O39" s="65">
        <f t="shared" si="5"/>
        <v>167.94000000000003</v>
      </c>
      <c r="P39" s="65">
        <f t="shared" si="5"/>
        <v>0</v>
      </c>
      <c r="Q39" s="65">
        <f t="shared" si="10"/>
        <v>58.725000000000016</v>
      </c>
      <c r="R39" s="65">
        <f t="shared" si="11"/>
        <v>0</v>
      </c>
      <c r="S39" s="65">
        <f t="shared" si="11"/>
        <v>0.37314000000000003</v>
      </c>
      <c r="T39" s="65">
        <f t="shared" si="11"/>
        <v>0</v>
      </c>
      <c r="U39" s="126">
        <f t="shared" si="11"/>
        <v>0</v>
      </c>
    </row>
    <row r="40" spans="1:21" s="48" customFormat="1" x14ac:dyDescent="0.25">
      <c r="A40" s="125">
        <f>L8</f>
        <v>4</v>
      </c>
      <c r="B40" s="11">
        <v>185</v>
      </c>
      <c r="C40" s="65">
        <f t="shared" si="6"/>
        <v>173.82599999999999</v>
      </c>
      <c r="D40" s="65">
        <f t="shared" si="7"/>
        <v>54.929016000000004</v>
      </c>
      <c r="E40" s="65">
        <f t="shared" si="8"/>
        <v>1.8779202000000004</v>
      </c>
      <c r="F40" s="65">
        <f t="shared" si="9"/>
        <v>3.9917842200000004</v>
      </c>
      <c r="G40" s="65">
        <f t="shared" si="5"/>
        <v>0.20079900000000006</v>
      </c>
      <c r="H40" s="65">
        <f t="shared" si="5"/>
        <v>0.77422500000000005</v>
      </c>
      <c r="I40" s="65">
        <f t="shared" si="5"/>
        <v>2.4075900000000004E-2</v>
      </c>
      <c r="J40" s="65">
        <f t="shared" si="5"/>
        <v>3.5964E-3</v>
      </c>
      <c r="K40" s="65">
        <f t="shared" si="5"/>
        <v>7.4925000000000018E-3</v>
      </c>
      <c r="L40" s="65">
        <f t="shared" si="5"/>
        <v>5.0949000000000008E-2</v>
      </c>
      <c r="M40" s="65">
        <f t="shared" si="5"/>
        <v>4.2957000000000009E-2</v>
      </c>
      <c r="N40" s="65">
        <f t="shared" si="5"/>
        <v>1298.7</v>
      </c>
      <c r="O40" s="65">
        <f t="shared" si="5"/>
        <v>310.68900000000002</v>
      </c>
      <c r="P40" s="65">
        <f t="shared" si="5"/>
        <v>0</v>
      </c>
      <c r="Q40" s="65">
        <f t="shared" si="10"/>
        <v>108.64125000000003</v>
      </c>
      <c r="R40" s="65">
        <f t="shared" si="11"/>
        <v>0</v>
      </c>
      <c r="S40" s="65">
        <f t="shared" si="11"/>
        <v>0.69030900000000006</v>
      </c>
      <c r="T40" s="65">
        <f t="shared" si="11"/>
        <v>0</v>
      </c>
      <c r="U40" s="126">
        <f t="shared" si="11"/>
        <v>0</v>
      </c>
    </row>
    <row r="41" spans="1:21" s="48" customFormat="1" x14ac:dyDescent="0.25">
      <c r="A41" s="125">
        <f>M8</f>
        <v>7</v>
      </c>
      <c r="B41" s="11">
        <v>50</v>
      </c>
      <c r="C41" s="65">
        <f t="shared" si="6"/>
        <v>46.98</v>
      </c>
      <c r="D41" s="65">
        <f t="shared" si="7"/>
        <v>14.845680000000003</v>
      </c>
      <c r="E41" s="65">
        <f t="shared" si="8"/>
        <v>0.50754600000000005</v>
      </c>
      <c r="F41" s="65">
        <f t="shared" si="9"/>
        <v>1.0788606000000001</v>
      </c>
      <c r="G41" s="65">
        <f t="shared" si="5"/>
        <v>5.4270000000000013E-2</v>
      </c>
      <c r="H41" s="65">
        <f t="shared" si="5"/>
        <v>0.20925000000000002</v>
      </c>
      <c r="I41" s="65">
        <f t="shared" si="5"/>
        <v>6.5070000000000015E-3</v>
      </c>
      <c r="J41" s="65">
        <f t="shared" si="5"/>
        <v>9.7199999999999999E-4</v>
      </c>
      <c r="K41" s="65">
        <f t="shared" si="5"/>
        <v>2.0250000000000003E-3</v>
      </c>
      <c r="L41" s="65">
        <f t="shared" si="5"/>
        <v>1.3770000000000001E-2</v>
      </c>
      <c r="M41" s="65">
        <f t="shared" si="5"/>
        <v>1.1610000000000002E-2</v>
      </c>
      <c r="N41" s="65">
        <f t="shared" si="5"/>
        <v>351</v>
      </c>
      <c r="O41" s="65">
        <f t="shared" si="5"/>
        <v>83.970000000000013</v>
      </c>
      <c r="P41" s="65">
        <f t="shared" si="5"/>
        <v>0</v>
      </c>
      <c r="Q41" s="65">
        <f t="shared" si="10"/>
        <v>29.362500000000008</v>
      </c>
      <c r="R41" s="65">
        <f t="shared" si="11"/>
        <v>0</v>
      </c>
      <c r="S41" s="65">
        <f t="shared" si="11"/>
        <v>0.18657000000000001</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Hook Field 2</v>
      </c>
      <c r="C57" s="8" t="str">
        <f t="shared" ref="C57:U57" si="13">D8</f>
        <v>Hook Field 3</v>
      </c>
      <c r="D57" s="8" t="str">
        <f t="shared" si="13"/>
        <v>Hook Field 4</v>
      </c>
      <c r="E57" s="8" t="str">
        <f t="shared" si="13"/>
        <v>Hook Field 8</v>
      </c>
      <c r="F57" s="8" t="str">
        <f t="shared" si="13"/>
        <v>Hook Field 10</v>
      </c>
      <c r="G57" s="8" t="str">
        <f t="shared" si="13"/>
        <v>Hook Field 20</v>
      </c>
      <c r="H57" s="8">
        <f t="shared" si="13"/>
        <v>1</v>
      </c>
      <c r="I57" s="8">
        <f t="shared" si="13"/>
        <v>2</v>
      </c>
      <c r="J57" s="8">
        <f t="shared" si="13"/>
        <v>3</v>
      </c>
      <c r="K57" s="8">
        <f t="shared" si="13"/>
        <v>4</v>
      </c>
      <c r="L57" s="8">
        <f t="shared" si="13"/>
        <v>7</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"&amp;(VLOOKUP(C14,Table24581114[],6,FALSE))</f>
        <v>Medium/Clay I Arable</v>
      </c>
      <c r="C58" s="10" t="e">
        <f>D16&amp;" I "&amp;(VLOOKUP(D14,Table24581114[],6,FALSE))</f>
        <v>#N/A</v>
      </c>
      <c r="D58" s="10" t="str">
        <f>E16&amp;" I "&amp;(VLOOKUP(E14,Table24581114[],6,FALSE))</f>
        <v>Medium/Clay I Grass</v>
      </c>
      <c r="E58" s="10" t="str">
        <f>F16&amp;" I "&amp;(VLOOKUP(F14,Table24581114[],6,FALSE))</f>
        <v>Medium/Clay I Arable</v>
      </c>
      <c r="F58" s="10" t="str">
        <f>G16&amp;" I "&amp;(VLOOKUP(G14,Table24581114[],6,FALSE))</f>
        <v>Medium/Clay I Arable</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Arable</v>
      </c>
      <c r="K58" s="10" t="str">
        <f>L16&amp;" I "&amp;(VLOOKUP(L14,Table24581114[],6,FALSE))</f>
        <v>Medium/Clay I Grass</v>
      </c>
      <c r="L58" s="10" t="str">
        <f>M16&amp;" I "&amp;(VLOOKUP(M14,Table24581114[],6,FALSE))</f>
        <v>Medium/Clay I Arable</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x14ac:dyDescent="0.2">
      <c r="A59" s="87" t="s">
        <v>132</v>
      </c>
      <c r="B59" s="64">
        <f>VLOOKUP(C$14,Table24581114[],5,FALSE)</f>
        <v>6.7</v>
      </c>
      <c r="C59" s="64" t="e">
        <f>VLOOKUP(D$14,Table24581114[],5,FALSE)</f>
        <v>#N/A</v>
      </c>
      <c r="D59" s="64">
        <f>VLOOKUP(E$14,Table24581114[],5,FALSE)</f>
        <v>6.2</v>
      </c>
      <c r="E59" s="64">
        <f>VLOOKUP(F$14,Table24581114[],5,FALSE)</f>
        <v>6.7</v>
      </c>
      <c r="F59" s="64">
        <f>VLOOKUP(G$14,Table24581114[],5,FALSE)</f>
        <v>6.7</v>
      </c>
      <c r="G59" s="64">
        <f>VLOOKUP(H$14,Table24581114[],5,FALSE)</f>
        <v>6.2</v>
      </c>
      <c r="H59" s="64">
        <f>VLOOKUP(I$14,Table24581114[],5,FALSE)</f>
        <v>6.2</v>
      </c>
      <c r="I59" s="64">
        <f>VLOOKUP(J$14,Table24581114[],5,FALSE)</f>
        <v>6.2</v>
      </c>
      <c r="J59" s="64">
        <f>VLOOKUP(K$14,Table24581114[],5,FALSE)</f>
        <v>6.7</v>
      </c>
      <c r="K59" s="64">
        <f>VLOOKUP(L$14,Table24581114[],5,FALSE)</f>
        <v>6.2</v>
      </c>
      <c r="L59" s="64">
        <f>VLOOKUP(M$14,Table24581114[],5,FALSE)</f>
        <v>6.7</v>
      </c>
      <c r="M59" s="64" t="e">
        <f>VLOOKUP(N$14,Table24581114[],5,FALSE)</f>
        <v>#N/A</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x14ac:dyDescent="0.2">
      <c r="A60" s="87" t="s">
        <v>4</v>
      </c>
      <c r="B60" s="64">
        <f>C10</f>
        <v>6.9</v>
      </c>
      <c r="C60" s="64">
        <f t="shared" ref="C60:U60" si="14">D10</f>
        <v>6.8</v>
      </c>
      <c r="D60" s="64">
        <f t="shared" si="14"/>
        <v>6.8</v>
      </c>
      <c r="E60" s="64">
        <f t="shared" si="14"/>
        <v>6.6</v>
      </c>
      <c r="F60" s="64">
        <f t="shared" si="14"/>
        <v>7.1</v>
      </c>
      <c r="G60" s="64">
        <f t="shared" si="14"/>
        <v>7.3</v>
      </c>
      <c r="H60" s="64">
        <f t="shared" si="14"/>
        <v>6.4</v>
      </c>
      <c r="I60" s="64">
        <f t="shared" si="14"/>
        <v>6.2</v>
      </c>
      <c r="J60" s="64">
        <f t="shared" si="14"/>
        <v>6.2</v>
      </c>
      <c r="K60" s="64">
        <f t="shared" si="14"/>
        <v>6.7</v>
      </c>
      <c r="L60" s="64">
        <f t="shared" si="14"/>
        <v>6.3</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8</v>
      </c>
      <c r="C61" s="64" t="e">
        <f t="shared" si="15"/>
        <v>#N/A</v>
      </c>
      <c r="D61" s="64">
        <f t="shared" si="15"/>
        <v>6</v>
      </c>
      <c r="E61" s="64">
        <f t="shared" si="15"/>
        <v>8</v>
      </c>
      <c r="F61" s="64">
        <f t="shared" si="15"/>
        <v>8</v>
      </c>
      <c r="G61" s="64">
        <f t="shared" si="15"/>
        <v>6</v>
      </c>
      <c r="H61" s="64">
        <f t="shared" si="15"/>
        <v>6</v>
      </c>
      <c r="I61" s="64">
        <f t="shared" si="15"/>
        <v>6</v>
      </c>
      <c r="J61" s="64">
        <f t="shared" si="15"/>
        <v>8</v>
      </c>
      <c r="K61" s="64">
        <f t="shared" si="15"/>
        <v>6</v>
      </c>
      <c r="L61" s="64">
        <f t="shared" si="15"/>
        <v>8</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100</v>
      </c>
      <c r="C62" s="65">
        <f>B32</f>
        <v>50</v>
      </c>
      <c r="D62" s="65">
        <f>B33</f>
        <v>185</v>
      </c>
      <c r="E62" s="65">
        <f>B34</f>
        <v>100</v>
      </c>
      <c r="F62" s="65">
        <f>B35</f>
        <v>100</v>
      </c>
      <c r="G62" s="65">
        <f>B36</f>
        <v>185</v>
      </c>
      <c r="H62" s="65">
        <f>B37</f>
        <v>185</v>
      </c>
      <c r="I62" s="65">
        <f>B38</f>
        <v>185</v>
      </c>
      <c r="J62" s="65">
        <f>B39</f>
        <v>100</v>
      </c>
      <c r="K62" s="65">
        <f>B40</f>
        <v>185</v>
      </c>
      <c r="L62" s="65">
        <f>B41</f>
        <v>50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-1.6000000000000014</v>
      </c>
      <c r="C64" s="65" t="e">
        <f t="shared" ref="C64:U64" si="17">(C59-C60)*C61</f>
        <v>#N/A</v>
      </c>
      <c r="D64" s="65">
        <f t="shared" si="17"/>
        <v>-3.5999999999999979</v>
      </c>
      <c r="E64" s="65">
        <f t="shared" si="17"/>
        <v>0.80000000000000426</v>
      </c>
      <c r="F64" s="65">
        <f t="shared" si="17"/>
        <v>-3.1999999999999957</v>
      </c>
      <c r="G64" s="65">
        <f t="shared" si="17"/>
        <v>-6.5999999999999979</v>
      </c>
      <c r="H64" s="65">
        <f t="shared" si="17"/>
        <v>-1.2000000000000011</v>
      </c>
      <c r="I64" s="65">
        <f t="shared" si="17"/>
        <v>0</v>
      </c>
      <c r="J64" s="65">
        <f t="shared" si="17"/>
        <v>4</v>
      </c>
      <c r="K64" s="65">
        <f t="shared" si="17"/>
        <v>-3</v>
      </c>
      <c r="L64" s="65">
        <f t="shared" si="17"/>
        <v>3.2000000000000028</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1.6000000000000014</v>
      </c>
      <c r="C65" s="65" t="e">
        <f t="shared" ref="C65:U65" si="18">C63-C64</f>
        <v>#N/A</v>
      </c>
      <c r="D65" s="65">
        <f t="shared" si="18"/>
        <v>3.5999999999999979</v>
      </c>
      <c r="E65" s="65">
        <f t="shared" si="18"/>
        <v>-0.80000000000000426</v>
      </c>
      <c r="F65" s="65">
        <f t="shared" si="18"/>
        <v>3.1999999999999957</v>
      </c>
      <c r="G65" s="65">
        <f t="shared" si="18"/>
        <v>6.5999999999999979</v>
      </c>
      <c r="H65" s="65">
        <f t="shared" si="18"/>
        <v>1.2000000000000011</v>
      </c>
      <c r="I65" s="65">
        <f t="shared" si="18"/>
        <v>0</v>
      </c>
      <c r="J65" s="65">
        <f t="shared" si="18"/>
        <v>-4</v>
      </c>
      <c r="K65" s="65">
        <f t="shared" si="18"/>
        <v>3</v>
      </c>
      <c r="L65" s="65">
        <f t="shared" si="18"/>
        <v>-3.2000000000000028</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e">
        <f t="shared" ref="C66:U66" si="19">IF(C64&lt;=C63,"OVER","UNDER")</f>
        <v>#N/A</v>
      </c>
      <c r="D66" s="66" t="str">
        <f t="shared" si="19"/>
        <v>OVER</v>
      </c>
      <c r="E66" s="66" t="str">
        <f t="shared" si="19"/>
        <v>UNDER</v>
      </c>
      <c r="F66" s="66" t="str">
        <f t="shared" si="19"/>
        <v>OVER</v>
      </c>
      <c r="G66" s="66" t="str">
        <f t="shared" si="19"/>
        <v>OVER</v>
      </c>
      <c r="H66" s="66" t="str">
        <f t="shared" si="19"/>
        <v>OVER</v>
      </c>
      <c r="I66" s="66" t="str">
        <f t="shared" si="19"/>
        <v>OVER</v>
      </c>
      <c r="J66" s="66" t="str">
        <f t="shared" si="19"/>
        <v>UNDER</v>
      </c>
      <c r="K66" s="66" t="str">
        <f t="shared" si="19"/>
        <v>OVER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9esJ6L5hXz0ReuULfft0RvvWOltF3GnvrtMDKJlcziwZrcTnmgzPP9/InH9mnnViurha9vRaptzt/jBRN0etw==" saltValue="MT5j/uqpojymrI6N6ED9l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73" priority="37" operator="greaterThan">
      <formula>$B$51</formula>
    </cfRule>
  </conditionalFormatting>
  <conditionalFormatting sqref="B66:U66">
    <cfRule type="cellIs" dxfId="172" priority="12" operator="equal">
      <formula>"UNDER"</formula>
    </cfRule>
    <cfRule type="cellIs" dxfId="171" priority="13" operator="equal">
      <formula>"OVER"</formula>
    </cfRule>
  </conditionalFormatting>
  <conditionalFormatting sqref="C31:C50">
    <cfRule type="cellIs" dxfId="170" priority="36" operator="greaterThan">
      <formula>$C$51</formula>
    </cfRule>
  </conditionalFormatting>
  <conditionalFormatting sqref="C11:V13">
    <cfRule type="cellIs" dxfId="169" priority="1" operator="greaterThan">
      <formula>2</formula>
    </cfRule>
  </conditionalFormatting>
  <conditionalFormatting sqref="C17:V19">
    <cfRule type="cellIs" dxfId="168" priority="33" operator="equal">
      <formula>0</formula>
    </cfRule>
  </conditionalFormatting>
  <conditionalFormatting sqref="C20:V21">
    <cfRule type="cellIs" dxfId="167" priority="38" operator="equal">
      <formula>"DECREASE"</formula>
    </cfRule>
    <cfRule type="cellIs" dxfId="166" priority="39" operator="equal">
      <formula>"INCREASE"</formula>
    </cfRule>
  </conditionalFormatting>
  <conditionalFormatting sqref="C21:V21">
    <cfRule type="cellIs" dxfId="165" priority="14" operator="equal">
      <formula>0</formula>
    </cfRule>
  </conditionalFormatting>
  <conditionalFormatting sqref="C22:V23">
    <cfRule type="cellIs" dxfId="164" priority="18" operator="equal">
      <formula>0</formula>
    </cfRule>
  </conditionalFormatting>
  <conditionalFormatting sqref="C24:V24">
    <cfRule type="cellIs" dxfId="163" priority="19" operator="equal">
      <formula>"DECREASE"</formula>
    </cfRule>
    <cfRule type="cellIs" dxfId="162" priority="20" operator="equal">
      <formula>"INCREASE"</formula>
    </cfRule>
  </conditionalFormatting>
  <conditionalFormatting sqref="G31:G50">
    <cfRule type="cellIs" dxfId="161" priority="32" operator="greaterThan">
      <formula>$G$51</formula>
    </cfRule>
  </conditionalFormatting>
  <conditionalFormatting sqref="H31:H50">
    <cfRule type="cellIs" dxfId="160" priority="31" operator="greaterThan">
      <formula>$H$51</formula>
    </cfRule>
  </conditionalFormatting>
  <conditionalFormatting sqref="I1">
    <cfRule type="cellIs" dxfId="159" priority="4" operator="between">
      <formula>0.1</formula>
      <formula>5</formula>
    </cfRule>
  </conditionalFormatting>
  <conditionalFormatting sqref="I2">
    <cfRule type="cellIs" dxfId="158" priority="3" operator="greaterThan">
      <formula>5000.1</formula>
    </cfRule>
  </conditionalFormatting>
  <conditionalFormatting sqref="I3">
    <cfRule type="cellIs" dxfId="157" priority="2" operator="greaterThan">
      <formula>40000.01</formula>
    </cfRule>
  </conditionalFormatting>
  <conditionalFormatting sqref="I31:I50">
    <cfRule type="cellIs" dxfId="156" priority="30" operator="greaterThan">
      <formula>$I$51</formula>
    </cfRule>
  </conditionalFormatting>
  <conditionalFormatting sqref="J31:J50">
    <cfRule type="cellIs" dxfId="155" priority="9" operator="greaterThan">
      <formula>$J$51</formula>
    </cfRule>
  </conditionalFormatting>
  <conditionalFormatting sqref="K31:K50">
    <cfRule type="cellIs" dxfId="154" priority="29" operator="greaterThan">
      <formula>$K$51</formula>
    </cfRule>
  </conditionalFormatting>
  <conditionalFormatting sqref="L3">
    <cfRule type="cellIs" dxfId="153" priority="5" operator="lessThan">
      <formula>30</formula>
    </cfRule>
    <cfRule type="cellIs" dxfId="152" priority="6" operator="greaterThanOrEqual">
      <formula>30</formula>
    </cfRule>
  </conditionalFormatting>
  <conditionalFormatting sqref="L31:L50">
    <cfRule type="cellIs" dxfId="151" priority="28" operator="greaterThan">
      <formula>$L$51</formula>
    </cfRule>
  </conditionalFormatting>
  <conditionalFormatting sqref="M31:M50">
    <cfRule type="cellIs" dxfId="150" priority="27" operator="greaterThan">
      <formula>$M$51</formula>
    </cfRule>
  </conditionalFormatting>
  <conditionalFormatting sqref="P31:P50">
    <cfRule type="cellIs" dxfId="149" priority="26" operator="greaterThan">
      <formula>$P$51</formula>
    </cfRule>
  </conditionalFormatting>
  <conditionalFormatting sqref="R31:R50">
    <cfRule type="cellIs" dxfId="148" priority="25" operator="greaterThan">
      <formula>$R$51</formula>
    </cfRule>
  </conditionalFormatting>
  <conditionalFormatting sqref="S31:S50">
    <cfRule type="cellIs" dxfId="147" priority="24" operator="greaterThan">
      <formula>$S$51</formula>
    </cfRule>
  </conditionalFormatting>
  <conditionalFormatting sqref="T31:T50">
    <cfRule type="cellIs" dxfId="146" priority="23" operator="greaterThan">
      <formula>$T$51</formula>
    </cfRule>
  </conditionalFormatting>
  <conditionalFormatting sqref="U31:U50">
    <cfRule type="cellIs" dxfId="145" priority="22"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A21" zoomScale="90" zoomScaleNormal="90" workbookViewId="0">
      <selection activeCell="B33" sqref="B3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1" t="s">
        <v>41</v>
      </c>
      <c r="B1" s="132"/>
      <c r="C1" s="173" t="str">
        <f>'Field data and Waste 1'!C1:D1</f>
        <v>PAN-027465</v>
      </c>
      <c r="D1" s="174"/>
      <c r="E1" s="106" t="s">
        <v>45</v>
      </c>
      <c r="F1" s="113" t="str">
        <f>'Field data and Waste 1'!F1</f>
        <v>49.2ha</v>
      </c>
      <c r="G1" s="163" t="s">
        <v>43</v>
      </c>
      <c r="H1" s="164"/>
      <c r="I1" s="109">
        <v>6.1</v>
      </c>
      <c r="J1" s="131" t="s">
        <v>153</v>
      </c>
      <c r="K1" s="132"/>
      <c r="L1" s="109">
        <v>133</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3" t="s">
        <v>87</v>
      </c>
      <c r="B2" s="134"/>
      <c r="C2" s="169" t="str">
        <f>'Field data and Waste 1'!C2:D2</f>
        <v>EPR/AB3891CX</v>
      </c>
      <c r="D2" s="170"/>
      <c r="E2" s="96" t="s">
        <v>109</v>
      </c>
      <c r="F2" s="110" t="s">
        <v>166</v>
      </c>
      <c r="G2" s="165" t="s">
        <v>110</v>
      </c>
      <c r="H2" s="166"/>
      <c r="I2" s="110"/>
      <c r="J2" s="133" t="s">
        <v>158</v>
      </c>
      <c r="K2" s="134"/>
      <c r="L2" s="110">
        <v>0.7</v>
      </c>
      <c r="AB2" s="22" t="s">
        <v>56</v>
      </c>
      <c r="AC2" s="13"/>
      <c r="AD2" s="22" t="s">
        <v>70</v>
      </c>
      <c r="AE2" s="13"/>
      <c r="AF2" s="13"/>
      <c r="AG2" s="34" t="s">
        <v>76</v>
      </c>
      <c r="AH2" s="13"/>
      <c r="AI2" s="35" t="s">
        <v>126</v>
      </c>
      <c r="AJ2" s="36">
        <v>0</v>
      </c>
      <c r="AK2" s="37">
        <v>0</v>
      </c>
      <c r="AL2" s="7">
        <v>0</v>
      </c>
      <c r="AM2" s="9">
        <v>0</v>
      </c>
      <c r="AN2" s="9">
        <v>0</v>
      </c>
    </row>
    <row r="3" spans="1:41" x14ac:dyDescent="0.2">
      <c r="A3" s="135" t="s">
        <v>42</v>
      </c>
      <c r="B3" s="136"/>
      <c r="C3" s="169" t="str">
        <f>'Field data and Waste 1'!C3:D3</f>
        <v>Mr Daniel James and Mrs Carys James</v>
      </c>
      <c r="D3" s="170"/>
      <c r="E3" s="96" t="s">
        <v>108</v>
      </c>
      <c r="F3" s="111" t="s">
        <v>78</v>
      </c>
      <c r="G3" s="133" t="s">
        <v>159</v>
      </c>
      <c r="H3" s="134"/>
      <c r="I3" s="110"/>
      <c r="J3" s="135" t="s">
        <v>154</v>
      </c>
      <c r="K3" s="136"/>
      <c r="L3" s="110">
        <f>(L1/(L2*10000))*100</f>
        <v>1.9</v>
      </c>
      <c r="AB3" s="22" t="s">
        <v>57</v>
      </c>
      <c r="AC3" s="13"/>
      <c r="AD3" s="22" t="s">
        <v>71</v>
      </c>
      <c r="AE3" s="13"/>
      <c r="AF3" s="13"/>
      <c r="AG3" s="34" t="s">
        <v>77</v>
      </c>
      <c r="AH3" s="13"/>
      <c r="AI3" s="38" t="s">
        <v>113</v>
      </c>
      <c r="AJ3" s="39">
        <v>1.7</v>
      </c>
      <c r="AK3" s="40">
        <v>6</v>
      </c>
      <c r="AL3" s="41">
        <v>1</v>
      </c>
      <c r="AM3" s="9">
        <v>6.2</v>
      </c>
      <c r="AN3" s="9" t="s">
        <v>112</v>
      </c>
    </row>
    <row r="4" spans="1:41" x14ac:dyDescent="0.2">
      <c r="A4" s="133" t="s">
        <v>0</v>
      </c>
      <c r="B4" s="134"/>
      <c r="C4" s="171" t="str">
        <f>'Field data and Waste 1'!C4:D4</f>
        <v>Hook Farm and New House Farm</v>
      </c>
      <c r="D4" s="172"/>
      <c r="E4" s="99" t="s">
        <v>1</v>
      </c>
      <c r="F4" s="110" t="s">
        <v>172</v>
      </c>
      <c r="G4" s="135"/>
      <c r="H4" s="136"/>
      <c r="I4" s="115"/>
      <c r="J4" s="135"/>
      <c r="K4" s="136"/>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7" t="s">
        <v>47</v>
      </c>
      <c r="B5" s="148"/>
      <c r="C5" s="167" t="str">
        <f>'Field data and Waste 1'!C5:D5</f>
        <v>Rhiannon Smith</v>
      </c>
      <c r="D5" s="168"/>
      <c r="E5" s="107"/>
      <c r="F5" s="114"/>
      <c r="G5" s="137"/>
      <c r="H5" s="138"/>
      <c r="I5" s="114"/>
      <c r="J5" s="137"/>
      <c r="K5" s="138"/>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3" t="s">
        <v>2</v>
      </c>
      <c r="B8" s="134"/>
      <c r="C8" s="49" t="str">
        <f>'Field data and Waste 1'!C8</f>
        <v>Hook Field 2</v>
      </c>
      <c r="D8" s="49" t="str">
        <f>'Field data and Waste 1'!D8</f>
        <v>Hook Field 3</v>
      </c>
      <c r="E8" s="49" t="str">
        <f>'Field data and Waste 1'!E8</f>
        <v>Hook Field 4</v>
      </c>
      <c r="F8" s="49" t="str">
        <f>'Field data and Waste 1'!F8</f>
        <v>Hook Field 8</v>
      </c>
      <c r="G8" s="49" t="str">
        <f>'Field data and Waste 1'!G8</f>
        <v>Hook Field 10</v>
      </c>
      <c r="H8" s="49" t="str">
        <f>'Field data and Waste 1'!H8</f>
        <v>Hook Field 20</v>
      </c>
      <c r="I8" s="49">
        <f>'Field data and Waste 1'!I8</f>
        <v>1</v>
      </c>
      <c r="J8" s="49">
        <f>'Field data and Waste 1'!J8</f>
        <v>2</v>
      </c>
      <c r="K8" s="49">
        <f>'Field data and Waste 1'!K8</f>
        <v>3</v>
      </c>
      <c r="L8" s="49">
        <f>'Field data and Waste 1'!L8</f>
        <v>4</v>
      </c>
      <c r="M8" s="49">
        <f>'Field data and Waste 1'!M8</f>
        <v>7</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3" t="s">
        <v>3</v>
      </c>
      <c r="B9" s="134"/>
      <c r="C9" s="49">
        <f>'Field data and Waste 1'!C9</f>
        <v>1</v>
      </c>
      <c r="D9" s="49">
        <f>'Field data and Waste 1'!D9</f>
        <v>1</v>
      </c>
      <c r="E9" s="49" t="str">
        <f>'Field data and Waste 1'!E9</f>
        <v>Moderate</v>
      </c>
      <c r="F9" s="49">
        <f>'Field data and Waste 1'!F9</f>
        <v>1</v>
      </c>
      <c r="G9" s="49">
        <f>'Field data and Waste 1'!G9</f>
        <v>2</v>
      </c>
      <c r="H9" s="49" t="str">
        <f>'Field data and Waste 1'!H9</f>
        <v>Moderate</v>
      </c>
      <c r="I9" s="49" t="str">
        <f>'Field data and Waste 1'!I9</f>
        <v>Moderate</v>
      </c>
      <c r="J9" s="49" t="str">
        <f>'Field data and Waste 1'!J9</f>
        <v>Moderate</v>
      </c>
      <c r="K9" s="49">
        <f>'Field data and Waste 1'!K9</f>
        <v>1</v>
      </c>
      <c r="L9" s="49" t="str">
        <f>'Field data and Waste 1'!L9</f>
        <v>Moderate</v>
      </c>
      <c r="M9" s="49">
        <f>'Field data and Waste 1'!M9</f>
        <v>1</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3" t="s">
        <v>4</v>
      </c>
      <c r="B10" s="134"/>
      <c r="C10" s="49">
        <f>'Field data and Waste 1'!C10</f>
        <v>6.9</v>
      </c>
      <c r="D10" s="49">
        <f>'Field data and Waste 1'!D10</f>
        <v>6.8</v>
      </c>
      <c r="E10" s="49">
        <f>'Field data and Waste 1'!E10</f>
        <v>6.8</v>
      </c>
      <c r="F10" s="49">
        <f>'Field data and Waste 1'!F10</f>
        <v>6.6</v>
      </c>
      <c r="G10" s="49">
        <f>'Field data and Waste 1'!G10</f>
        <v>7.1</v>
      </c>
      <c r="H10" s="49">
        <f>'Field data and Waste 1'!H10</f>
        <v>7.3</v>
      </c>
      <c r="I10" s="49">
        <f>'Field data and Waste 1'!I10</f>
        <v>6.4</v>
      </c>
      <c r="J10" s="49">
        <f>'Field data and Waste 1'!J10</f>
        <v>6.2</v>
      </c>
      <c r="K10" s="49">
        <f>'Field data and Waste 1'!K10</f>
        <v>6.2</v>
      </c>
      <c r="L10" s="49">
        <f>'Field data and Waste 1'!L10</f>
        <v>6.7</v>
      </c>
      <c r="M10" s="49">
        <f>'Field data and Waste 1'!M10</f>
        <v>6.3</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3" t="s">
        <v>5</v>
      </c>
      <c r="B11" s="134"/>
      <c r="C11" s="49">
        <f>'Field data and Waste 1'!C11</f>
        <v>3</v>
      </c>
      <c r="D11" s="49">
        <f>'Field data and Waste 1'!D11</f>
        <v>3</v>
      </c>
      <c r="E11" s="49">
        <f>'Field data and Waste 1'!E11</f>
        <v>3</v>
      </c>
      <c r="F11" s="49">
        <f>'Field data and Waste 1'!F11</f>
        <v>3</v>
      </c>
      <c r="G11" s="49">
        <f>'Field data and Waste 1'!G11</f>
        <v>3</v>
      </c>
      <c r="H11" s="49">
        <f>'Field data and Waste 1'!H11</f>
        <v>3</v>
      </c>
      <c r="I11" s="49">
        <f>'Field data and Waste 1'!I11</f>
        <v>3</v>
      </c>
      <c r="J11" s="49">
        <f>'Field data and Waste 1'!J11</f>
        <v>2</v>
      </c>
      <c r="K11" s="49">
        <f>'Field data and Waste 1'!K11</f>
        <v>2</v>
      </c>
      <c r="L11" s="49">
        <f>'Field data and Waste 1'!L11</f>
        <v>3</v>
      </c>
      <c r="M11" s="49">
        <f>'Field data and Waste 1'!M11</f>
        <v>3</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3" t="s">
        <v>6</v>
      </c>
      <c r="B12" s="134"/>
      <c r="C12" s="49">
        <f>'Field data and Waste 1'!C12</f>
        <v>3</v>
      </c>
      <c r="D12" s="49">
        <f>'Field data and Waste 1'!D12</f>
        <v>3</v>
      </c>
      <c r="E12" s="49">
        <f>'Field data and Waste 1'!E12</f>
        <v>2</v>
      </c>
      <c r="F12" s="49">
        <f>'Field data and Waste 1'!F12</f>
        <v>3</v>
      </c>
      <c r="G12" s="49">
        <f>'Field data and Waste 1'!G12</f>
        <v>2</v>
      </c>
      <c r="H12" s="49">
        <f>'Field data and Waste 1'!H12</f>
        <v>2</v>
      </c>
      <c r="I12" s="49">
        <f>'Field data and Waste 1'!I12</f>
        <v>2</v>
      </c>
      <c r="J12" s="49">
        <f>'Field data and Waste 1'!J12</f>
        <v>2</v>
      </c>
      <c r="K12" s="49">
        <f>'Field data and Waste 1'!K12</f>
        <v>2</v>
      </c>
      <c r="L12" s="49">
        <f>'Field data and Waste 1'!L12</f>
        <v>2</v>
      </c>
      <c r="M12" s="49">
        <f>'Field data and Waste 1'!M12</f>
        <v>1</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3" t="s">
        <v>7</v>
      </c>
      <c r="B13" s="134"/>
      <c r="C13" s="49">
        <f>'Field data and Waste 1'!C13</f>
        <v>3</v>
      </c>
      <c r="D13" s="49">
        <f>'Field data and Waste 1'!D13</f>
        <v>2</v>
      </c>
      <c r="E13" s="49">
        <f>'Field data and Waste 1'!E13</f>
        <v>2</v>
      </c>
      <c r="F13" s="49">
        <f>'Field data and Waste 1'!F13</f>
        <v>3</v>
      </c>
      <c r="G13" s="49">
        <f>'Field data and Waste 1'!G13</f>
        <v>1</v>
      </c>
      <c r="H13" s="49">
        <f>'Field data and Waste 1'!H13</f>
        <v>1</v>
      </c>
      <c r="I13" s="49">
        <f>'Field data and Waste 1'!I13</f>
        <v>5</v>
      </c>
      <c r="J13" s="49">
        <f>'Field data and Waste 1'!J13</f>
        <v>2</v>
      </c>
      <c r="K13" s="49">
        <f>'Field data and Waste 1'!K13</f>
        <v>2</v>
      </c>
      <c r="L13" s="49">
        <f>'Field data and Waste 1'!L13</f>
        <v>2</v>
      </c>
      <c r="M13" s="49">
        <f>'Field data and Waste 1'!M13</f>
        <v>2</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1" t="s">
        <v>8</v>
      </c>
      <c r="B14" s="152"/>
      <c r="C14" s="83" t="str">
        <f>'Field data and Waste 1'!C14</f>
        <v>Maize- Silage (30% DM)</v>
      </c>
      <c r="D14" s="83">
        <f>'Field data and Waste 1'!D14</f>
        <v>0</v>
      </c>
      <c r="E14" s="83" t="str">
        <f>'Field data and Waste 1'!E14</f>
        <v xml:space="preserve">Grass Silage (25% DM) </v>
      </c>
      <c r="F14" s="83" t="str">
        <f>'Field data and Waste 1'!F14</f>
        <v>Winter barley/triticale/rye</v>
      </c>
      <c r="G14" s="83" t="str">
        <f>'Field data and Waste 1'!G14</f>
        <v>Spring wheat/barley</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Winter barley/triticale/rye</v>
      </c>
      <c r="L14" s="83" t="str">
        <f>'Field data and Waste 1'!L14</f>
        <v xml:space="preserve">Grass Silage (25% DM) </v>
      </c>
      <c r="M14" s="83" t="str">
        <f>'Field data and Waste 1'!M14</f>
        <v>Fodder beet (roots only)</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49" t="s">
        <v>9</v>
      </c>
      <c r="B15" s="150"/>
      <c r="C15" s="49">
        <f>'Field data and Waste 1'!C15</f>
        <v>45</v>
      </c>
      <c r="D15" s="49">
        <f>'Field data and Waste 1'!D15</f>
        <v>30</v>
      </c>
      <c r="E15" s="49">
        <f>'Field data and Waste 1'!E15</f>
        <v>38</v>
      </c>
      <c r="F15" s="49">
        <f>'Field data and Waste 1'!F15</f>
        <v>7.5</v>
      </c>
      <c r="G15" s="49">
        <f>'Field data and Waste 1'!G15</f>
        <v>6.5</v>
      </c>
      <c r="H15" s="49">
        <f>'Field data and Waste 1'!H15</f>
        <v>38</v>
      </c>
      <c r="I15" s="49">
        <f>'Field data and Waste 1'!I15</f>
        <v>54</v>
      </c>
      <c r="J15" s="49">
        <f>'Field data and Waste 1'!J15</f>
        <v>54</v>
      </c>
      <c r="K15" s="49">
        <f>'Field data and Waste 1'!K15</f>
        <v>7.5</v>
      </c>
      <c r="L15" s="49">
        <f>'Field data and Waste 1'!L15</f>
        <v>54</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3" t="s">
        <v>44</v>
      </c>
      <c r="B16" s="154"/>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39" t="s">
        <v>69</v>
      </c>
      <c r="B17" s="140"/>
      <c r="C17" s="20">
        <f>(VLOOKUP(C$14,$AI2:$AK26,2,FALSE))*C$15</f>
        <v>62.999999999999993</v>
      </c>
      <c r="D17" s="20" t="e">
        <f t="shared" ref="D17:V17" si="0">(VLOOKUP(D$14,$AI2:$AK26,2,FALSE))*D$15</f>
        <v>#N/A</v>
      </c>
      <c r="E17" s="20">
        <f t="shared" si="0"/>
        <v>64.599999999999994</v>
      </c>
      <c r="F17" s="20">
        <f t="shared" si="0"/>
        <v>63.75</v>
      </c>
      <c r="G17" s="20">
        <f t="shared" si="0"/>
        <v>55.25</v>
      </c>
      <c r="H17" s="20">
        <f t="shared" si="0"/>
        <v>64.599999999999994</v>
      </c>
      <c r="I17" s="20">
        <f t="shared" si="0"/>
        <v>91.8</v>
      </c>
      <c r="J17" s="20">
        <f t="shared" si="0"/>
        <v>91.8</v>
      </c>
      <c r="K17" s="20">
        <f t="shared" si="0"/>
        <v>63.75</v>
      </c>
      <c r="L17" s="20">
        <f t="shared" si="0"/>
        <v>91.8</v>
      </c>
      <c r="M17" s="20">
        <f t="shared" si="0"/>
        <v>0</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1" t="s">
        <v>23</v>
      </c>
      <c r="B18" s="142"/>
      <c r="C18" s="12">
        <f>$D31</f>
        <v>19.768122600000002</v>
      </c>
      <c r="D18" s="12">
        <f>$D32</f>
        <v>9.8840613000000008</v>
      </c>
      <c r="E18" s="12">
        <f>$D33</f>
        <v>32.617402290000001</v>
      </c>
      <c r="F18" s="12">
        <f>$D34</f>
        <v>19.768122600000002</v>
      </c>
      <c r="G18" s="12">
        <f>$D35</f>
        <v>19.768122600000002</v>
      </c>
      <c r="H18" s="12">
        <f>$D36</f>
        <v>32.617402290000001</v>
      </c>
      <c r="I18" s="12">
        <f>$D37</f>
        <v>32.617402290000001</v>
      </c>
      <c r="J18" s="12">
        <f>$D38</f>
        <v>32.617402290000001</v>
      </c>
      <c r="K18" s="12">
        <f>$D39</f>
        <v>19.768122600000002</v>
      </c>
      <c r="L18" s="12">
        <f>$D40</f>
        <v>32.617402290000001</v>
      </c>
      <c r="M18" s="12">
        <f>$D41</f>
        <v>9.8840613000000008</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1" t="s">
        <v>90</v>
      </c>
      <c r="B19" s="142"/>
      <c r="C19" s="12">
        <f>C18-C17</f>
        <v>-43.231877399999988</v>
      </c>
      <c r="D19" s="12" t="e">
        <f t="shared" ref="D19:V19" si="1">D18-D17</f>
        <v>#N/A</v>
      </c>
      <c r="E19" s="12">
        <f t="shared" si="1"/>
        <v>-31.982597709999993</v>
      </c>
      <c r="F19" s="12">
        <f t="shared" si="1"/>
        <v>-43.981877400000002</v>
      </c>
      <c r="G19" s="12">
        <f t="shared" si="1"/>
        <v>-35.481877400000002</v>
      </c>
      <c r="H19" s="12">
        <f t="shared" si="1"/>
        <v>-31.982597709999993</v>
      </c>
      <c r="I19" s="12">
        <f t="shared" si="1"/>
        <v>-59.182597709999996</v>
      </c>
      <c r="J19" s="12">
        <f t="shared" si="1"/>
        <v>-59.182597709999996</v>
      </c>
      <c r="K19" s="12">
        <f t="shared" si="1"/>
        <v>-43.981877400000002</v>
      </c>
      <c r="L19" s="12">
        <f t="shared" si="1"/>
        <v>-59.182597709999996</v>
      </c>
      <c r="M19" s="12">
        <f t="shared" si="1"/>
        <v>9.8840613000000008</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3" t="s">
        <v>91</v>
      </c>
      <c r="B20" s="144"/>
      <c r="C20" s="18" t="str">
        <f>IF($B31="","",IF(C$19&gt;=0,"INCREASE","DECREASE"))</f>
        <v>DECREASE</v>
      </c>
      <c r="D20" s="18" t="e">
        <f>IF($B32="","",IF(D$19&gt;=0,"INCREASE","DECREASE"))</f>
        <v>#N/A</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INCREASE</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9" t="s">
        <v>88</v>
      </c>
      <c r="B21" s="140"/>
      <c r="C21" s="20">
        <f>(VLOOKUP(C$14,$AI2:$AK26,3,FALSE))*C$15</f>
        <v>198.00000000000003</v>
      </c>
      <c r="D21" s="20" t="e">
        <f t="shared" ref="D21:V21" si="2">(VLOOKUP(D$14,$AI2:$AK26,3,FALSE))*D$15</f>
        <v>#N/A</v>
      </c>
      <c r="E21" s="20">
        <f t="shared" si="2"/>
        <v>228</v>
      </c>
      <c r="F21" s="20">
        <f t="shared" si="2"/>
        <v>78.75</v>
      </c>
      <c r="G21" s="20">
        <f t="shared" si="2"/>
        <v>78</v>
      </c>
      <c r="H21" s="20">
        <f t="shared" si="2"/>
        <v>228</v>
      </c>
      <c r="I21" s="20">
        <f t="shared" si="2"/>
        <v>324</v>
      </c>
      <c r="J21" s="20">
        <f t="shared" si="2"/>
        <v>324</v>
      </c>
      <c r="K21" s="20">
        <f t="shared" si="2"/>
        <v>78.75</v>
      </c>
      <c r="L21" s="20">
        <f t="shared" si="2"/>
        <v>324</v>
      </c>
      <c r="M21" s="20">
        <f t="shared" si="2"/>
        <v>0</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1" t="s">
        <v>89</v>
      </c>
      <c r="B22" s="142"/>
      <c r="C22" s="12">
        <f>$E31</f>
        <v>0.98989545000000001</v>
      </c>
      <c r="D22" s="12">
        <f>$E32</f>
        <v>0.49494772500000001</v>
      </c>
      <c r="E22" s="12">
        <f>$E33</f>
        <v>1.6333274924999999</v>
      </c>
      <c r="F22" s="12">
        <f>$E34</f>
        <v>0.98989545000000001</v>
      </c>
      <c r="G22" s="12">
        <f>$E35</f>
        <v>0.98989545000000001</v>
      </c>
      <c r="H22" s="12">
        <f>$E36</f>
        <v>1.6333274924999999</v>
      </c>
      <c r="I22" s="12">
        <f>$E37</f>
        <v>1.6333274924999999</v>
      </c>
      <c r="J22" s="12">
        <f>$E38</f>
        <v>1.6333274924999999</v>
      </c>
      <c r="K22" s="12">
        <f>$E39</f>
        <v>0.98989545000000001</v>
      </c>
      <c r="L22" s="12">
        <f>$E40</f>
        <v>1.6333274924999999</v>
      </c>
      <c r="M22" s="12">
        <f>$E41</f>
        <v>0.49494772500000001</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1" t="s">
        <v>92</v>
      </c>
      <c r="B23" s="142"/>
      <c r="C23" s="12">
        <f>C22-C21</f>
        <v>-197.01010455000002</v>
      </c>
      <c r="D23" s="12" t="e">
        <f t="shared" ref="D23:V23" si="3">D22-D21</f>
        <v>#N/A</v>
      </c>
      <c r="E23" s="12">
        <f t="shared" si="3"/>
        <v>-226.3666725075</v>
      </c>
      <c r="F23" s="12">
        <f t="shared" si="3"/>
        <v>-77.760104549999994</v>
      </c>
      <c r="G23" s="12">
        <f t="shared" si="3"/>
        <v>-77.010104549999994</v>
      </c>
      <c r="H23" s="12">
        <f t="shared" si="3"/>
        <v>-226.3666725075</v>
      </c>
      <c r="I23" s="12">
        <f t="shared" si="3"/>
        <v>-322.36667250750003</v>
      </c>
      <c r="J23" s="12">
        <f t="shared" si="3"/>
        <v>-322.36667250750003</v>
      </c>
      <c r="K23" s="12">
        <f t="shared" si="3"/>
        <v>-77.760104549999994</v>
      </c>
      <c r="L23" s="12">
        <f t="shared" si="3"/>
        <v>-322.36667250750003</v>
      </c>
      <c r="M23" s="12">
        <f t="shared" si="3"/>
        <v>0.49494772500000001</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3" t="s">
        <v>93</v>
      </c>
      <c r="B24" s="144"/>
      <c r="C24" s="18" t="str">
        <f t="shared" ref="C24:V24" si="4">IF($B31="","",IF(C$23&gt;=0,"INCREASE","DECREASE"))</f>
        <v>DECREASE</v>
      </c>
      <c r="D24" s="18" t="e">
        <f t="shared" si="4"/>
        <v>#N/A</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INCREASE</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5.91</v>
      </c>
      <c r="C28" s="11">
        <v>0.7</v>
      </c>
      <c r="D28" s="11">
        <v>0.14599999999999999</v>
      </c>
      <c r="E28" s="11">
        <v>1.3899999999999999E-2</v>
      </c>
      <c r="F28" s="11">
        <v>312</v>
      </c>
      <c r="G28" s="11">
        <v>8.91</v>
      </c>
      <c r="H28" s="11">
        <v>208</v>
      </c>
      <c r="I28" s="11">
        <v>29.1</v>
      </c>
      <c r="J28" s="11">
        <v>0.34</v>
      </c>
      <c r="K28" s="15">
        <v>0.68</v>
      </c>
      <c r="L28" s="11">
        <v>23.5</v>
      </c>
      <c r="M28" s="11">
        <v>16</v>
      </c>
      <c r="N28" s="11">
        <v>2960</v>
      </c>
      <c r="O28" s="11">
        <v>404000</v>
      </c>
      <c r="P28" s="11"/>
      <c r="Q28" s="11">
        <v>4870</v>
      </c>
      <c r="R28" s="11"/>
      <c r="S28" s="11">
        <v>22.6</v>
      </c>
      <c r="T28" s="11"/>
      <c r="U28" s="97"/>
    </row>
    <row r="29" spans="1:40" s="7" customFormat="1" ht="27" x14ac:dyDescent="0.2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Hook Field 2</v>
      </c>
      <c r="B31" s="11">
        <v>100</v>
      </c>
      <c r="C31" s="65">
        <f t="shared" ref="C31:C50" si="5">IF(C$27="%w/w SAR",((C$28*10)*$B31),IF(C$27="%w/w DM",(((C$28*10)*($B$28/100))*$B31),IF(C$27="kg/t SAR",(C$28*$B31),IF(C$27="kg/t DM",((C$28*($B$28/100))*$B31),IF(C$27="mg/kg SAR",((C$28*0.001)*$B31),IF(C$27="mg/kg DM",(((C$28*0.001)*($B$28/100))*$B31),0))))))</f>
        <v>41.370000000000005</v>
      </c>
      <c r="D31" s="65">
        <f t="shared" ref="D31:D50" si="6">(IF(D$27="%w/w SAR",((D$28*10)*$B31),IF(D$27="%w/w DM",(((D$28*10)*($B$28/100))*$B31),IF(D$27="kg/t SAR",(D$28*$B31),IF(D$27="kg/t DM",((D$28*($B$28/100))*$B31),IF(D$27="mg/kg SAR",((D$28*0.001)*$B31),IF(D$27="mg/kg DM",(((D$28*0.001)*($B$28/100))*$B31),"0")))))))*2.291</f>
        <v>19.768122600000002</v>
      </c>
      <c r="E31" s="65">
        <f t="shared" ref="E31:E50" si="7">(IF(E$27="%w/w SAR",((E$28*10)*$B31),IF(E$27="%w/w DM",(((E$28*10)*($B$28/100))*$B31),IF(E$27="kg/t SAR",(E$28*$B31),IF(E$27="kg/t DM",((E$28*($B$28/100))*$B31),IF(E$27="mg/kg SAR",((E$28*0.001)*$B31),IF(E$27="mg/kg DM",(((E$28*0.001)*($B$28/100))*$B31),"0")))))))*1.205</f>
        <v>0.98989545000000001</v>
      </c>
      <c r="F31" s="65">
        <f t="shared" ref="F31:F50" si="8">(IF(F$27="%w/w SAR",((F$28*10)*$B31),IF(F$27="%w/w DM",(((F$28*10)*($B$28/100))*$B31),IF(F$27="kg/t SAR",(F$28*$B31),IF(F$27="kg/t DM",((F$28*($B$28/100))*$B31),IF(F$27="mg/kg SAR",((F$28*0.001)*$B31),IF(F$27="mg/kg DM",(((F$28*0.001)*($B$28/100))*$B31),"0")))))))*1.658</f>
        <v>3.0572193599999999</v>
      </c>
      <c r="G31" s="65">
        <f t="shared" ref="G31:P40" si="9">IF(G$27="%w/w SAR",((G$28*10)*$B31),IF(G$27="%w/w DM",(((G$28*10)*($B$28/100))*$B31),IF(G$27="kg/t SAR",(G$28*$B31),IF(G$27="kg/t DM",((G$28*($B$28/100))*$B31),IF(G$27="mg/kg SAR",((G$28*0.001)*$B31),IF(G$27="mg/kg DM",(((G$28*0.001)*($B$28/100))*$B31),0))))))</f>
        <v>5.2658099999999992E-2</v>
      </c>
      <c r="H31" s="65">
        <f t="shared" si="9"/>
        <v>1.2292800000000002</v>
      </c>
      <c r="I31" s="65">
        <f t="shared" si="9"/>
        <v>0.17198099999999999</v>
      </c>
      <c r="J31" s="65">
        <f t="shared" si="9"/>
        <v>2.0094000000000002E-3</v>
      </c>
      <c r="K31" s="65">
        <f t="shared" si="9"/>
        <v>4.0188000000000003E-3</v>
      </c>
      <c r="L31" s="65">
        <f t="shared" si="9"/>
        <v>0.13888500000000001</v>
      </c>
      <c r="M31" s="65">
        <f t="shared" si="9"/>
        <v>9.4560000000000005E-2</v>
      </c>
      <c r="N31" s="65">
        <f t="shared" si="9"/>
        <v>17.493600000000001</v>
      </c>
      <c r="O31" s="65">
        <f t="shared" si="9"/>
        <v>2387.64</v>
      </c>
      <c r="P31" s="65">
        <f t="shared" si="9"/>
        <v>0</v>
      </c>
      <c r="Q31" s="65">
        <f t="shared" ref="Q31:Q50" si="10">(IF(Q$27="%w/w SAR",((Q$28*10)*$B31),IF(Q$27="%w/w DM",(((Q$28*10)*($B$28/100))*$B31),IF(Q$27="kg/t SAR",(Q$28*$B31),IF(Q$27="kg/t DM",((Q$28*($B$28/100))*$B31),IF(Q$27="mg/kg SAR",((Q$28*0.001)*$B31),IF(Q$27="mg/kg DM",(((Q$28*0.001)*($B$28/100))*$B31),0)))))))*2.5</f>
        <v>71.954250000000002</v>
      </c>
      <c r="R31" s="65">
        <f t="shared" ref="R31:U50" si="11">IF(R$27="%w/w SAR",((R$28*10)*$B31),IF(R$27="%w/w DM",(((R$28*10)*($B$28/100))*$B31),IF(R$27="kg/t SAR",(R$28*$B31),IF(R$27="kg/t DM",((R$28*($B$28/100))*$B31),IF(R$27="mg/kg SAR",((R$28*0.001)*$B31),IF(R$27="mg/kg DM",(((R$28*0.001)*($B$28/100))*$B31),0))))))</f>
        <v>0</v>
      </c>
      <c r="S31" s="65">
        <f t="shared" si="11"/>
        <v>0.13356599999999999</v>
      </c>
      <c r="T31" s="65">
        <f t="shared" si="11"/>
        <v>0</v>
      </c>
      <c r="U31" s="126">
        <f t="shared" si="11"/>
        <v>0</v>
      </c>
    </row>
    <row r="32" spans="1:40" s="48" customFormat="1" x14ac:dyDescent="0.25">
      <c r="A32" s="125" t="str">
        <f>D8</f>
        <v>Hook Field 3</v>
      </c>
      <c r="B32" s="11">
        <v>50</v>
      </c>
      <c r="C32" s="65">
        <f t="shared" si="5"/>
        <v>20.685000000000002</v>
      </c>
      <c r="D32" s="65">
        <f t="shared" si="6"/>
        <v>9.8840613000000008</v>
      </c>
      <c r="E32" s="65">
        <f t="shared" si="7"/>
        <v>0.49494772500000001</v>
      </c>
      <c r="F32" s="65">
        <f t="shared" si="8"/>
        <v>1.52860968</v>
      </c>
      <c r="G32" s="65">
        <f t="shared" si="9"/>
        <v>2.6329049999999996E-2</v>
      </c>
      <c r="H32" s="65">
        <f t="shared" si="9"/>
        <v>0.61464000000000008</v>
      </c>
      <c r="I32" s="65">
        <f t="shared" si="9"/>
        <v>8.5990499999999997E-2</v>
      </c>
      <c r="J32" s="65">
        <f t="shared" si="9"/>
        <v>1.0047000000000001E-3</v>
      </c>
      <c r="K32" s="65">
        <f t="shared" si="9"/>
        <v>2.0094000000000002E-3</v>
      </c>
      <c r="L32" s="65">
        <f t="shared" si="9"/>
        <v>6.9442500000000004E-2</v>
      </c>
      <c r="M32" s="65">
        <f t="shared" si="9"/>
        <v>4.7280000000000003E-2</v>
      </c>
      <c r="N32" s="65">
        <f t="shared" si="9"/>
        <v>8.7468000000000004</v>
      </c>
      <c r="O32" s="65">
        <f t="shared" si="9"/>
        <v>1193.82</v>
      </c>
      <c r="P32" s="65">
        <f t="shared" si="9"/>
        <v>0</v>
      </c>
      <c r="Q32" s="65">
        <f t="shared" si="10"/>
        <v>35.977125000000001</v>
      </c>
      <c r="R32" s="65">
        <f t="shared" si="11"/>
        <v>0</v>
      </c>
      <c r="S32" s="65">
        <f t="shared" si="11"/>
        <v>6.6782999999999995E-2</v>
      </c>
      <c r="T32" s="65">
        <f t="shared" si="11"/>
        <v>0</v>
      </c>
      <c r="U32" s="126">
        <f t="shared" si="11"/>
        <v>0</v>
      </c>
    </row>
    <row r="33" spans="1:21" s="48" customFormat="1" x14ac:dyDescent="0.25">
      <c r="A33" s="125" t="str">
        <f>E8</f>
        <v>Hook Field 4</v>
      </c>
      <c r="B33" s="11">
        <v>165</v>
      </c>
      <c r="C33" s="65">
        <f t="shared" si="5"/>
        <v>68.260500000000008</v>
      </c>
      <c r="D33" s="65">
        <f t="shared" si="6"/>
        <v>32.617402290000001</v>
      </c>
      <c r="E33" s="65">
        <f t="shared" si="7"/>
        <v>1.6333274924999999</v>
      </c>
      <c r="F33" s="65">
        <f t="shared" si="8"/>
        <v>5.0444119439999993</v>
      </c>
      <c r="G33" s="65">
        <f t="shared" si="9"/>
        <v>8.6885864999999993E-2</v>
      </c>
      <c r="H33" s="65">
        <f t="shared" si="9"/>
        <v>2.0283120000000001</v>
      </c>
      <c r="I33" s="65">
        <f t="shared" si="9"/>
        <v>0.28376865000000001</v>
      </c>
      <c r="J33" s="65">
        <f t="shared" si="9"/>
        <v>3.3155100000000002E-3</v>
      </c>
      <c r="K33" s="65">
        <f t="shared" si="9"/>
        <v>6.6310200000000005E-3</v>
      </c>
      <c r="L33" s="65">
        <f t="shared" si="9"/>
        <v>0.22916025000000001</v>
      </c>
      <c r="M33" s="65">
        <f t="shared" si="9"/>
        <v>0.156024</v>
      </c>
      <c r="N33" s="65">
        <f t="shared" si="9"/>
        <v>28.864440000000002</v>
      </c>
      <c r="O33" s="65">
        <f t="shared" si="9"/>
        <v>3939.6060000000002</v>
      </c>
      <c r="P33" s="65">
        <f t="shared" si="9"/>
        <v>0</v>
      </c>
      <c r="Q33" s="65">
        <f t="shared" si="10"/>
        <v>118.72451249999999</v>
      </c>
      <c r="R33" s="65">
        <f t="shared" si="11"/>
        <v>0</v>
      </c>
      <c r="S33" s="65">
        <f t="shared" si="11"/>
        <v>0.22038389999999999</v>
      </c>
      <c r="T33" s="65">
        <f t="shared" si="11"/>
        <v>0</v>
      </c>
      <c r="U33" s="126">
        <f t="shared" si="11"/>
        <v>0</v>
      </c>
    </row>
    <row r="34" spans="1:21" s="48" customFormat="1" x14ac:dyDescent="0.25">
      <c r="A34" s="125" t="str">
        <f>F8</f>
        <v>Hook Field 8</v>
      </c>
      <c r="B34" s="11">
        <v>100</v>
      </c>
      <c r="C34" s="65">
        <f t="shared" si="5"/>
        <v>41.370000000000005</v>
      </c>
      <c r="D34" s="65">
        <f t="shared" si="6"/>
        <v>19.768122600000002</v>
      </c>
      <c r="E34" s="65">
        <f t="shared" si="7"/>
        <v>0.98989545000000001</v>
      </c>
      <c r="F34" s="65">
        <f t="shared" si="8"/>
        <v>3.0572193599999999</v>
      </c>
      <c r="G34" s="65">
        <f t="shared" si="9"/>
        <v>5.2658099999999992E-2</v>
      </c>
      <c r="H34" s="65">
        <f t="shared" si="9"/>
        <v>1.2292800000000002</v>
      </c>
      <c r="I34" s="65">
        <f t="shared" si="9"/>
        <v>0.17198099999999999</v>
      </c>
      <c r="J34" s="65">
        <f t="shared" si="9"/>
        <v>2.0094000000000002E-3</v>
      </c>
      <c r="K34" s="65">
        <f t="shared" si="9"/>
        <v>4.0188000000000003E-3</v>
      </c>
      <c r="L34" s="65">
        <f t="shared" si="9"/>
        <v>0.13888500000000001</v>
      </c>
      <c r="M34" s="65">
        <f t="shared" si="9"/>
        <v>9.4560000000000005E-2</v>
      </c>
      <c r="N34" s="65">
        <f t="shared" si="9"/>
        <v>17.493600000000001</v>
      </c>
      <c r="O34" s="65">
        <f t="shared" si="9"/>
        <v>2387.64</v>
      </c>
      <c r="P34" s="65">
        <f t="shared" si="9"/>
        <v>0</v>
      </c>
      <c r="Q34" s="65">
        <f t="shared" si="10"/>
        <v>71.954250000000002</v>
      </c>
      <c r="R34" s="65">
        <f t="shared" si="11"/>
        <v>0</v>
      </c>
      <c r="S34" s="65">
        <f t="shared" si="11"/>
        <v>0.13356599999999999</v>
      </c>
      <c r="T34" s="65">
        <f t="shared" si="11"/>
        <v>0</v>
      </c>
      <c r="U34" s="126">
        <f t="shared" si="11"/>
        <v>0</v>
      </c>
    </row>
    <row r="35" spans="1:21" s="48" customFormat="1" x14ac:dyDescent="0.25">
      <c r="A35" s="125" t="str">
        <f>G8</f>
        <v>Hook Field 10</v>
      </c>
      <c r="B35" s="11">
        <v>100</v>
      </c>
      <c r="C35" s="65">
        <f t="shared" si="5"/>
        <v>41.370000000000005</v>
      </c>
      <c r="D35" s="65">
        <f t="shared" si="6"/>
        <v>19.768122600000002</v>
      </c>
      <c r="E35" s="65">
        <f t="shared" si="7"/>
        <v>0.98989545000000001</v>
      </c>
      <c r="F35" s="65">
        <f t="shared" si="8"/>
        <v>3.0572193599999999</v>
      </c>
      <c r="G35" s="65">
        <f t="shared" si="9"/>
        <v>5.2658099999999992E-2</v>
      </c>
      <c r="H35" s="65">
        <f t="shared" si="9"/>
        <v>1.2292800000000002</v>
      </c>
      <c r="I35" s="65">
        <f t="shared" si="9"/>
        <v>0.17198099999999999</v>
      </c>
      <c r="J35" s="65">
        <f t="shared" si="9"/>
        <v>2.0094000000000002E-3</v>
      </c>
      <c r="K35" s="65">
        <f t="shared" si="9"/>
        <v>4.0188000000000003E-3</v>
      </c>
      <c r="L35" s="65">
        <f t="shared" si="9"/>
        <v>0.13888500000000001</v>
      </c>
      <c r="M35" s="65">
        <f t="shared" si="9"/>
        <v>9.4560000000000005E-2</v>
      </c>
      <c r="N35" s="65">
        <f t="shared" si="9"/>
        <v>17.493600000000001</v>
      </c>
      <c r="O35" s="65">
        <f t="shared" si="9"/>
        <v>2387.64</v>
      </c>
      <c r="P35" s="65">
        <f t="shared" si="9"/>
        <v>0</v>
      </c>
      <c r="Q35" s="65">
        <f t="shared" si="10"/>
        <v>71.954250000000002</v>
      </c>
      <c r="R35" s="65">
        <f t="shared" si="11"/>
        <v>0</v>
      </c>
      <c r="S35" s="65">
        <f t="shared" si="11"/>
        <v>0.13356599999999999</v>
      </c>
      <c r="T35" s="65">
        <f t="shared" si="11"/>
        <v>0</v>
      </c>
      <c r="U35" s="126">
        <f t="shared" si="11"/>
        <v>0</v>
      </c>
    </row>
    <row r="36" spans="1:21" s="48" customFormat="1" x14ac:dyDescent="0.25">
      <c r="A36" s="125" t="str">
        <f>H8</f>
        <v>Hook Field 20</v>
      </c>
      <c r="B36" s="11">
        <v>165</v>
      </c>
      <c r="C36" s="65">
        <f t="shared" si="5"/>
        <v>68.260500000000008</v>
      </c>
      <c r="D36" s="65">
        <f t="shared" si="6"/>
        <v>32.617402290000001</v>
      </c>
      <c r="E36" s="65">
        <f t="shared" si="7"/>
        <v>1.6333274924999999</v>
      </c>
      <c r="F36" s="65">
        <f t="shared" si="8"/>
        <v>5.0444119439999993</v>
      </c>
      <c r="G36" s="65">
        <f t="shared" si="9"/>
        <v>8.6885864999999993E-2</v>
      </c>
      <c r="H36" s="65">
        <f t="shared" si="9"/>
        <v>2.0283120000000001</v>
      </c>
      <c r="I36" s="65">
        <f t="shared" si="9"/>
        <v>0.28376865000000001</v>
      </c>
      <c r="J36" s="65">
        <f t="shared" si="9"/>
        <v>3.3155100000000002E-3</v>
      </c>
      <c r="K36" s="65">
        <f t="shared" si="9"/>
        <v>6.6310200000000005E-3</v>
      </c>
      <c r="L36" s="65">
        <f t="shared" si="9"/>
        <v>0.22916025000000001</v>
      </c>
      <c r="M36" s="65">
        <f t="shared" si="9"/>
        <v>0.156024</v>
      </c>
      <c r="N36" s="65">
        <f t="shared" si="9"/>
        <v>28.864440000000002</v>
      </c>
      <c r="O36" s="65">
        <f t="shared" si="9"/>
        <v>3939.6060000000002</v>
      </c>
      <c r="P36" s="65">
        <f t="shared" si="9"/>
        <v>0</v>
      </c>
      <c r="Q36" s="65">
        <f t="shared" si="10"/>
        <v>118.72451249999999</v>
      </c>
      <c r="R36" s="65">
        <f t="shared" si="11"/>
        <v>0</v>
      </c>
      <c r="S36" s="65">
        <f t="shared" si="11"/>
        <v>0.22038389999999999</v>
      </c>
      <c r="T36" s="65">
        <f t="shared" si="11"/>
        <v>0</v>
      </c>
      <c r="U36" s="126">
        <f t="shared" si="11"/>
        <v>0</v>
      </c>
    </row>
    <row r="37" spans="1:21" s="48" customFormat="1" x14ac:dyDescent="0.25">
      <c r="A37" s="125">
        <f>I8</f>
        <v>1</v>
      </c>
      <c r="B37" s="11">
        <v>165</v>
      </c>
      <c r="C37" s="65">
        <f t="shared" si="5"/>
        <v>68.260500000000008</v>
      </c>
      <c r="D37" s="65">
        <f t="shared" si="6"/>
        <v>32.617402290000001</v>
      </c>
      <c r="E37" s="65">
        <f t="shared" si="7"/>
        <v>1.6333274924999999</v>
      </c>
      <c r="F37" s="65">
        <f t="shared" si="8"/>
        <v>5.0444119439999993</v>
      </c>
      <c r="G37" s="65">
        <f t="shared" si="9"/>
        <v>8.6885864999999993E-2</v>
      </c>
      <c r="H37" s="65">
        <f t="shared" si="9"/>
        <v>2.0283120000000001</v>
      </c>
      <c r="I37" s="65">
        <f t="shared" si="9"/>
        <v>0.28376865000000001</v>
      </c>
      <c r="J37" s="65">
        <f t="shared" si="9"/>
        <v>3.3155100000000002E-3</v>
      </c>
      <c r="K37" s="65">
        <f t="shared" si="9"/>
        <v>6.6310200000000005E-3</v>
      </c>
      <c r="L37" s="65">
        <f t="shared" si="9"/>
        <v>0.22916025000000001</v>
      </c>
      <c r="M37" s="65">
        <f t="shared" si="9"/>
        <v>0.156024</v>
      </c>
      <c r="N37" s="65">
        <f t="shared" si="9"/>
        <v>28.864440000000002</v>
      </c>
      <c r="O37" s="65">
        <f t="shared" si="9"/>
        <v>3939.6060000000002</v>
      </c>
      <c r="P37" s="65">
        <f t="shared" si="9"/>
        <v>0</v>
      </c>
      <c r="Q37" s="65">
        <f t="shared" si="10"/>
        <v>118.72451249999999</v>
      </c>
      <c r="R37" s="65">
        <f t="shared" si="11"/>
        <v>0</v>
      </c>
      <c r="S37" s="65">
        <f t="shared" si="11"/>
        <v>0.22038389999999999</v>
      </c>
      <c r="T37" s="65">
        <f t="shared" si="11"/>
        <v>0</v>
      </c>
      <c r="U37" s="126">
        <f t="shared" si="11"/>
        <v>0</v>
      </c>
    </row>
    <row r="38" spans="1:21" s="48" customFormat="1" x14ac:dyDescent="0.25">
      <c r="A38" s="125">
        <f>J8</f>
        <v>2</v>
      </c>
      <c r="B38" s="11">
        <v>165</v>
      </c>
      <c r="C38" s="65">
        <f t="shared" si="5"/>
        <v>68.260500000000008</v>
      </c>
      <c r="D38" s="65">
        <f t="shared" si="6"/>
        <v>32.617402290000001</v>
      </c>
      <c r="E38" s="65">
        <f t="shared" si="7"/>
        <v>1.6333274924999999</v>
      </c>
      <c r="F38" s="65">
        <f t="shared" si="8"/>
        <v>5.0444119439999993</v>
      </c>
      <c r="G38" s="65">
        <f t="shared" si="9"/>
        <v>8.6885864999999993E-2</v>
      </c>
      <c r="H38" s="65">
        <f t="shared" si="9"/>
        <v>2.0283120000000001</v>
      </c>
      <c r="I38" s="65">
        <f t="shared" si="9"/>
        <v>0.28376865000000001</v>
      </c>
      <c r="J38" s="65">
        <f t="shared" si="9"/>
        <v>3.3155100000000002E-3</v>
      </c>
      <c r="K38" s="65">
        <f t="shared" si="9"/>
        <v>6.6310200000000005E-3</v>
      </c>
      <c r="L38" s="65">
        <f t="shared" si="9"/>
        <v>0.22916025000000001</v>
      </c>
      <c r="M38" s="65">
        <f t="shared" si="9"/>
        <v>0.156024</v>
      </c>
      <c r="N38" s="65">
        <f t="shared" si="9"/>
        <v>28.864440000000002</v>
      </c>
      <c r="O38" s="65">
        <f t="shared" si="9"/>
        <v>3939.6060000000002</v>
      </c>
      <c r="P38" s="65">
        <f t="shared" si="9"/>
        <v>0</v>
      </c>
      <c r="Q38" s="65">
        <f t="shared" si="10"/>
        <v>118.72451249999999</v>
      </c>
      <c r="R38" s="65">
        <f t="shared" si="11"/>
        <v>0</v>
      </c>
      <c r="S38" s="65">
        <f t="shared" si="11"/>
        <v>0.22038389999999999</v>
      </c>
      <c r="T38" s="65">
        <f t="shared" si="11"/>
        <v>0</v>
      </c>
      <c r="U38" s="126">
        <f t="shared" si="11"/>
        <v>0</v>
      </c>
    </row>
    <row r="39" spans="1:21" s="48" customFormat="1" x14ac:dyDescent="0.25">
      <c r="A39" s="125">
        <f>K8</f>
        <v>3</v>
      </c>
      <c r="B39" s="11">
        <v>100</v>
      </c>
      <c r="C39" s="65">
        <f t="shared" si="5"/>
        <v>41.370000000000005</v>
      </c>
      <c r="D39" s="65">
        <f t="shared" si="6"/>
        <v>19.768122600000002</v>
      </c>
      <c r="E39" s="65">
        <f t="shared" si="7"/>
        <v>0.98989545000000001</v>
      </c>
      <c r="F39" s="65">
        <f t="shared" si="8"/>
        <v>3.0572193599999999</v>
      </c>
      <c r="G39" s="65">
        <f t="shared" si="9"/>
        <v>5.2658099999999992E-2</v>
      </c>
      <c r="H39" s="65">
        <f t="shared" si="9"/>
        <v>1.2292800000000002</v>
      </c>
      <c r="I39" s="65">
        <f t="shared" si="9"/>
        <v>0.17198099999999999</v>
      </c>
      <c r="J39" s="65">
        <f t="shared" si="9"/>
        <v>2.0094000000000002E-3</v>
      </c>
      <c r="K39" s="65">
        <f t="shared" si="9"/>
        <v>4.0188000000000003E-3</v>
      </c>
      <c r="L39" s="65">
        <f t="shared" si="9"/>
        <v>0.13888500000000001</v>
      </c>
      <c r="M39" s="65">
        <f t="shared" si="9"/>
        <v>9.4560000000000005E-2</v>
      </c>
      <c r="N39" s="65">
        <f t="shared" si="9"/>
        <v>17.493600000000001</v>
      </c>
      <c r="O39" s="65">
        <f t="shared" si="9"/>
        <v>2387.64</v>
      </c>
      <c r="P39" s="65">
        <f t="shared" si="9"/>
        <v>0</v>
      </c>
      <c r="Q39" s="65">
        <f t="shared" si="10"/>
        <v>71.954250000000002</v>
      </c>
      <c r="R39" s="65">
        <f t="shared" si="11"/>
        <v>0</v>
      </c>
      <c r="S39" s="65">
        <f t="shared" si="11"/>
        <v>0.13356599999999999</v>
      </c>
      <c r="T39" s="65">
        <f t="shared" si="11"/>
        <v>0</v>
      </c>
      <c r="U39" s="126">
        <f t="shared" si="11"/>
        <v>0</v>
      </c>
    </row>
    <row r="40" spans="1:21" s="48" customFormat="1" x14ac:dyDescent="0.25">
      <c r="A40" s="125">
        <f>L8</f>
        <v>4</v>
      </c>
      <c r="B40" s="11">
        <v>165</v>
      </c>
      <c r="C40" s="65">
        <f t="shared" si="5"/>
        <v>68.260500000000008</v>
      </c>
      <c r="D40" s="65">
        <f t="shared" si="6"/>
        <v>32.617402290000001</v>
      </c>
      <c r="E40" s="65">
        <f t="shared" si="7"/>
        <v>1.6333274924999999</v>
      </c>
      <c r="F40" s="65">
        <f t="shared" si="8"/>
        <v>5.0444119439999993</v>
      </c>
      <c r="G40" s="65">
        <f t="shared" si="9"/>
        <v>8.6885864999999993E-2</v>
      </c>
      <c r="H40" s="65">
        <f t="shared" si="9"/>
        <v>2.0283120000000001</v>
      </c>
      <c r="I40" s="65">
        <f t="shared" si="9"/>
        <v>0.28376865000000001</v>
      </c>
      <c r="J40" s="65">
        <f t="shared" si="9"/>
        <v>3.3155100000000002E-3</v>
      </c>
      <c r="K40" s="65">
        <f t="shared" si="9"/>
        <v>6.6310200000000005E-3</v>
      </c>
      <c r="L40" s="65">
        <f t="shared" si="9"/>
        <v>0.22916025000000001</v>
      </c>
      <c r="M40" s="65">
        <f t="shared" si="9"/>
        <v>0.156024</v>
      </c>
      <c r="N40" s="65">
        <f t="shared" si="9"/>
        <v>28.864440000000002</v>
      </c>
      <c r="O40" s="65">
        <f t="shared" si="9"/>
        <v>3939.6060000000002</v>
      </c>
      <c r="P40" s="65">
        <f t="shared" si="9"/>
        <v>0</v>
      </c>
      <c r="Q40" s="65">
        <f t="shared" si="10"/>
        <v>118.72451249999999</v>
      </c>
      <c r="R40" s="65">
        <f t="shared" si="11"/>
        <v>0</v>
      </c>
      <c r="S40" s="65">
        <f t="shared" si="11"/>
        <v>0.22038389999999999</v>
      </c>
      <c r="T40" s="65">
        <f t="shared" si="11"/>
        <v>0</v>
      </c>
      <c r="U40" s="126">
        <f t="shared" si="11"/>
        <v>0</v>
      </c>
    </row>
    <row r="41" spans="1:21" s="48" customFormat="1" x14ac:dyDescent="0.25">
      <c r="A41" s="125">
        <f>M8</f>
        <v>7</v>
      </c>
      <c r="B41" s="11">
        <v>50</v>
      </c>
      <c r="C41" s="65">
        <f t="shared" si="5"/>
        <v>20.685000000000002</v>
      </c>
      <c r="D41" s="65">
        <f t="shared" si="6"/>
        <v>9.8840613000000008</v>
      </c>
      <c r="E41" s="65">
        <f t="shared" si="7"/>
        <v>0.49494772500000001</v>
      </c>
      <c r="F41" s="65">
        <f t="shared" si="8"/>
        <v>1.52860968</v>
      </c>
      <c r="G41" s="65">
        <f t="shared" ref="G41:P50" si="12">IF(G$27="%w/w SAR",((G$28*10)*$B41),IF(G$27="%w/w DM",(((G$28*10)*($B$28/100))*$B41),IF(G$27="kg/t SAR",(G$28*$B41),IF(G$27="kg/t DM",((G$28*($B$28/100))*$B41),IF(G$27="mg/kg SAR",((G$28*0.001)*$B41),IF(G$27="mg/kg DM",(((G$28*0.001)*($B$28/100))*$B41),0))))))</f>
        <v>2.6329049999999996E-2</v>
      </c>
      <c r="H41" s="65">
        <f t="shared" si="12"/>
        <v>0.61464000000000008</v>
      </c>
      <c r="I41" s="65">
        <f t="shared" si="12"/>
        <v>8.5990499999999997E-2</v>
      </c>
      <c r="J41" s="65">
        <f t="shared" si="12"/>
        <v>1.0047000000000001E-3</v>
      </c>
      <c r="K41" s="65">
        <f t="shared" si="12"/>
        <v>2.0094000000000002E-3</v>
      </c>
      <c r="L41" s="65">
        <f t="shared" si="12"/>
        <v>6.9442500000000004E-2</v>
      </c>
      <c r="M41" s="65">
        <f t="shared" si="12"/>
        <v>4.7280000000000003E-2</v>
      </c>
      <c r="N41" s="65">
        <f t="shared" si="12"/>
        <v>8.7468000000000004</v>
      </c>
      <c r="O41" s="65">
        <f t="shared" si="12"/>
        <v>1193.82</v>
      </c>
      <c r="P41" s="65">
        <f t="shared" si="12"/>
        <v>0</v>
      </c>
      <c r="Q41" s="65">
        <f t="shared" si="10"/>
        <v>35.977125000000001</v>
      </c>
      <c r="R41" s="65">
        <f t="shared" si="11"/>
        <v>0</v>
      </c>
      <c r="S41" s="65">
        <f t="shared" si="11"/>
        <v>6.6782999999999995E-2</v>
      </c>
      <c r="T41" s="65">
        <f t="shared" si="11"/>
        <v>0</v>
      </c>
      <c r="U41" s="126">
        <f t="shared" si="11"/>
        <v>0</v>
      </c>
    </row>
    <row r="42" spans="1:21" s="48" customFormat="1" x14ac:dyDescent="0.25">
      <c r="A42" s="125">
        <f>N8</f>
        <v>0</v>
      </c>
      <c r="B42" s="11"/>
      <c r="C42" s="65">
        <f t="shared" si="5"/>
        <v>0</v>
      </c>
      <c r="D42" s="65">
        <f t="shared" si="6"/>
        <v>0</v>
      </c>
      <c r="E42" s="65">
        <f t="shared" si="7"/>
        <v>0</v>
      </c>
      <c r="F42" s="65">
        <f t="shared" si="8"/>
        <v>0</v>
      </c>
      <c r="G42" s="65">
        <f t="shared" si="12"/>
        <v>0</v>
      </c>
      <c r="H42" s="65">
        <f t="shared" si="12"/>
        <v>0</v>
      </c>
      <c r="I42" s="65">
        <f t="shared" si="12"/>
        <v>0</v>
      </c>
      <c r="J42" s="65">
        <f t="shared" si="12"/>
        <v>0</v>
      </c>
      <c r="K42" s="65">
        <f t="shared" si="12"/>
        <v>0</v>
      </c>
      <c r="L42" s="65">
        <f t="shared" si="12"/>
        <v>0</v>
      </c>
      <c r="M42" s="65">
        <f t="shared" si="12"/>
        <v>0</v>
      </c>
      <c r="N42" s="65">
        <f t="shared" si="12"/>
        <v>0</v>
      </c>
      <c r="O42" s="65">
        <f t="shared" si="12"/>
        <v>0</v>
      </c>
      <c r="P42" s="65">
        <f t="shared" si="12"/>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5"/>
        <v>0</v>
      </c>
      <c r="D43" s="65">
        <f t="shared" si="6"/>
        <v>0</v>
      </c>
      <c r="E43" s="65">
        <f t="shared" si="7"/>
        <v>0</v>
      </c>
      <c r="F43" s="65">
        <f t="shared" si="8"/>
        <v>0</v>
      </c>
      <c r="G43" s="65">
        <f t="shared" si="12"/>
        <v>0</v>
      </c>
      <c r="H43" s="65">
        <f t="shared" si="12"/>
        <v>0</v>
      </c>
      <c r="I43" s="65">
        <f t="shared" si="12"/>
        <v>0</v>
      </c>
      <c r="J43" s="65">
        <f t="shared" si="12"/>
        <v>0</v>
      </c>
      <c r="K43" s="65">
        <f t="shared" si="12"/>
        <v>0</v>
      </c>
      <c r="L43" s="65">
        <f t="shared" si="12"/>
        <v>0</v>
      </c>
      <c r="M43" s="65">
        <f t="shared" si="12"/>
        <v>0</v>
      </c>
      <c r="N43" s="65">
        <f t="shared" si="12"/>
        <v>0</v>
      </c>
      <c r="O43" s="65">
        <f t="shared" si="12"/>
        <v>0</v>
      </c>
      <c r="P43" s="65">
        <f t="shared" si="12"/>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5"/>
        <v>0</v>
      </c>
      <c r="D44" s="65">
        <f t="shared" si="6"/>
        <v>0</v>
      </c>
      <c r="E44" s="65">
        <f t="shared" si="7"/>
        <v>0</v>
      </c>
      <c r="F44" s="65">
        <f t="shared" si="8"/>
        <v>0</v>
      </c>
      <c r="G44" s="65">
        <f t="shared" si="12"/>
        <v>0</v>
      </c>
      <c r="H44" s="65">
        <f t="shared" si="12"/>
        <v>0</v>
      </c>
      <c r="I44" s="65">
        <f t="shared" si="12"/>
        <v>0</v>
      </c>
      <c r="J44" s="65">
        <f t="shared" si="12"/>
        <v>0</v>
      </c>
      <c r="K44" s="65">
        <f t="shared" si="12"/>
        <v>0</v>
      </c>
      <c r="L44" s="65">
        <f t="shared" si="12"/>
        <v>0</v>
      </c>
      <c r="M44" s="65">
        <f t="shared" si="12"/>
        <v>0</v>
      </c>
      <c r="N44" s="65">
        <f t="shared" si="12"/>
        <v>0</v>
      </c>
      <c r="O44" s="65">
        <f t="shared" si="12"/>
        <v>0</v>
      </c>
      <c r="P44" s="65">
        <f t="shared" si="12"/>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5"/>
        <v>0</v>
      </c>
      <c r="D45" s="65">
        <f t="shared" si="6"/>
        <v>0</v>
      </c>
      <c r="E45" s="65">
        <f t="shared" si="7"/>
        <v>0</v>
      </c>
      <c r="F45" s="65">
        <f t="shared" si="8"/>
        <v>0</v>
      </c>
      <c r="G45" s="65">
        <f t="shared" si="12"/>
        <v>0</v>
      </c>
      <c r="H45" s="65">
        <f t="shared" si="12"/>
        <v>0</v>
      </c>
      <c r="I45" s="65">
        <f t="shared" si="12"/>
        <v>0</v>
      </c>
      <c r="J45" s="65">
        <f t="shared" si="12"/>
        <v>0</v>
      </c>
      <c r="K45" s="65">
        <f t="shared" si="12"/>
        <v>0</v>
      </c>
      <c r="L45" s="65">
        <f t="shared" si="12"/>
        <v>0</v>
      </c>
      <c r="M45" s="65">
        <f t="shared" si="12"/>
        <v>0</v>
      </c>
      <c r="N45" s="65">
        <f t="shared" si="12"/>
        <v>0</v>
      </c>
      <c r="O45" s="65">
        <f t="shared" si="12"/>
        <v>0</v>
      </c>
      <c r="P45" s="65">
        <f t="shared" si="12"/>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5"/>
        <v>0</v>
      </c>
      <c r="D46" s="65">
        <f t="shared" si="6"/>
        <v>0</v>
      </c>
      <c r="E46" s="65">
        <f t="shared" si="7"/>
        <v>0</v>
      </c>
      <c r="F46" s="65">
        <f t="shared" si="8"/>
        <v>0</v>
      </c>
      <c r="G46" s="65">
        <f t="shared" si="12"/>
        <v>0</v>
      </c>
      <c r="H46" s="65">
        <f t="shared" si="12"/>
        <v>0</v>
      </c>
      <c r="I46" s="65">
        <f t="shared" si="12"/>
        <v>0</v>
      </c>
      <c r="J46" s="65">
        <f t="shared" si="12"/>
        <v>0</v>
      </c>
      <c r="K46" s="65">
        <f t="shared" si="12"/>
        <v>0</v>
      </c>
      <c r="L46" s="65">
        <f t="shared" si="12"/>
        <v>0</v>
      </c>
      <c r="M46" s="65">
        <f t="shared" si="12"/>
        <v>0</v>
      </c>
      <c r="N46" s="65">
        <f t="shared" si="12"/>
        <v>0</v>
      </c>
      <c r="O46" s="65">
        <f t="shared" si="12"/>
        <v>0</v>
      </c>
      <c r="P46" s="65">
        <f t="shared" si="12"/>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5"/>
        <v>0</v>
      </c>
      <c r="D47" s="65">
        <f t="shared" si="6"/>
        <v>0</v>
      </c>
      <c r="E47" s="65">
        <f t="shared" si="7"/>
        <v>0</v>
      </c>
      <c r="F47" s="65">
        <f t="shared" si="8"/>
        <v>0</v>
      </c>
      <c r="G47" s="65">
        <f t="shared" si="12"/>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5"/>
        <v>0</v>
      </c>
      <c r="D48" s="65">
        <f t="shared" si="6"/>
        <v>0</v>
      </c>
      <c r="E48" s="65">
        <f t="shared" si="7"/>
        <v>0</v>
      </c>
      <c r="F48" s="65">
        <f t="shared" si="8"/>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5"/>
        <v>0</v>
      </c>
      <c r="D49" s="65">
        <f t="shared" si="6"/>
        <v>0</v>
      </c>
      <c r="E49" s="65">
        <f t="shared" si="7"/>
        <v>0</v>
      </c>
      <c r="F49" s="65">
        <f t="shared" si="8"/>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5"/>
        <v>0</v>
      </c>
      <c r="D50" s="80">
        <f t="shared" si="6"/>
        <v>0</v>
      </c>
      <c r="E50" s="80">
        <f t="shared" si="7"/>
        <v>0</v>
      </c>
      <c r="F50" s="80">
        <f t="shared" si="8"/>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Hook Field 2</v>
      </c>
      <c r="C57" s="8" t="str">
        <f t="shared" ref="C57:U57" si="13">D8</f>
        <v>Hook Field 3</v>
      </c>
      <c r="D57" s="8" t="str">
        <f t="shared" si="13"/>
        <v>Hook Field 4</v>
      </c>
      <c r="E57" s="8" t="str">
        <f t="shared" si="13"/>
        <v>Hook Field 8</v>
      </c>
      <c r="F57" s="8" t="str">
        <f t="shared" si="13"/>
        <v>Hook Field 10</v>
      </c>
      <c r="G57" s="8" t="str">
        <f t="shared" si="13"/>
        <v>Hook Field 20</v>
      </c>
      <c r="H57" s="8">
        <f t="shared" si="13"/>
        <v>1</v>
      </c>
      <c r="I57" s="8">
        <f t="shared" si="13"/>
        <v>2</v>
      </c>
      <c r="J57" s="8">
        <f t="shared" si="13"/>
        <v>3</v>
      </c>
      <c r="K57" s="8">
        <f t="shared" si="13"/>
        <v>4</v>
      </c>
      <c r="L57" s="8">
        <f t="shared" si="13"/>
        <v>7</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"&amp;(VLOOKUP(C14,Table245810[],6,FALSE))</f>
        <v>Medium/Clay I Arable</v>
      </c>
      <c r="C58" s="10" t="e">
        <f>D16&amp;" I "&amp;(VLOOKUP(D14,Table245810[],6,FALSE))</f>
        <v>#N/A</v>
      </c>
      <c r="D58" s="10" t="str">
        <f>E16&amp;" I "&amp;(VLOOKUP(E14,Table245810[],6,FALSE))</f>
        <v>Medium/Clay I Grass</v>
      </c>
      <c r="E58" s="10" t="str">
        <f>F16&amp;" I "&amp;(VLOOKUP(F14,Table245810[],6,FALSE))</f>
        <v>Medium/Clay I Arable</v>
      </c>
      <c r="F58" s="10" t="str">
        <f>G16&amp;" I "&amp;(VLOOKUP(G14,Table245810[],6,FALSE))</f>
        <v>Medium/Clay I Arable</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Arable</v>
      </c>
      <c r="K58" s="10" t="str">
        <f>L16&amp;" I "&amp;(VLOOKUP(L14,Table245810[],6,FALSE))</f>
        <v>Medium/Clay I Grass</v>
      </c>
      <c r="L58" s="10" t="str">
        <f>M16&amp;" I "&amp;(VLOOKUP(M14,Table245810[],6,FALSE))</f>
        <v>Medium/Clay I Arable</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x14ac:dyDescent="0.2">
      <c r="A59" s="87" t="s">
        <v>132</v>
      </c>
      <c r="B59" s="64">
        <f>VLOOKUP(C$14,Table245810[],5,FALSE)</f>
        <v>6.7</v>
      </c>
      <c r="C59" s="64" t="e">
        <f>VLOOKUP(D$14,Table245810[],5,FALSE)</f>
        <v>#N/A</v>
      </c>
      <c r="D59" s="64">
        <f>VLOOKUP(E$14,Table245810[],5,FALSE)</f>
        <v>6.2</v>
      </c>
      <c r="E59" s="64">
        <f>VLOOKUP(F$14,Table245810[],5,FALSE)</f>
        <v>6.7</v>
      </c>
      <c r="F59" s="64">
        <f>VLOOKUP(G$14,Table245810[],5,FALSE)</f>
        <v>6.7</v>
      </c>
      <c r="G59" s="64">
        <f>VLOOKUP(H$14,Table245810[],5,FALSE)</f>
        <v>6.2</v>
      </c>
      <c r="H59" s="64">
        <f>VLOOKUP(I$14,Table245810[],5,FALSE)</f>
        <v>6.2</v>
      </c>
      <c r="I59" s="64">
        <f>VLOOKUP(J$14,Table245810[],5,FALSE)</f>
        <v>6.2</v>
      </c>
      <c r="J59" s="64">
        <f>VLOOKUP(K$14,Table245810[],5,FALSE)</f>
        <v>6.7</v>
      </c>
      <c r="K59" s="64">
        <f>VLOOKUP(L$14,Table245810[],5,FALSE)</f>
        <v>6.2</v>
      </c>
      <c r="L59" s="64">
        <f>VLOOKUP(M$14,Table245810[],5,FALSE)</f>
        <v>6.7</v>
      </c>
      <c r="M59" s="64" t="e">
        <f>VLOOKUP(N$14,Table245810[],5,FALSE)</f>
        <v>#N/A</v>
      </c>
      <c r="N59" s="64" t="e">
        <f>VLOOKUP(O$14,Table245810[],5,FALSE)</f>
        <v>#N/A</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x14ac:dyDescent="0.2">
      <c r="A60" s="87" t="s">
        <v>4</v>
      </c>
      <c r="B60" s="64">
        <f>C10</f>
        <v>6.9</v>
      </c>
      <c r="C60" s="64">
        <f t="shared" ref="C60:U60" si="14">D10</f>
        <v>6.8</v>
      </c>
      <c r="D60" s="64">
        <f t="shared" si="14"/>
        <v>6.8</v>
      </c>
      <c r="E60" s="64">
        <f t="shared" si="14"/>
        <v>6.6</v>
      </c>
      <c r="F60" s="64">
        <f t="shared" si="14"/>
        <v>7.1</v>
      </c>
      <c r="G60" s="64">
        <f t="shared" si="14"/>
        <v>7.3</v>
      </c>
      <c r="H60" s="64">
        <f t="shared" si="14"/>
        <v>6.4</v>
      </c>
      <c r="I60" s="64">
        <f t="shared" si="14"/>
        <v>6.2</v>
      </c>
      <c r="J60" s="64">
        <f t="shared" si="14"/>
        <v>6.2</v>
      </c>
      <c r="K60" s="64">
        <f t="shared" si="14"/>
        <v>6.7</v>
      </c>
      <c r="L60" s="64">
        <f t="shared" si="14"/>
        <v>6.3</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8</v>
      </c>
      <c r="C61" s="64" t="e">
        <f t="shared" si="15"/>
        <v>#N/A</v>
      </c>
      <c r="D61" s="64">
        <f t="shared" si="15"/>
        <v>6</v>
      </c>
      <c r="E61" s="64">
        <f t="shared" si="15"/>
        <v>8</v>
      </c>
      <c r="F61" s="64">
        <f t="shared" si="15"/>
        <v>8</v>
      </c>
      <c r="G61" s="64">
        <f t="shared" si="15"/>
        <v>6</v>
      </c>
      <c r="H61" s="64">
        <f t="shared" si="15"/>
        <v>6</v>
      </c>
      <c r="I61" s="64">
        <f t="shared" si="15"/>
        <v>6</v>
      </c>
      <c r="J61" s="64">
        <f t="shared" si="15"/>
        <v>8</v>
      </c>
      <c r="K61" s="64">
        <f t="shared" si="15"/>
        <v>6</v>
      </c>
      <c r="L61" s="64">
        <f t="shared" si="15"/>
        <v>8</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100</v>
      </c>
      <c r="C62" s="65">
        <f>B32</f>
        <v>50</v>
      </c>
      <c r="D62" s="65">
        <f>B33</f>
        <v>165</v>
      </c>
      <c r="E62" s="65">
        <f>B34</f>
        <v>100</v>
      </c>
      <c r="F62" s="65">
        <f>B35</f>
        <v>100</v>
      </c>
      <c r="G62" s="65">
        <f>B36</f>
        <v>165</v>
      </c>
      <c r="H62" s="65">
        <f>B37</f>
        <v>165</v>
      </c>
      <c r="I62" s="65">
        <f>B38</f>
        <v>165</v>
      </c>
      <c r="J62" s="65">
        <f>B39</f>
        <v>100</v>
      </c>
      <c r="K62" s="65">
        <f>B40</f>
        <v>165</v>
      </c>
      <c r="L62" s="65">
        <f>B41</f>
        <v>50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-1.6000000000000014</v>
      </c>
      <c r="C64" s="65" t="e">
        <f t="shared" ref="C64:U64" si="17">(C59-C60)*C61</f>
        <v>#N/A</v>
      </c>
      <c r="D64" s="65">
        <f t="shared" si="17"/>
        <v>-3.5999999999999979</v>
      </c>
      <c r="E64" s="65">
        <f t="shared" si="17"/>
        <v>0.80000000000000426</v>
      </c>
      <c r="F64" s="65">
        <f t="shared" si="17"/>
        <v>-3.1999999999999957</v>
      </c>
      <c r="G64" s="65">
        <f t="shared" si="17"/>
        <v>-6.5999999999999979</v>
      </c>
      <c r="H64" s="65">
        <f t="shared" si="17"/>
        <v>-1.2000000000000011</v>
      </c>
      <c r="I64" s="65">
        <f t="shared" si="17"/>
        <v>0</v>
      </c>
      <c r="J64" s="65">
        <f t="shared" si="17"/>
        <v>4</v>
      </c>
      <c r="K64" s="65">
        <f t="shared" si="17"/>
        <v>-3</v>
      </c>
      <c r="L64" s="65">
        <f t="shared" si="17"/>
        <v>3.2000000000000028</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1.6000000000000014</v>
      </c>
      <c r="C65" s="65" t="e">
        <f t="shared" ref="C65:U65" si="18">C63-C64</f>
        <v>#N/A</v>
      </c>
      <c r="D65" s="65">
        <f t="shared" si="18"/>
        <v>3.5999999999999979</v>
      </c>
      <c r="E65" s="65">
        <f t="shared" si="18"/>
        <v>-0.80000000000000426</v>
      </c>
      <c r="F65" s="65">
        <f t="shared" si="18"/>
        <v>3.1999999999999957</v>
      </c>
      <c r="G65" s="65">
        <f t="shared" si="18"/>
        <v>6.5999999999999979</v>
      </c>
      <c r="H65" s="65">
        <f t="shared" si="18"/>
        <v>1.2000000000000011</v>
      </c>
      <c r="I65" s="65">
        <f t="shared" si="18"/>
        <v>0</v>
      </c>
      <c r="J65" s="65">
        <f t="shared" si="18"/>
        <v>-4</v>
      </c>
      <c r="K65" s="65">
        <f t="shared" si="18"/>
        <v>3</v>
      </c>
      <c r="L65" s="65">
        <f t="shared" si="18"/>
        <v>-3.2000000000000028</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e">
        <f t="shared" ref="C66:U66" si="19">IF(C64&lt;=C63,"OVER","UNDER")</f>
        <v>#N/A</v>
      </c>
      <c r="D66" s="66" t="str">
        <f t="shared" si="19"/>
        <v>OVER</v>
      </c>
      <c r="E66" s="66" t="str">
        <f t="shared" si="19"/>
        <v>UNDER</v>
      </c>
      <c r="F66" s="66" t="str">
        <f t="shared" si="19"/>
        <v>OVER</v>
      </c>
      <c r="G66" s="66" t="str">
        <f t="shared" si="19"/>
        <v>OVER</v>
      </c>
      <c r="H66" s="66" t="str">
        <f t="shared" si="19"/>
        <v>OVER</v>
      </c>
      <c r="I66" s="66" t="str">
        <f t="shared" si="19"/>
        <v>OVER</v>
      </c>
      <c r="J66" s="66" t="str">
        <f t="shared" si="19"/>
        <v>UNDER</v>
      </c>
      <c r="K66" s="66" t="str">
        <f t="shared" si="19"/>
        <v>OVER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XxlxVkTYgR3AsyDR0oPQ5yLsr0qd4d5qyHKbXnvwMgmwu8j4IFaZouBleSgKfhU6Wu8b2RGDjiZcB6czm1/rA==" saltValue="nr2pBll/61etCcJqPc6ZI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44" priority="37" operator="greaterThan">
      <formula>$B$51</formula>
    </cfRule>
  </conditionalFormatting>
  <conditionalFormatting sqref="B66:U66">
    <cfRule type="cellIs" dxfId="143" priority="12" operator="equal">
      <formula>"UNDER"</formula>
    </cfRule>
    <cfRule type="cellIs" dxfId="142" priority="13" operator="equal">
      <formula>"OVER"</formula>
    </cfRule>
  </conditionalFormatting>
  <conditionalFormatting sqref="C31:C50">
    <cfRule type="cellIs" dxfId="141" priority="36" operator="greaterThan">
      <formula>$C$51</formula>
    </cfRule>
  </conditionalFormatting>
  <conditionalFormatting sqref="C11:V13">
    <cfRule type="cellIs" dxfId="140" priority="1" operator="greaterThan">
      <formula>2</formula>
    </cfRule>
  </conditionalFormatting>
  <conditionalFormatting sqref="C17:V19">
    <cfRule type="cellIs" dxfId="139" priority="33" operator="equal">
      <formula>0</formula>
    </cfRule>
  </conditionalFormatting>
  <conditionalFormatting sqref="C20:V21">
    <cfRule type="cellIs" dxfId="138" priority="38" operator="equal">
      <formula>"DECREASE"</formula>
    </cfRule>
    <cfRule type="cellIs" dxfId="137" priority="39" operator="equal">
      <formula>"INCREASE"</formula>
    </cfRule>
  </conditionalFormatting>
  <conditionalFormatting sqref="C21:V21">
    <cfRule type="cellIs" dxfId="136" priority="14" operator="equal">
      <formula>0</formula>
    </cfRule>
  </conditionalFormatting>
  <conditionalFormatting sqref="C22:V23">
    <cfRule type="cellIs" dxfId="135" priority="18" operator="equal">
      <formula>0</formula>
    </cfRule>
  </conditionalFormatting>
  <conditionalFormatting sqref="C24:V24">
    <cfRule type="cellIs" dxfId="134" priority="19" operator="equal">
      <formula>"DECREASE"</formula>
    </cfRule>
    <cfRule type="cellIs" dxfId="133" priority="20" operator="equal">
      <formula>"INCREASE"</formula>
    </cfRule>
  </conditionalFormatting>
  <conditionalFormatting sqref="G31:G50">
    <cfRule type="cellIs" dxfId="132" priority="32" operator="greaterThan">
      <formula>$G$51</formula>
    </cfRule>
  </conditionalFormatting>
  <conditionalFormatting sqref="H31:H50">
    <cfRule type="cellIs" dxfId="131" priority="31" operator="greaterThan">
      <formula>$H$51</formula>
    </cfRule>
  </conditionalFormatting>
  <conditionalFormatting sqref="I1">
    <cfRule type="cellIs" dxfId="130" priority="4" operator="between">
      <formula>0.1</formula>
      <formula>5</formula>
    </cfRule>
  </conditionalFormatting>
  <conditionalFormatting sqref="I2">
    <cfRule type="cellIs" dxfId="129" priority="3" operator="greaterThan">
      <formula>5000.1</formula>
    </cfRule>
  </conditionalFormatting>
  <conditionalFormatting sqref="I3">
    <cfRule type="cellIs" dxfId="128" priority="2" operator="greaterThan">
      <formula>40000.01</formula>
    </cfRule>
  </conditionalFormatting>
  <conditionalFormatting sqref="I31:I50">
    <cfRule type="cellIs" dxfId="127" priority="30" operator="greaterThan">
      <formula>$I$51</formula>
    </cfRule>
  </conditionalFormatting>
  <conditionalFormatting sqref="J31:J50">
    <cfRule type="cellIs" dxfId="126" priority="9" operator="greaterThan">
      <formula>$J$51</formula>
    </cfRule>
  </conditionalFormatting>
  <conditionalFormatting sqref="K31:K50">
    <cfRule type="cellIs" dxfId="125" priority="29" operator="greaterThan">
      <formula>$K$51</formula>
    </cfRule>
  </conditionalFormatting>
  <conditionalFormatting sqref="L3">
    <cfRule type="cellIs" dxfId="124" priority="5" operator="lessThan">
      <formula>30</formula>
    </cfRule>
    <cfRule type="cellIs" dxfId="123" priority="6" operator="greaterThanOrEqual">
      <formula>30</formula>
    </cfRule>
  </conditionalFormatting>
  <conditionalFormatting sqref="L31:L50">
    <cfRule type="cellIs" dxfId="122" priority="28" operator="greaterThan">
      <formula>$L$51</formula>
    </cfRule>
  </conditionalFormatting>
  <conditionalFormatting sqref="M31:M50">
    <cfRule type="cellIs" dxfId="121" priority="27" operator="greaterThan">
      <formula>$M$51</formula>
    </cfRule>
  </conditionalFormatting>
  <conditionalFormatting sqref="P31:P50">
    <cfRule type="cellIs" dxfId="120" priority="26" operator="greaterThan">
      <formula>$P$51</formula>
    </cfRule>
  </conditionalFormatting>
  <conditionalFormatting sqref="R31:R50">
    <cfRule type="cellIs" dxfId="119" priority="25" operator="greaterThan">
      <formula>$R$51</formula>
    </cfRule>
  </conditionalFormatting>
  <conditionalFormatting sqref="S31:S50">
    <cfRule type="cellIs" dxfId="118" priority="24" operator="greaterThan">
      <formula>$S$51</formula>
    </cfRule>
  </conditionalFormatting>
  <conditionalFormatting sqref="T31:T50">
    <cfRule type="cellIs" dxfId="117" priority="23" operator="greaterThan">
      <formula>$T$51</formula>
    </cfRule>
  </conditionalFormatting>
  <conditionalFormatting sqref="U31:U50">
    <cfRule type="cellIs" dxfId="116" priority="22"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40" sqref="A40"/>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1" t="s">
        <v>41</v>
      </c>
      <c r="B1" s="132"/>
      <c r="C1" s="173" t="str">
        <f>'Field data and Waste 1'!C1:D1</f>
        <v>PAN-027465</v>
      </c>
      <c r="D1" s="174"/>
      <c r="E1" s="106" t="s">
        <v>45</v>
      </c>
      <c r="F1" s="113" t="str">
        <f>'Field data and Waste 1'!F1</f>
        <v>49.2ha</v>
      </c>
      <c r="G1" s="163" t="s">
        <v>43</v>
      </c>
      <c r="H1" s="164"/>
      <c r="I1" s="109"/>
      <c r="J1" s="131" t="s">
        <v>153</v>
      </c>
      <c r="K1" s="132"/>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3" t="s">
        <v>87</v>
      </c>
      <c r="B2" s="134"/>
      <c r="C2" s="169" t="str">
        <f>'Field data and Waste 1'!C2:D2</f>
        <v>EPR/AB3891CX</v>
      </c>
      <c r="D2" s="170"/>
      <c r="E2" s="96" t="s">
        <v>109</v>
      </c>
      <c r="F2" s="110"/>
      <c r="G2" s="165" t="s">
        <v>110</v>
      </c>
      <c r="H2" s="166"/>
      <c r="I2" s="110"/>
      <c r="J2" s="133" t="s">
        <v>158</v>
      </c>
      <c r="K2" s="134"/>
      <c r="L2" s="110"/>
      <c r="AB2" s="22" t="s">
        <v>56</v>
      </c>
      <c r="AC2" s="13"/>
      <c r="AD2" s="22" t="s">
        <v>70</v>
      </c>
      <c r="AE2" s="13"/>
      <c r="AF2" s="13"/>
      <c r="AG2" s="34" t="s">
        <v>76</v>
      </c>
      <c r="AH2" s="13"/>
      <c r="AI2" s="35" t="s">
        <v>126</v>
      </c>
      <c r="AJ2" s="36">
        <v>0</v>
      </c>
      <c r="AK2" s="37">
        <v>0</v>
      </c>
      <c r="AL2" s="7">
        <v>0</v>
      </c>
      <c r="AM2" s="9">
        <v>0</v>
      </c>
      <c r="AN2" s="9">
        <v>0</v>
      </c>
    </row>
    <row r="3" spans="1:41" x14ac:dyDescent="0.2">
      <c r="A3" s="135" t="s">
        <v>42</v>
      </c>
      <c r="B3" s="136"/>
      <c r="C3" s="169" t="str">
        <f>'Field data and Waste 1'!C3:D3</f>
        <v>Mr Daniel James and Mrs Carys James</v>
      </c>
      <c r="D3" s="170"/>
      <c r="E3" s="96" t="s">
        <v>108</v>
      </c>
      <c r="F3" s="111"/>
      <c r="G3" s="133" t="s">
        <v>159</v>
      </c>
      <c r="H3" s="134"/>
      <c r="I3" s="110"/>
      <c r="J3" s="135" t="s">
        <v>154</v>
      </c>
      <c r="K3" s="136"/>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3" t="s">
        <v>0</v>
      </c>
      <c r="B4" s="134"/>
      <c r="C4" s="171" t="str">
        <f>'Field data and Waste 1'!C4:D4</f>
        <v>Hook Farm and New House Farm</v>
      </c>
      <c r="D4" s="172"/>
      <c r="E4" s="99" t="s">
        <v>1</v>
      </c>
      <c r="F4" s="110"/>
      <c r="G4" s="135"/>
      <c r="H4" s="136"/>
      <c r="I4" s="115"/>
      <c r="J4" s="135"/>
      <c r="K4" s="136"/>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7" t="s">
        <v>47</v>
      </c>
      <c r="B5" s="148"/>
      <c r="C5" s="167" t="str">
        <f>'Field data and Waste 1'!C5:D5</f>
        <v>Rhiannon Smith</v>
      </c>
      <c r="D5" s="168"/>
      <c r="E5" s="107"/>
      <c r="F5" s="114"/>
      <c r="G5" s="137"/>
      <c r="H5" s="138"/>
      <c r="I5" s="114"/>
      <c r="J5" s="137"/>
      <c r="K5" s="138"/>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3" t="s">
        <v>2</v>
      </c>
      <c r="B8" s="134"/>
      <c r="C8" s="49" t="str">
        <f>'Field data and Waste 1'!C8</f>
        <v>Hook Field 2</v>
      </c>
      <c r="D8" s="49" t="str">
        <f>'Field data and Waste 1'!D8</f>
        <v>Hook Field 3</v>
      </c>
      <c r="E8" s="49" t="str">
        <f>'Field data and Waste 1'!E8</f>
        <v>Hook Field 4</v>
      </c>
      <c r="F8" s="49" t="str">
        <f>'Field data and Waste 1'!F8</f>
        <v>Hook Field 8</v>
      </c>
      <c r="G8" s="49" t="str">
        <f>'Field data and Waste 1'!G8</f>
        <v>Hook Field 10</v>
      </c>
      <c r="H8" s="49" t="str">
        <f>'Field data and Waste 1'!H8</f>
        <v>Hook Field 20</v>
      </c>
      <c r="I8" s="49">
        <f>'Field data and Waste 1'!I8</f>
        <v>1</v>
      </c>
      <c r="J8" s="49">
        <f>'Field data and Waste 1'!J8</f>
        <v>2</v>
      </c>
      <c r="K8" s="49">
        <f>'Field data and Waste 1'!K8</f>
        <v>3</v>
      </c>
      <c r="L8" s="49">
        <f>'Field data and Waste 1'!L8</f>
        <v>4</v>
      </c>
      <c r="M8" s="49">
        <f>'Field data and Waste 1'!M8</f>
        <v>7</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3" t="s">
        <v>3</v>
      </c>
      <c r="B9" s="134"/>
      <c r="C9" s="49">
        <f>'Field data and Waste 1'!C9</f>
        <v>1</v>
      </c>
      <c r="D9" s="49">
        <f>'Field data and Waste 1'!D9</f>
        <v>1</v>
      </c>
      <c r="E9" s="49" t="str">
        <f>'Field data and Waste 1'!E9</f>
        <v>Moderate</v>
      </c>
      <c r="F9" s="49">
        <f>'Field data and Waste 1'!F9</f>
        <v>1</v>
      </c>
      <c r="G9" s="49">
        <f>'Field data and Waste 1'!G9</f>
        <v>2</v>
      </c>
      <c r="H9" s="49" t="str">
        <f>'Field data and Waste 1'!H9</f>
        <v>Moderate</v>
      </c>
      <c r="I9" s="49" t="str">
        <f>'Field data and Waste 1'!I9</f>
        <v>Moderate</v>
      </c>
      <c r="J9" s="49" t="str">
        <f>'Field data and Waste 1'!J9</f>
        <v>Moderate</v>
      </c>
      <c r="K9" s="49">
        <f>'Field data and Waste 1'!K9</f>
        <v>1</v>
      </c>
      <c r="L9" s="49" t="str">
        <f>'Field data and Waste 1'!L9</f>
        <v>Moderate</v>
      </c>
      <c r="M9" s="49">
        <f>'Field data and Waste 1'!M9</f>
        <v>1</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3" t="s">
        <v>4</v>
      </c>
      <c r="B10" s="134"/>
      <c r="C10" s="49">
        <f>'Field data and Waste 1'!C10</f>
        <v>6.9</v>
      </c>
      <c r="D10" s="49">
        <f>'Field data and Waste 1'!D10</f>
        <v>6.8</v>
      </c>
      <c r="E10" s="49">
        <f>'Field data and Waste 1'!E10</f>
        <v>6.8</v>
      </c>
      <c r="F10" s="49">
        <f>'Field data and Waste 1'!F10</f>
        <v>6.6</v>
      </c>
      <c r="G10" s="49">
        <f>'Field data and Waste 1'!G10</f>
        <v>7.1</v>
      </c>
      <c r="H10" s="49">
        <f>'Field data and Waste 1'!H10</f>
        <v>7.3</v>
      </c>
      <c r="I10" s="49">
        <f>'Field data and Waste 1'!I10</f>
        <v>6.4</v>
      </c>
      <c r="J10" s="49">
        <f>'Field data and Waste 1'!J10</f>
        <v>6.2</v>
      </c>
      <c r="K10" s="49">
        <f>'Field data and Waste 1'!K10</f>
        <v>6.2</v>
      </c>
      <c r="L10" s="49">
        <f>'Field data and Waste 1'!L10</f>
        <v>6.7</v>
      </c>
      <c r="M10" s="49">
        <f>'Field data and Waste 1'!M10</f>
        <v>6.3</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3" t="s">
        <v>5</v>
      </c>
      <c r="B11" s="134"/>
      <c r="C11" s="49">
        <f>'Field data and Waste 1'!C11</f>
        <v>3</v>
      </c>
      <c r="D11" s="49">
        <f>'Field data and Waste 1'!D11</f>
        <v>3</v>
      </c>
      <c r="E11" s="49">
        <f>'Field data and Waste 1'!E11</f>
        <v>3</v>
      </c>
      <c r="F11" s="49">
        <f>'Field data and Waste 1'!F11</f>
        <v>3</v>
      </c>
      <c r="G11" s="49">
        <f>'Field data and Waste 1'!G11</f>
        <v>3</v>
      </c>
      <c r="H11" s="49">
        <f>'Field data and Waste 1'!H11</f>
        <v>3</v>
      </c>
      <c r="I11" s="49">
        <f>'Field data and Waste 1'!I11</f>
        <v>3</v>
      </c>
      <c r="J11" s="49">
        <f>'Field data and Waste 1'!J11</f>
        <v>2</v>
      </c>
      <c r="K11" s="49">
        <f>'Field data and Waste 1'!K11</f>
        <v>2</v>
      </c>
      <c r="L11" s="49">
        <f>'Field data and Waste 1'!L11</f>
        <v>3</v>
      </c>
      <c r="M11" s="49">
        <f>'Field data and Waste 1'!M11</f>
        <v>3</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3" t="s">
        <v>6</v>
      </c>
      <c r="B12" s="134"/>
      <c r="C12" s="49">
        <f>'Field data and Waste 1'!C12</f>
        <v>3</v>
      </c>
      <c r="D12" s="49">
        <f>'Field data and Waste 1'!D12</f>
        <v>3</v>
      </c>
      <c r="E12" s="49">
        <f>'Field data and Waste 1'!E12</f>
        <v>2</v>
      </c>
      <c r="F12" s="49">
        <f>'Field data and Waste 1'!F12</f>
        <v>3</v>
      </c>
      <c r="G12" s="49">
        <f>'Field data and Waste 1'!G12</f>
        <v>2</v>
      </c>
      <c r="H12" s="49">
        <f>'Field data and Waste 1'!H12</f>
        <v>2</v>
      </c>
      <c r="I12" s="49">
        <f>'Field data and Waste 1'!I12</f>
        <v>2</v>
      </c>
      <c r="J12" s="49">
        <f>'Field data and Waste 1'!J12</f>
        <v>2</v>
      </c>
      <c r="K12" s="49">
        <f>'Field data and Waste 1'!K12</f>
        <v>2</v>
      </c>
      <c r="L12" s="49">
        <f>'Field data and Waste 1'!L12</f>
        <v>2</v>
      </c>
      <c r="M12" s="49">
        <f>'Field data and Waste 1'!M12</f>
        <v>1</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3" t="s">
        <v>7</v>
      </c>
      <c r="B13" s="134"/>
      <c r="C13" s="49">
        <f>'Field data and Waste 1'!C13</f>
        <v>3</v>
      </c>
      <c r="D13" s="49">
        <f>'Field data and Waste 1'!D13</f>
        <v>2</v>
      </c>
      <c r="E13" s="49">
        <f>'Field data and Waste 1'!E13</f>
        <v>2</v>
      </c>
      <c r="F13" s="49">
        <f>'Field data and Waste 1'!F13</f>
        <v>3</v>
      </c>
      <c r="G13" s="49">
        <f>'Field data and Waste 1'!G13</f>
        <v>1</v>
      </c>
      <c r="H13" s="49">
        <f>'Field data and Waste 1'!H13</f>
        <v>1</v>
      </c>
      <c r="I13" s="49">
        <f>'Field data and Waste 1'!I13</f>
        <v>5</v>
      </c>
      <c r="J13" s="49">
        <f>'Field data and Waste 1'!J13</f>
        <v>2</v>
      </c>
      <c r="K13" s="49">
        <f>'Field data and Waste 1'!K13</f>
        <v>2</v>
      </c>
      <c r="L13" s="49">
        <f>'Field data and Waste 1'!L13</f>
        <v>2</v>
      </c>
      <c r="M13" s="49">
        <f>'Field data and Waste 1'!M13</f>
        <v>2</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1" t="s">
        <v>8</v>
      </c>
      <c r="B14" s="152"/>
      <c r="C14" s="83" t="str">
        <f>'Field data and Waste 1'!C14</f>
        <v>Maize- Silage (30% DM)</v>
      </c>
      <c r="D14" s="83">
        <f>'Field data and Waste 1'!D14</f>
        <v>0</v>
      </c>
      <c r="E14" s="83" t="str">
        <f>'Field data and Waste 1'!E14</f>
        <v xml:space="preserve">Grass Silage (25% DM) </v>
      </c>
      <c r="F14" s="83" t="str">
        <f>'Field data and Waste 1'!F14</f>
        <v>Winter barley/triticale/rye</v>
      </c>
      <c r="G14" s="83" t="str">
        <f>'Field data and Waste 1'!G14</f>
        <v>Spring wheat/barley</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Winter barley/triticale/rye</v>
      </c>
      <c r="L14" s="83" t="str">
        <f>'Field data and Waste 1'!L14</f>
        <v xml:space="preserve">Grass Silage (25% DM) </v>
      </c>
      <c r="M14" s="83" t="str">
        <f>'Field data and Waste 1'!M14</f>
        <v>Fodder beet (roots only)</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49" t="s">
        <v>9</v>
      </c>
      <c r="B15" s="150"/>
      <c r="C15" s="49">
        <f>'Field data and Waste 1'!C15</f>
        <v>45</v>
      </c>
      <c r="D15" s="49">
        <f>'Field data and Waste 1'!D15</f>
        <v>30</v>
      </c>
      <c r="E15" s="49">
        <f>'Field data and Waste 1'!E15</f>
        <v>38</v>
      </c>
      <c r="F15" s="49">
        <f>'Field data and Waste 1'!F15</f>
        <v>7.5</v>
      </c>
      <c r="G15" s="49">
        <f>'Field data and Waste 1'!G15</f>
        <v>6.5</v>
      </c>
      <c r="H15" s="49">
        <f>'Field data and Waste 1'!H15</f>
        <v>38</v>
      </c>
      <c r="I15" s="49">
        <f>'Field data and Waste 1'!I15</f>
        <v>54</v>
      </c>
      <c r="J15" s="49">
        <f>'Field data and Waste 1'!J15</f>
        <v>54</v>
      </c>
      <c r="K15" s="49">
        <f>'Field data and Waste 1'!K15</f>
        <v>7.5</v>
      </c>
      <c r="L15" s="49">
        <f>'Field data and Waste 1'!L15</f>
        <v>54</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3" t="s">
        <v>44</v>
      </c>
      <c r="B16" s="154"/>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39" t="s">
        <v>69</v>
      </c>
      <c r="B17" s="140"/>
      <c r="C17" s="20">
        <f>(VLOOKUP(C$14,$AI2:$AK26,2,FALSE))*C$15</f>
        <v>62.999999999999993</v>
      </c>
      <c r="D17" s="20" t="e">
        <f t="shared" ref="D17:V17" si="0">(VLOOKUP(D$14,$AI2:$AK26,2,FALSE))*D$15</f>
        <v>#N/A</v>
      </c>
      <c r="E17" s="20">
        <f t="shared" si="0"/>
        <v>64.599999999999994</v>
      </c>
      <c r="F17" s="20">
        <f t="shared" si="0"/>
        <v>63.75</v>
      </c>
      <c r="G17" s="20">
        <f t="shared" si="0"/>
        <v>55.25</v>
      </c>
      <c r="H17" s="20">
        <f t="shared" si="0"/>
        <v>64.599999999999994</v>
      </c>
      <c r="I17" s="20">
        <f t="shared" si="0"/>
        <v>91.8</v>
      </c>
      <c r="J17" s="20">
        <f t="shared" si="0"/>
        <v>91.8</v>
      </c>
      <c r="K17" s="20">
        <f t="shared" si="0"/>
        <v>63.75</v>
      </c>
      <c r="L17" s="20">
        <f t="shared" si="0"/>
        <v>91.8</v>
      </c>
      <c r="M17" s="20">
        <f t="shared" si="0"/>
        <v>0</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1" t="s">
        <v>23</v>
      </c>
      <c r="B18" s="142"/>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1" t="s">
        <v>90</v>
      </c>
      <c r="B19" s="142"/>
      <c r="C19" s="12">
        <f>C18-C17</f>
        <v>-62.999999999999993</v>
      </c>
      <c r="D19" s="12" t="e">
        <f t="shared" ref="D19:V19" si="1">D18-D17</f>
        <v>#N/A</v>
      </c>
      <c r="E19" s="12">
        <f t="shared" si="1"/>
        <v>-64.599999999999994</v>
      </c>
      <c r="F19" s="12">
        <f t="shared" si="1"/>
        <v>-63.75</v>
      </c>
      <c r="G19" s="12">
        <f t="shared" si="1"/>
        <v>-55.25</v>
      </c>
      <c r="H19" s="12">
        <f t="shared" si="1"/>
        <v>-64.599999999999994</v>
      </c>
      <c r="I19" s="12">
        <f t="shared" si="1"/>
        <v>-91.8</v>
      </c>
      <c r="J19" s="12">
        <f t="shared" si="1"/>
        <v>-91.8</v>
      </c>
      <c r="K19" s="12">
        <f t="shared" si="1"/>
        <v>-63.75</v>
      </c>
      <c r="L19" s="12">
        <f t="shared" si="1"/>
        <v>-91.8</v>
      </c>
      <c r="M19" s="12">
        <f t="shared" si="1"/>
        <v>0</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3" t="s">
        <v>91</v>
      </c>
      <c r="B20" s="144"/>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9" t="s">
        <v>88</v>
      </c>
      <c r="B21" s="140"/>
      <c r="C21" s="20">
        <f>(VLOOKUP(C$14,$AI2:$AK26,3,FALSE))*C$15</f>
        <v>198.00000000000003</v>
      </c>
      <c r="D21" s="20" t="e">
        <f t="shared" ref="D21:V21" si="2">(VLOOKUP(D$14,$AI2:$AK26,3,FALSE))*D$15</f>
        <v>#N/A</v>
      </c>
      <c r="E21" s="20">
        <f t="shared" si="2"/>
        <v>228</v>
      </c>
      <c r="F21" s="20">
        <f t="shared" si="2"/>
        <v>78.75</v>
      </c>
      <c r="G21" s="20">
        <f t="shared" si="2"/>
        <v>78</v>
      </c>
      <c r="H21" s="20">
        <f t="shared" si="2"/>
        <v>228</v>
      </c>
      <c r="I21" s="20">
        <f t="shared" si="2"/>
        <v>324</v>
      </c>
      <c r="J21" s="20">
        <f t="shared" si="2"/>
        <v>324</v>
      </c>
      <c r="K21" s="20">
        <f t="shared" si="2"/>
        <v>78.75</v>
      </c>
      <c r="L21" s="20">
        <f t="shared" si="2"/>
        <v>324</v>
      </c>
      <c r="M21" s="20">
        <f t="shared" si="2"/>
        <v>0</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1" t="s">
        <v>89</v>
      </c>
      <c r="B22" s="142"/>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1" t="s">
        <v>92</v>
      </c>
      <c r="B23" s="142"/>
      <c r="C23" s="12">
        <f>C22-C21</f>
        <v>-198.00000000000003</v>
      </c>
      <c r="D23" s="12" t="e">
        <f t="shared" ref="D23:V23" si="3">D22-D21</f>
        <v>#N/A</v>
      </c>
      <c r="E23" s="12">
        <f t="shared" si="3"/>
        <v>-228</v>
      </c>
      <c r="F23" s="12">
        <f t="shared" si="3"/>
        <v>-78.75</v>
      </c>
      <c r="G23" s="12">
        <f t="shared" si="3"/>
        <v>-78</v>
      </c>
      <c r="H23" s="12">
        <f t="shared" si="3"/>
        <v>-228</v>
      </c>
      <c r="I23" s="12">
        <f t="shared" si="3"/>
        <v>-324</v>
      </c>
      <c r="J23" s="12">
        <f t="shared" si="3"/>
        <v>-324</v>
      </c>
      <c r="K23" s="12">
        <f t="shared" si="3"/>
        <v>-78.75</v>
      </c>
      <c r="L23" s="12">
        <f t="shared" si="3"/>
        <v>-324</v>
      </c>
      <c r="M23" s="12">
        <f t="shared" si="3"/>
        <v>0</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3" t="s">
        <v>93</v>
      </c>
      <c r="B24" s="144"/>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Hook Field 2</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Hook Field 3</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Hook Field 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Hook Field 8</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Hook Field 10</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Hook Field 20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1</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2</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3</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4</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7</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Hook Field 2</v>
      </c>
      <c r="C57" s="8" t="str">
        <f t="shared" ref="C57:U57" si="13">D8</f>
        <v>Hook Field 3</v>
      </c>
      <c r="D57" s="8" t="str">
        <f t="shared" si="13"/>
        <v>Hook Field 4</v>
      </c>
      <c r="E57" s="8" t="str">
        <f t="shared" si="13"/>
        <v>Hook Field 8</v>
      </c>
      <c r="F57" s="8" t="str">
        <f t="shared" si="13"/>
        <v>Hook Field 10</v>
      </c>
      <c r="G57" s="8" t="str">
        <f t="shared" si="13"/>
        <v>Hook Field 20</v>
      </c>
      <c r="H57" s="8">
        <f t="shared" si="13"/>
        <v>1</v>
      </c>
      <c r="I57" s="8">
        <f t="shared" si="13"/>
        <v>2</v>
      </c>
      <c r="J57" s="8">
        <f t="shared" si="13"/>
        <v>3</v>
      </c>
      <c r="K57" s="8">
        <f t="shared" si="13"/>
        <v>4</v>
      </c>
      <c r="L57" s="8">
        <f t="shared" si="13"/>
        <v>7</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"&amp;(VLOOKUP(C14,Table2458[],6,FALSE))</f>
        <v>Medium/Clay I Arable</v>
      </c>
      <c r="C58" s="10" t="e">
        <f>D16&amp;" I "&amp;(VLOOKUP(D14,Table2458[],6,FALSE))</f>
        <v>#N/A</v>
      </c>
      <c r="D58" s="10" t="str">
        <f>E16&amp;" I "&amp;(VLOOKUP(E14,Table2458[],6,FALSE))</f>
        <v>Medium/Clay I Grass</v>
      </c>
      <c r="E58" s="10" t="str">
        <f>F16&amp;" I "&amp;(VLOOKUP(F14,Table2458[],6,FALSE))</f>
        <v>Medium/Clay I Arable</v>
      </c>
      <c r="F58" s="10" t="str">
        <f>G16&amp;" I "&amp;(VLOOKUP(G14,Table2458[],6,FALSE))</f>
        <v>Medium/Clay I Arable</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Arable</v>
      </c>
      <c r="K58" s="10" t="str">
        <f>L16&amp;" I "&amp;(VLOOKUP(L14,Table2458[],6,FALSE))</f>
        <v>Medium/Clay I Grass</v>
      </c>
      <c r="L58" s="10" t="str">
        <f>M16&amp;" I "&amp;(VLOOKUP(M14,Table2458[],6,FALSE))</f>
        <v>Medium/Clay I Arable</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x14ac:dyDescent="0.2">
      <c r="A59" s="87" t="s">
        <v>132</v>
      </c>
      <c r="B59" s="64">
        <f>VLOOKUP(C$14,Table2458[],5,FALSE)</f>
        <v>6.7</v>
      </c>
      <c r="C59" s="64" t="e">
        <f>VLOOKUP(D$14,Table2458[],5,FALSE)</f>
        <v>#N/A</v>
      </c>
      <c r="D59" s="64">
        <f>VLOOKUP(E$14,Table2458[],5,FALSE)</f>
        <v>6.2</v>
      </c>
      <c r="E59" s="64">
        <f>VLOOKUP(F$14,Table2458[],5,FALSE)</f>
        <v>6.7</v>
      </c>
      <c r="F59" s="64">
        <f>VLOOKUP(G$14,Table2458[],5,FALSE)</f>
        <v>6.7</v>
      </c>
      <c r="G59" s="64">
        <f>VLOOKUP(H$14,Table2458[],5,FALSE)</f>
        <v>6.2</v>
      </c>
      <c r="H59" s="64">
        <f>VLOOKUP(I$14,Table2458[],5,FALSE)</f>
        <v>6.2</v>
      </c>
      <c r="I59" s="64">
        <f>VLOOKUP(J$14,Table2458[],5,FALSE)</f>
        <v>6.2</v>
      </c>
      <c r="J59" s="64">
        <f>VLOOKUP(K$14,Table2458[],5,FALSE)</f>
        <v>6.7</v>
      </c>
      <c r="K59" s="64">
        <f>VLOOKUP(L$14,Table2458[],5,FALSE)</f>
        <v>6.2</v>
      </c>
      <c r="L59" s="64">
        <f>VLOOKUP(M$14,Table2458[],5,FALSE)</f>
        <v>6.7</v>
      </c>
      <c r="M59" s="64" t="e">
        <f>VLOOKUP(N$14,Table2458[],5,FALSE)</f>
        <v>#N/A</v>
      </c>
      <c r="N59" s="64" t="e">
        <f>VLOOKUP(O$14,Table2458[],5,FALSE)</f>
        <v>#N/A</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x14ac:dyDescent="0.2">
      <c r="A60" s="87" t="s">
        <v>4</v>
      </c>
      <c r="B60" s="64">
        <f>C10</f>
        <v>6.9</v>
      </c>
      <c r="C60" s="64">
        <f t="shared" ref="C60:U60" si="14">D10</f>
        <v>6.8</v>
      </c>
      <c r="D60" s="64">
        <f t="shared" si="14"/>
        <v>6.8</v>
      </c>
      <c r="E60" s="64">
        <f t="shared" si="14"/>
        <v>6.6</v>
      </c>
      <c r="F60" s="64">
        <f t="shared" si="14"/>
        <v>7.1</v>
      </c>
      <c r="G60" s="64">
        <f t="shared" si="14"/>
        <v>7.3</v>
      </c>
      <c r="H60" s="64">
        <f t="shared" si="14"/>
        <v>6.4</v>
      </c>
      <c r="I60" s="64">
        <f t="shared" si="14"/>
        <v>6.2</v>
      </c>
      <c r="J60" s="64">
        <f t="shared" si="14"/>
        <v>6.2</v>
      </c>
      <c r="K60" s="64">
        <f t="shared" si="14"/>
        <v>6.7</v>
      </c>
      <c r="L60" s="64">
        <f t="shared" si="14"/>
        <v>6.3</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8</v>
      </c>
      <c r="C61" s="64" t="e">
        <f t="shared" si="15"/>
        <v>#N/A</v>
      </c>
      <c r="D61" s="64">
        <f t="shared" si="15"/>
        <v>6</v>
      </c>
      <c r="E61" s="64">
        <f t="shared" si="15"/>
        <v>8</v>
      </c>
      <c r="F61" s="64">
        <f t="shared" si="15"/>
        <v>8</v>
      </c>
      <c r="G61" s="64">
        <f t="shared" si="15"/>
        <v>6</v>
      </c>
      <c r="H61" s="64">
        <f t="shared" si="15"/>
        <v>6</v>
      </c>
      <c r="I61" s="64">
        <f t="shared" si="15"/>
        <v>6</v>
      </c>
      <c r="J61" s="64">
        <f t="shared" si="15"/>
        <v>8</v>
      </c>
      <c r="K61" s="64">
        <f t="shared" si="15"/>
        <v>6</v>
      </c>
      <c r="L61" s="64">
        <f t="shared" si="15"/>
        <v>8</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-1.6000000000000014</v>
      </c>
      <c r="C64" s="65" t="e">
        <f t="shared" ref="C64:U64" si="17">(C59-C60)*C61</f>
        <v>#N/A</v>
      </c>
      <c r="D64" s="65">
        <f t="shared" si="17"/>
        <v>-3.5999999999999979</v>
      </c>
      <c r="E64" s="65">
        <f t="shared" si="17"/>
        <v>0.80000000000000426</v>
      </c>
      <c r="F64" s="65">
        <f t="shared" si="17"/>
        <v>-3.1999999999999957</v>
      </c>
      <c r="G64" s="65">
        <f t="shared" si="17"/>
        <v>-6.5999999999999979</v>
      </c>
      <c r="H64" s="65">
        <f t="shared" si="17"/>
        <v>-1.2000000000000011</v>
      </c>
      <c r="I64" s="65">
        <f t="shared" si="17"/>
        <v>0</v>
      </c>
      <c r="J64" s="65">
        <f t="shared" si="17"/>
        <v>4</v>
      </c>
      <c r="K64" s="65">
        <f t="shared" si="17"/>
        <v>-3</v>
      </c>
      <c r="L64" s="65">
        <f t="shared" si="17"/>
        <v>3.2000000000000028</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1.6000000000000014</v>
      </c>
      <c r="C65" s="65" t="e">
        <f t="shared" ref="C65:U65" si="18">C63-C64</f>
        <v>#N/A</v>
      </c>
      <c r="D65" s="65">
        <f t="shared" si="18"/>
        <v>3.5999999999999979</v>
      </c>
      <c r="E65" s="65">
        <f t="shared" si="18"/>
        <v>-0.80000000000000426</v>
      </c>
      <c r="F65" s="65">
        <f t="shared" si="18"/>
        <v>3.1999999999999957</v>
      </c>
      <c r="G65" s="65">
        <f t="shared" si="18"/>
        <v>6.5999999999999979</v>
      </c>
      <c r="H65" s="65">
        <f t="shared" si="18"/>
        <v>1.2000000000000011</v>
      </c>
      <c r="I65" s="65">
        <f t="shared" si="18"/>
        <v>0</v>
      </c>
      <c r="J65" s="65">
        <f t="shared" si="18"/>
        <v>-4</v>
      </c>
      <c r="K65" s="65">
        <f t="shared" si="18"/>
        <v>3</v>
      </c>
      <c r="L65" s="65">
        <f t="shared" si="18"/>
        <v>-3.2000000000000028</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e">
        <f t="shared" ref="C66:U66" si="19">IF(C64&lt;=C63,"OVER","UNDER")</f>
        <v>#N/A</v>
      </c>
      <c r="D66" s="66" t="str">
        <f t="shared" si="19"/>
        <v>OVER</v>
      </c>
      <c r="E66" s="66" t="str">
        <f t="shared" si="19"/>
        <v>UNDER</v>
      </c>
      <c r="F66" s="66" t="str">
        <f t="shared" si="19"/>
        <v>OVER</v>
      </c>
      <c r="G66" s="66" t="str">
        <f t="shared" si="19"/>
        <v>OVER</v>
      </c>
      <c r="H66" s="66" t="str">
        <f t="shared" si="19"/>
        <v>OVER</v>
      </c>
      <c r="I66" s="66" t="str">
        <f t="shared" si="19"/>
        <v>OVER</v>
      </c>
      <c r="J66" s="66" t="str">
        <f t="shared" si="19"/>
        <v>UNDER</v>
      </c>
      <c r="K66" s="66" t="str">
        <f t="shared" si="19"/>
        <v>OVER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v5NvIUTs13UlBzU/lIdtbeJw0Z4uMbzz2rjmTBWERaklJzHF1z3hSApYcl0v/a5ot9CvqBJb0kkRK5cIZtsDvw==" saltValue="a/tfgDSL7+zR7S1wYZg4x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5" priority="37" operator="greaterThan">
      <formula>$B$51</formula>
    </cfRule>
  </conditionalFormatting>
  <conditionalFormatting sqref="B66:U66">
    <cfRule type="cellIs" dxfId="114" priority="12" operator="equal">
      <formula>"UNDER"</formula>
    </cfRule>
    <cfRule type="cellIs" dxfId="113" priority="13" operator="equal">
      <formula>"OVER"</formula>
    </cfRule>
  </conditionalFormatting>
  <conditionalFormatting sqref="C31:C50">
    <cfRule type="cellIs" dxfId="112" priority="36" operator="greaterThan">
      <formula>$C$51</formula>
    </cfRule>
  </conditionalFormatting>
  <conditionalFormatting sqref="C11:V13">
    <cfRule type="cellIs" dxfId="111" priority="1" operator="greaterThan">
      <formula>2</formula>
    </cfRule>
  </conditionalFormatting>
  <conditionalFormatting sqref="C17:V19">
    <cfRule type="cellIs" dxfId="110" priority="33" operator="equal">
      <formula>0</formula>
    </cfRule>
  </conditionalFormatting>
  <conditionalFormatting sqref="C20:V21">
    <cfRule type="cellIs" dxfId="109" priority="38" operator="equal">
      <formula>"DECREASE"</formula>
    </cfRule>
    <cfRule type="cellIs" dxfId="108" priority="39" operator="equal">
      <formula>"INCREASE"</formula>
    </cfRule>
  </conditionalFormatting>
  <conditionalFormatting sqref="C21:V21">
    <cfRule type="cellIs" dxfId="107" priority="14" operator="equal">
      <formula>0</formula>
    </cfRule>
  </conditionalFormatting>
  <conditionalFormatting sqref="C22:V23">
    <cfRule type="cellIs" dxfId="106" priority="18" operator="equal">
      <formula>0</formula>
    </cfRule>
  </conditionalFormatting>
  <conditionalFormatting sqref="C24:V24">
    <cfRule type="cellIs" dxfId="105" priority="19" operator="equal">
      <formula>"DECREASE"</formula>
    </cfRule>
    <cfRule type="cellIs" dxfId="104" priority="20" operator="equal">
      <formula>"INCREASE"</formula>
    </cfRule>
  </conditionalFormatting>
  <conditionalFormatting sqref="G31:G50">
    <cfRule type="cellIs" dxfId="103" priority="32" operator="greaterThan">
      <formula>$G$51</formula>
    </cfRule>
  </conditionalFormatting>
  <conditionalFormatting sqref="H31:H50">
    <cfRule type="cellIs" dxfId="102" priority="31" operator="greaterThan">
      <formula>$H$51</formula>
    </cfRule>
  </conditionalFormatting>
  <conditionalFormatting sqref="I1">
    <cfRule type="cellIs" dxfId="101" priority="4" operator="between">
      <formula>0.1</formula>
      <formula>5</formula>
    </cfRule>
  </conditionalFormatting>
  <conditionalFormatting sqref="I2">
    <cfRule type="cellIs" dxfId="100" priority="3" operator="greaterThan">
      <formula>5000.1</formula>
    </cfRule>
  </conditionalFormatting>
  <conditionalFormatting sqref="I3">
    <cfRule type="cellIs" dxfId="99" priority="2" operator="greaterThan">
      <formula>40000.01</formula>
    </cfRule>
  </conditionalFormatting>
  <conditionalFormatting sqref="I31:I50">
    <cfRule type="cellIs" dxfId="98" priority="30" operator="greaterThan">
      <formula>$I$51</formula>
    </cfRule>
  </conditionalFormatting>
  <conditionalFormatting sqref="J31:J50">
    <cfRule type="cellIs" dxfId="97" priority="9" operator="greaterThan">
      <formula>$J$51</formula>
    </cfRule>
  </conditionalFormatting>
  <conditionalFormatting sqref="K31:K50">
    <cfRule type="cellIs" dxfId="96" priority="29" operator="greaterThan">
      <formula>$K$51</formula>
    </cfRule>
  </conditionalFormatting>
  <conditionalFormatting sqref="L3">
    <cfRule type="cellIs" dxfId="95" priority="5" operator="lessThan">
      <formula>30</formula>
    </cfRule>
    <cfRule type="cellIs" dxfId="94" priority="6" operator="greaterThanOrEqual">
      <formula>30</formula>
    </cfRule>
  </conditionalFormatting>
  <conditionalFormatting sqref="L31:L50">
    <cfRule type="cellIs" dxfId="93" priority="28" operator="greaterThan">
      <formula>$L$51</formula>
    </cfRule>
  </conditionalFormatting>
  <conditionalFormatting sqref="M31:M50">
    <cfRule type="cellIs" dxfId="92" priority="27" operator="greaterThan">
      <formula>$M$51</formula>
    </cfRule>
  </conditionalFormatting>
  <conditionalFormatting sqref="P31:P50">
    <cfRule type="cellIs" dxfId="91" priority="26" operator="greaterThan">
      <formula>$P$51</formula>
    </cfRule>
  </conditionalFormatting>
  <conditionalFormatting sqref="R31:R50">
    <cfRule type="cellIs" dxfId="90" priority="25" operator="greaterThan">
      <formula>$R$51</formula>
    </cfRule>
  </conditionalFormatting>
  <conditionalFormatting sqref="S31:S50">
    <cfRule type="cellIs" dxfId="89" priority="24" operator="greaterThan">
      <formula>$S$51</formula>
    </cfRule>
  </conditionalFormatting>
  <conditionalFormatting sqref="T31:T50">
    <cfRule type="cellIs" dxfId="88" priority="23" operator="greaterThan">
      <formula>$T$51</formula>
    </cfRule>
  </conditionalFormatting>
  <conditionalFormatting sqref="U31:U50">
    <cfRule type="cellIs" dxfId="87" priority="22"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40" sqref="A40"/>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1" t="s">
        <v>41</v>
      </c>
      <c r="B1" s="132"/>
      <c r="C1" s="173" t="str">
        <f>'Field data and Waste 1'!C1:D1</f>
        <v>PAN-027465</v>
      </c>
      <c r="D1" s="174"/>
      <c r="E1" s="106" t="s">
        <v>45</v>
      </c>
      <c r="F1" s="113" t="str">
        <f>'Field data and Waste 1'!F1</f>
        <v>49.2ha</v>
      </c>
      <c r="G1" s="163" t="s">
        <v>43</v>
      </c>
      <c r="H1" s="164"/>
      <c r="I1" s="109"/>
      <c r="J1" s="131" t="s">
        <v>153</v>
      </c>
      <c r="K1" s="132"/>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3" t="s">
        <v>87</v>
      </c>
      <c r="B2" s="134"/>
      <c r="C2" s="169" t="str">
        <f>'Field data and Waste 1'!C2:D2</f>
        <v>EPR/AB3891CX</v>
      </c>
      <c r="D2" s="170"/>
      <c r="E2" s="96" t="s">
        <v>109</v>
      </c>
      <c r="F2" s="110"/>
      <c r="G2" s="165" t="s">
        <v>110</v>
      </c>
      <c r="H2" s="166"/>
      <c r="I2" s="110"/>
      <c r="J2" s="133" t="s">
        <v>158</v>
      </c>
      <c r="K2" s="134"/>
      <c r="L2" s="110"/>
      <c r="AB2" s="22" t="s">
        <v>56</v>
      </c>
      <c r="AC2" s="13"/>
      <c r="AD2" s="22" t="s">
        <v>70</v>
      </c>
      <c r="AE2" s="13"/>
      <c r="AF2" s="13"/>
      <c r="AG2" s="34" t="s">
        <v>76</v>
      </c>
      <c r="AH2" s="13"/>
      <c r="AI2" s="35" t="s">
        <v>126</v>
      </c>
      <c r="AJ2" s="36">
        <v>0</v>
      </c>
      <c r="AK2" s="37">
        <v>0</v>
      </c>
      <c r="AL2" s="7">
        <v>0</v>
      </c>
      <c r="AM2" s="9">
        <v>0</v>
      </c>
      <c r="AN2" s="9">
        <v>0</v>
      </c>
    </row>
    <row r="3" spans="1:41" x14ac:dyDescent="0.2">
      <c r="A3" s="135" t="s">
        <v>42</v>
      </c>
      <c r="B3" s="136"/>
      <c r="C3" s="169" t="str">
        <f>'Field data and Waste 1'!C3:D3</f>
        <v>Mr Daniel James and Mrs Carys James</v>
      </c>
      <c r="D3" s="170"/>
      <c r="E3" s="96" t="s">
        <v>108</v>
      </c>
      <c r="F3" s="111"/>
      <c r="G3" s="133" t="s">
        <v>159</v>
      </c>
      <c r="H3" s="134"/>
      <c r="I3" s="110"/>
      <c r="J3" s="135" t="s">
        <v>154</v>
      </c>
      <c r="K3" s="136"/>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3" t="s">
        <v>0</v>
      </c>
      <c r="B4" s="134"/>
      <c r="C4" s="171" t="str">
        <f>'Field data and Waste 1'!C4:D4</f>
        <v>Hook Farm and New House Farm</v>
      </c>
      <c r="D4" s="172"/>
      <c r="E4" s="99" t="s">
        <v>1</v>
      </c>
      <c r="F4" s="110"/>
      <c r="G4" s="135"/>
      <c r="H4" s="136"/>
      <c r="I4" s="115"/>
      <c r="J4" s="135"/>
      <c r="K4" s="136"/>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7" t="s">
        <v>47</v>
      </c>
      <c r="B5" s="148"/>
      <c r="C5" s="167" t="str">
        <f>'Field data and Waste 1'!C5:D5</f>
        <v>Rhiannon Smith</v>
      </c>
      <c r="D5" s="168"/>
      <c r="E5" s="107"/>
      <c r="F5" s="114"/>
      <c r="G5" s="137"/>
      <c r="H5" s="138"/>
      <c r="I5" s="114"/>
      <c r="J5" s="137"/>
      <c r="K5" s="138"/>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3" t="s">
        <v>2</v>
      </c>
      <c r="B8" s="134"/>
      <c r="C8" s="49" t="str">
        <f>'Field data and Waste 1'!C8</f>
        <v>Hook Field 2</v>
      </c>
      <c r="D8" s="49" t="str">
        <f>'Field data and Waste 1'!D8</f>
        <v>Hook Field 3</v>
      </c>
      <c r="E8" s="49" t="str">
        <f>'Field data and Waste 1'!E8</f>
        <v>Hook Field 4</v>
      </c>
      <c r="F8" s="49" t="str">
        <f>'Field data and Waste 1'!F8</f>
        <v>Hook Field 8</v>
      </c>
      <c r="G8" s="49" t="str">
        <f>'Field data and Waste 1'!G8</f>
        <v>Hook Field 10</v>
      </c>
      <c r="H8" s="49" t="str">
        <f>'Field data and Waste 1'!H8</f>
        <v>Hook Field 20</v>
      </c>
      <c r="I8" s="49">
        <f>'Field data and Waste 1'!I8</f>
        <v>1</v>
      </c>
      <c r="J8" s="49">
        <f>'Field data and Waste 1'!J8</f>
        <v>2</v>
      </c>
      <c r="K8" s="49">
        <f>'Field data and Waste 1'!K8</f>
        <v>3</v>
      </c>
      <c r="L8" s="49">
        <f>'Field data and Waste 1'!L8</f>
        <v>4</v>
      </c>
      <c r="M8" s="49">
        <f>'Field data and Waste 1'!M8</f>
        <v>7</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3" t="s">
        <v>3</v>
      </c>
      <c r="B9" s="134"/>
      <c r="C9" s="49">
        <f>'Field data and Waste 1'!C9</f>
        <v>1</v>
      </c>
      <c r="D9" s="49">
        <f>'Field data and Waste 1'!D9</f>
        <v>1</v>
      </c>
      <c r="E9" s="49" t="str">
        <f>'Field data and Waste 1'!E9</f>
        <v>Moderate</v>
      </c>
      <c r="F9" s="49">
        <f>'Field data and Waste 1'!F9</f>
        <v>1</v>
      </c>
      <c r="G9" s="49">
        <f>'Field data and Waste 1'!G9</f>
        <v>2</v>
      </c>
      <c r="H9" s="49" t="str">
        <f>'Field data and Waste 1'!H9</f>
        <v>Moderate</v>
      </c>
      <c r="I9" s="49" t="str">
        <f>'Field data and Waste 1'!I9</f>
        <v>Moderate</v>
      </c>
      <c r="J9" s="49" t="str">
        <f>'Field data and Waste 1'!J9</f>
        <v>Moderate</v>
      </c>
      <c r="K9" s="49">
        <f>'Field data and Waste 1'!K9</f>
        <v>1</v>
      </c>
      <c r="L9" s="49" t="str">
        <f>'Field data and Waste 1'!L9</f>
        <v>Moderate</v>
      </c>
      <c r="M9" s="49">
        <f>'Field data and Waste 1'!M9</f>
        <v>1</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3" t="s">
        <v>4</v>
      </c>
      <c r="B10" s="134"/>
      <c r="C10" s="49">
        <f>'Field data and Waste 1'!C10</f>
        <v>6.9</v>
      </c>
      <c r="D10" s="49">
        <f>'Field data and Waste 1'!D10</f>
        <v>6.8</v>
      </c>
      <c r="E10" s="49">
        <f>'Field data and Waste 1'!E10</f>
        <v>6.8</v>
      </c>
      <c r="F10" s="49">
        <f>'Field data and Waste 1'!F10</f>
        <v>6.6</v>
      </c>
      <c r="G10" s="49">
        <f>'Field data and Waste 1'!G10</f>
        <v>7.1</v>
      </c>
      <c r="H10" s="49">
        <f>'Field data and Waste 1'!H10</f>
        <v>7.3</v>
      </c>
      <c r="I10" s="49">
        <f>'Field data and Waste 1'!I10</f>
        <v>6.4</v>
      </c>
      <c r="J10" s="49">
        <f>'Field data and Waste 1'!J10</f>
        <v>6.2</v>
      </c>
      <c r="K10" s="49">
        <f>'Field data and Waste 1'!K10</f>
        <v>6.2</v>
      </c>
      <c r="L10" s="49">
        <f>'Field data and Waste 1'!L10</f>
        <v>6.7</v>
      </c>
      <c r="M10" s="49">
        <f>'Field data and Waste 1'!M10</f>
        <v>6.3</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3" t="s">
        <v>5</v>
      </c>
      <c r="B11" s="134"/>
      <c r="C11" s="49">
        <f>'Field data and Waste 1'!C11</f>
        <v>3</v>
      </c>
      <c r="D11" s="49">
        <f>'Field data and Waste 1'!D11</f>
        <v>3</v>
      </c>
      <c r="E11" s="49">
        <f>'Field data and Waste 1'!E11</f>
        <v>3</v>
      </c>
      <c r="F11" s="49">
        <f>'Field data and Waste 1'!F11</f>
        <v>3</v>
      </c>
      <c r="G11" s="49">
        <f>'Field data and Waste 1'!G11</f>
        <v>3</v>
      </c>
      <c r="H11" s="49">
        <f>'Field data and Waste 1'!H11</f>
        <v>3</v>
      </c>
      <c r="I11" s="49">
        <f>'Field data and Waste 1'!I11</f>
        <v>3</v>
      </c>
      <c r="J11" s="49">
        <f>'Field data and Waste 1'!J11</f>
        <v>2</v>
      </c>
      <c r="K11" s="49">
        <f>'Field data and Waste 1'!K11</f>
        <v>2</v>
      </c>
      <c r="L11" s="49">
        <f>'Field data and Waste 1'!L11</f>
        <v>3</v>
      </c>
      <c r="M11" s="49">
        <f>'Field data and Waste 1'!M11</f>
        <v>3</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3" t="s">
        <v>6</v>
      </c>
      <c r="B12" s="134"/>
      <c r="C12" s="49">
        <f>'Field data and Waste 1'!C12</f>
        <v>3</v>
      </c>
      <c r="D12" s="49">
        <f>'Field data and Waste 1'!D12</f>
        <v>3</v>
      </c>
      <c r="E12" s="49">
        <f>'Field data and Waste 1'!E12</f>
        <v>2</v>
      </c>
      <c r="F12" s="49">
        <f>'Field data and Waste 1'!F12</f>
        <v>3</v>
      </c>
      <c r="G12" s="49">
        <f>'Field data and Waste 1'!G12</f>
        <v>2</v>
      </c>
      <c r="H12" s="49">
        <f>'Field data and Waste 1'!H12</f>
        <v>2</v>
      </c>
      <c r="I12" s="49">
        <f>'Field data and Waste 1'!I12</f>
        <v>2</v>
      </c>
      <c r="J12" s="49">
        <f>'Field data and Waste 1'!J12</f>
        <v>2</v>
      </c>
      <c r="K12" s="49">
        <f>'Field data and Waste 1'!K12</f>
        <v>2</v>
      </c>
      <c r="L12" s="49">
        <f>'Field data and Waste 1'!L12</f>
        <v>2</v>
      </c>
      <c r="M12" s="49">
        <f>'Field data and Waste 1'!M12</f>
        <v>1</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3" t="s">
        <v>7</v>
      </c>
      <c r="B13" s="134"/>
      <c r="C13" s="49">
        <f>'Field data and Waste 1'!C13</f>
        <v>3</v>
      </c>
      <c r="D13" s="49">
        <f>'Field data and Waste 1'!D13</f>
        <v>2</v>
      </c>
      <c r="E13" s="49">
        <f>'Field data and Waste 1'!E13</f>
        <v>2</v>
      </c>
      <c r="F13" s="49">
        <f>'Field data and Waste 1'!F13</f>
        <v>3</v>
      </c>
      <c r="G13" s="49">
        <f>'Field data and Waste 1'!G13</f>
        <v>1</v>
      </c>
      <c r="H13" s="49">
        <f>'Field data and Waste 1'!H13</f>
        <v>1</v>
      </c>
      <c r="I13" s="49">
        <f>'Field data and Waste 1'!I13</f>
        <v>5</v>
      </c>
      <c r="J13" s="49">
        <f>'Field data and Waste 1'!J13</f>
        <v>2</v>
      </c>
      <c r="K13" s="49">
        <f>'Field data and Waste 1'!K13</f>
        <v>2</v>
      </c>
      <c r="L13" s="49">
        <f>'Field data and Waste 1'!L13</f>
        <v>2</v>
      </c>
      <c r="M13" s="49">
        <f>'Field data and Waste 1'!M13</f>
        <v>2</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1" t="s">
        <v>8</v>
      </c>
      <c r="B14" s="152"/>
      <c r="C14" s="83" t="str">
        <f>'Field data and Waste 1'!C14</f>
        <v>Maize- Silage (30% DM)</v>
      </c>
      <c r="D14" s="83">
        <f>'Field data and Waste 1'!D14</f>
        <v>0</v>
      </c>
      <c r="E14" s="83" t="str">
        <f>'Field data and Waste 1'!E14</f>
        <v xml:space="preserve">Grass Silage (25% DM) </v>
      </c>
      <c r="F14" s="83" t="str">
        <f>'Field data and Waste 1'!F14</f>
        <v>Winter barley/triticale/rye</v>
      </c>
      <c r="G14" s="83" t="str">
        <f>'Field data and Waste 1'!G14</f>
        <v>Spring wheat/barley</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Winter barley/triticale/rye</v>
      </c>
      <c r="L14" s="83" t="str">
        <f>'Field data and Waste 1'!L14</f>
        <v xml:space="preserve">Grass Silage (25% DM) </v>
      </c>
      <c r="M14" s="83" t="str">
        <f>'Field data and Waste 1'!M14</f>
        <v>Fodder beet (roots only)</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49" t="s">
        <v>9</v>
      </c>
      <c r="B15" s="150"/>
      <c r="C15" s="49">
        <f>'Field data and Waste 1'!C15</f>
        <v>45</v>
      </c>
      <c r="D15" s="49">
        <f>'Field data and Waste 1'!D15</f>
        <v>30</v>
      </c>
      <c r="E15" s="49">
        <f>'Field data and Waste 1'!E15</f>
        <v>38</v>
      </c>
      <c r="F15" s="49">
        <f>'Field data and Waste 1'!F15</f>
        <v>7.5</v>
      </c>
      <c r="G15" s="49">
        <f>'Field data and Waste 1'!G15</f>
        <v>6.5</v>
      </c>
      <c r="H15" s="49">
        <f>'Field data and Waste 1'!H15</f>
        <v>38</v>
      </c>
      <c r="I15" s="49">
        <f>'Field data and Waste 1'!I15</f>
        <v>54</v>
      </c>
      <c r="J15" s="49">
        <f>'Field data and Waste 1'!J15</f>
        <v>54</v>
      </c>
      <c r="K15" s="49">
        <f>'Field data and Waste 1'!K15</f>
        <v>7.5</v>
      </c>
      <c r="L15" s="49">
        <f>'Field data and Waste 1'!L15</f>
        <v>54</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3" t="s">
        <v>44</v>
      </c>
      <c r="B16" s="154"/>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39" t="s">
        <v>69</v>
      </c>
      <c r="B17" s="140"/>
      <c r="C17" s="20">
        <f>(VLOOKUP(C$14,$AI2:$AK26,2,FALSE))*C$15</f>
        <v>62.999999999999993</v>
      </c>
      <c r="D17" s="20" t="e">
        <f t="shared" ref="D17:V17" si="0">(VLOOKUP(D$14,$AI2:$AK26,2,FALSE))*D$15</f>
        <v>#N/A</v>
      </c>
      <c r="E17" s="20">
        <f t="shared" si="0"/>
        <v>64.599999999999994</v>
      </c>
      <c r="F17" s="20">
        <f t="shared" si="0"/>
        <v>63.75</v>
      </c>
      <c r="G17" s="20">
        <f t="shared" si="0"/>
        <v>55.25</v>
      </c>
      <c r="H17" s="20">
        <f t="shared" si="0"/>
        <v>64.599999999999994</v>
      </c>
      <c r="I17" s="20">
        <f t="shared" si="0"/>
        <v>91.8</v>
      </c>
      <c r="J17" s="20">
        <f t="shared" si="0"/>
        <v>91.8</v>
      </c>
      <c r="K17" s="20">
        <f t="shared" si="0"/>
        <v>63.75</v>
      </c>
      <c r="L17" s="20">
        <f t="shared" si="0"/>
        <v>91.8</v>
      </c>
      <c r="M17" s="20">
        <f t="shared" si="0"/>
        <v>0</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1" t="s">
        <v>23</v>
      </c>
      <c r="B18" s="142"/>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1" t="s">
        <v>90</v>
      </c>
      <c r="B19" s="142"/>
      <c r="C19" s="12">
        <f>C18-C17</f>
        <v>-62.999999999999993</v>
      </c>
      <c r="D19" s="12" t="e">
        <f t="shared" ref="D19:V19" si="1">D18-D17</f>
        <v>#N/A</v>
      </c>
      <c r="E19" s="12">
        <f t="shared" si="1"/>
        <v>-64.599999999999994</v>
      </c>
      <c r="F19" s="12">
        <f t="shared" si="1"/>
        <v>-63.75</v>
      </c>
      <c r="G19" s="12">
        <f t="shared" si="1"/>
        <v>-55.25</v>
      </c>
      <c r="H19" s="12">
        <f t="shared" si="1"/>
        <v>-64.599999999999994</v>
      </c>
      <c r="I19" s="12">
        <f t="shared" si="1"/>
        <v>-91.8</v>
      </c>
      <c r="J19" s="12">
        <f t="shared" si="1"/>
        <v>-91.8</v>
      </c>
      <c r="K19" s="12">
        <f t="shared" si="1"/>
        <v>-63.75</v>
      </c>
      <c r="L19" s="12">
        <f t="shared" si="1"/>
        <v>-91.8</v>
      </c>
      <c r="M19" s="12">
        <f t="shared" si="1"/>
        <v>0</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3" t="s">
        <v>91</v>
      </c>
      <c r="B20" s="144"/>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9" t="s">
        <v>88</v>
      </c>
      <c r="B21" s="140"/>
      <c r="C21" s="20">
        <f>(VLOOKUP(C$14,$AI2:$AK26,3,FALSE))*C$15</f>
        <v>198.00000000000003</v>
      </c>
      <c r="D21" s="20" t="e">
        <f t="shared" ref="D21:V21" si="2">(VLOOKUP(D$14,$AI2:$AK26,3,FALSE))*D$15</f>
        <v>#N/A</v>
      </c>
      <c r="E21" s="20">
        <f t="shared" si="2"/>
        <v>228</v>
      </c>
      <c r="F21" s="20">
        <f t="shared" si="2"/>
        <v>78.75</v>
      </c>
      <c r="G21" s="20">
        <f t="shared" si="2"/>
        <v>78</v>
      </c>
      <c r="H21" s="20">
        <f t="shared" si="2"/>
        <v>228</v>
      </c>
      <c r="I21" s="20">
        <f t="shared" si="2"/>
        <v>324</v>
      </c>
      <c r="J21" s="20">
        <f t="shared" si="2"/>
        <v>324</v>
      </c>
      <c r="K21" s="20">
        <f t="shared" si="2"/>
        <v>78.75</v>
      </c>
      <c r="L21" s="20">
        <f t="shared" si="2"/>
        <v>324</v>
      </c>
      <c r="M21" s="20">
        <f t="shared" si="2"/>
        <v>0</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1" t="s">
        <v>89</v>
      </c>
      <c r="B22" s="142"/>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1" t="s">
        <v>92</v>
      </c>
      <c r="B23" s="142"/>
      <c r="C23" s="12">
        <f>C22-C21</f>
        <v>-198.00000000000003</v>
      </c>
      <c r="D23" s="12" t="e">
        <f t="shared" ref="D23:V23" si="3">D22-D21</f>
        <v>#N/A</v>
      </c>
      <c r="E23" s="12">
        <f t="shared" si="3"/>
        <v>-228</v>
      </c>
      <c r="F23" s="12">
        <f t="shared" si="3"/>
        <v>-78.75</v>
      </c>
      <c r="G23" s="12">
        <f t="shared" si="3"/>
        <v>-78</v>
      </c>
      <c r="H23" s="12">
        <f t="shared" si="3"/>
        <v>-228</v>
      </c>
      <c r="I23" s="12">
        <f t="shared" si="3"/>
        <v>-324</v>
      </c>
      <c r="J23" s="12">
        <f t="shared" si="3"/>
        <v>-324</v>
      </c>
      <c r="K23" s="12">
        <f t="shared" si="3"/>
        <v>-78.75</v>
      </c>
      <c r="L23" s="12">
        <f t="shared" si="3"/>
        <v>-324</v>
      </c>
      <c r="M23" s="12">
        <f t="shared" si="3"/>
        <v>0</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3" t="s">
        <v>93</v>
      </c>
      <c r="B24" s="144"/>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Hook Field 2</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Hook Field 3</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Hook Field 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Hook Field 8</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Hook Field 10</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Hook Field 20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1</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2</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3</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4</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7</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Hook Field 2</v>
      </c>
      <c r="C57" s="8" t="str">
        <f t="shared" ref="C57:U57" si="13">D8</f>
        <v>Hook Field 3</v>
      </c>
      <c r="D57" s="8" t="str">
        <f t="shared" si="13"/>
        <v>Hook Field 4</v>
      </c>
      <c r="E57" s="8" t="str">
        <f t="shared" si="13"/>
        <v>Hook Field 8</v>
      </c>
      <c r="F57" s="8" t="str">
        <f t="shared" si="13"/>
        <v>Hook Field 10</v>
      </c>
      <c r="G57" s="8" t="str">
        <f t="shared" si="13"/>
        <v>Hook Field 20</v>
      </c>
      <c r="H57" s="8">
        <f t="shared" si="13"/>
        <v>1</v>
      </c>
      <c r="I57" s="8">
        <f t="shared" si="13"/>
        <v>2</v>
      </c>
      <c r="J57" s="8">
        <f t="shared" si="13"/>
        <v>3</v>
      </c>
      <c r="K57" s="8">
        <f t="shared" si="13"/>
        <v>4</v>
      </c>
      <c r="L57" s="8">
        <f t="shared" si="13"/>
        <v>7</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"&amp;(VLOOKUP(C14,Table24581113[],6,FALSE))</f>
        <v>Medium/Clay I Arable</v>
      </c>
      <c r="C58" s="10" t="e">
        <f>D16&amp;" I "&amp;(VLOOKUP(D14,Table24581113[],6,FALSE))</f>
        <v>#N/A</v>
      </c>
      <c r="D58" s="10" t="str">
        <f>E16&amp;" I "&amp;(VLOOKUP(E14,Table24581113[],6,FALSE))</f>
        <v>Medium/Clay I Grass</v>
      </c>
      <c r="E58" s="10" t="str">
        <f>F16&amp;" I "&amp;(VLOOKUP(F14,Table24581113[],6,FALSE))</f>
        <v>Medium/Clay I Arable</v>
      </c>
      <c r="F58" s="10" t="str">
        <f>G16&amp;" I "&amp;(VLOOKUP(G14,Table24581113[],6,FALSE))</f>
        <v>Medium/Clay I Arable</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Arable</v>
      </c>
      <c r="K58" s="10" t="str">
        <f>L16&amp;" I "&amp;(VLOOKUP(L14,Table24581113[],6,FALSE))</f>
        <v>Medium/Clay I Grass</v>
      </c>
      <c r="L58" s="10" t="str">
        <f>M16&amp;" I "&amp;(VLOOKUP(M14,Table24581113[],6,FALSE))</f>
        <v>Medium/Clay I Arable</v>
      </c>
      <c r="M58" s="10" t="e">
        <f>N16&amp;" I "&amp;(VLOOKUP(N14,Table24581113[],6,FALSE))</f>
        <v>#N/A</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x14ac:dyDescent="0.2">
      <c r="A59" s="87" t="s">
        <v>132</v>
      </c>
      <c r="B59" s="64">
        <f>VLOOKUP(C$14,Table24581113[],5,FALSE)</f>
        <v>6.7</v>
      </c>
      <c r="C59" s="64" t="e">
        <f>VLOOKUP(D$14,Table24581113[],5,FALSE)</f>
        <v>#N/A</v>
      </c>
      <c r="D59" s="64">
        <f>VLOOKUP(E$14,Table24581113[],5,FALSE)</f>
        <v>6.2</v>
      </c>
      <c r="E59" s="64">
        <f>VLOOKUP(F$14,Table24581113[],5,FALSE)</f>
        <v>6.7</v>
      </c>
      <c r="F59" s="64">
        <f>VLOOKUP(G$14,Table24581113[],5,FALSE)</f>
        <v>6.7</v>
      </c>
      <c r="G59" s="64">
        <f>VLOOKUP(H$14,Table24581113[],5,FALSE)</f>
        <v>6.2</v>
      </c>
      <c r="H59" s="64">
        <f>VLOOKUP(I$14,Table24581113[],5,FALSE)</f>
        <v>6.2</v>
      </c>
      <c r="I59" s="64">
        <f>VLOOKUP(J$14,Table24581113[],5,FALSE)</f>
        <v>6.2</v>
      </c>
      <c r="J59" s="64">
        <f>VLOOKUP(K$14,Table24581113[],5,FALSE)</f>
        <v>6.7</v>
      </c>
      <c r="K59" s="64">
        <f>VLOOKUP(L$14,Table24581113[],5,FALSE)</f>
        <v>6.2</v>
      </c>
      <c r="L59" s="64">
        <f>VLOOKUP(M$14,Table24581113[],5,FALSE)</f>
        <v>6.7</v>
      </c>
      <c r="M59" s="64" t="e">
        <f>VLOOKUP(N$14,Table24581113[],5,FALSE)</f>
        <v>#N/A</v>
      </c>
      <c r="N59" s="64" t="e">
        <f>VLOOKUP(O$14,Table24581113[],5,FALSE)</f>
        <v>#N/A</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x14ac:dyDescent="0.2">
      <c r="A60" s="87" t="s">
        <v>4</v>
      </c>
      <c r="B60" s="64">
        <f>C10</f>
        <v>6.9</v>
      </c>
      <c r="C60" s="64">
        <f t="shared" ref="C60:U60" si="14">D10</f>
        <v>6.8</v>
      </c>
      <c r="D60" s="64">
        <f t="shared" si="14"/>
        <v>6.8</v>
      </c>
      <c r="E60" s="64">
        <f t="shared" si="14"/>
        <v>6.6</v>
      </c>
      <c r="F60" s="64">
        <f t="shared" si="14"/>
        <v>7.1</v>
      </c>
      <c r="G60" s="64">
        <f t="shared" si="14"/>
        <v>7.3</v>
      </c>
      <c r="H60" s="64">
        <f t="shared" si="14"/>
        <v>6.4</v>
      </c>
      <c r="I60" s="64">
        <f t="shared" si="14"/>
        <v>6.2</v>
      </c>
      <c r="J60" s="64">
        <f t="shared" si="14"/>
        <v>6.2</v>
      </c>
      <c r="K60" s="64">
        <f t="shared" si="14"/>
        <v>6.7</v>
      </c>
      <c r="L60" s="64">
        <f t="shared" si="14"/>
        <v>6.3</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8</v>
      </c>
      <c r="C61" s="64" t="e">
        <f t="shared" si="15"/>
        <v>#N/A</v>
      </c>
      <c r="D61" s="64">
        <f t="shared" si="15"/>
        <v>6</v>
      </c>
      <c r="E61" s="64">
        <f t="shared" si="15"/>
        <v>8</v>
      </c>
      <c r="F61" s="64">
        <f t="shared" si="15"/>
        <v>8</v>
      </c>
      <c r="G61" s="64">
        <f t="shared" si="15"/>
        <v>6</v>
      </c>
      <c r="H61" s="64">
        <f t="shared" si="15"/>
        <v>6</v>
      </c>
      <c r="I61" s="64">
        <f t="shared" si="15"/>
        <v>6</v>
      </c>
      <c r="J61" s="64">
        <f t="shared" si="15"/>
        <v>8</v>
      </c>
      <c r="K61" s="64">
        <f t="shared" si="15"/>
        <v>6</v>
      </c>
      <c r="L61" s="64">
        <f t="shared" si="15"/>
        <v>8</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-1.6000000000000014</v>
      </c>
      <c r="C64" s="65" t="e">
        <f t="shared" ref="C64:U64" si="17">(C59-C60)*C61</f>
        <v>#N/A</v>
      </c>
      <c r="D64" s="65">
        <f t="shared" si="17"/>
        <v>-3.5999999999999979</v>
      </c>
      <c r="E64" s="65">
        <f t="shared" si="17"/>
        <v>0.80000000000000426</v>
      </c>
      <c r="F64" s="65">
        <f t="shared" si="17"/>
        <v>-3.1999999999999957</v>
      </c>
      <c r="G64" s="65">
        <f t="shared" si="17"/>
        <v>-6.5999999999999979</v>
      </c>
      <c r="H64" s="65">
        <f t="shared" si="17"/>
        <v>-1.2000000000000011</v>
      </c>
      <c r="I64" s="65">
        <f t="shared" si="17"/>
        <v>0</v>
      </c>
      <c r="J64" s="65">
        <f t="shared" si="17"/>
        <v>4</v>
      </c>
      <c r="K64" s="65">
        <f t="shared" si="17"/>
        <v>-3</v>
      </c>
      <c r="L64" s="65">
        <f t="shared" si="17"/>
        <v>3.2000000000000028</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1.6000000000000014</v>
      </c>
      <c r="C65" s="65" t="e">
        <f t="shared" ref="C65:U65" si="18">C63-C64</f>
        <v>#N/A</v>
      </c>
      <c r="D65" s="65">
        <f t="shared" si="18"/>
        <v>3.5999999999999979</v>
      </c>
      <c r="E65" s="65">
        <f t="shared" si="18"/>
        <v>-0.80000000000000426</v>
      </c>
      <c r="F65" s="65">
        <f t="shared" si="18"/>
        <v>3.1999999999999957</v>
      </c>
      <c r="G65" s="65">
        <f t="shared" si="18"/>
        <v>6.5999999999999979</v>
      </c>
      <c r="H65" s="65">
        <f t="shared" si="18"/>
        <v>1.2000000000000011</v>
      </c>
      <c r="I65" s="65">
        <f t="shared" si="18"/>
        <v>0</v>
      </c>
      <c r="J65" s="65">
        <f t="shared" si="18"/>
        <v>-4</v>
      </c>
      <c r="K65" s="65">
        <f t="shared" si="18"/>
        <v>3</v>
      </c>
      <c r="L65" s="65">
        <f t="shared" si="18"/>
        <v>-3.2000000000000028</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e">
        <f t="shared" ref="C66:U66" si="19">IF(C64&lt;=C63,"OVER","UNDER")</f>
        <v>#N/A</v>
      </c>
      <c r="D66" s="66" t="str">
        <f t="shared" si="19"/>
        <v>OVER</v>
      </c>
      <c r="E66" s="66" t="str">
        <f t="shared" si="19"/>
        <v>UNDER</v>
      </c>
      <c r="F66" s="66" t="str">
        <f t="shared" si="19"/>
        <v>OVER</v>
      </c>
      <c r="G66" s="66" t="str">
        <f t="shared" si="19"/>
        <v>OVER</v>
      </c>
      <c r="H66" s="66" t="str">
        <f t="shared" si="19"/>
        <v>OVER</v>
      </c>
      <c r="I66" s="66" t="str">
        <f t="shared" si="19"/>
        <v>OVER</v>
      </c>
      <c r="J66" s="66" t="str">
        <f t="shared" si="19"/>
        <v>UNDER</v>
      </c>
      <c r="K66" s="66" t="str">
        <f t="shared" si="19"/>
        <v>OVER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HLiEwVxAeubMpdaGrQX2quukbZXgaAsvrCxuaXWdTqU8+0X57ke9r4twNXLYfyaVW0uM8XcTr+3l6KbYXZw+3A==" saltValue="IBGkSk/+HehuiWTObrD8u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6" priority="37" operator="greaterThan">
      <formula>$B$51</formula>
    </cfRule>
  </conditionalFormatting>
  <conditionalFormatting sqref="B66:U66">
    <cfRule type="cellIs" dxfId="85" priority="12" operator="equal">
      <formula>"UNDER"</formula>
    </cfRule>
    <cfRule type="cellIs" dxfId="84" priority="13" operator="equal">
      <formula>"OVER"</formula>
    </cfRule>
  </conditionalFormatting>
  <conditionalFormatting sqref="C31:C50">
    <cfRule type="cellIs" dxfId="83" priority="36" operator="greaterThan">
      <formula>$C$51</formula>
    </cfRule>
  </conditionalFormatting>
  <conditionalFormatting sqref="C11:V13">
    <cfRule type="cellIs" dxfId="82" priority="1" operator="greaterThan">
      <formula>2</formula>
    </cfRule>
  </conditionalFormatting>
  <conditionalFormatting sqref="C17:V19">
    <cfRule type="cellIs" dxfId="81" priority="33" operator="equal">
      <formula>0</formula>
    </cfRule>
  </conditionalFormatting>
  <conditionalFormatting sqref="C20:V21">
    <cfRule type="cellIs" dxfId="80" priority="38" operator="equal">
      <formula>"DECREASE"</formula>
    </cfRule>
    <cfRule type="cellIs" dxfId="79" priority="39" operator="equal">
      <formula>"INCREASE"</formula>
    </cfRule>
  </conditionalFormatting>
  <conditionalFormatting sqref="C21:V21">
    <cfRule type="cellIs" dxfId="78" priority="14" operator="equal">
      <formula>0</formula>
    </cfRule>
  </conditionalFormatting>
  <conditionalFormatting sqref="C22:V23">
    <cfRule type="cellIs" dxfId="77" priority="18" operator="equal">
      <formula>0</formula>
    </cfRule>
  </conditionalFormatting>
  <conditionalFormatting sqref="C24:V24">
    <cfRule type="cellIs" dxfId="76" priority="19" operator="equal">
      <formula>"DECREASE"</formula>
    </cfRule>
    <cfRule type="cellIs" dxfId="75" priority="20" operator="equal">
      <formula>"INCREASE"</formula>
    </cfRule>
  </conditionalFormatting>
  <conditionalFormatting sqref="G31:G50">
    <cfRule type="cellIs" dxfId="74" priority="32" operator="greaterThan">
      <formula>$G$51</formula>
    </cfRule>
  </conditionalFormatting>
  <conditionalFormatting sqref="H31:H50">
    <cfRule type="cellIs" dxfId="73" priority="31" operator="greaterThan">
      <formula>$H$51</formula>
    </cfRule>
  </conditionalFormatting>
  <conditionalFormatting sqref="I1">
    <cfRule type="cellIs" dxfId="72" priority="4" operator="between">
      <formula>0.1</formula>
      <formula>5</formula>
    </cfRule>
  </conditionalFormatting>
  <conditionalFormatting sqref="I2">
    <cfRule type="cellIs" dxfId="71" priority="3" operator="greaterThan">
      <formula>5000.1</formula>
    </cfRule>
  </conditionalFormatting>
  <conditionalFormatting sqref="I3">
    <cfRule type="cellIs" dxfId="70" priority="2" operator="greaterThan">
      <formula>40000.01</formula>
    </cfRule>
  </conditionalFormatting>
  <conditionalFormatting sqref="I31:I50">
    <cfRule type="cellIs" dxfId="69" priority="30" operator="greaterThan">
      <formula>$I$51</formula>
    </cfRule>
  </conditionalFormatting>
  <conditionalFormatting sqref="J31:J50">
    <cfRule type="cellIs" dxfId="68" priority="9" operator="greaterThan">
      <formula>$J$51</formula>
    </cfRule>
  </conditionalFormatting>
  <conditionalFormatting sqref="K31:K50">
    <cfRule type="cellIs" dxfId="67" priority="29" operator="greaterThan">
      <formula>$K$51</formula>
    </cfRule>
  </conditionalFormatting>
  <conditionalFormatting sqref="L3">
    <cfRule type="cellIs" dxfId="66" priority="5" operator="lessThan">
      <formula>30</formula>
    </cfRule>
    <cfRule type="cellIs" dxfId="65" priority="6" operator="greaterThanOrEqual">
      <formula>30</formula>
    </cfRule>
  </conditionalFormatting>
  <conditionalFormatting sqref="L31:L50">
    <cfRule type="cellIs" dxfId="64" priority="28" operator="greaterThan">
      <formula>$L$51</formula>
    </cfRule>
  </conditionalFormatting>
  <conditionalFormatting sqref="M31:M50">
    <cfRule type="cellIs" dxfId="63" priority="27" operator="greaterThan">
      <formula>$M$51</formula>
    </cfRule>
  </conditionalFormatting>
  <conditionalFormatting sqref="P31:P50">
    <cfRule type="cellIs" dxfId="62" priority="26" operator="greaterThan">
      <formula>$P$51</formula>
    </cfRule>
  </conditionalFormatting>
  <conditionalFormatting sqref="R31:R50">
    <cfRule type="cellIs" dxfId="61" priority="25" operator="greaterThan">
      <formula>$R$51</formula>
    </cfRule>
  </conditionalFormatting>
  <conditionalFormatting sqref="S31:S50">
    <cfRule type="cellIs" dxfId="60" priority="24" operator="greaterThan">
      <formula>$S$51</formula>
    </cfRule>
  </conditionalFormatting>
  <conditionalFormatting sqref="T31:T50">
    <cfRule type="cellIs" dxfId="59" priority="23" operator="greaterThan">
      <formula>$T$51</formula>
    </cfRule>
  </conditionalFormatting>
  <conditionalFormatting sqref="U31:U50">
    <cfRule type="cellIs" dxfId="58" priority="22"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40" sqref="A40"/>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1" t="s">
        <v>41</v>
      </c>
      <c r="B1" s="132"/>
      <c r="C1" s="173" t="str">
        <f>'Field data and Waste 1'!C1:D1</f>
        <v>PAN-027465</v>
      </c>
      <c r="D1" s="174"/>
      <c r="E1" s="106" t="s">
        <v>45</v>
      </c>
      <c r="F1" s="113" t="str">
        <f>'Field data and Waste 1'!F1</f>
        <v>49.2ha</v>
      </c>
      <c r="G1" s="163" t="s">
        <v>43</v>
      </c>
      <c r="H1" s="164"/>
      <c r="I1" s="109"/>
      <c r="J1" s="131" t="s">
        <v>153</v>
      </c>
      <c r="K1" s="132"/>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3" t="s">
        <v>87</v>
      </c>
      <c r="B2" s="134"/>
      <c r="C2" s="169" t="str">
        <f>'Field data and Waste 1'!C2:D2</f>
        <v>EPR/AB3891CX</v>
      </c>
      <c r="D2" s="170"/>
      <c r="E2" s="96" t="s">
        <v>109</v>
      </c>
      <c r="F2" s="110"/>
      <c r="G2" s="165" t="s">
        <v>110</v>
      </c>
      <c r="H2" s="166"/>
      <c r="I2" s="110"/>
      <c r="J2" s="133" t="s">
        <v>158</v>
      </c>
      <c r="K2" s="134"/>
      <c r="L2" s="110"/>
      <c r="AB2" s="22" t="s">
        <v>56</v>
      </c>
      <c r="AC2" s="13"/>
      <c r="AD2" s="22" t="s">
        <v>70</v>
      </c>
      <c r="AE2" s="13"/>
      <c r="AF2" s="13"/>
      <c r="AG2" s="34" t="s">
        <v>76</v>
      </c>
      <c r="AH2" s="13"/>
      <c r="AI2" s="35" t="s">
        <v>126</v>
      </c>
      <c r="AJ2" s="36">
        <v>0</v>
      </c>
      <c r="AK2" s="37">
        <v>0</v>
      </c>
      <c r="AL2" s="7">
        <v>0</v>
      </c>
      <c r="AM2" s="9">
        <v>0</v>
      </c>
      <c r="AN2" s="9">
        <v>0</v>
      </c>
    </row>
    <row r="3" spans="1:41" x14ac:dyDescent="0.2">
      <c r="A3" s="135" t="s">
        <v>42</v>
      </c>
      <c r="B3" s="136"/>
      <c r="C3" s="169" t="str">
        <f>'Field data and Waste 1'!C3:D3</f>
        <v>Mr Daniel James and Mrs Carys James</v>
      </c>
      <c r="D3" s="170"/>
      <c r="E3" s="96" t="s">
        <v>108</v>
      </c>
      <c r="F3" s="111"/>
      <c r="G3" s="133" t="s">
        <v>159</v>
      </c>
      <c r="H3" s="134"/>
      <c r="I3" s="110"/>
      <c r="J3" s="135" t="s">
        <v>154</v>
      </c>
      <c r="K3" s="136"/>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3" t="s">
        <v>0</v>
      </c>
      <c r="B4" s="134"/>
      <c r="C4" s="171" t="str">
        <f>'Field data and Waste 1'!C4:D4</f>
        <v>Hook Farm and New House Farm</v>
      </c>
      <c r="D4" s="172"/>
      <c r="E4" s="99" t="s">
        <v>1</v>
      </c>
      <c r="F4" s="110"/>
      <c r="G4" s="135"/>
      <c r="H4" s="136"/>
      <c r="I4" s="115"/>
      <c r="J4" s="135"/>
      <c r="K4" s="136"/>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7" t="s">
        <v>47</v>
      </c>
      <c r="B5" s="148"/>
      <c r="C5" s="167" t="str">
        <f>'Field data and Waste 1'!C5:D5</f>
        <v>Rhiannon Smith</v>
      </c>
      <c r="D5" s="168"/>
      <c r="E5" s="107"/>
      <c r="F5" s="114"/>
      <c r="G5" s="137"/>
      <c r="H5" s="138"/>
      <c r="I5" s="114"/>
      <c r="J5" s="137"/>
      <c r="K5" s="138"/>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3" t="s">
        <v>2</v>
      </c>
      <c r="B8" s="134"/>
      <c r="C8" s="49" t="str">
        <f>'Field data and Waste 1'!C8</f>
        <v>Hook Field 2</v>
      </c>
      <c r="D8" s="49" t="str">
        <f>'Field data and Waste 1'!D8</f>
        <v>Hook Field 3</v>
      </c>
      <c r="E8" s="49" t="str">
        <f>'Field data and Waste 1'!E8</f>
        <v>Hook Field 4</v>
      </c>
      <c r="F8" s="49" t="str">
        <f>'Field data and Waste 1'!F8</f>
        <v>Hook Field 8</v>
      </c>
      <c r="G8" s="49" t="str">
        <f>'Field data and Waste 1'!G8</f>
        <v>Hook Field 10</v>
      </c>
      <c r="H8" s="49" t="str">
        <f>'Field data and Waste 1'!H8</f>
        <v>Hook Field 20</v>
      </c>
      <c r="I8" s="49">
        <f>'Field data and Waste 1'!I8</f>
        <v>1</v>
      </c>
      <c r="J8" s="49">
        <f>'Field data and Waste 1'!J8</f>
        <v>2</v>
      </c>
      <c r="K8" s="49">
        <f>'Field data and Waste 1'!K8</f>
        <v>3</v>
      </c>
      <c r="L8" s="49">
        <f>'Field data and Waste 1'!L8</f>
        <v>4</v>
      </c>
      <c r="M8" s="49">
        <f>'Field data and Waste 1'!M8</f>
        <v>7</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3" t="s">
        <v>3</v>
      </c>
      <c r="B9" s="134"/>
      <c r="C9" s="49">
        <f>'Field data and Waste 1'!C9</f>
        <v>1</v>
      </c>
      <c r="D9" s="49">
        <f>'Field data and Waste 1'!D9</f>
        <v>1</v>
      </c>
      <c r="E9" s="49" t="str">
        <f>'Field data and Waste 1'!E9</f>
        <v>Moderate</v>
      </c>
      <c r="F9" s="49">
        <f>'Field data and Waste 1'!F9</f>
        <v>1</v>
      </c>
      <c r="G9" s="49">
        <f>'Field data and Waste 1'!G9</f>
        <v>2</v>
      </c>
      <c r="H9" s="49" t="str">
        <f>'Field data and Waste 1'!H9</f>
        <v>Moderate</v>
      </c>
      <c r="I9" s="49" t="str">
        <f>'Field data and Waste 1'!I9</f>
        <v>Moderate</v>
      </c>
      <c r="J9" s="49" t="str">
        <f>'Field data and Waste 1'!J9</f>
        <v>Moderate</v>
      </c>
      <c r="K9" s="49">
        <f>'Field data and Waste 1'!K9</f>
        <v>1</v>
      </c>
      <c r="L9" s="49" t="str">
        <f>'Field data and Waste 1'!L9</f>
        <v>Moderate</v>
      </c>
      <c r="M9" s="49">
        <f>'Field data and Waste 1'!M9</f>
        <v>1</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3" t="s">
        <v>4</v>
      </c>
      <c r="B10" s="134"/>
      <c r="C10" s="49">
        <f>'Field data and Waste 1'!C10</f>
        <v>6.9</v>
      </c>
      <c r="D10" s="49">
        <f>'Field data and Waste 1'!D10</f>
        <v>6.8</v>
      </c>
      <c r="E10" s="49">
        <f>'Field data and Waste 1'!E10</f>
        <v>6.8</v>
      </c>
      <c r="F10" s="49">
        <f>'Field data and Waste 1'!F10</f>
        <v>6.6</v>
      </c>
      <c r="G10" s="49">
        <f>'Field data and Waste 1'!G10</f>
        <v>7.1</v>
      </c>
      <c r="H10" s="49">
        <f>'Field data and Waste 1'!H10</f>
        <v>7.3</v>
      </c>
      <c r="I10" s="49">
        <f>'Field data and Waste 1'!I10</f>
        <v>6.4</v>
      </c>
      <c r="J10" s="49">
        <f>'Field data and Waste 1'!J10</f>
        <v>6.2</v>
      </c>
      <c r="K10" s="49">
        <f>'Field data and Waste 1'!K10</f>
        <v>6.2</v>
      </c>
      <c r="L10" s="49">
        <f>'Field data and Waste 1'!L10</f>
        <v>6.7</v>
      </c>
      <c r="M10" s="49">
        <f>'Field data and Waste 1'!M10</f>
        <v>6.3</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3" t="s">
        <v>5</v>
      </c>
      <c r="B11" s="134"/>
      <c r="C11" s="49">
        <f>'Field data and Waste 1'!C11</f>
        <v>3</v>
      </c>
      <c r="D11" s="49">
        <f>'Field data and Waste 1'!D11</f>
        <v>3</v>
      </c>
      <c r="E11" s="49">
        <f>'Field data and Waste 1'!E11</f>
        <v>3</v>
      </c>
      <c r="F11" s="49">
        <f>'Field data and Waste 1'!F11</f>
        <v>3</v>
      </c>
      <c r="G11" s="49">
        <f>'Field data and Waste 1'!G11</f>
        <v>3</v>
      </c>
      <c r="H11" s="49">
        <f>'Field data and Waste 1'!H11</f>
        <v>3</v>
      </c>
      <c r="I11" s="49">
        <f>'Field data and Waste 1'!I11</f>
        <v>3</v>
      </c>
      <c r="J11" s="49">
        <f>'Field data and Waste 1'!J11</f>
        <v>2</v>
      </c>
      <c r="K11" s="49">
        <f>'Field data and Waste 1'!K11</f>
        <v>2</v>
      </c>
      <c r="L11" s="49">
        <f>'Field data and Waste 1'!L11</f>
        <v>3</v>
      </c>
      <c r="M11" s="49">
        <f>'Field data and Waste 1'!M11</f>
        <v>3</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3" t="s">
        <v>6</v>
      </c>
      <c r="B12" s="134"/>
      <c r="C12" s="49">
        <f>'Field data and Waste 1'!C12</f>
        <v>3</v>
      </c>
      <c r="D12" s="49">
        <f>'Field data and Waste 1'!D12</f>
        <v>3</v>
      </c>
      <c r="E12" s="49">
        <f>'Field data and Waste 1'!E12</f>
        <v>2</v>
      </c>
      <c r="F12" s="49">
        <f>'Field data and Waste 1'!F12</f>
        <v>3</v>
      </c>
      <c r="G12" s="49">
        <f>'Field data and Waste 1'!G12</f>
        <v>2</v>
      </c>
      <c r="H12" s="49">
        <f>'Field data and Waste 1'!H12</f>
        <v>2</v>
      </c>
      <c r="I12" s="49">
        <f>'Field data and Waste 1'!I12</f>
        <v>2</v>
      </c>
      <c r="J12" s="49">
        <f>'Field data and Waste 1'!J12</f>
        <v>2</v>
      </c>
      <c r="K12" s="49">
        <f>'Field data and Waste 1'!K12</f>
        <v>2</v>
      </c>
      <c r="L12" s="49">
        <f>'Field data and Waste 1'!L12</f>
        <v>2</v>
      </c>
      <c r="M12" s="49">
        <f>'Field data and Waste 1'!M12</f>
        <v>1</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3" t="s">
        <v>7</v>
      </c>
      <c r="B13" s="134"/>
      <c r="C13" s="49">
        <f>'Field data and Waste 1'!C13</f>
        <v>3</v>
      </c>
      <c r="D13" s="49">
        <f>'Field data and Waste 1'!D13</f>
        <v>2</v>
      </c>
      <c r="E13" s="49">
        <f>'Field data and Waste 1'!E13</f>
        <v>2</v>
      </c>
      <c r="F13" s="49">
        <f>'Field data and Waste 1'!F13</f>
        <v>3</v>
      </c>
      <c r="G13" s="49">
        <f>'Field data and Waste 1'!G13</f>
        <v>1</v>
      </c>
      <c r="H13" s="49">
        <f>'Field data and Waste 1'!H13</f>
        <v>1</v>
      </c>
      <c r="I13" s="49">
        <f>'Field data and Waste 1'!I13</f>
        <v>5</v>
      </c>
      <c r="J13" s="49">
        <f>'Field data and Waste 1'!J13</f>
        <v>2</v>
      </c>
      <c r="K13" s="49">
        <f>'Field data and Waste 1'!K13</f>
        <v>2</v>
      </c>
      <c r="L13" s="49">
        <f>'Field data and Waste 1'!L13</f>
        <v>2</v>
      </c>
      <c r="M13" s="49">
        <f>'Field data and Waste 1'!M13</f>
        <v>2</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1" t="s">
        <v>8</v>
      </c>
      <c r="B14" s="152"/>
      <c r="C14" s="83" t="str">
        <f>'Field data and Waste 1'!C14</f>
        <v>Maize- Silage (30% DM)</v>
      </c>
      <c r="D14" s="83">
        <f>'Field data and Waste 1'!D14</f>
        <v>0</v>
      </c>
      <c r="E14" s="83" t="str">
        <f>'Field data and Waste 1'!E14</f>
        <v xml:space="preserve">Grass Silage (25% DM) </v>
      </c>
      <c r="F14" s="83" t="str">
        <f>'Field data and Waste 1'!F14</f>
        <v>Winter barley/triticale/rye</v>
      </c>
      <c r="G14" s="83" t="str">
        <f>'Field data and Waste 1'!G14</f>
        <v>Spring wheat/barley</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Winter barley/triticale/rye</v>
      </c>
      <c r="L14" s="83" t="str">
        <f>'Field data and Waste 1'!L14</f>
        <v xml:space="preserve">Grass Silage (25% DM) </v>
      </c>
      <c r="M14" s="83" t="str">
        <f>'Field data and Waste 1'!M14</f>
        <v>Fodder beet (roots only)</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49" t="s">
        <v>9</v>
      </c>
      <c r="B15" s="150"/>
      <c r="C15" s="49">
        <f>'Field data and Waste 1'!C15</f>
        <v>45</v>
      </c>
      <c r="D15" s="49">
        <f>'Field data and Waste 1'!D15</f>
        <v>30</v>
      </c>
      <c r="E15" s="49">
        <f>'Field data and Waste 1'!E15</f>
        <v>38</v>
      </c>
      <c r="F15" s="49">
        <f>'Field data and Waste 1'!F15</f>
        <v>7.5</v>
      </c>
      <c r="G15" s="49">
        <f>'Field data and Waste 1'!G15</f>
        <v>6.5</v>
      </c>
      <c r="H15" s="49">
        <f>'Field data and Waste 1'!H15</f>
        <v>38</v>
      </c>
      <c r="I15" s="49">
        <f>'Field data and Waste 1'!I15</f>
        <v>54</v>
      </c>
      <c r="J15" s="49">
        <f>'Field data and Waste 1'!J15</f>
        <v>54</v>
      </c>
      <c r="K15" s="49">
        <f>'Field data and Waste 1'!K15</f>
        <v>7.5</v>
      </c>
      <c r="L15" s="49">
        <f>'Field data and Waste 1'!L15</f>
        <v>54</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3" t="s">
        <v>44</v>
      </c>
      <c r="B16" s="154"/>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39" t="s">
        <v>69</v>
      </c>
      <c r="B17" s="140"/>
      <c r="C17" s="20">
        <f>(VLOOKUP(C$14,$AI2:$AK26,2,FALSE))*C$15</f>
        <v>62.999999999999993</v>
      </c>
      <c r="D17" s="20" t="e">
        <f t="shared" ref="D17:V17" si="0">(VLOOKUP(D$14,$AI2:$AK26,2,FALSE))*D$15</f>
        <v>#N/A</v>
      </c>
      <c r="E17" s="20">
        <f t="shared" si="0"/>
        <v>64.599999999999994</v>
      </c>
      <c r="F17" s="20">
        <f t="shared" si="0"/>
        <v>63.75</v>
      </c>
      <c r="G17" s="20">
        <f t="shared" si="0"/>
        <v>55.25</v>
      </c>
      <c r="H17" s="20">
        <f t="shared" si="0"/>
        <v>64.599999999999994</v>
      </c>
      <c r="I17" s="20">
        <f t="shared" si="0"/>
        <v>91.8</v>
      </c>
      <c r="J17" s="20">
        <f t="shared" si="0"/>
        <v>91.8</v>
      </c>
      <c r="K17" s="20">
        <f t="shared" si="0"/>
        <v>63.75</v>
      </c>
      <c r="L17" s="20">
        <f t="shared" si="0"/>
        <v>91.8</v>
      </c>
      <c r="M17" s="20">
        <f t="shared" si="0"/>
        <v>0</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1" t="s">
        <v>23</v>
      </c>
      <c r="B18" s="142"/>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1" t="s">
        <v>90</v>
      </c>
      <c r="B19" s="142"/>
      <c r="C19" s="12">
        <f>C18-C17</f>
        <v>-62.999999999999993</v>
      </c>
      <c r="D19" s="12" t="e">
        <f t="shared" ref="D19:V19" si="1">D18-D17</f>
        <v>#N/A</v>
      </c>
      <c r="E19" s="12">
        <f t="shared" si="1"/>
        <v>-64.599999999999994</v>
      </c>
      <c r="F19" s="12">
        <f t="shared" si="1"/>
        <v>-63.75</v>
      </c>
      <c r="G19" s="12">
        <f t="shared" si="1"/>
        <v>-55.25</v>
      </c>
      <c r="H19" s="12">
        <f t="shared" si="1"/>
        <v>-64.599999999999994</v>
      </c>
      <c r="I19" s="12">
        <f t="shared" si="1"/>
        <v>-91.8</v>
      </c>
      <c r="J19" s="12">
        <f t="shared" si="1"/>
        <v>-91.8</v>
      </c>
      <c r="K19" s="12">
        <f t="shared" si="1"/>
        <v>-63.75</v>
      </c>
      <c r="L19" s="12">
        <f t="shared" si="1"/>
        <v>-91.8</v>
      </c>
      <c r="M19" s="12">
        <f t="shared" si="1"/>
        <v>0</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3" t="s">
        <v>91</v>
      </c>
      <c r="B20" s="144"/>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9" t="s">
        <v>88</v>
      </c>
      <c r="B21" s="140"/>
      <c r="C21" s="20">
        <f>(VLOOKUP(C$14,$AI2:$AK26,3,FALSE))*C$15</f>
        <v>198.00000000000003</v>
      </c>
      <c r="D21" s="20" t="e">
        <f t="shared" ref="D21:V21" si="2">(VLOOKUP(D$14,$AI2:$AK26,3,FALSE))*D$15</f>
        <v>#N/A</v>
      </c>
      <c r="E21" s="20">
        <f t="shared" si="2"/>
        <v>228</v>
      </c>
      <c r="F21" s="20">
        <f t="shared" si="2"/>
        <v>78.75</v>
      </c>
      <c r="G21" s="20">
        <f t="shared" si="2"/>
        <v>78</v>
      </c>
      <c r="H21" s="20">
        <f t="shared" si="2"/>
        <v>228</v>
      </c>
      <c r="I21" s="20">
        <f t="shared" si="2"/>
        <v>324</v>
      </c>
      <c r="J21" s="20">
        <f t="shared" si="2"/>
        <v>324</v>
      </c>
      <c r="K21" s="20">
        <f t="shared" si="2"/>
        <v>78.75</v>
      </c>
      <c r="L21" s="20">
        <f t="shared" si="2"/>
        <v>324</v>
      </c>
      <c r="M21" s="20">
        <f t="shared" si="2"/>
        <v>0</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1" t="s">
        <v>89</v>
      </c>
      <c r="B22" s="142"/>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1" t="s">
        <v>92</v>
      </c>
      <c r="B23" s="142"/>
      <c r="C23" s="12">
        <f>C22-C21</f>
        <v>-198.00000000000003</v>
      </c>
      <c r="D23" s="12" t="e">
        <f t="shared" ref="D23:V23" si="3">D22-D21</f>
        <v>#N/A</v>
      </c>
      <c r="E23" s="12">
        <f t="shared" si="3"/>
        <v>-228</v>
      </c>
      <c r="F23" s="12">
        <f t="shared" si="3"/>
        <v>-78.75</v>
      </c>
      <c r="G23" s="12">
        <f t="shared" si="3"/>
        <v>-78</v>
      </c>
      <c r="H23" s="12">
        <f t="shared" si="3"/>
        <v>-228</v>
      </c>
      <c r="I23" s="12">
        <f t="shared" si="3"/>
        <v>-324</v>
      </c>
      <c r="J23" s="12">
        <f t="shared" si="3"/>
        <v>-324</v>
      </c>
      <c r="K23" s="12">
        <f t="shared" si="3"/>
        <v>-78.75</v>
      </c>
      <c r="L23" s="12">
        <f t="shared" si="3"/>
        <v>-324</v>
      </c>
      <c r="M23" s="12">
        <f t="shared" si="3"/>
        <v>0</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3" t="s">
        <v>93</v>
      </c>
      <c r="B24" s="144"/>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Hook Field 2</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Hook Field 3</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Hook Field 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Hook Field 8</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Hook Field 10</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Hook Field 20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1</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2</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3</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4</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7</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Hook Field 2</v>
      </c>
      <c r="C57" s="8" t="str">
        <f t="shared" ref="C57:U57" si="13">D8</f>
        <v>Hook Field 3</v>
      </c>
      <c r="D57" s="8" t="str">
        <f t="shared" si="13"/>
        <v>Hook Field 4</v>
      </c>
      <c r="E57" s="8" t="str">
        <f t="shared" si="13"/>
        <v>Hook Field 8</v>
      </c>
      <c r="F57" s="8" t="str">
        <f t="shared" si="13"/>
        <v>Hook Field 10</v>
      </c>
      <c r="G57" s="8" t="str">
        <f t="shared" si="13"/>
        <v>Hook Field 20</v>
      </c>
      <c r="H57" s="8">
        <f t="shared" si="13"/>
        <v>1</v>
      </c>
      <c r="I57" s="8">
        <f t="shared" si="13"/>
        <v>2</v>
      </c>
      <c r="J57" s="8">
        <f t="shared" si="13"/>
        <v>3</v>
      </c>
      <c r="K57" s="8">
        <f t="shared" si="13"/>
        <v>4</v>
      </c>
      <c r="L57" s="8">
        <f t="shared" si="13"/>
        <v>7</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"&amp;(VLOOKUP(C14,Table24567[],6,FALSE))</f>
        <v>Medium/Clay I Arable</v>
      </c>
      <c r="C58" s="10" t="e">
        <f>D16&amp;" I "&amp;(VLOOKUP(D14,Table24567[],6,FALSE))</f>
        <v>#N/A</v>
      </c>
      <c r="D58" s="10" t="str">
        <f>E16&amp;" I "&amp;(VLOOKUP(E14,Table24567[],6,FALSE))</f>
        <v>Medium/Clay I Grass</v>
      </c>
      <c r="E58" s="10" t="str">
        <f>F16&amp;" I "&amp;(VLOOKUP(F14,Table24567[],6,FALSE))</f>
        <v>Medium/Clay I Arable</v>
      </c>
      <c r="F58" s="10" t="str">
        <f>G16&amp;" I "&amp;(VLOOKUP(G14,Table24567[],6,FALSE))</f>
        <v>Medium/Clay I Arable</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Arable</v>
      </c>
      <c r="K58" s="10" t="str">
        <f>L16&amp;" I "&amp;(VLOOKUP(L14,Table24567[],6,FALSE))</f>
        <v>Medium/Clay I Grass</v>
      </c>
      <c r="L58" s="10" t="str">
        <f>M16&amp;" I "&amp;(VLOOKUP(M14,Table24567[],6,FALSE))</f>
        <v>Medium/Clay I Arable</v>
      </c>
      <c r="M58" s="10" t="e">
        <f>N16&amp;" I "&amp;(VLOOKUP(N14,Table24567[],6,FALSE))</f>
        <v>#N/A</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x14ac:dyDescent="0.2">
      <c r="A59" s="87" t="s">
        <v>132</v>
      </c>
      <c r="B59" s="64">
        <f>VLOOKUP(C$14,Table24567[],5,FALSE)</f>
        <v>6.7</v>
      </c>
      <c r="C59" s="64" t="e">
        <f>VLOOKUP(D$14,Table24567[],5,FALSE)</f>
        <v>#N/A</v>
      </c>
      <c r="D59" s="64">
        <f>VLOOKUP(E$14,Table24567[],5,FALSE)</f>
        <v>6.2</v>
      </c>
      <c r="E59" s="64">
        <f>VLOOKUP(F$14,Table24567[],5,FALSE)</f>
        <v>6.7</v>
      </c>
      <c r="F59" s="64">
        <f>VLOOKUP(G$14,Table24567[],5,FALSE)</f>
        <v>6.7</v>
      </c>
      <c r="G59" s="64">
        <f>VLOOKUP(H$14,Table24567[],5,FALSE)</f>
        <v>6.2</v>
      </c>
      <c r="H59" s="64">
        <f>VLOOKUP(I$14,Table24567[],5,FALSE)</f>
        <v>6.2</v>
      </c>
      <c r="I59" s="64">
        <f>VLOOKUP(J$14,Table24567[],5,FALSE)</f>
        <v>6.2</v>
      </c>
      <c r="J59" s="64">
        <f>VLOOKUP(K$14,Table24567[],5,FALSE)</f>
        <v>6.7</v>
      </c>
      <c r="K59" s="64">
        <f>VLOOKUP(L$14,Table24567[],5,FALSE)</f>
        <v>6.2</v>
      </c>
      <c r="L59" s="64">
        <f>VLOOKUP(M$14,Table24567[],5,FALSE)</f>
        <v>6.7</v>
      </c>
      <c r="M59" s="64" t="e">
        <f>VLOOKUP(N$14,Table24567[],5,FALSE)</f>
        <v>#N/A</v>
      </c>
      <c r="N59" s="64" t="e">
        <f>VLOOKUP(O$14,Table24567[],5,FALSE)</f>
        <v>#N/A</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x14ac:dyDescent="0.2">
      <c r="A60" s="87" t="s">
        <v>4</v>
      </c>
      <c r="B60" s="64">
        <f>C10</f>
        <v>6.9</v>
      </c>
      <c r="C60" s="64">
        <f t="shared" ref="C60:U60" si="14">D10</f>
        <v>6.8</v>
      </c>
      <c r="D60" s="64">
        <f t="shared" si="14"/>
        <v>6.8</v>
      </c>
      <c r="E60" s="64">
        <f t="shared" si="14"/>
        <v>6.6</v>
      </c>
      <c r="F60" s="64">
        <f t="shared" si="14"/>
        <v>7.1</v>
      </c>
      <c r="G60" s="64">
        <f t="shared" si="14"/>
        <v>7.3</v>
      </c>
      <c r="H60" s="64">
        <f t="shared" si="14"/>
        <v>6.4</v>
      </c>
      <c r="I60" s="64">
        <f t="shared" si="14"/>
        <v>6.2</v>
      </c>
      <c r="J60" s="64">
        <f t="shared" si="14"/>
        <v>6.2</v>
      </c>
      <c r="K60" s="64">
        <f t="shared" si="14"/>
        <v>6.7</v>
      </c>
      <c r="L60" s="64">
        <f t="shared" si="14"/>
        <v>6.3</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8</v>
      </c>
      <c r="C61" s="64" t="e">
        <f t="shared" si="15"/>
        <v>#N/A</v>
      </c>
      <c r="D61" s="64">
        <f t="shared" si="15"/>
        <v>6</v>
      </c>
      <c r="E61" s="64">
        <f t="shared" si="15"/>
        <v>8</v>
      </c>
      <c r="F61" s="64">
        <f t="shared" si="15"/>
        <v>8</v>
      </c>
      <c r="G61" s="64">
        <f t="shared" si="15"/>
        <v>6</v>
      </c>
      <c r="H61" s="64">
        <f t="shared" si="15"/>
        <v>6</v>
      </c>
      <c r="I61" s="64">
        <f t="shared" si="15"/>
        <v>6</v>
      </c>
      <c r="J61" s="64">
        <f t="shared" si="15"/>
        <v>8</v>
      </c>
      <c r="K61" s="64">
        <f t="shared" si="15"/>
        <v>6</v>
      </c>
      <c r="L61" s="64">
        <f t="shared" si="15"/>
        <v>8</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-1.6000000000000014</v>
      </c>
      <c r="C64" s="65" t="e">
        <f t="shared" ref="C64:U64" si="17">(C59-C60)*C61</f>
        <v>#N/A</v>
      </c>
      <c r="D64" s="65">
        <f t="shared" si="17"/>
        <v>-3.5999999999999979</v>
      </c>
      <c r="E64" s="65">
        <f t="shared" si="17"/>
        <v>0.80000000000000426</v>
      </c>
      <c r="F64" s="65">
        <f t="shared" si="17"/>
        <v>-3.1999999999999957</v>
      </c>
      <c r="G64" s="65">
        <f t="shared" si="17"/>
        <v>-6.5999999999999979</v>
      </c>
      <c r="H64" s="65">
        <f t="shared" si="17"/>
        <v>-1.2000000000000011</v>
      </c>
      <c r="I64" s="65">
        <f t="shared" si="17"/>
        <v>0</v>
      </c>
      <c r="J64" s="65">
        <f t="shared" si="17"/>
        <v>4</v>
      </c>
      <c r="K64" s="65">
        <f t="shared" si="17"/>
        <v>-3</v>
      </c>
      <c r="L64" s="65">
        <f t="shared" si="17"/>
        <v>3.2000000000000028</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1.6000000000000014</v>
      </c>
      <c r="C65" s="65" t="e">
        <f t="shared" ref="C65:U65" si="18">C63-C64</f>
        <v>#N/A</v>
      </c>
      <c r="D65" s="65">
        <f t="shared" si="18"/>
        <v>3.5999999999999979</v>
      </c>
      <c r="E65" s="65">
        <f t="shared" si="18"/>
        <v>-0.80000000000000426</v>
      </c>
      <c r="F65" s="65">
        <f t="shared" si="18"/>
        <v>3.1999999999999957</v>
      </c>
      <c r="G65" s="65">
        <f t="shared" si="18"/>
        <v>6.5999999999999979</v>
      </c>
      <c r="H65" s="65">
        <f t="shared" si="18"/>
        <v>1.2000000000000011</v>
      </c>
      <c r="I65" s="65">
        <f t="shared" si="18"/>
        <v>0</v>
      </c>
      <c r="J65" s="65">
        <f t="shared" si="18"/>
        <v>-4</v>
      </c>
      <c r="K65" s="65">
        <f t="shared" si="18"/>
        <v>3</v>
      </c>
      <c r="L65" s="65">
        <f t="shared" si="18"/>
        <v>-3.2000000000000028</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e">
        <f t="shared" ref="C66:U66" si="19">IF(C64&lt;=C63,"OVER","UNDER")</f>
        <v>#N/A</v>
      </c>
      <c r="D66" s="66" t="str">
        <f t="shared" si="19"/>
        <v>OVER</v>
      </c>
      <c r="E66" s="66" t="str">
        <f t="shared" si="19"/>
        <v>UNDER</v>
      </c>
      <c r="F66" s="66" t="str">
        <f t="shared" si="19"/>
        <v>OVER</v>
      </c>
      <c r="G66" s="66" t="str">
        <f t="shared" si="19"/>
        <v>OVER</v>
      </c>
      <c r="H66" s="66" t="str">
        <f t="shared" si="19"/>
        <v>OVER</v>
      </c>
      <c r="I66" s="66" t="str">
        <f t="shared" si="19"/>
        <v>OVER</v>
      </c>
      <c r="J66" s="66" t="str">
        <f t="shared" si="19"/>
        <v>UNDER</v>
      </c>
      <c r="K66" s="66" t="str">
        <f t="shared" si="19"/>
        <v>OVER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DO7EqqxvNDQEnBVISeuFZzsF48K4UQsY7f4m/6zV3t4NEt1MjVrMR5J8y5PyKSdnqX5ofxQ7k3RriwCGViSClQ==" saltValue="zBjh6M5bAe9f6/qMFMR+B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7" operator="greaterThan">
      <formula>$B$51</formula>
    </cfRule>
  </conditionalFormatting>
  <conditionalFormatting sqref="B66:U66">
    <cfRule type="cellIs" dxfId="56" priority="12" operator="equal">
      <formula>"UNDER"</formula>
    </cfRule>
    <cfRule type="cellIs" dxfId="55" priority="13" operator="equal">
      <formula>"OVER"</formula>
    </cfRule>
  </conditionalFormatting>
  <conditionalFormatting sqref="C31:C50">
    <cfRule type="cellIs" dxfId="54" priority="36" operator="greaterThan">
      <formula>$C$51</formula>
    </cfRule>
  </conditionalFormatting>
  <conditionalFormatting sqref="C11:V13">
    <cfRule type="cellIs" dxfId="53" priority="1" operator="greaterThan">
      <formula>2</formula>
    </cfRule>
  </conditionalFormatting>
  <conditionalFormatting sqref="C17:V19">
    <cfRule type="cellIs" dxfId="52" priority="33" operator="equal">
      <formula>0</formula>
    </cfRule>
  </conditionalFormatting>
  <conditionalFormatting sqref="C20:V21">
    <cfRule type="cellIs" dxfId="51" priority="38" operator="equal">
      <formula>"DECREASE"</formula>
    </cfRule>
    <cfRule type="cellIs" dxfId="50" priority="39" operator="equal">
      <formula>"INCREASE"</formula>
    </cfRule>
  </conditionalFormatting>
  <conditionalFormatting sqref="C21:V21">
    <cfRule type="cellIs" dxfId="49" priority="14" operator="equal">
      <formula>0</formula>
    </cfRule>
  </conditionalFormatting>
  <conditionalFormatting sqref="C22:V23">
    <cfRule type="cellIs" dxfId="48" priority="18" operator="equal">
      <formula>0</formula>
    </cfRule>
  </conditionalFormatting>
  <conditionalFormatting sqref="C24:V24">
    <cfRule type="cellIs" dxfId="47" priority="19" operator="equal">
      <formula>"DECREASE"</formula>
    </cfRule>
    <cfRule type="cellIs" dxfId="46" priority="20" operator="equal">
      <formula>"INCREASE"</formula>
    </cfRule>
  </conditionalFormatting>
  <conditionalFormatting sqref="G31:G50">
    <cfRule type="cellIs" dxfId="45" priority="32" operator="greaterThan">
      <formula>$G$51</formula>
    </cfRule>
  </conditionalFormatting>
  <conditionalFormatting sqref="H31:H50">
    <cfRule type="cellIs" dxfId="44" priority="31" operator="greaterThan">
      <formula>$H$51</formula>
    </cfRule>
  </conditionalFormatting>
  <conditionalFormatting sqref="I1">
    <cfRule type="cellIs" dxfId="43" priority="4" operator="between">
      <formula>0.1</formula>
      <formula>5</formula>
    </cfRule>
  </conditionalFormatting>
  <conditionalFormatting sqref="I2">
    <cfRule type="cellIs" dxfId="42" priority="3" operator="greaterThan">
      <formula>5000.1</formula>
    </cfRule>
  </conditionalFormatting>
  <conditionalFormatting sqref="I3">
    <cfRule type="cellIs" dxfId="41" priority="2" operator="greaterThan">
      <formula>40000.01</formula>
    </cfRule>
  </conditionalFormatting>
  <conditionalFormatting sqref="I31:I50">
    <cfRule type="cellIs" dxfId="40" priority="30" operator="greaterThan">
      <formula>$I$51</formula>
    </cfRule>
  </conditionalFormatting>
  <conditionalFormatting sqref="J31:J50">
    <cfRule type="cellIs" dxfId="39" priority="9" operator="greaterThan">
      <formula>$J$51</formula>
    </cfRule>
  </conditionalFormatting>
  <conditionalFormatting sqref="K31:K50">
    <cfRule type="cellIs" dxfId="38" priority="29" operator="greaterThan">
      <formula>$K$51</formula>
    </cfRule>
  </conditionalFormatting>
  <conditionalFormatting sqref="L3">
    <cfRule type="cellIs" dxfId="37" priority="5" operator="lessThan">
      <formula>30</formula>
    </cfRule>
    <cfRule type="cellIs" dxfId="36" priority="6" operator="greaterThanOrEqual">
      <formula>30</formula>
    </cfRule>
  </conditionalFormatting>
  <conditionalFormatting sqref="L31:L50">
    <cfRule type="cellIs" dxfId="35" priority="28" operator="greaterThan">
      <formula>$L$51</formula>
    </cfRule>
  </conditionalFormatting>
  <conditionalFormatting sqref="M31:M50">
    <cfRule type="cellIs" dxfId="34" priority="27" operator="greaterThan">
      <formula>$M$51</formula>
    </cfRule>
  </conditionalFormatting>
  <conditionalFormatting sqref="P31:P50">
    <cfRule type="cellIs" dxfId="33" priority="26" operator="greaterThan">
      <formula>$P$51</formula>
    </cfRule>
  </conditionalFormatting>
  <conditionalFormatting sqref="R31:R50">
    <cfRule type="cellIs" dxfId="32" priority="25" operator="greaterThan">
      <formula>$R$51</formula>
    </cfRule>
  </conditionalFormatting>
  <conditionalFormatting sqref="S31:S50">
    <cfRule type="cellIs" dxfId="31" priority="24" operator="greaterThan">
      <formula>$S$51</formula>
    </cfRule>
  </conditionalFormatting>
  <conditionalFormatting sqref="T31:T50">
    <cfRule type="cellIs" dxfId="30" priority="23" operator="greaterThan">
      <formula>$T$51</formula>
    </cfRule>
  </conditionalFormatting>
  <conditionalFormatting sqref="U31:U50">
    <cfRule type="cellIs" dxfId="29" priority="22"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40" sqref="A40"/>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1" t="s">
        <v>41</v>
      </c>
      <c r="B1" s="132"/>
      <c r="C1" s="173" t="str">
        <f>'Field data and Waste 1'!C1:D1</f>
        <v>PAN-027465</v>
      </c>
      <c r="D1" s="174"/>
      <c r="E1" s="106" t="s">
        <v>45</v>
      </c>
      <c r="F1" s="113" t="str">
        <f>'Field data and Waste 1'!F1</f>
        <v>49.2ha</v>
      </c>
      <c r="G1" s="163" t="s">
        <v>43</v>
      </c>
      <c r="H1" s="164"/>
      <c r="I1" s="109"/>
      <c r="J1" s="131" t="s">
        <v>153</v>
      </c>
      <c r="K1" s="132"/>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3" t="s">
        <v>87</v>
      </c>
      <c r="B2" s="134"/>
      <c r="C2" s="169" t="str">
        <f>'Field data and Waste 1'!C2:D2</f>
        <v>EPR/AB3891CX</v>
      </c>
      <c r="D2" s="170"/>
      <c r="E2" s="96" t="s">
        <v>109</v>
      </c>
      <c r="F2" s="110"/>
      <c r="G2" s="165" t="s">
        <v>110</v>
      </c>
      <c r="H2" s="166"/>
      <c r="I2" s="110"/>
      <c r="J2" s="133" t="s">
        <v>158</v>
      </c>
      <c r="K2" s="134"/>
      <c r="L2" s="110"/>
      <c r="AB2" s="22" t="s">
        <v>56</v>
      </c>
      <c r="AC2" s="13"/>
      <c r="AD2" s="22" t="s">
        <v>70</v>
      </c>
      <c r="AE2" s="13"/>
      <c r="AF2" s="13"/>
      <c r="AG2" s="34" t="s">
        <v>76</v>
      </c>
      <c r="AH2" s="13"/>
      <c r="AI2" s="35" t="s">
        <v>126</v>
      </c>
      <c r="AJ2" s="36">
        <v>0</v>
      </c>
      <c r="AK2" s="37">
        <v>0</v>
      </c>
      <c r="AL2" s="7">
        <v>0</v>
      </c>
      <c r="AM2" s="9">
        <v>0</v>
      </c>
      <c r="AN2" s="9">
        <v>0</v>
      </c>
    </row>
    <row r="3" spans="1:41" x14ac:dyDescent="0.2">
      <c r="A3" s="135" t="s">
        <v>42</v>
      </c>
      <c r="B3" s="136"/>
      <c r="C3" s="169" t="str">
        <f>'Field data and Waste 1'!C3:D3</f>
        <v>Mr Daniel James and Mrs Carys James</v>
      </c>
      <c r="D3" s="170"/>
      <c r="E3" s="96" t="s">
        <v>108</v>
      </c>
      <c r="F3" s="111"/>
      <c r="G3" s="133" t="s">
        <v>159</v>
      </c>
      <c r="H3" s="134"/>
      <c r="I3" s="110"/>
      <c r="J3" s="135" t="s">
        <v>154</v>
      </c>
      <c r="K3" s="136"/>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3" t="s">
        <v>0</v>
      </c>
      <c r="B4" s="134"/>
      <c r="C4" s="171" t="str">
        <f>'Field data and Waste 1'!C4:D4</f>
        <v>Hook Farm and New House Farm</v>
      </c>
      <c r="D4" s="172"/>
      <c r="E4" s="99" t="s">
        <v>1</v>
      </c>
      <c r="F4" s="110"/>
      <c r="G4" s="135"/>
      <c r="H4" s="136"/>
      <c r="I4" s="115"/>
      <c r="J4" s="135"/>
      <c r="K4" s="136"/>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7" t="s">
        <v>47</v>
      </c>
      <c r="B5" s="148"/>
      <c r="C5" s="167" t="str">
        <f>'Field data and Waste 1'!C5:D5</f>
        <v>Rhiannon Smith</v>
      </c>
      <c r="D5" s="168"/>
      <c r="E5" s="107"/>
      <c r="F5" s="114"/>
      <c r="G5" s="137"/>
      <c r="H5" s="138"/>
      <c r="I5" s="114"/>
      <c r="J5" s="137"/>
      <c r="K5" s="138"/>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3" t="s">
        <v>2</v>
      </c>
      <c r="B8" s="134"/>
      <c r="C8" s="49" t="str">
        <f>'Field data and Waste 1'!C8</f>
        <v>Hook Field 2</v>
      </c>
      <c r="D8" s="49" t="str">
        <f>'Field data and Waste 1'!D8</f>
        <v>Hook Field 3</v>
      </c>
      <c r="E8" s="49" t="str">
        <f>'Field data and Waste 1'!E8</f>
        <v>Hook Field 4</v>
      </c>
      <c r="F8" s="49" t="str">
        <f>'Field data and Waste 1'!F8</f>
        <v>Hook Field 8</v>
      </c>
      <c r="G8" s="49" t="str">
        <f>'Field data and Waste 1'!G8</f>
        <v>Hook Field 10</v>
      </c>
      <c r="H8" s="49" t="str">
        <f>'Field data and Waste 1'!H8</f>
        <v>Hook Field 20</v>
      </c>
      <c r="I8" s="49">
        <f>'Field data and Waste 1'!I8</f>
        <v>1</v>
      </c>
      <c r="J8" s="49">
        <f>'Field data and Waste 1'!J8</f>
        <v>2</v>
      </c>
      <c r="K8" s="49">
        <f>'Field data and Waste 1'!K8</f>
        <v>3</v>
      </c>
      <c r="L8" s="49">
        <f>'Field data and Waste 1'!L8</f>
        <v>4</v>
      </c>
      <c r="M8" s="49">
        <f>'Field data and Waste 1'!M8</f>
        <v>7</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3" t="s">
        <v>3</v>
      </c>
      <c r="B9" s="134"/>
      <c r="C9" s="49">
        <f>'Field data and Waste 1'!C9</f>
        <v>1</v>
      </c>
      <c r="D9" s="49">
        <f>'Field data and Waste 1'!D9</f>
        <v>1</v>
      </c>
      <c r="E9" s="49" t="str">
        <f>'Field data and Waste 1'!E9</f>
        <v>Moderate</v>
      </c>
      <c r="F9" s="49">
        <f>'Field data and Waste 1'!F9</f>
        <v>1</v>
      </c>
      <c r="G9" s="49">
        <f>'Field data and Waste 1'!G9</f>
        <v>2</v>
      </c>
      <c r="H9" s="49" t="str">
        <f>'Field data and Waste 1'!H9</f>
        <v>Moderate</v>
      </c>
      <c r="I9" s="49" t="str">
        <f>'Field data and Waste 1'!I9</f>
        <v>Moderate</v>
      </c>
      <c r="J9" s="49" t="str">
        <f>'Field data and Waste 1'!J9</f>
        <v>Moderate</v>
      </c>
      <c r="K9" s="49">
        <f>'Field data and Waste 1'!K9</f>
        <v>1</v>
      </c>
      <c r="L9" s="49" t="str">
        <f>'Field data and Waste 1'!L9</f>
        <v>Moderate</v>
      </c>
      <c r="M9" s="49">
        <f>'Field data and Waste 1'!M9</f>
        <v>1</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3" t="s">
        <v>4</v>
      </c>
      <c r="B10" s="134"/>
      <c r="C10" s="49">
        <f>'Field data and Waste 1'!C10</f>
        <v>6.9</v>
      </c>
      <c r="D10" s="49">
        <f>'Field data and Waste 1'!D10</f>
        <v>6.8</v>
      </c>
      <c r="E10" s="49">
        <f>'Field data and Waste 1'!E10</f>
        <v>6.8</v>
      </c>
      <c r="F10" s="49">
        <f>'Field data and Waste 1'!F10</f>
        <v>6.6</v>
      </c>
      <c r="G10" s="49">
        <f>'Field data and Waste 1'!G10</f>
        <v>7.1</v>
      </c>
      <c r="H10" s="49">
        <f>'Field data and Waste 1'!H10</f>
        <v>7.3</v>
      </c>
      <c r="I10" s="49">
        <f>'Field data and Waste 1'!I10</f>
        <v>6.4</v>
      </c>
      <c r="J10" s="49">
        <f>'Field data and Waste 1'!J10</f>
        <v>6.2</v>
      </c>
      <c r="K10" s="49">
        <f>'Field data and Waste 1'!K10</f>
        <v>6.2</v>
      </c>
      <c r="L10" s="49">
        <f>'Field data and Waste 1'!L10</f>
        <v>6.7</v>
      </c>
      <c r="M10" s="49">
        <f>'Field data and Waste 1'!M10</f>
        <v>6.3</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3" t="s">
        <v>5</v>
      </c>
      <c r="B11" s="134"/>
      <c r="C11" s="49">
        <f>'Field data and Waste 1'!C11</f>
        <v>3</v>
      </c>
      <c r="D11" s="49">
        <f>'Field data and Waste 1'!D11</f>
        <v>3</v>
      </c>
      <c r="E11" s="49">
        <f>'Field data and Waste 1'!E11</f>
        <v>3</v>
      </c>
      <c r="F11" s="49">
        <f>'Field data and Waste 1'!F11</f>
        <v>3</v>
      </c>
      <c r="G11" s="49">
        <f>'Field data and Waste 1'!G11</f>
        <v>3</v>
      </c>
      <c r="H11" s="49">
        <f>'Field data and Waste 1'!H11</f>
        <v>3</v>
      </c>
      <c r="I11" s="49">
        <f>'Field data and Waste 1'!I11</f>
        <v>3</v>
      </c>
      <c r="J11" s="49">
        <f>'Field data and Waste 1'!J11</f>
        <v>2</v>
      </c>
      <c r="K11" s="49">
        <f>'Field data and Waste 1'!K11</f>
        <v>2</v>
      </c>
      <c r="L11" s="49">
        <f>'Field data and Waste 1'!L11</f>
        <v>3</v>
      </c>
      <c r="M11" s="49">
        <f>'Field data and Waste 1'!M11</f>
        <v>3</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3" t="s">
        <v>6</v>
      </c>
      <c r="B12" s="134"/>
      <c r="C12" s="49">
        <f>'Field data and Waste 1'!C12</f>
        <v>3</v>
      </c>
      <c r="D12" s="49">
        <f>'Field data and Waste 1'!D12</f>
        <v>3</v>
      </c>
      <c r="E12" s="49">
        <f>'Field data and Waste 1'!E12</f>
        <v>2</v>
      </c>
      <c r="F12" s="49">
        <f>'Field data and Waste 1'!F12</f>
        <v>3</v>
      </c>
      <c r="G12" s="49">
        <f>'Field data and Waste 1'!G12</f>
        <v>2</v>
      </c>
      <c r="H12" s="49">
        <f>'Field data and Waste 1'!H12</f>
        <v>2</v>
      </c>
      <c r="I12" s="49">
        <f>'Field data and Waste 1'!I12</f>
        <v>2</v>
      </c>
      <c r="J12" s="49">
        <f>'Field data and Waste 1'!J12</f>
        <v>2</v>
      </c>
      <c r="K12" s="49">
        <f>'Field data and Waste 1'!K12</f>
        <v>2</v>
      </c>
      <c r="L12" s="49">
        <f>'Field data and Waste 1'!L12</f>
        <v>2</v>
      </c>
      <c r="M12" s="49">
        <f>'Field data and Waste 1'!M12</f>
        <v>1</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3" t="s">
        <v>7</v>
      </c>
      <c r="B13" s="134"/>
      <c r="C13" s="49">
        <f>'Field data and Waste 1'!C13</f>
        <v>3</v>
      </c>
      <c r="D13" s="49">
        <f>'Field data and Waste 1'!D13</f>
        <v>2</v>
      </c>
      <c r="E13" s="49">
        <f>'Field data and Waste 1'!E13</f>
        <v>2</v>
      </c>
      <c r="F13" s="49">
        <f>'Field data and Waste 1'!F13</f>
        <v>3</v>
      </c>
      <c r="G13" s="49">
        <f>'Field data and Waste 1'!G13</f>
        <v>1</v>
      </c>
      <c r="H13" s="49">
        <f>'Field data and Waste 1'!H13</f>
        <v>1</v>
      </c>
      <c r="I13" s="49">
        <f>'Field data and Waste 1'!I13</f>
        <v>5</v>
      </c>
      <c r="J13" s="49">
        <f>'Field data and Waste 1'!J13</f>
        <v>2</v>
      </c>
      <c r="K13" s="49">
        <f>'Field data and Waste 1'!K13</f>
        <v>2</v>
      </c>
      <c r="L13" s="49">
        <f>'Field data and Waste 1'!L13</f>
        <v>2</v>
      </c>
      <c r="M13" s="49">
        <f>'Field data and Waste 1'!M13</f>
        <v>2</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1" t="s">
        <v>8</v>
      </c>
      <c r="B14" s="152"/>
      <c r="C14" s="83" t="str">
        <f>'Field data and Waste 1'!C14</f>
        <v>Maize- Silage (30% DM)</v>
      </c>
      <c r="D14" s="83">
        <f>'Field data and Waste 1'!D14</f>
        <v>0</v>
      </c>
      <c r="E14" s="83" t="str">
        <f>'Field data and Waste 1'!E14</f>
        <v xml:space="preserve">Grass Silage (25% DM) </v>
      </c>
      <c r="F14" s="83" t="str">
        <f>'Field data and Waste 1'!F14</f>
        <v>Winter barley/triticale/rye</v>
      </c>
      <c r="G14" s="83" t="str">
        <f>'Field data and Waste 1'!G14</f>
        <v>Spring wheat/barley</v>
      </c>
      <c r="H14" s="83" t="str">
        <f>'Field data and Waste 1'!H14</f>
        <v xml:space="preserve">Grass Silage (25% DM) </v>
      </c>
      <c r="I14" s="83" t="str">
        <f>'Field data and Waste 1'!I14</f>
        <v xml:space="preserve">Grass Silage (25% DM) </v>
      </c>
      <c r="J14" s="83" t="str">
        <f>'Field data and Waste 1'!J14</f>
        <v xml:space="preserve">Grass Silage (25% DM) </v>
      </c>
      <c r="K14" s="83" t="str">
        <f>'Field data and Waste 1'!K14</f>
        <v>Winter barley/triticale/rye</v>
      </c>
      <c r="L14" s="83" t="str">
        <f>'Field data and Waste 1'!L14</f>
        <v xml:space="preserve">Grass Silage (25% DM) </v>
      </c>
      <c r="M14" s="83" t="str">
        <f>'Field data and Waste 1'!M14</f>
        <v>Fodder beet (roots only)</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49" t="s">
        <v>9</v>
      </c>
      <c r="B15" s="150"/>
      <c r="C15" s="49">
        <f>'Field data and Waste 1'!C15</f>
        <v>45</v>
      </c>
      <c r="D15" s="49">
        <f>'Field data and Waste 1'!D15</f>
        <v>30</v>
      </c>
      <c r="E15" s="49">
        <f>'Field data and Waste 1'!E15</f>
        <v>38</v>
      </c>
      <c r="F15" s="49">
        <f>'Field data and Waste 1'!F15</f>
        <v>7.5</v>
      </c>
      <c r="G15" s="49">
        <f>'Field data and Waste 1'!G15</f>
        <v>6.5</v>
      </c>
      <c r="H15" s="49">
        <f>'Field data and Waste 1'!H15</f>
        <v>38</v>
      </c>
      <c r="I15" s="49">
        <f>'Field data and Waste 1'!I15</f>
        <v>54</v>
      </c>
      <c r="J15" s="49">
        <f>'Field data and Waste 1'!J15</f>
        <v>54</v>
      </c>
      <c r="K15" s="49">
        <f>'Field data and Waste 1'!K15</f>
        <v>7.5</v>
      </c>
      <c r="L15" s="49">
        <f>'Field data and Waste 1'!L15</f>
        <v>54</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3" t="s">
        <v>44</v>
      </c>
      <c r="B16" s="154"/>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39" t="s">
        <v>69</v>
      </c>
      <c r="B17" s="140"/>
      <c r="C17" s="20">
        <f>(VLOOKUP(C$14,$AI2:$AK26,2,FALSE))*C$15</f>
        <v>62.999999999999993</v>
      </c>
      <c r="D17" s="20" t="e">
        <f t="shared" ref="D17:V17" si="0">(VLOOKUP(D$14,$AI2:$AK26,2,FALSE))*D$15</f>
        <v>#N/A</v>
      </c>
      <c r="E17" s="20">
        <f t="shared" si="0"/>
        <v>64.599999999999994</v>
      </c>
      <c r="F17" s="20">
        <f t="shared" si="0"/>
        <v>63.75</v>
      </c>
      <c r="G17" s="20">
        <f t="shared" si="0"/>
        <v>55.25</v>
      </c>
      <c r="H17" s="20">
        <f t="shared" si="0"/>
        <v>64.599999999999994</v>
      </c>
      <c r="I17" s="20">
        <f t="shared" si="0"/>
        <v>91.8</v>
      </c>
      <c r="J17" s="20">
        <f t="shared" si="0"/>
        <v>91.8</v>
      </c>
      <c r="K17" s="20">
        <f t="shared" si="0"/>
        <v>63.75</v>
      </c>
      <c r="L17" s="20">
        <f t="shared" si="0"/>
        <v>91.8</v>
      </c>
      <c r="M17" s="20">
        <f t="shared" si="0"/>
        <v>0</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1" t="s">
        <v>23</v>
      </c>
      <c r="B18" s="142"/>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1" t="s">
        <v>90</v>
      </c>
      <c r="B19" s="142"/>
      <c r="C19" s="12">
        <f>C18-C17</f>
        <v>-62.999999999999993</v>
      </c>
      <c r="D19" s="12" t="e">
        <f t="shared" ref="D19:V19" si="1">D18-D17</f>
        <v>#N/A</v>
      </c>
      <c r="E19" s="12">
        <f t="shared" si="1"/>
        <v>-64.599999999999994</v>
      </c>
      <c r="F19" s="12">
        <f t="shared" si="1"/>
        <v>-63.75</v>
      </c>
      <c r="G19" s="12">
        <f t="shared" si="1"/>
        <v>-55.25</v>
      </c>
      <c r="H19" s="12">
        <f t="shared" si="1"/>
        <v>-64.599999999999994</v>
      </c>
      <c r="I19" s="12">
        <f t="shared" si="1"/>
        <v>-91.8</v>
      </c>
      <c r="J19" s="12">
        <f t="shared" si="1"/>
        <v>-91.8</v>
      </c>
      <c r="K19" s="12">
        <f t="shared" si="1"/>
        <v>-63.75</v>
      </c>
      <c r="L19" s="12">
        <f t="shared" si="1"/>
        <v>-91.8</v>
      </c>
      <c r="M19" s="12">
        <f t="shared" si="1"/>
        <v>0</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3" t="s">
        <v>91</v>
      </c>
      <c r="B20" s="144"/>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9" t="s">
        <v>88</v>
      </c>
      <c r="B21" s="140"/>
      <c r="C21" s="20">
        <f>(VLOOKUP(C$14,$AI2:$AK26,3,FALSE))*C$15</f>
        <v>198.00000000000003</v>
      </c>
      <c r="D21" s="20" t="e">
        <f t="shared" ref="D21:V21" si="2">(VLOOKUP(D$14,$AI2:$AK26,3,FALSE))*D$15</f>
        <v>#N/A</v>
      </c>
      <c r="E21" s="20">
        <f t="shared" si="2"/>
        <v>228</v>
      </c>
      <c r="F21" s="20">
        <f t="shared" si="2"/>
        <v>78.75</v>
      </c>
      <c r="G21" s="20">
        <f t="shared" si="2"/>
        <v>78</v>
      </c>
      <c r="H21" s="20">
        <f t="shared" si="2"/>
        <v>228</v>
      </c>
      <c r="I21" s="20">
        <f t="shared" si="2"/>
        <v>324</v>
      </c>
      <c r="J21" s="20">
        <f t="shared" si="2"/>
        <v>324</v>
      </c>
      <c r="K21" s="20">
        <f t="shared" si="2"/>
        <v>78.75</v>
      </c>
      <c r="L21" s="20">
        <f t="shared" si="2"/>
        <v>324</v>
      </c>
      <c r="M21" s="20">
        <f t="shared" si="2"/>
        <v>0</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1" t="s">
        <v>89</v>
      </c>
      <c r="B22" s="142"/>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1" t="s">
        <v>92</v>
      </c>
      <c r="B23" s="142"/>
      <c r="C23" s="12">
        <f>C22-C21</f>
        <v>-198.00000000000003</v>
      </c>
      <c r="D23" s="12" t="e">
        <f t="shared" ref="D23:V23" si="3">D22-D21</f>
        <v>#N/A</v>
      </c>
      <c r="E23" s="12">
        <f t="shared" si="3"/>
        <v>-228</v>
      </c>
      <c r="F23" s="12">
        <f t="shared" si="3"/>
        <v>-78.75</v>
      </c>
      <c r="G23" s="12">
        <f t="shared" si="3"/>
        <v>-78</v>
      </c>
      <c r="H23" s="12">
        <f t="shared" si="3"/>
        <v>-228</v>
      </c>
      <c r="I23" s="12">
        <f t="shared" si="3"/>
        <v>-324</v>
      </c>
      <c r="J23" s="12">
        <f t="shared" si="3"/>
        <v>-324</v>
      </c>
      <c r="K23" s="12">
        <f t="shared" si="3"/>
        <v>-78.75</v>
      </c>
      <c r="L23" s="12">
        <f t="shared" si="3"/>
        <v>-324</v>
      </c>
      <c r="M23" s="12">
        <f t="shared" si="3"/>
        <v>0</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3" t="s">
        <v>93</v>
      </c>
      <c r="B24" s="144"/>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Hook Field 2</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Hook Field 3</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Hook Field 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Hook Field 8</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Hook Field 10</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Hook Field 20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1</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2</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3</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4</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7</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Hook Field 2</v>
      </c>
      <c r="C57" s="8" t="str">
        <f t="shared" ref="C57:U57" si="13">D8</f>
        <v>Hook Field 3</v>
      </c>
      <c r="D57" s="8" t="str">
        <f t="shared" si="13"/>
        <v>Hook Field 4</v>
      </c>
      <c r="E57" s="8" t="str">
        <f t="shared" si="13"/>
        <v>Hook Field 8</v>
      </c>
      <c r="F57" s="8" t="str">
        <f t="shared" si="13"/>
        <v>Hook Field 10</v>
      </c>
      <c r="G57" s="8" t="str">
        <f t="shared" si="13"/>
        <v>Hook Field 20</v>
      </c>
      <c r="H57" s="8">
        <f t="shared" si="13"/>
        <v>1</v>
      </c>
      <c r="I57" s="8">
        <f t="shared" si="13"/>
        <v>2</v>
      </c>
      <c r="J57" s="8">
        <f t="shared" si="13"/>
        <v>3</v>
      </c>
      <c r="K57" s="8">
        <f t="shared" si="13"/>
        <v>4</v>
      </c>
      <c r="L57" s="8">
        <f t="shared" si="13"/>
        <v>7</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"&amp;(VLOOKUP(C14,Table2456[],6,FALSE))</f>
        <v>Medium/Clay I Arable</v>
      </c>
      <c r="C58" s="10" t="e">
        <f>D16&amp;" I "&amp;(VLOOKUP(D14,Table2456[],6,FALSE))</f>
        <v>#N/A</v>
      </c>
      <c r="D58" s="10" t="str">
        <f>E16&amp;" I "&amp;(VLOOKUP(E14,Table2456[],6,FALSE))</f>
        <v>Medium/Clay I Grass</v>
      </c>
      <c r="E58" s="10" t="str">
        <f>F16&amp;" I "&amp;(VLOOKUP(F14,Table2456[],6,FALSE))</f>
        <v>Medium/Clay I Arable</v>
      </c>
      <c r="F58" s="10" t="str">
        <f>G16&amp;" I "&amp;(VLOOKUP(G14,Table2456[],6,FALSE))</f>
        <v>Medium/Clay I Arable</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Arable</v>
      </c>
      <c r="K58" s="10" t="str">
        <f>L16&amp;" I "&amp;(VLOOKUP(L14,Table2456[],6,FALSE))</f>
        <v>Medium/Clay I Grass</v>
      </c>
      <c r="L58" s="10" t="str">
        <f>M16&amp;" I "&amp;(VLOOKUP(M14,Table2456[],6,FALSE))</f>
        <v>Medium/Clay I Arable</v>
      </c>
      <c r="M58" s="10" t="e">
        <f>N16&amp;" I "&amp;(VLOOKUP(N14,Table2456[],6,FALSE))</f>
        <v>#N/A</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x14ac:dyDescent="0.2">
      <c r="A59" s="87" t="s">
        <v>132</v>
      </c>
      <c r="B59" s="64">
        <f>VLOOKUP(C$14,Table2456[],5,FALSE)</f>
        <v>6.7</v>
      </c>
      <c r="C59" s="64" t="e">
        <f>VLOOKUP(D$14,Table2456[],5,FALSE)</f>
        <v>#N/A</v>
      </c>
      <c r="D59" s="64">
        <f>VLOOKUP(E$14,Table2456[],5,FALSE)</f>
        <v>6.2</v>
      </c>
      <c r="E59" s="64">
        <f>VLOOKUP(F$14,Table2456[],5,FALSE)</f>
        <v>6.7</v>
      </c>
      <c r="F59" s="64">
        <f>VLOOKUP(G$14,Table2456[],5,FALSE)</f>
        <v>6.7</v>
      </c>
      <c r="G59" s="64">
        <f>VLOOKUP(H$14,Table2456[],5,FALSE)</f>
        <v>6.2</v>
      </c>
      <c r="H59" s="64">
        <f>VLOOKUP(I$14,Table2456[],5,FALSE)</f>
        <v>6.2</v>
      </c>
      <c r="I59" s="64">
        <f>VLOOKUP(J$14,Table2456[],5,FALSE)</f>
        <v>6.2</v>
      </c>
      <c r="J59" s="64">
        <f>VLOOKUP(K$14,Table2456[],5,FALSE)</f>
        <v>6.7</v>
      </c>
      <c r="K59" s="64">
        <f>VLOOKUP(L$14,Table2456[],5,FALSE)</f>
        <v>6.2</v>
      </c>
      <c r="L59" s="64">
        <f>VLOOKUP(M$14,Table2456[],5,FALSE)</f>
        <v>6.7</v>
      </c>
      <c r="M59" s="64" t="e">
        <f>VLOOKUP(N$14,Table2456[],5,FALSE)</f>
        <v>#N/A</v>
      </c>
      <c r="N59" s="64" t="e">
        <f>VLOOKUP(O$14,Table2456[],5,FALSE)</f>
        <v>#N/A</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x14ac:dyDescent="0.2">
      <c r="A60" s="87" t="s">
        <v>4</v>
      </c>
      <c r="B60" s="64">
        <f>C10</f>
        <v>6.9</v>
      </c>
      <c r="C60" s="64">
        <f t="shared" ref="C60:U60" si="14">D10</f>
        <v>6.8</v>
      </c>
      <c r="D60" s="64">
        <f t="shared" si="14"/>
        <v>6.8</v>
      </c>
      <c r="E60" s="64">
        <f t="shared" si="14"/>
        <v>6.6</v>
      </c>
      <c r="F60" s="64">
        <f t="shared" si="14"/>
        <v>7.1</v>
      </c>
      <c r="G60" s="64">
        <f t="shared" si="14"/>
        <v>7.3</v>
      </c>
      <c r="H60" s="64">
        <f t="shared" si="14"/>
        <v>6.4</v>
      </c>
      <c r="I60" s="64">
        <f t="shared" si="14"/>
        <v>6.2</v>
      </c>
      <c r="J60" s="64">
        <f t="shared" si="14"/>
        <v>6.2</v>
      </c>
      <c r="K60" s="64">
        <f t="shared" si="14"/>
        <v>6.7</v>
      </c>
      <c r="L60" s="64">
        <f t="shared" si="14"/>
        <v>6.3</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8</v>
      </c>
      <c r="C61" s="64" t="e">
        <f t="shared" si="15"/>
        <v>#N/A</v>
      </c>
      <c r="D61" s="64">
        <f t="shared" si="15"/>
        <v>6</v>
      </c>
      <c r="E61" s="64">
        <f t="shared" si="15"/>
        <v>8</v>
      </c>
      <c r="F61" s="64">
        <f t="shared" si="15"/>
        <v>8</v>
      </c>
      <c r="G61" s="64">
        <f t="shared" si="15"/>
        <v>6</v>
      </c>
      <c r="H61" s="64">
        <f t="shared" si="15"/>
        <v>6</v>
      </c>
      <c r="I61" s="64">
        <f t="shared" si="15"/>
        <v>6</v>
      </c>
      <c r="J61" s="64">
        <f t="shared" si="15"/>
        <v>8</v>
      </c>
      <c r="K61" s="64">
        <f t="shared" si="15"/>
        <v>6</v>
      </c>
      <c r="L61" s="64">
        <f t="shared" si="15"/>
        <v>8</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-1.6000000000000014</v>
      </c>
      <c r="C64" s="65" t="e">
        <f t="shared" ref="C64:U64" si="17">(C59-C60)*C61</f>
        <v>#N/A</v>
      </c>
      <c r="D64" s="65">
        <f t="shared" si="17"/>
        <v>-3.5999999999999979</v>
      </c>
      <c r="E64" s="65">
        <f t="shared" si="17"/>
        <v>0.80000000000000426</v>
      </c>
      <c r="F64" s="65">
        <f t="shared" si="17"/>
        <v>-3.1999999999999957</v>
      </c>
      <c r="G64" s="65">
        <f t="shared" si="17"/>
        <v>-6.5999999999999979</v>
      </c>
      <c r="H64" s="65">
        <f t="shared" si="17"/>
        <v>-1.2000000000000011</v>
      </c>
      <c r="I64" s="65">
        <f t="shared" si="17"/>
        <v>0</v>
      </c>
      <c r="J64" s="65">
        <f t="shared" si="17"/>
        <v>4</v>
      </c>
      <c r="K64" s="65">
        <f t="shared" si="17"/>
        <v>-3</v>
      </c>
      <c r="L64" s="65">
        <f t="shared" si="17"/>
        <v>3.2000000000000028</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1.6000000000000014</v>
      </c>
      <c r="C65" s="65" t="e">
        <f t="shared" ref="C65:U65" si="18">C63-C64</f>
        <v>#N/A</v>
      </c>
      <c r="D65" s="65">
        <f t="shared" si="18"/>
        <v>3.5999999999999979</v>
      </c>
      <c r="E65" s="65">
        <f t="shared" si="18"/>
        <v>-0.80000000000000426</v>
      </c>
      <c r="F65" s="65">
        <f t="shared" si="18"/>
        <v>3.1999999999999957</v>
      </c>
      <c r="G65" s="65">
        <f t="shared" si="18"/>
        <v>6.5999999999999979</v>
      </c>
      <c r="H65" s="65">
        <f t="shared" si="18"/>
        <v>1.2000000000000011</v>
      </c>
      <c r="I65" s="65">
        <f t="shared" si="18"/>
        <v>0</v>
      </c>
      <c r="J65" s="65">
        <f t="shared" si="18"/>
        <v>-4</v>
      </c>
      <c r="K65" s="65">
        <f t="shared" si="18"/>
        <v>3</v>
      </c>
      <c r="L65" s="65">
        <f t="shared" si="18"/>
        <v>-3.2000000000000028</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e">
        <f t="shared" ref="C66:U66" si="19">IF(C64&lt;=C63,"OVER","UNDER")</f>
        <v>#N/A</v>
      </c>
      <c r="D66" s="66" t="str">
        <f t="shared" si="19"/>
        <v>OVER</v>
      </c>
      <c r="E66" s="66" t="str">
        <f t="shared" si="19"/>
        <v>UNDER</v>
      </c>
      <c r="F66" s="66" t="str">
        <f t="shared" si="19"/>
        <v>OVER</v>
      </c>
      <c r="G66" s="66" t="str">
        <f t="shared" si="19"/>
        <v>OVER</v>
      </c>
      <c r="H66" s="66" t="str">
        <f t="shared" si="19"/>
        <v>OVER</v>
      </c>
      <c r="I66" s="66" t="str">
        <f t="shared" si="19"/>
        <v>OVER</v>
      </c>
      <c r="J66" s="66" t="str">
        <f t="shared" si="19"/>
        <v>UNDER</v>
      </c>
      <c r="K66" s="66" t="str">
        <f t="shared" si="19"/>
        <v>OVER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L5hM7h2WYUGefB2rxZQUl/cLhAwOUQ+G2Xd4CX0y67w46JcteOIwSw9GAtdxvwpFwmZrzIhwO8/+3gXv85xXw==" saltValue="oerVOo4cKco3FoHjlAKEg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7" operator="greaterThan">
      <formula>$B$51</formula>
    </cfRule>
  </conditionalFormatting>
  <conditionalFormatting sqref="B66:U66">
    <cfRule type="cellIs" dxfId="27" priority="12" operator="equal">
      <formula>"UNDER"</formula>
    </cfRule>
    <cfRule type="cellIs" dxfId="26" priority="13" operator="equal">
      <formula>"OVER"</formula>
    </cfRule>
  </conditionalFormatting>
  <conditionalFormatting sqref="C31:C50">
    <cfRule type="cellIs" dxfId="25" priority="36" operator="greaterThan">
      <formula>$C$51</formula>
    </cfRule>
  </conditionalFormatting>
  <conditionalFormatting sqref="C11:V13">
    <cfRule type="cellIs" dxfId="24" priority="1" operator="greaterThan">
      <formula>2</formula>
    </cfRule>
  </conditionalFormatting>
  <conditionalFormatting sqref="C17:V19">
    <cfRule type="cellIs" dxfId="23" priority="33" operator="equal">
      <formula>0</formula>
    </cfRule>
  </conditionalFormatting>
  <conditionalFormatting sqref="C20:V21">
    <cfRule type="cellIs" dxfId="22" priority="38" operator="equal">
      <formula>"DECREASE"</formula>
    </cfRule>
    <cfRule type="cellIs" dxfId="21" priority="39" operator="equal">
      <formula>"INCREASE"</formula>
    </cfRule>
  </conditionalFormatting>
  <conditionalFormatting sqref="C21:V21">
    <cfRule type="cellIs" dxfId="20" priority="14" operator="equal">
      <formula>0</formula>
    </cfRule>
  </conditionalFormatting>
  <conditionalFormatting sqref="C22:V23">
    <cfRule type="cellIs" dxfId="19" priority="18" operator="equal">
      <formula>0</formula>
    </cfRule>
  </conditionalFormatting>
  <conditionalFormatting sqref="C24:V24">
    <cfRule type="cellIs" dxfId="18" priority="19" operator="equal">
      <formula>"DECREASE"</formula>
    </cfRule>
    <cfRule type="cellIs" dxfId="17" priority="20" operator="equal">
      <formula>"INCREASE"</formula>
    </cfRule>
  </conditionalFormatting>
  <conditionalFormatting sqref="G31:G50">
    <cfRule type="cellIs" dxfId="16" priority="32" operator="greaterThan">
      <formula>$G$51</formula>
    </cfRule>
  </conditionalFormatting>
  <conditionalFormatting sqref="H31:H50">
    <cfRule type="cellIs" dxfId="15" priority="31" operator="greaterThan">
      <formula>$H$51</formula>
    </cfRule>
  </conditionalFormatting>
  <conditionalFormatting sqref="I1">
    <cfRule type="cellIs" dxfId="14" priority="4" operator="between">
      <formula>0.1</formula>
      <formula>5</formula>
    </cfRule>
  </conditionalFormatting>
  <conditionalFormatting sqref="I2">
    <cfRule type="cellIs" dxfId="13" priority="3" operator="greaterThan">
      <formula>5000.1</formula>
    </cfRule>
  </conditionalFormatting>
  <conditionalFormatting sqref="I3">
    <cfRule type="cellIs" dxfId="12" priority="2" operator="greaterThan">
      <formula>40000.01</formula>
    </cfRule>
  </conditionalFormatting>
  <conditionalFormatting sqref="I31:I50">
    <cfRule type="cellIs" dxfId="11" priority="30" operator="greaterThan">
      <formula>$I$51</formula>
    </cfRule>
  </conditionalFormatting>
  <conditionalFormatting sqref="J31:J50">
    <cfRule type="cellIs" dxfId="10" priority="9" operator="greaterThan">
      <formula>$J$51</formula>
    </cfRule>
  </conditionalFormatting>
  <conditionalFormatting sqref="K31:K50">
    <cfRule type="cellIs" dxfId="9" priority="29" operator="greaterThan">
      <formula>$K$51</formula>
    </cfRule>
  </conditionalFormatting>
  <conditionalFormatting sqref="L3">
    <cfRule type="cellIs" dxfId="8" priority="5" operator="lessThan">
      <formula>30</formula>
    </cfRule>
    <cfRule type="cellIs" dxfId="7" priority="6" operator="greaterThanOrEqual">
      <formula>30</formula>
    </cfRule>
  </conditionalFormatting>
  <conditionalFormatting sqref="L31:L50">
    <cfRule type="cellIs" dxfId="6" priority="28" operator="greaterThan">
      <formula>$L$51</formula>
    </cfRule>
  </conditionalFormatting>
  <conditionalFormatting sqref="M31:M50">
    <cfRule type="cellIs" dxfId="5" priority="27" operator="greaterThan">
      <formula>$M$51</formula>
    </cfRule>
  </conditionalFormatting>
  <conditionalFormatting sqref="P31:P50">
    <cfRule type="cellIs" dxfId="4" priority="26" operator="greaterThan">
      <formula>$P$51</formula>
    </cfRule>
  </conditionalFormatting>
  <conditionalFormatting sqref="R31:R50">
    <cfRule type="cellIs" dxfId="3" priority="25" operator="greaterThan">
      <formula>$R$51</formula>
    </cfRule>
  </conditionalFormatting>
  <conditionalFormatting sqref="S31:S50">
    <cfRule type="cellIs" dxfId="2" priority="24" operator="greaterThan">
      <formula>$S$51</formula>
    </cfRule>
  </conditionalFormatting>
  <conditionalFormatting sqref="T31:T50">
    <cfRule type="cellIs" dxfId="1" priority="23" operator="greaterThan">
      <formula>$T$51</formula>
    </cfRule>
  </conditionalFormatting>
  <conditionalFormatting sqref="U31:U50">
    <cfRule type="cellIs" dxfId="0" priority="22"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13"/>
    <col min="14" max="14" width="9.7109375" style="13" bestFit="1" customWidth="1"/>
    <col min="15" max="19" width="9.140625" style="13"/>
    <col min="20" max="20" width="10" style="13" bestFit="1" customWidth="1"/>
    <col min="21" max="16384" width="9.140625" style="13"/>
  </cols>
  <sheetData>
    <row r="1" spans="1:21" ht="38.25" x14ac:dyDescent="0.2">
      <c r="A1" s="175" t="s">
        <v>84</v>
      </c>
      <c r="B1" s="29" t="str">
        <f>'Field data and Waste 1'!B29</f>
        <v>Application Rate</v>
      </c>
      <c r="C1" s="29" t="str">
        <f>'Field data and Waste 1'!C29</f>
        <v>Nitrogen Addition</v>
      </c>
      <c r="D1" s="29" t="str">
        <f>'Field data and Waste 1'!D29</f>
        <v>Phosphate Addition</v>
      </c>
      <c r="E1" s="29" t="str">
        <f>'Field data and Waste 1'!E29</f>
        <v>Potash  Addition</v>
      </c>
      <c r="F1" s="29" t="str">
        <f>'Field data and Waste 1'!F29</f>
        <v>Mg Oxide Addition</v>
      </c>
      <c r="G1" s="29" t="str">
        <f>'Field data and Waste 1'!G29</f>
        <v>Copper Addition</v>
      </c>
      <c r="H1" s="29" t="str">
        <f>'Field data and Waste 1'!H29</f>
        <v>Zinc Addition</v>
      </c>
      <c r="I1" s="29" t="str">
        <f>'Field data and Waste 1'!I29</f>
        <v>Lead Addition</v>
      </c>
      <c r="J1" s="29" t="str">
        <f>'Field data and Waste 1'!J29</f>
        <v>Cadmium Addition</v>
      </c>
      <c r="K1" s="29" t="str">
        <f>'Field data and Waste 1'!K29</f>
        <v>Mercury Addition</v>
      </c>
      <c r="L1" s="29" t="str">
        <f>'Field data and Waste 1'!L29</f>
        <v>Nickel Addition</v>
      </c>
      <c r="M1" s="29" t="str">
        <f>'Field data and Waste 1'!M29</f>
        <v>Chromium Addition</v>
      </c>
      <c r="N1" s="29" t="str">
        <f>'Field data and Waste 1'!N29</f>
        <v>Aluminium Addition</v>
      </c>
      <c r="O1" s="29" t="str">
        <f>'Field data and Waste 1'!O29</f>
        <v>Iron Addition</v>
      </c>
      <c r="P1" s="29" t="str">
        <f>'Field data and Waste 1'!P29</f>
        <v xml:space="preserve">Sodium Addition                 </v>
      </c>
      <c r="Q1" s="29" t="str">
        <f>'Field data and Waste 1'!Q29</f>
        <v>SO3  Addition                             kg/ha</v>
      </c>
      <c r="R1" s="29" t="str">
        <f>'Field data and Waste 1'!R29</f>
        <v xml:space="preserve">Selenium Addition </v>
      </c>
      <c r="S1" s="29" t="str">
        <f>'Field data and Waste 1'!S29</f>
        <v xml:space="preserve">Arsenic  Addition  </v>
      </c>
      <c r="T1" s="29" t="str">
        <f>'Field data and Waste 1'!T29</f>
        <v xml:space="preserve">Molybdenum Addition  </v>
      </c>
      <c r="U1" s="29" t="str">
        <f>'Field data and Waste 1'!U29</f>
        <v xml:space="preserve">Fluoride Addition </v>
      </c>
    </row>
    <row r="2" spans="1:21" ht="25.5" x14ac:dyDescent="0.2">
      <c r="A2" s="175"/>
      <c r="B2" s="29" t="str">
        <f>'Field data and Waste 1'!B30</f>
        <v>tonnes/ha</v>
      </c>
      <c r="C2" s="29" t="str">
        <f>'Field data and Waste 1'!C30</f>
        <v>kg/ha</v>
      </c>
      <c r="D2" s="29" t="str">
        <f>'Field data and Waste 1'!D30</f>
        <v>P2O5 
kg/ha</v>
      </c>
      <c r="E2" s="29" t="str">
        <f>'Field data and Waste 1'!E30</f>
        <v>K2O 
kg/ha</v>
      </c>
      <c r="F2" s="29" t="str">
        <f>'Field data and Waste 1'!F30</f>
        <v>MgO 
kg/ha</v>
      </c>
      <c r="G2" s="29" t="str">
        <f>'Field data and Waste 1'!G30</f>
        <v>kg/ha</v>
      </c>
      <c r="H2" s="29" t="str">
        <f>'Field data and Waste 1'!H30</f>
        <v>kg/ha</v>
      </c>
      <c r="I2" s="29" t="str">
        <f>'Field data and Waste 1'!I30</f>
        <v>kg/ha</v>
      </c>
      <c r="J2" s="29" t="str">
        <f>'Field data and Waste 1'!J30</f>
        <v>kg/ha</v>
      </c>
      <c r="K2" s="29" t="str">
        <f>'Field data and Waste 1'!K30</f>
        <v>kg/ha</v>
      </c>
      <c r="L2" s="29" t="str">
        <f>'Field data and Waste 1'!L30</f>
        <v>kg/ha</v>
      </c>
      <c r="M2" s="29" t="str">
        <f>'Field data and Waste 1'!M30</f>
        <v>kg/ha</v>
      </c>
      <c r="N2" s="29" t="str">
        <f>'Field data and Waste 1'!N30</f>
        <v>kg/ha</v>
      </c>
      <c r="O2" s="29" t="str">
        <f>'Field data and Waste 1'!O30</f>
        <v>kg/ha</v>
      </c>
      <c r="P2" s="29" t="str">
        <f>'Field data and Waste 1'!P30</f>
        <v>kg/ha</v>
      </c>
      <c r="Q2" s="29" t="str">
        <f>'Field data and Waste 1'!Q30</f>
        <v>kg/ha</v>
      </c>
      <c r="R2" s="29" t="str">
        <f>'Field data and Waste 1'!R30</f>
        <v>kg/ha</v>
      </c>
      <c r="S2" s="29" t="str">
        <f>'Field data and Waste 1'!S30</f>
        <v>kg/ha</v>
      </c>
      <c r="T2" s="29" t="str">
        <f>'Field data and Waste 1'!T30</f>
        <v>kg/ha</v>
      </c>
      <c r="U2" s="29" t="str">
        <f>'Field data and Waste 1'!U30</f>
        <v>kg/ha</v>
      </c>
    </row>
    <row r="3" spans="1:21" x14ac:dyDescent="0.2">
      <c r="A3" s="27">
        <v>1</v>
      </c>
      <c r="B3" s="24">
        <f>'Field data and Waste 1'!B31</f>
        <v>63</v>
      </c>
      <c r="C3" s="24">
        <f>'Field data and Waste 1'!C31</f>
        <v>115.9452</v>
      </c>
      <c r="D3" s="24">
        <f>'Field data and Waste 1'!D31</f>
        <v>62.311442759999991</v>
      </c>
      <c r="E3" s="24">
        <f>'Field data and Waste 1'!E31</f>
        <v>9.15322338</v>
      </c>
      <c r="F3" s="24">
        <f>'Field data and Waste 1'!F31</f>
        <v>29.10506256</v>
      </c>
      <c r="G3" s="24">
        <f>'Field data and Waste 1'!G31</f>
        <v>0.2286396</v>
      </c>
      <c r="H3" s="24">
        <f>'Field data and Waste 1'!H31</f>
        <v>1.5820559999999997</v>
      </c>
      <c r="I3" s="24">
        <f>'Field data and Waste 1'!I31</f>
        <v>0.10727639999999999</v>
      </c>
      <c r="J3" s="24">
        <f>'Field data and Waste 1'!J31</f>
        <v>5.9597999999999995E-3</v>
      </c>
      <c r="K3" s="24">
        <f>'Field data and Waste 1'!K31</f>
        <v>5.9597999999999995E-3</v>
      </c>
      <c r="L3" s="24">
        <f>'Field data and Waste 1'!L31</f>
        <v>0.35108639999999997</v>
      </c>
      <c r="M3" s="24">
        <f>'Field data and Waste 1'!M31</f>
        <v>0.2286396</v>
      </c>
      <c r="N3" s="24">
        <f>'Field data and Waste 1'!N31</f>
        <v>1376.1719999999998</v>
      </c>
      <c r="O3" s="24">
        <f>'Field data and Waste 1'!O31</f>
        <v>291.48840000000001</v>
      </c>
      <c r="P3" s="24">
        <f>'Field data and Waste 1'!P31</f>
        <v>0</v>
      </c>
      <c r="Q3" s="24">
        <f>'Field data and Waste 1'!Q31</f>
        <v>150.34949999999998</v>
      </c>
      <c r="R3" s="24">
        <f>'Field data and Waste 1'!R31</f>
        <v>0</v>
      </c>
      <c r="S3" s="24">
        <f>'Field data and Waste 1'!S31</f>
        <v>0.20588399999999998</v>
      </c>
      <c r="T3" s="24">
        <f>'Field data and Waste 1'!T31</f>
        <v>0</v>
      </c>
      <c r="U3" s="24">
        <f>'Field data and Waste 1'!U31</f>
        <v>0</v>
      </c>
    </row>
    <row r="4" spans="1:21" x14ac:dyDescent="0.2">
      <c r="A4" s="27">
        <v>2</v>
      </c>
      <c r="B4" s="24">
        <f>'Preseli Cake'!B31</f>
        <v>80</v>
      </c>
      <c r="C4" s="24">
        <f>'Preseli Cake'!C31</f>
        <v>144.70400000000001</v>
      </c>
      <c r="D4" s="24">
        <f>'Preseli Cake'!D31</f>
        <v>4.1626553599999996</v>
      </c>
      <c r="E4" s="24">
        <f>'Preseli Cake'!E31</f>
        <v>32.120480000000008</v>
      </c>
      <c r="F4" s="24">
        <f>'Preseli Cake'!F31</f>
        <v>1.3529280000000001E-2</v>
      </c>
      <c r="G4" s="24">
        <f>'Preseli Cake'!G31</f>
        <v>0.22848000000000004</v>
      </c>
      <c r="H4" s="24">
        <f>'Preseli Cake'!H31</f>
        <v>0.86604799999999993</v>
      </c>
      <c r="I4" s="24">
        <f>'Preseli Cake'!I31</f>
        <v>0.33728000000000002</v>
      </c>
      <c r="J4" s="24">
        <f>'Preseli Cake'!J31</f>
        <v>4.7872000000000001E-3</v>
      </c>
      <c r="K4" s="24">
        <f>'Preseli Cake'!K31</f>
        <v>8.1600000000000006E-3</v>
      </c>
      <c r="L4" s="24">
        <f>'Preseli Cake'!L31</f>
        <v>5.5487999999999996E-2</v>
      </c>
      <c r="M4" s="24">
        <f>'Preseli Cake'!M31</f>
        <v>4.6783999999999999E-2</v>
      </c>
      <c r="N4" s="24">
        <f>'Preseli Cake'!N31</f>
        <v>1370.88</v>
      </c>
      <c r="O4" s="24">
        <f>'Preseli Cake'!O31</f>
        <v>336.19200000000006</v>
      </c>
      <c r="P4" s="24">
        <f>'Preseli Cake'!P31</f>
        <v>0</v>
      </c>
      <c r="Q4" s="24">
        <f>'Preseli Cake'!Q31</f>
        <v>116.14400000000003</v>
      </c>
      <c r="R4" s="24">
        <f>'Preseli Cake'!R31</f>
        <v>0</v>
      </c>
      <c r="S4" s="24">
        <f>'Preseli Cake'!S31</f>
        <v>0</v>
      </c>
      <c r="T4" s="24">
        <f>'Preseli Cake'!T31</f>
        <v>0</v>
      </c>
      <c r="U4" s="24">
        <f>'Preseli Cake'!U31</f>
        <v>0</v>
      </c>
    </row>
    <row r="5" spans="1:21" x14ac:dyDescent="0.2">
      <c r="A5" s="27">
        <v>3</v>
      </c>
      <c r="B5" s="24">
        <f>'Llechryd Cake'!B31</f>
        <v>35</v>
      </c>
      <c r="C5" s="24">
        <f>'Llechryd Cake'!C31</f>
        <v>74.143649999999994</v>
      </c>
      <c r="D5" s="24">
        <f>'Llechryd Cake'!D31</f>
        <v>61.83867200000001</v>
      </c>
      <c r="E5" s="24">
        <f>'Llechryd Cake'!E31</f>
        <v>2.3072677250000004</v>
      </c>
      <c r="F5" s="24">
        <f>'Llechryd Cake'!F31</f>
        <v>9.7337200800000012</v>
      </c>
      <c r="G5" s="24">
        <f>'Llechryd Cake'!G31</f>
        <v>0.22352750000000002</v>
      </c>
      <c r="H5" s="24">
        <f>'Llechryd Cake'!H31</f>
        <v>1.2905550000000001</v>
      </c>
      <c r="I5" s="24">
        <f>'Llechryd Cake'!I31</f>
        <v>0.22184050000000002</v>
      </c>
      <c r="J5" s="24">
        <f>'Llechryd Cake'!J31</f>
        <v>9.2785000000000003E-4</v>
      </c>
      <c r="K5" s="24">
        <f>'Llechryd Cake'!K31</f>
        <v>3.5427000000000002E-3</v>
      </c>
      <c r="L5" s="24">
        <f>'Llechryd Cake'!L31</f>
        <v>0.18557000000000001</v>
      </c>
      <c r="M5" s="24">
        <f>'Llechryd Cake'!M31</f>
        <v>7.8361149999999991E-2</v>
      </c>
      <c r="N5" s="24">
        <f>'Llechryd Cake'!N31</f>
        <v>26.570250000000001</v>
      </c>
      <c r="O5" s="24">
        <f>'Llechryd Cake'!O31</f>
        <v>2075.0100000000002</v>
      </c>
      <c r="P5" s="24">
        <f>'Llechryd Cake'!P31</f>
        <v>0</v>
      </c>
      <c r="Q5" s="24">
        <f>'Llechryd Cake'!Q31</f>
        <v>57.568875000000006</v>
      </c>
      <c r="R5" s="24">
        <f>'Llechryd Cake'!R31</f>
        <v>0</v>
      </c>
      <c r="S5" s="24">
        <f>'Llechryd Cake'!S31</f>
        <v>0</v>
      </c>
      <c r="T5" s="24">
        <f>'Llechryd Cake'!T31</f>
        <v>0</v>
      </c>
      <c r="U5" s="24">
        <f>'Llechryd Cake'!U31</f>
        <v>0</v>
      </c>
    </row>
    <row r="6" spans="1:21" x14ac:dyDescent="0.2">
      <c r="A6" s="27">
        <v>4</v>
      </c>
      <c r="B6" s="24">
        <f>'Bolton Hill Liquid'!B31</f>
        <v>100</v>
      </c>
      <c r="C6" s="24">
        <f>'Bolton Hill Liquid'!C31</f>
        <v>50</v>
      </c>
      <c r="D6" s="24">
        <f>'Bolton Hill Liquid'!D31</f>
        <v>21.970690000000005</v>
      </c>
      <c r="E6" s="24">
        <f>'Bolton Hill Liquid'!E31</f>
        <v>5.2778999999999998</v>
      </c>
      <c r="F6" s="24">
        <f>'Bolton Hill Liquid'!F31</f>
        <v>9.5998199999999994</v>
      </c>
      <c r="G6" s="24">
        <f>'Bolton Hill Liquid'!G31</f>
        <v>0.23400000000000001</v>
      </c>
      <c r="H6" s="24">
        <f>'Bolton Hill Liquid'!H31</f>
        <v>0.46800000000000003</v>
      </c>
      <c r="I6" s="24">
        <f>'Bolton Hill Liquid'!I31</f>
        <v>7.7000000000000013E-2</v>
      </c>
      <c r="J6" s="24">
        <f>'Bolton Hill Liquid'!J31</f>
        <v>2E-3</v>
      </c>
      <c r="K6" s="24">
        <f>'Bolton Hill Liquid'!K31</f>
        <v>5.0000000000000001E-3</v>
      </c>
      <c r="L6" s="24">
        <f>'Bolton Hill Liquid'!L31</f>
        <v>0.13300000000000001</v>
      </c>
      <c r="M6" s="24">
        <f>'Bolton Hill Liquid'!M31</f>
        <v>0.125</v>
      </c>
      <c r="N6" s="24">
        <f>'Bolton Hill Liquid'!N31</f>
        <v>535.4</v>
      </c>
      <c r="O6" s="24">
        <f>'Bolton Hill Liquid'!O31</f>
        <v>89.5</v>
      </c>
      <c r="P6" s="24">
        <f>'Bolton Hill Liquid'!P31</f>
        <v>1.67</v>
      </c>
      <c r="Q6" s="24">
        <f>'Bolton Hill Liquid'!Q31</f>
        <v>90.499999999999986</v>
      </c>
      <c r="R6" s="24">
        <f>'Bolton Hill Liquid'!R31</f>
        <v>1.4999999999999999E-2</v>
      </c>
      <c r="S6" s="24">
        <f>'Bolton Hill Liquid'!S31</f>
        <v>6.8000000000000005E-2</v>
      </c>
      <c r="T6" s="24">
        <f>'Bolton Hill Liquid'!T31</f>
        <v>7.000000000000001E-3</v>
      </c>
      <c r="U6" s="24">
        <f>'Bolton Hill Liquid'!U31</f>
        <v>2.06</v>
      </c>
    </row>
    <row r="7" spans="1:21" x14ac:dyDescent="0.2">
      <c r="A7" s="27">
        <v>5</v>
      </c>
      <c r="B7" s="24">
        <f>'Preseli Liquid'!B31</f>
        <v>100</v>
      </c>
      <c r="C7" s="24">
        <f>'Preseli Liquid'!C31</f>
        <v>93.96</v>
      </c>
      <c r="D7" s="24">
        <f>'Preseli Liquid'!D31</f>
        <v>29.691360000000007</v>
      </c>
      <c r="E7" s="24">
        <f>'Preseli Liquid'!E31</f>
        <v>1.0150920000000001</v>
      </c>
      <c r="F7" s="24">
        <f>'Preseli Liquid'!F31</f>
        <v>2.1577212000000001</v>
      </c>
      <c r="G7" s="24">
        <f>'Preseli Liquid'!G31</f>
        <v>0.10854000000000003</v>
      </c>
      <c r="H7" s="24">
        <f>'Preseli Liquid'!H31</f>
        <v>0.41850000000000004</v>
      </c>
      <c r="I7" s="24">
        <f>'Preseli Liquid'!I31</f>
        <v>1.3014000000000003E-2</v>
      </c>
      <c r="J7" s="24">
        <f>'Preseli Liquid'!J31</f>
        <v>1.944E-3</v>
      </c>
      <c r="K7" s="24">
        <f>'Preseli Liquid'!K31</f>
        <v>4.0500000000000006E-3</v>
      </c>
      <c r="L7" s="24">
        <f>'Preseli Liquid'!L31</f>
        <v>2.7540000000000002E-2</v>
      </c>
      <c r="M7" s="24">
        <f>'Preseli Liquid'!M31</f>
        <v>2.3220000000000005E-2</v>
      </c>
      <c r="N7" s="24">
        <f>'Preseli Liquid'!N31</f>
        <v>702</v>
      </c>
      <c r="O7" s="24">
        <f>'Preseli Liquid'!O31</f>
        <v>167.94000000000003</v>
      </c>
      <c r="P7" s="24">
        <f>'Preseli Liquid'!P31</f>
        <v>0</v>
      </c>
      <c r="Q7" s="24">
        <f>'Preseli Liquid'!Q31</f>
        <v>58.725000000000016</v>
      </c>
      <c r="R7" s="24">
        <f>'Preseli Liquid'!R31</f>
        <v>0</v>
      </c>
      <c r="S7" s="24">
        <f>'Preseli Liquid'!S31</f>
        <v>0.37314000000000003</v>
      </c>
      <c r="T7" s="24">
        <f>'Preseli Liquid'!T31</f>
        <v>0</v>
      </c>
      <c r="U7" s="24">
        <f>'Preseli Liquid'!U31</f>
        <v>0</v>
      </c>
    </row>
    <row r="8" spans="1:21" x14ac:dyDescent="0.2">
      <c r="A8" s="27">
        <v>6</v>
      </c>
      <c r="B8" s="24">
        <f>'Llechryd Liquid'!B31</f>
        <v>100</v>
      </c>
      <c r="C8" s="24">
        <f>'Llechryd Liquid'!C31</f>
        <v>41.370000000000005</v>
      </c>
      <c r="D8" s="24">
        <f>'Llechryd Liquid'!D31</f>
        <v>19.768122600000002</v>
      </c>
      <c r="E8" s="24">
        <f>'Llechryd Liquid'!E31</f>
        <v>0.98989545000000001</v>
      </c>
      <c r="F8" s="24">
        <f>'Llechryd Liquid'!F31</f>
        <v>3.0572193599999999</v>
      </c>
      <c r="G8" s="24">
        <f>'Llechryd Liquid'!G31</f>
        <v>5.2658099999999992E-2</v>
      </c>
      <c r="H8" s="24">
        <f>'Llechryd Liquid'!H31</f>
        <v>1.2292800000000002</v>
      </c>
      <c r="I8" s="24">
        <f>'Llechryd Liquid'!I31</f>
        <v>0.17198099999999999</v>
      </c>
      <c r="J8" s="24">
        <f>'Llechryd Liquid'!J31</f>
        <v>2.0094000000000002E-3</v>
      </c>
      <c r="K8" s="24">
        <f>'Llechryd Liquid'!K31</f>
        <v>4.0188000000000003E-3</v>
      </c>
      <c r="L8" s="24">
        <f>'Llechryd Liquid'!L31</f>
        <v>0.13888500000000001</v>
      </c>
      <c r="M8" s="24">
        <f>'Llechryd Liquid'!M31</f>
        <v>9.4560000000000005E-2</v>
      </c>
      <c r="N8" s="24">
        <f>'Llechryd Liquid'!N31</f>
        <v>17.493600000000001</v>
      </c>
      <c r="O8" s="24">
        <f>'Llechryd Liquid'!O31</f>
        <v>2387.64</v>
      </c>
      <c r="P8" s="24">
        <f>'Llechryd Liquid'!P31</f>
        <v>0</v>
      </c>
      <c r="Q8" s="24">
        <f>'Llechryd Liquid'!Q31</f>
        <v>71.954250000000002</v>
      </c>
      <c r="R8" s="24">
        <f>'Llechryd Liquid'!R31</f>
        <v>0</v>
      </c>
      <c r="S8" s="24">
        <f>'Llechryd Liquid'!S31</f>
        <v>0.13356599999999999</v>
      </c>
      <c r="T8" s="24">
        <f>'Llechryd Liquid'!T31</f>
        <v>0</v>
      </c>
      <c r="U8" s="24">
        <f>'Llechryd Liquid'!U31</f>
        <v>0</v>
      </c>
    </row>
    <row r="9" spans="1:21" x14ac:dyDescent="0.2">
      <c r="A9" s="27">
        <v>7</v>
      </c>
      <c r="B9" s="24">
        <f>'Waste 7'!B31</f>
        <v>0</v>
      </c>
      <c r="C9" s="24">
        <f>'Waste 7'!C31</f>
        <v>0</v>
      </c>
      <c r="D9" s="24">
        <f>'Waste 7'!D31</f>
        <v>0</v>
      </c>
      <c r="E9" s="24">
        <f>'Waste 7'!E31</f>
        <v>0</v>
      </c>
      <c r="F9" s="24">
        <f>'Waste 7'!F31</f>
        <v>0</v>
      </c>
      <c r="G9" s="24">
        <f>'Waste 7'!G31</f>
        <v>0</v>
      </c>
      <c r="H9" s="24">
        <f>'Waste 7'!H31</f>
        <v>0</v>
      </c>
      <c r="I9" s="24">
        <f>'Waste 7'!I31</f>
        <v>0</v>
      </c>
      <c r="J9" s="24">
        <f>'Waste 7'!J31</f>
        <v>0</v>
      </c>
      <c r="K9" s="24">
        <f>'Waste 7'!K31</f>
        <v>0</v>
      </c>
      <c r="L9" s="24">
        <f>'Waste 7'!L31</f>
        <v>0</v>
      </c>
      <c r="M9" s="24">
        <f>'Waste 7'!M31</f>
        <v>0</v>
      </c>
      <c r="N9" s="24">
        <f>'Waste 7'!N31</f>
        <v>0</v>
      </c>
      <c r="O9" s="24">
        <f>'Waste 7'!O31</f>
        <v>0</v>
      </c>
      <c r="P9" s="24">
        <f>'Waste 7'!P31</f>
        <v>0</v>
      </c>
      <c r="Q9" s="24">
        <f>'Waste 7'!Q31</f>
        <v>0</v>
      </c>
      <c r="R9" s="24">
        <f>'Waste 7'!R31</f>
        <v>0</v>
      </c>
      <c r="S9" s="24">
        <f>'Waste 7'!S31</f>
        <v>0</v>
      </c>
      <c r="T9" s="24">
        <f>'Waste 7'!T31</f>
        <v>0</v>
      </c>
      <c r="U9" s="24">
        <f>'Waste 7'!U31</f>
        <v>0</v>
      </c>
    </row>
    <row r="10" spans="1:21" x14ac:dyDescent="0.2">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75" x14ac:dyDescent="0.25">
      <c r="A13" s="67" t="s">
        <v>85</v>
      </c>
      <c r="B13" s="68">
        <f>SUM(B3:B12)</f>
        <v>478</v>
      </c>
      <c r="C13" s="68">
        <f t="shared" ref="C13:U13" si="0">SUM(C3:C12)</f>
        <v>520.12284999999997</v>
      </c>
      <c r="D13" s="68">
        <f t="shared" si="0"/>
        <v>199.74294272000003</v>
      </c>
      <c r="E13" s="68">
        <f t="shared" si="0"/>
        <v>50.863858555000014</v>
      </c>
      <c r="F13" s="68">
        <f t="shared" si="0"/>
        <v>53.667072480000002</v>
      </c>
      <c r="G13" s="68">
        <f t="shared" si="0"/>
        <v>1.0758452000000001</v>
      </c>
      <c r="H13" s="68">
        <f t="shared" si="0"/>
        <v>5.8544390000000002</v>
      </c>
      <c r="I13" s="68">
        <f t="shared" si="0"/>
        <v>0.92839190000000005</v>
      </c>
      <c r="J13" s="68">
        <f t="shared" si="0"/>
        <v>1.7628250000000002E-2</v>
      </c>
      <c r="K13" s="68">
        <f t="shared" si="0"/>
        <v>3.0731300000000003E-2</v>
      </c>
      <c r="L13" s="68">
        <f t="shared" si="0"/>
        <v>0.89156940000000007</v>
      </c>
      <c r="M13" s="68">
        <f t="shared" si="0"/>
        <v>0.59656474999999998</v>
      </c>
      <c r="N13" s="68">
        <f t="shared" si="0"/>
        <v>4028.5158499999998</v>
      </c>
      <c r="O13" s="68">
        <f t="shared" si="0"/>
        <v>5347.7704000000003</v>
      </c>
      <c r="P13" s="68">
        <f t="shared" si="0"/>
        <v>1.67</v>
      </c>
      <c r="Q13" s="68">
        <f t="shared" si="0"/>
        <v>545.24162500000011</v>
      </c>
      <c r="R13" s="68">
        <f t="shared" si="0"/>
        <v>1.4999999999999999E-2</v>
      </c>
      <c r="S13" s="68">
        <f t="shared" si="0"/>
        <v>0.78059000000000001</v>
      </c>
      <c r="T13" s="68">
        <f t="shared" si="0"/>
        <v>7.000000000000001E-3</v>
      </c>
      <c r="U13" s="68">
        <f t="shared" si="0"/>
        <v>2.06</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13"/>
    <col min="3" max="3" width="11" style="13" customWidth="1"/>
    <col min="4" max="4" width="9.140625" style="13"/>
    <col min="5" max="5" width="9.7109375" style="13" customWidth="1"/>
    <col min="6" max="14" width="9.140625" style="13"/>
    <col min="15" max="15" width="9.7109375" style="13" bestFit="1" customWidth="1"/>
    <col min="16" max="20" width="9.140625" style="13"/>
    <col min="21" max="21" width="10" style="13" bestFit="1" customWidth="1"/>
    <col min="22" max="16384" width="9.140625" style="13"/>
  </cols>
  <sheetData>
    <row r="1" spans="1:22" s="70" customFormat="1" ht="38.25" x14ac:dyDescent="0.25">
      <c r="A1" s="176" t="s">
        <v>84</v>
      </c>
      <c r="B1" s="25" t="s">
        <v>152</v>
      </c>
      <c r="C1" s="26" t="str">
        <f>'Field data and Waste 1'!B29</f>
        <v>Application Rate</v>
      </c>
      <c r="D1" s="26" t="str">
        <f>'Field data and Waste 1'!C29</f>
        <v>Nitrogen Addition</v>
      </c>
      <c r="E1" s="26" t="str">
        <f>'Field data and Waste 1'!D29</f>
        <v>Phosphate Addition</v>
      </c>
      <c r="F1" s="26" t="str">
        <f>'Field data and Waste 1'!E29</f>
        <v>Potash  Addition</v>
      </c>
      <c r="G1" s="26" t="str">
        <f>'Field data and Waste 1'!F29</f>
        <v>Mg Oxide Addition</v>
      </c>
      <c r="H1" s="26" t="str">
        <f>'Field data and Waste 1'!G29</f>
        <v>Copper Addition</v>
      </c>
      <c r="I1" s="26" t="str">
        <f>'Field data and Waste 1'!H29</f>
        <v>Zinc Addition</v>
      </c>
      <c r="J1" s="26" t="str">
        <f>'Field data and Waste 1'!I29</f>
        <v>Lead Addition</v>
      </c>
      <c r="K1" s="26" t="str">
        <f>'Field data and Waste 1'!J29</f>
        <v>Cadmium Addition</v>
      </c>
      <c r="L1" s="26" t="str">
        <f>'Field data and Waste 1'!K29</f>
        <v>Mercury Addition</v>
      </c>
      <c r="M1" s="26" t="str">
        <f>'Field data and Waste 1'!L29</f>
        <v>Nickel Addition</v>
      </c>
      <c r="N1" s="26" t="str">
        <f>'Field data and Waste 1'!M29</f>
        <v>Chromium Addition</v>
      </c>
      <c r="O1" s="26" t="str">
        <f>'Field data and Waste 1'!N29</f>
        <v>Aluminium Addition</v>
      </c>
      <c r="P1" s="26" t="str">
        <f>'Field data and Waste 1'!O29</f>
        <v>Iron Addition</v>
      </c>
      <c r="Q1" s="26" t="str">
        <f>'Field data and Waste 1'!P29</f>
        <v xml:space="preserve">Sodium Addition                 </v>
      </c>
      <c r="R1" s="26" t="str">
        <f>'Field data and Waste 1'!Q29</f>
        <v>SO3  Addition                             kg/ha</v>
      </c>
      <c r="S1" s="26" t="str">
        <f>'Field data and Waste 1'!R29</f>
        <v xml:space="preserve">Selenium Addition </v>
      </c>
      <c r="T1" s="26" t="str">
        <f>'Field data and Waste 1'!S29</f>
        <v xml:space="preserve">Arsenic  Addition  </v>
      </c>
      <c r="U1" s="26" t="str">
        <f>'Field data and Waste 1'!T29</f>
        <v xml:space="preserve">Molybdenum Addition  </v>
      </c>
      <c r="V1" s="26" t="str">
        <f>'Field data and Waste 1'!U29</f>
        <v xml:space="preserve">Fluoride Addition </v>
      </c>
    </row>
    <row r="2" spans="1:22" s="70" customFormat="1" ht="25.5" x14ac:dyDescent="0.25">
      <c r="A2" s="176"/>
      <c r="B2" s="23" t="s">
        <v>46</v>
      </c>
      <c r="C2" s="26" t="str">
        <f>'Field data and Waste 1'!B30</f>
        <v>tonnes/ha</v>
      </c>
      <c r="D2" s="26" t="str">
        <f>'Field data and Waste 1'!C30</f>
        <v>kg/ha</v>
      </c>
      <c r="E2" s="26" t="str">
        <f>'Field data and Waste 1'!D30</f>
        <v>P2O5 
kg/ha</v>
      </c>
      <c r="F2" s="26" t="str">
        <f>'Field data and Waste 1'!E30</f>
        <v>K2O 
kg/ha</v>
      </c>
      <c r="G2" s="26" t="str">
        <f>'Field data and Waste 1'!F30</f>
        <v>MgO 
kg/ha</v>
      </c>
      <c r="H2" s="26" t="str">
        <f>'Field data and Waste 1'!G30</f>
        <v>kg/ha</v>
      </c>
      <c r="I2" s="26" t="str">
        <f>'Field data and Waste 1'!H30</f>
        <v>kg/ha</v>
      </c>
      <c r="J2" s="26" t="str">
        <f>'Field data and Waste 1'!I30</f>
        <v>kg/ha</v>
      </c>
      <c r="K2" s="26" t="str">
        <f>'Field data and Waste 1'!J30</f>
        <v>kg/ha</v>
      </c>
      <c r="L2" s="26" t="str">
        <f>'Field data and Waste 1'!K30</f>
        <v>kg/ha</v>
      </c>
      <c r="M2" s="26" t="str">
        <f>'Field data and Waste 1'!L30</f>
        <v>kg/ha</v>
      </c>
      <c r="N2" s="26" t="str">
        <f>'Field data and Waste 1'!M30</f>
        <v>kg/ha</v>
      </c>
      <c r="O2" s="26" t="str">
        <f>'Field data and Waste 1'!N30</f>
        <v>kg/ha</v>
      </c>
      <c r="P2" s="26" t="str">
        <f>'Field data and Waste 1'!O30</f>
        <v>kg/ha</v>
      </c>
      <c r="Q2" s="26" t="str">
        <f>'Field data and Waste 1'!P30</f>
        <v>kg/ha</v>
      </c>
      <c r="R2" s="26" t="str">
        <f>'Field data and Waste 1'!Q30</f>
        <v>kg/ha</v>
      </c>
      <c r="S2" s="26" t="str">
        <f>'Field data and Waste 1'!R30</f>
        <v>kg/ha</v>
      </c>
      <c r="T2" s="26" t="str">
        <f>'Field data and Waste 1'!S30</f>
        <v>kg/ha</v>
      </c>
      <c r="U2" s="26" t="str">
        <f>'Field data and Waste 1'!T30</f>
        <v>kg/ha</v>
      </c>
      <c r="V2" s="26" t="str">
        <f>'Field data and Waste 1'!U30</f>
        <v>kg/ha</v>
      </c>
    </row>
    <row r="3" spans="1:22" x14ac:dyDescent="0.2">
      <c r="A3" s="27">
        <v>1</v>
      </c>
      <c r="B3" s="78"/>
      <c r="C3" s="24">
        <f>'Field data and Waste 1'!B31</f>
        <v>63</v>
      </c>
      <c r="D3" s="24">
        <f>'Field data and Waste 1'!C31</f>
        <v>115.9452</v>
      </c>
      <c r="E3" s="24">
        <f>'Field data and Waste 1'!D31</f>
        <v>62.311442759999991</v>
      </c>
      <c r="F3" s="24">
        <f>'Field data and Waste 1'!E31</f>
        <v>9.15322338</v>
      </c>
      <c r="G3" s="24">
        <f>'Field data and Waste 1'!F31</f>
        <v>29.10506256</v>
      </c>
      <c r="H3" s="24">
        <f>'Field data and Waste 1'!G31</f>
        <v>0.2286396</v>
      </c>
      <c r="I3" s="24">
        <f>'Field data and Waste 1'!H31</f>
        <v>1.5820559999999997</v>
      </c>
      <c r="J3" s="24">
        <f>'Field data and Waste 1'!I31</f>
        <v>0.10727639999999999</v>
      </c>
      <c r="K3" s="24">
        <f>'Field data and Waste 1'!J31</f>
        <v>5.9597999999999995E-3</v>
      </c>
      <c r="L3" s="24">
        <f>'Field data and Waste 1'!K31</f>
        <v>5.9597999999999995E-3</v>
      </c>
      <c r="M3" s="24">
        <f>'Field data and Waste 1'!L31</f>
        <v>0.35108639999999997</v>
      </c>
      <c r="N3" s="24">
        <f>'Field data and Waste 1'!M31</f>
        <v>0.2286396</v>
      </c>
      <c r="O3" s="24">
        <f>'Field data and Waste 1'!N31</f>
        <v>1376.1719999999998</v>
      </c>
      <c r="P3" s="24">
        <f>'Field data and Waste 1'!O31</f>
        <v>291.48840000000001</v>
      </c>
      <c r="Q3" s="24">
        <f>'Field data and Waste 1'!P31</f>
        <v>0</v>
      </c>
      <c r="R3" s="24">
        <f>'Field data and Waste 1'!Q31</f>
        <v>150.34949999999998</v>
      </c>
      <c r="S3" s="24">
        <f>'Field data and Waste 1'!R31</f>
        <v>0</v>
      </c>
      <c r="T3" s="24">
        <f>'Field data and Waste 1'!S31</f>
        <v>0.20588399999999998</v>
      </c>
      <c r="U3" s="24">
        <f>'Field data and Waste 1'!T31</f>
        <v>0</v>
      </c>
      <c r="V3" s="24">
        <f>'Field data and Waste 1'!U31</f>
        <v>0</v>
      </c>
    </row>
    <row r="4" spans="1:22" x14ac:dyDescent="0.2">
      <c r="A4" s="27">
        <v>2</v>
      </c>
      <c r="B4" s="78"/>
      <c r="C4" s="24">
        <f>'Preseli Cake'!B31</f>
        <v>80</v>
      </c>
      <c r="D4" s="24">
        <f>'Preseli Cake'!C31</f>
        <v>144.70400000000001</v>
      </c>
      <c r="E4" s="24">
        <f>'Preseli Cake'!D31</f>
        <v>4.1626553599999996</v>
      </c>
      <c r="F4" s="24">
        <f>'Preseli Cake'!E31</f>
        <v>32.120480000000008</v>
      </c>
      <c r="G4" s="24">
        <f>'Preseli Cake'!F31</f>
        <v>1.3529280000000001E-2</v>
      </c>
      <c r="H4" s="24">
        <f>'Preseli Cake'!G31</f>
        <v>0.22848000000000004</v>
      </c>
      <c r="I4" s="24">
        <f>'Preseli Cake'!H31</f>
        <v>0.86604799999999993</v>
      </c>
      <c r="J4" s="24">
        <f>'Preseli Cake'!I31</f>
        <v>0.33728000000000002</v>
      </c>
      <c r="K4" s="24">
        <f>'Preseli Cake'!J31</f>
        <v>4.7872000000000001E-3</v>
      </c>
      <c r="L4" s="24">
        <f>'Preseli Cake'!K31</f>
        <v>8.1600000000000006E-3</v>
      </c>
      <c r="M4" s="24">
        <f>'Preseli Cake'!L31</f>
        <v>5.5487999999999996E-2</v>
      </c>
      <c r="N4" s="24">
        <f>'Preseli Cake'!M31</f>
        <v>4.6783999999999999E-2</v>
      </c>
      <c r="O4" s="24">
        <f>'Preseli Cake'!N31</f>
        <v>1370.88</v>
      </c>
      <c r="P4" s="24">
        <f>'Preseli Cake'!O31</f>
        <v>336.19200000000006</v>
      </c>
      <c r="Q4" s="24">
        <f>'Preseli Cake'!P31</f>
        <v>0</v>
      </c>
      <c r="R4" s="24">
        <f>'Preseli Cake'!Q31</f>
        <v>116.14400000000003</v>
      </c>
      <c r="S4" s="24">
        <f>'Preseli Cake'!R31</f>
        <v>0</v>
      </c>
      <c r="T4" s="24">
        <f>'Preseli Cake'!S31</f>
        <v>0</v>
      </c>
      <c r="U4" s="24">
        <f>'Preseli Cake'!T31</f>
        <v>0</v>
      </c>
      <c r="V4" s="24">
        <f>'Preseli Cake'!U31</f>
        <v>0</v>
      </c>
    </row>
    <row r="5" spans="1:22" x14ac:dyDescent="0.2">
      <c r="A5" s="27">
        <v>3</v>
      </c>
      <c r="B5" s="78"/>
      <c r="C5" s="24">
        <f>'Llechryd Cake'!B31</f>
        <v>35</v>
      </c>
      <c r="D5" s="24">
        <f>'Llechryd Cake'!C31</f>
        <v>74.143649999999994</v>
      </c>
      <c r="E5" s="24">
        <f>'Llechryd Cake'!D31</f>
        <v>61.83867200000001</v>
      </c>
      <c r="F5" s="24">
        <f>'Llechryd Cake'!E31</f>
        <v>2.3072677250000004</v>
      </c>
      <c r="G5" s="24">
        <f>'Llechryd Cake'!F31</f>
        <v>9.7337200800000012</v>
      </c>
      <c r="H5" s="24">
        <f>'Llechryd Cake'!G31</f>
        <v>0.22352750000000002</v>
      </c>
      <c r="I5" s="24">
        <f>'Llechryd Cake'!H31</f>
        <v>1.2905550000000001</v>
      </c>
      <c r="J5" s="24">
        <f>'Llechryd Cake'!I31</f>
        <v>0.22184050000000002</v>
      </c>
      <c r="K5" s="24">
        <f>'Llechryd Cake'!J31</f>
        <v>9.2785000000000003E-4</v>
      </c>
      <c r="L5" s="24">
        <f>'Llechryd Cake'!K31</f>
        <v>3.5427000000000002E-3</v>
      </c>
      <c r="M5" s="24">
        <f>'Llechryd Cake'!L31</f>
        <v>0.18557000000000001</v>
      </c>
      <c r="N5" s="24">
        <f>'Llechryd Cake'!M31</f>
        <v>7.8361149999999991E-2</v>
      </c>
      <c r="O5" s="24">
        <f>'Llechryd Cake'!N31</f>
        <v>26.570250000000001</v>
      </c>
      <c r="P5" s="24">
        <f>'Llechryd Cake'!O31</f>
        <v>2075.0100000000002</v>
      </c>
      <c r="Q5" s="24">
        <f>'Llechryd Cake'!P31</f>
        <v>0</v>
      </c>
      <c r="R5" s="24">
        <f>'Llechryd Cake'!Q31</f>
        <v>57.568875000000006</v>
      </c>
      <c r="S5" s="24">
        <f>'Llechryd Cake'!R31</f>
        <v>0</v>
      </c>
      <c r="T5" s="24">
        <f>'Llechryd Cake'!S31</f>
        <v>0</v>
      </c>
      <c r="U5" s="24">
        <f>'Llechryd Cake'!T31</f>
        <v>0</v>
      </c>
      <c r="V5" s="24">
        <f>'Llechryd Cake'!U31</f>
        <v>0</v>
      </c>
    </row>
    <row r="6" spans="1:22" x14ac:dyDescent="0.2">
      <c r="A6" s="27">
        <v>4</v>
      </c>
      <c r="B6" s="78"/>
      <c r="C6" s="24">
        <f>'Bolton Hill Liquid'!B31</f>
        <v>100</v>
      </c>
      <c r="D6" s="24">
        <f>'Bolton Hill Liquid'!C31</f>
        <v>50</v>
      </c>
      <c r="E6" s="24">
        <f>'Bolton Hill Liquid'!D31</f>
        <v>21.970690000000005</v>
      </c>
      <c r="F6" s="24">
        <f>'Bolton Hill Liquid'!E31</f>
        <v>5.2778999999999998</v>
      </c>
      <c r="G6" s="24">
        <f>'Bolton Hill Liquid'!F31</f>
        <v>9.5998199999999994</v>
      </c>
      <c r="H6" s="24">
        <f>'Bolton Hill Liquid'!G31</f>
        <v>0.23400000000000001</v>
      </c>
      <c r="I6" s="24">
        <f>'Bolton Hill Liquid'!H31</f>
        <v>0.46800000000000003</v>
      </c>
      <c r="J6" s="24">
        <f>'Bolton Hill Liquid'!I31</f>
        <v>7.7000000000000013E-2</v>
      </c>
      <c r="K6" s="24">
        <f>'Bolton Hill Liquid'!J31</f>
        <v>2E-3</v>
      </c>
      <c r="L6" s="24">
        <f>'Bolton Hill Liquid'!K31</f>
        <v>5.0000000000000001E-3</v>
      </c>
      <c r="M6" s="24">
        <f>'Bolton Hill Liquid'!L31</f>
        <v>0.13300000000000001</v>
      </c>
      <c r="N6" s="24">
        <f>'Bolton Hill Liquid'!M31</f>
        <v>0.125</v>
      </c>
      <c r="O6" s="24">
        <f>'Bolton Hill Liquid'!N31</f>
        <v>535.4</v>
      </c>
      <c r="P6" s="24">
        <f>'Bolton Hill Liquid'!O31</f>
        <v>89.5</v>
      </c>
      <c r="Q6" s="24">
        <f>'Bolton Hill Liquid'!P31</f>
        <v>1.67</v>
      </c>
      <c r="R6" s="24">
        <f>'Bolton Hill Liquid'!Q31</f>
        <v>90.499999999999986</v>
      </c>
      <c r="S6" s="24">
        <f>'Bolton Hill Liquid'!R31</f>
        <v>1.4999999999999999E-2</v>
      </c>
      <c r="T6" s="24">
        <f>'Bolton Hill Liquid'!S31</f>
        <v>6.8000000000000005E-2</v>
      </c>
      <c r="U6" s="24">
        <f>'Bolton Hill Liquid'!T31</f>
        <v>7.000000000000001E-3</v>
      </c>
      <c r="V6" s="24">
        <f>'Bolton Hill Liquid'!U31</f>
        <v>2.06</v>
      </c>
    </row>
    <row r="7" spans="1:22" x14ac:dyDescent="0.2">
      <c r="A7" s="27">
        <v>5</v>
      </c>
      <c r="B7" s="78"/>
      <c r="C7" s="24">
        <f>'Preseli Liquid'!B31</f>
        <v>100</v>
      </c>
      <c r="D7" s="24">
        <f>'Preseli Liquid'!C31</f>
        <v>93.96</v>
      </c>
      <c r="E7" s="24">
        <f>'Preseli Liquid'!D31</f>
        <v>29.691360000000007</v>
      </c>
      <c r="F7" s="24">
        <f>'Preseli Liquid'!E31</f>
        <v>1.0150920000000001</v>
      </c>
      <c r="G7" s="24">
        <f>'Preseli Liquid'!F31</f>
        <v>2.1577212000000001</v>
      </c>
      <c r="H7" s="24">
        <f>'Preseli Liquid'!G31</f>
        <v>0.10854000000000003</v>
      </c>
      <c r="I7" s="24">
        <f>'Preseli Liquid'!H31</f>
        <v>0.41850000000000004</v>
      </c>
      <c r="J7" s="24">
        <f>'Preseli Liquid'!I31</f>
        <v>1.3014000000000003E-2</v>
      </c>
      <c r="K7" s="24">
        <f>'Preseli Liquid'!J31</f>
        <v>1.944E-3</v>
      </c>
      <c r="L7" s="24">
        <f>'Preseli Liquid'!K31</f>
        <v>4.0500000000000006E-3</v>
      </c>
      <c r="M7" s="24">
        <f>'Preseli Liquid'!L31</f>
        <v>2.7540000000000002E-2</v>
      </c>
      <c r="N7" s="24">
        <f>'Preseli Liquid'!M31</f>
        <v>2.3220000000000005E-2</v>
      </c>
      <c r="O7" s="24">
        <f>'Preseli Liquid'!N31</f>
        <v>702</v>
      </c>
      <c r="P7" s="24">
        <f>'Preseli Liquid'!O31</f>
        <v>167.94000000000003</v>
      </c>
      <c r="Q7" s="24">
        <f>'Preseli Liquid'!P31</f>
        <v>0</v>
      </c>
      <c r="R7" s="24">
        <f>'Preseli Liquid'!Q31</f>
        <v>58.725000000000016</v>
      </c>
      <c r="S7" s="24">
        <f>'Preseli Liquid'!R31</f>
        <v>0</v>
      </c>
      <c r="T7" s="24">
        <f>'Preseli Liquid'!S31</f>
        <v>0.37314000000000003</v>
      </c>
      <c r="U7" s="24">
        <f>'Preseli Liquid'!T31</f>
        <v>0</v>
      </c>
      <c r="V7" s="24">
        <f>'Preseli Liquid'!U31</f>
        <v>0</v>
      </c>
    </row>
    <row r="8" spans="1:22" x14ac:dyDescent="0.2">
      <c r="A8" s="27">
        <v>6</v>
      </c>
      <c r="B8" s="78"/>
      <c r="C8" s="24">
        <f>'Llechryd Liquid'!B31</f>
        <v>100</v>
      </c>
      <c r="D8" s="24">
        <f>'Llechryd Liquid'!C31</f>
        <v>41.370000000000005</v>
      </c>
      <c r="E8" s="24">
        <f>'Llechryd Liquid'!D31</f>
        <v>19.768122600000002</v>
      </c>
      <c r="F8" s="24">
        <f>'Llechryd Liquid'!E31</f>
        <v>0.98989545000000001</v>
      </c>
      <c r="G8" s="24">
        <f>'Llechryd Liquid'!F31</f>
        <v>3.0572193599999999</v>
      </c>
      <c r="H8" s="24">
        <f>'Llechryd Liquid'!G31</f>
        <v>5.2658099999999992E-2</v>
      </c>
      <c r="I8" s="24">
        <f>'Llechryd Liquid'!H31</f>
        <v>1.2292800000000002</v>
      </c>
      <c r="J8" s="24">
        <f>'Llechryd Liquid'!I31</f>
        <v>0.17198099999999999</v>
      </c>
      <c r="K8" s="24">
        <f>'Llechryd Liquid'!J31</f>
        <v>2.0094000000000002E-3</v>
      </c>
      <c r="L8" s="24">
        <f>'Llechryd Liquid'!K31</f>
        <v>4.0188000000000003E-3</v>
      </c>
      <c r="M8" s="24">
        <f>'Llechryd Liquid'!L31</f>
        <v>0.13888500000000001</v>
      </c>
      <c r="N8" s="24">
        <f>'Llechryd Liquid'!M31</f>
        <v>9.4560000000000005E-2</v>
      </c>
      <c r="O8" s="24">
        <f>'Llechryd Liquid'!N31</f>
        <v>17.493600000000001</v>
      </c>
      <c r="P8" s="24">
        <f>'Llechryd Liquid'!O31</f>
        <v>2387.64</v>
      </c>
      <c r="Q8" s="24">
        <f>'Llechryd Liquid'!P31</f>
        <v>0</v>
      </c>
      <c r="R8" s="24">
        <f>'Llechryd Liquid'!Q31</f>
        <v>71.954250000000002</v>
      </c>
      <c r="S8" s="24">
        <f>'Llechryd Liquid'!R31</f>
        <v>0</v>
      </c>
      <c r="T8" s="24">
        <f>'Llechryd Liquid'!S31</f>
        <v>0.13356599999999999</v>
      </c>
      <c r="U8" s="24">
        <f>'Llechryd Liquid'!T31</f>
        <v>0</v>
      </c>
      <c r="V8" s="24">
        <f>'Llechryd Liquid'!U31</f>
        <v>0</v>
      </c>
    </row>
    <row r="9" spans="1:22" x14ac:dyDescent="0.2">
      <c r="A9" s="27">
        <v>7</v>
      </c>
      <c r="B9" s="78"/>
      <c r="C9" s="24">
        <f>'Waste 7'!B31</f>
        <v>0</v>
      </c>
      <c r="D9" s="24">
        <f>'Waste 7'!C31</f>
        <v>0</v>
      </c>
      <c r="E9" s="24">
        <f>'Waste 7'!D31</f>
        <v>0</v>
      </c>
      <c r="F9" s="24">
        <f>'Waste 7'!E31</f>
        <v>0</v>
      </c>
      <c r="G9" s="24">
        <f>'Waste 7'!F31</f>
        <v>0</v>
      </c>
      <c r="H9" s="24">
        <f>'Waste 7'!G31</f>
        <v>0</v>
      </c>
      <c r="I9" s="24">
        <f>'Waste 7'!H31</f>
        <v>0</v>
      </c>
      <c r="J9" s="24">
        <f>'Waste 7'!I31</f>
        <v>0</v>
      </c>
      <c r="K9" s="24">
        <f>'Waste 7'!J31</f>
        <v>0</v>
      </c>
      <c r="L9" s="24">
        <f>'Waste 7'!K31</f>
        <v>0</v>
      </c>
      <c r="M9" s="24">
        <f>'Waste 7'!L31</f>
        <v>0</v>
      </c>
      <c r="N9" s="24">
        <f>'Waste 7'!M31</f>
        <v>0</v>
      </c>
      <c r="O9" s="24">
        <f>'Waste 7'!N31</f>
        <v>0</v>
      </c>
      <c r="P9" s="24">
        <f>'Waste 7'!O31</f>
        <v>0</v>
      </c>
      <c r="Q9" s="24">
        <f>'Waste 7'!P31</f>
        <v>0</v>
      </c>
      <c r="R9" s="24">
        <f>'Waste 7'!Q31</f>
        <v>0</v>
      </c>
      <c r="S9" s="24">
        <f>'Waste 7'!R31</f>
        <v>0</v>
      </c>
      <c r="T9" s="24">
        <f>'Waste 7'!S31</f>
        <v>0</v>
      </c>
      <c r="U9" s="24">
        <f>'Waste 7'!T31</f>
        <v>0</v>
      </c>
      <c r="V9" s="24">
        <f>'Waste 7'!U31</f>
        <v>0</v>
      </c>
    </row>
    <row r="10" spans="1:22" x14ac:dyDescent="0.2">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
      <c r="B13" s="28"/>
      <c r="C13" s="14"/>
      <c r="D13" s="14"/>
      <c r="E13" s="14"/>
      <c r="F13" s="14"/>
      <c r="G13" s="14"/>
      <c r="H13" s="14"/>
      <c r="I13" s="14"/>
      <c r="J13" s="14"/>
      <c r="K13" s="14"/>
      <c r="L13" s="14"/>
      <c r="M13" s="14"/>
      <c r="N13" s="14"/>
      <c r="O13" s="14"/>
      <c r="P13" s="14"/>
      <c r="Q13" s="14"/>
      <c r="R13" s="14"/>
      <c r="S13" s="14"/>
      <c r="T13" s="14"/>
      <c r="U13" s="14"/>
      <c r="V13" s="14"/>
    </row>
    <row r="14" spans="1:22" x14ac:dyDescent="0.2">
      <c r="A14" s="71" t="s">
        <v>86</v>
      </c>
      <c r="C14" s="71"/>
      <c r="D14" s="71"/>
      <c r="E14" s="71"/>
      <c r="F14" s="71"/>
      <c r="G14" s="71"/>
      <c r="H14" s="71"/>
      <c r="I14" s="71"/>
      <c r="J14" s="71"/>
      <c r="K14" s="71"/>
      <c r="L14" s="71"/>
      <c r="M14" s="71"/>
      <c r="N14" s="71"/>
    </row>
    <row r="15" spans="1:22" ht="38.25" x14ac:dyDescent="0.2">
      <c r="A15" s="175" t="s">
        <v>84</v>
      </c>
      <c r="B15" s="26" t="s">
        <v>152</v>
      </c>
      <c r="C15" s="26">
        <f>'Field data and Waste 1'!B43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5" x14ac:dyDescent="0.2">
      <c r="A16" s="175"/>
      <c r="B16" s="23" t="s">
        <v>46</v>
      </c>
      <c r="C16" s="26">
        <f>'Field data and Waste 1'!B44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
      <c r="A17" s="72">
        <v>1</v>
      </c>
      <c r="B17" s="73">
        <f>B3</f>
        <v>0</v>
      </c>
      <c r="C17" s="74">
        <f>C3</f>
        <v>63</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
      <c r="A18" s="72">
        <v>2</v>
      </c>
      <c r="B18" s="73">
        <f t="shared" ref="B18:C18" si="3">B4</f>
        <v>0</v>
      </c>
      <c r="C18" s="74">
        <f t="shared" si="3"/>
        <v>80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
      <c r="A19" s="72">
        <v>3</v>
      </c>
      <c r="B19" s="73">
        <f t="shared" ref="B19:C19" si="5">B5</f>
        <v>0</v>
      </c>
      <c r="C19" s="74">
        <f t="shared" si="5"/>
        <v>35</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
      <c r="A20" s="72">
        <v>4</v>
      </c>
      <c r="B20" s="73">
        <f t="shared" ref="B20:C20" si="7">B6</f>
        <v>0</v>
      </c>
      <c r="C20" s="74">
        <f t="shared" si="7"/>
        <v>100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
      <c r="A21" s="72">
        <v>5</v>
      </c>
      <c r="B21" s="73">
        <f t="shared" ref="B21:C21" si="9">B7</f>
        <v>0</v>
      </c>
      <c r="C21" s="74">
        <f t="shared" si="9"/>
        <v>100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
      <c r="A22" s="72">
        <v>6</v>
      </c>
      <c r="B22" s="73">
        <f t="shared" ref="B22:C22" si="11">B8</f>
        <v>0</v>
      </c>
      <c r="C22" s="74">
        <f t="shared" si="11"/>
        <v>100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75" x14ac:dyDescent="0.25">
      <c r="A27" s="177" t="s">
        <v>85</v>
      </c>
      <c r="B27" s="177"/>
      <c r="C27" s="177"/>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96CE31-FB52-4DF6-BB53-677CAC936513}">
  <dimension ref="A1:K10"/>
  <sheetViews>
    <sheetView workbookViewId="0">
      <selection activeCell="J19" sqref="J19"/>
    </sheetView>
  </sheetViews>
  <sheetFormatPr defaultRowHeight="15" x14ac:dyDescent="0.25"/>
  <cols>
    <col min="1" max="1" width="14.140625" customWidth="1"/>
    <col min="2" max="2" width="16.42578125" customWidth="1"/>
    <col min="3" max="3" width="12.5703125" customWidth="1"/>
    <col min="4" max="4" width="14.42578125" customWidth="1"/>
    <col min="5" max="5" width="19.5703125" customWidth="1"/>
    <col min="6" max="6" width="22.85546875" customWidth="1"/>
    <col min="7" max="7" width="20.42578125" customWidth="1"/>
    <col min="8" max="8" width="21.7109375" customWidth="1"/>
    <col min="9" max="9" width="20.7109375" customWidth="1"/>
    <col min="10" max="10" width="18.85546875" customWidth="1"/>
    <col min="11" max="11" width="16.85546875" customWidth="1"/>
  </cols>
  <sheetData>
    <row r="1" spans="1:11" x14ac:dyDescent="0.25">
      <c r="A1" t="s">
        <v>196</v>
      </c>
    </row>
    <row r="2" spans="1:11" ht="17.45" customHeight="1" x14ac:dyDescent="0.25">
      <c r="B2" t="s">
        <v>180</v>
      </c>
      <c r="C2" t="s">
        <v>181</v>
      </c>
      <c r="D2" t="s">
        <v>188</v>
      </c>
      <c r="E2" t="s">
        <v>189</v>
      </c>
      <c r="F2" t="s">
        <v>190</v>
      </c>
      <c r="G2" t="s">
        <v>191</v>
      </c>
      <c r="H2" t="s">
        <v>192</v>
      </c>
      <c r="I2" t="s">
        <v>193</v>
      </c>
      <c r="J2" t="s">
        <v>194</v>
      </c>
      <c r="K2" t="s">
        <v>195</v>
      </c>
    </row>
    <row r="3" spans="1:11" x14ac:dyDescent="0.25">
      <c r="A3" t="s">
        <v>182</v>
      </c>
      <c r="C3">
        <v>30</v>
      </c>
      <c r="D3">
        <v>1.4</v>
      </c>
      <c r="E3">
        <v>4.8</v>
      </c>
      <c r="F3">
        <f>C3*D3</f>
        <v>42</v>
      </c>
      <c r="G3">
        <f>C3*E3</f>
        <v>144</v>
      </c>
      <c r="H3" s="130">
        <f>'Field data and Waste 1'!D18</f>
        <v>41.540961839999987</v>
      </c>
      <c r="I3" s="130">
        <f>'Field data and Waste 1'!C22</f>
        <v>9.15322338</v>
      </c>
      <c r="J3" s="130">
        <f>H3-F3</f>
        <v>-0.45903816000001285</v>
      </c>
      <c r="K3" s="130">
        <f>I3-G3</f>
        <v>-134.84677662000001</v>
      </c>
    </row>
    <row r="4" spans="1:11" x14ac:dyDescent="0.25">
      <c r="A4" t="s">
        <v>183</v>
      </c>
      <c r="C4">
        <v>30</v>
      </c>
      <c r="D4">
        <v>1.4</v>
      </c>
      <c r="E4">
        <v>4.8</v>
      </c>
      <c r="F4">
        <f t="shared" ref="F4:F8" si="0">C4*D4</f>
        <v>42</v>
      </c>
      <c r="G4">
        <f t="shared" ref="G4:G8" si="1">C4*E4</f>
        <v>144</v>
      </c>
      <c r="H4" s="130">
        <f>'Preseli Cake'!C18</f>
        <v>4.1626553599999996</v>
      </c>
      <c r="I4" s="130">
        <f>'Preseli Cake'!C22</f>
        <v>32.120480000000008</v>
      </c>
      <c r="J4" s="130">
        <f t="shared" ref="J4:J8" si="2">H4-F4</f>
        <v>-37.837344639999998</v>
      </c>
      <c r="K4" s="130">
        <f t="shared" ref="K4:K8" si="3">I4-G4</f>
        <v>-111.87951999999999</v>
      </c>
    </row>
    <row r="5" spans="1:11" x14ac:dyDescent="0.25">
      <c r="A5" t="s">
        <v>184</v>
      </c>
      <c r="C5">
        <v>30</v>
      </c>
      <c r="D5">
        <v>1.4</v>
      </c>
      <c r="E5">
        <v>4.8</v>
      </c>
      <c r="F5">
        <f t="shared" si="0"/>
        <v>42</v>
      </c>
      <c r="G5">
        <f t="shared" si="1"/>
        <v>144</v>
      </c>
      <c r="H5" s="130">
        <f>'Llechryd Cake'!D18</f>
        <v>40.636841600000011</v>
      </c>
      <c r="I5" s="130">
        <f>'Llechryd Cake'!D22</f>
        <v>1.5162045050000001</v>
      </c>
      <c r="J5" s="130">
        <f t="shared" si="2"/>
        <v>-1.363158399999989</v>
      </c>
      <c r="K5" s="130">
        <f t="shared" si="3"/>
        <v>-142.48379549500001</v>
      </c>
    </row>
    <row r="6" spans="1:11" x14ac:dyDescent="0.25">
      <c r="A6" t="s">
        <v>185</v>
      </c>
      <c r="C6">
        <v>30</v>
      </c>
      <c r="D6">
        <v>1.4</v>
      </c>
      <c r="E6">
        <v>4.8</v>
      </c>
      <c r="F6">
        <f t="shared" si="0"/>
        <v>42</v>
      </c>
      <c r="G6">
        <f t="shared" si="1"/>
        <v>144</v>
      </c>
      <c r="H6" s="130">
        <f>'Bolton Hill Liquid'!D18</f>
        <v>10.985345000000002</v>
      </c>
      <c r="I6" s="130">
        <f>'Bolton Hill Liquid'!D22</f>
        <v>2.6389499999999999</v>
      </c>
      <c r="J6" s="130">
        <f t="shared" si="2"/>
        <v>-31.014654999999998</v>
      </c>
      <c r="K6" s="130">
        <f t="shared" si="3"/>
        <v>-141.36105000000001</v>
      </c>
    </row>
    <row r="7" spans="1:11" x14ac:dyDescent="0.25">
      <c r="A7" t="s">
        <v>186</v>
      </c>
      <c r="C7">
        <v>30</v>
      </c>
      <c r="D7">
        <v>1.4</v>
      </c>
      <c r="E7">
        <v>4.8</v>
      </c>
      <c r="F7">
        <f t="shared" si="0"/>
        <v>42</v>
      </c>
      <c r="G7">
        <f t="shared" si="1"/>
        <v>144</v>
      </c>
      <c r="H7" s="130">
        <f>'Preseli Liquid'!D18</f>
        <v>14.845680000000003</v>
      </c>
      <c r="I7" s="130">
        <f>'Preseli Liquid'!D22</f>
        <v>0.50754600000000005</v>
      </c>
      <c r="J7" s="130">
        <f t="shared" si="2"/>
        <v>-27.154319999999998</v>
      </c>
      <c r="K7" s="130">
        <f t="shared" si="3"/>
        <v>-143.49245400000001</v>
      </c>
    </row>
    <row r="8" spans="1:11" x14ac:dyDescent="0.25">
      <c r="A8" t="s">
        <v>187</v>
      </c>
      <c r="C8">
        <v>30</v>
      </c>
      <c r="D8">
        <v>1.4</v>
      </c>
      <c r="E8">
        <v>4.8</v>
      </c>
      <c r="F8">
        <f t="shared" si="0"/>
        <v>42</v>
      </c>
      <c r="G8">
        <f t="shared" si="1"/>
        <v>144</v>
      </c>
      <c r="H8" s="130">
        <f>'Llechryd Liquid'!D18</f>
        <v>9.8840613000000008</v>
      </c>
      <c r="I8" s="130">
        <f>'Llechryd Liquid'!D22</f>
        <v>0.49494772500000001</v>
      </c>
      <c r="J8" s="130">
        <f t="shared" si="2"/>
        <v>-32.115938700000001</v>
      </c>
      <c r="K8" s="130">
        <f t="shared" si="3"/>
        <v>-143.505052275</v>
      </c>
    </row>
    <row r="10" spans="1:11" x14ac:dyDescent="0.25">
      <c r="A10" t="s">
        <v>197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REGU-195-6593943</_dlc_DocId>
    <_dlc_DocIdUrl xmlns="9be56660-2c31-41ef-bc00-23e72f632f2a">
      <Url>https://cyfoethnaturiolcymru.sharepoint.com/teams/Regulatory/Permitting/_layouts/15/DocIdRedir.aspx?ID=REGU-195-6593943</Url>
      <Description>REGU-195-6593943</Description>
    </_dlc_DocIdUrl>
    <Site_x0020_Name xmlns="859f7ad6-93f6-4205-b62b-a17f28acbbac">Stepside Agri Mobile Plant</Site_x0020_Name>
    <Internal_x002f_External xmlns="859f7ad6-93f6-4205-b62b-a17f28acbbac">Internal document</Internal_x002f_External>
    <Post_x0020_code xmlns="859f7ad6-93f6-4205-b62b-a17f28acbbac">Mobile Plant</Post_x0020_code>
    <TaxCatchAll xmlns="859f7ad6-93f6-4205-b62b-a17f28acbbac" xsi:nil="true"/>
    <IconOverlay xmlns="http://schemas.microsoft.com/sharepoint/v4"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2024-12-20T00:00:00+00:00</Document_x0020_Date>
    <Facility_x0020_Address xmlns="859f7ad6-93f6-4205-b62b-a17f28acbbac">Mobile Plant</Facility_x0020_Address>
    <lcf76f155ced4ddcb4097134ff3c332f xmlns="0a3f541d-ab69-4573-98e7-35881639f867" xsi:nil="true"/>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3" ma:contentTypeDescription="Permitting &amp; Compliance Excel Document" ma:contentTypeScope="" ma:versionID="e7b1c1f2aba91afaf91f11b1b3d0ada7">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0a3f541d-ab69-4573-98e7-35881639f867" targetNamespace="http://schemas.microsoft.com/office/2006/metadata/properties" ma:root="true" ma:fieldsID="8480de996f0d07c01b6e165b9b7a4654" ns2:_="" ns4:_="" ns5:_="" ns6:_="" ns7:_="">
    <xsd:import namespace="859f7ad6-93f6-4205-b62b-a17f28acbbac"/>
    <xsd:import namespace="005db27c-c37f-4c3b-898d-3fee1249b087"/>
    <xsd:import namespace="http://schemas.microsoft.com/sharepoint/v4"/>
    <xsd:import namespace="9be56660-2c31-41ef-bc00-23e72f632f2a"/>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3EB88BFD-E29A-4849-A8E6-116EB74B98EA}">
  <ds:schemaRefs>
    <ds:schemaRef ds:uri="http://purl.org/dc/terms/"/>
    <ds:schemaRef ds:uri="http://schemas.microsoft.com/office/2006/metadata/properties"/>
    <ds:schemaRef ds:uri="http://purl.org/dc/elements/1.1/"/>
    <ds:schemaRef ds:uri="http://schemas.microsoft.com/office/2006/documentManagement/types"/>
    <ds:schemaRef ds:uri="http://purl.org/dc/dcmitype/"/>
    <ds:schemaRef ds:uri="9be56660-2c31-41ef-bc00-23e72f632f2a"/>
    <ds:schemaRef ds:uri="http://schemas.microsoft.com/office/infopath/2007/PartnerControl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9D67B2AC-9544-438C-8C24-05AF87C8B820}"/>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08CC6723-3CEE-42E9-994A-7AD25580E7FB}"/>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Field data and Waste 1</vt:lpstr>
      <vt:lpstr>Preseli Cake</vt:lpstr>
      <vt:lpstr>Llechryd Cake</vt:lpstr>
      <vt:lpstr>Bolton Hill Liquid</vt:lpstr>
      <vt:lpstr>Preseli Liquid</vt:lpstr>
      <vt:lpstr>Llechryd Liquid</vt:lpstr>
      <vt:lpstr>Waste 7</vt:lpstr>
      <vt:lpstr>Waste 8</vt:lpstr>
      <vt:lpstr>Waste 9</vt:lpstr>
      <vt:lpstr>Waste 10</vt:lpstr>
      <vt:lpstr>Additions</vt:lpstr>
      <vt:lpstr>Ratios</vt:lpstr>
      <vt:lpstr>Manual Calculations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subject/>
  <dc:creator>Rhiannon Smith</dc:creator>
  <cp:keywords>NRW Nutrient Calculator</cp:keywords>
  <cp:lastModifiedBy>Smith, Rhiannon</cp:lastModifiedBy>
  <dcterms:created xsi:type="dcterms:W3CDTF">2016-09-26T10:07:59Z</dcterms:created>
  <dcterms:modified xsi:type="dcterms:W3CDTF">2024-12-18T15:22:24Z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ee164009-83bf-40dd-883f-e0ace998488c</vt:lpwstr>
  </property>
  <property fmtid="{D5CDD505-2E9C-101B-9397-08002B2CF9AE}" pid="4" name="Order">
    <vt:r8>11594300</vt:r8>
  </property>
  <property fmtid="{D5CDD505-2E9C-101B-9397-08002B2CF9AE}" pid="5" name="From1">
    <vt:lpwstr/>
  </property>
  <property fmtid="{D5CDD505-2E9C-101B-9397-08002B2CF9AE}" pid="6" name="xd_ProgID">
    <vt:lpwstr/>
  </property>
  <property fmtid="{D5CDD505-2E9C-101B-9397-08002B2CF9AE}" pid="7" name="MediaServiceImageTags">
    <vt:lpwstr/>
  </property>
  <property fmtid="{D5CDD505-2E9C-101B-9397-08002B2CF9AE}" pid="8" name="TemplateUrl">
    <vt:lpwstr/>
  </property>
  <property fmtid="{D5CDD505-2E9C-101B-9397-08002B2CF9AE}" pid="9" name="CC">
    <vt:lpwstr/>
  </property>
  <property fmtid="{D5CDD505-2E9C-101B-9397-08002B2CF9AE}" pid="10" name="To">
    <vt:lpwstr/>
  </property>
  <property fmtid="{D5CDD505-2E9C-101B-9397-08002B2CF9AE}" pid="11" name="IconOverlay">
    <vt:lpwstr/>
  </property>
  <property fmtid="{D5CDD505-2E9C-101B-9397-08002B2CF9AE}" pid="12" name="_ExtendedDescription">
    <vt:lpwstr/>
  </property>
  <property fmtid="{D5CDD505-2E9C-101B-9397-08002B2CF9AE}" pid="13" name="_CopySource">
    <vt:lpwstr>https://cyfoethnaturiolcymru.sharepoint.com/teams/Regulatory/wip/WIP Waste Permitting Team LTD/03. Deployment Admin/Waste team templates/PAN-XXXXXX NRW Nutrient Calculator.xlsx</vt:lpwstr>
  </property>
  <property fmtid="{D5CDD505-2E9C-101B-9397-08002B2CF9AE}" pid="14" name="URL">
    <vt:lpwstr/>
  </property>
  <property fmtid="{D5CDD505-2E9C-101B-9397-08002B2CF9AE}" pid="15" name="BCC">
    <vt:lpwstr/>
  </property>
  <property fmtid="{D5CDD505-2E9C-101B-9397-08002B2CF9AE}" pid="16" name="lcf76f155ced4ddcb4097134ff3c332f">
    <vt:lpwstr/>
  </property>
  <property fmtid="{D5CDD505-2E9C-101B-9397-08002B2CF9AE}" pid="17" name="TaxCatchAll">
    <vt:lpwstr/>
  </property>
</Properties>
</file>