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7648 ByProduct High/Issue/"/>
    </mc:Choice>
  </mc:AlternateContent>
  <xr:revisionPtr revIDLastSave="0" documentId="8_{543E3BBB-71F7-45BC-B235-5872906C980F}" xr6:coauthVersionLast="47" xr6:coauthVersionMax="47" xr10:uidLastSave="{00000000-0000-0000-0000-000000000000}"/>
  <bookViews>
    <workbookView xWindow="33720" yWindow="-120" windowWidth="29040" windowHeight="15720" tabRatio="870" xr2:uid="{00000000-000D-0000-FFFF-FFFF00000000}"/>
  </bookViews>
  <sheets>
    <sheet name="Field data and Alaw" sheetId="1" r:id="rId1"/>
    <sheet name="Bryn Cowlyd" sheetId="21" r:id="rId2"/>
    <sheet name="Cefni" sheetId="27" r:id="rId3"/>
    <sheet name="Cilfor" sheetId="28" r:id="rId4"/>
    <sheet name="Cwellyn" sheetId="30" r:id="rId5"/>
    <sheet name="Dolbenmaen" sheetId="26" r:id="rId6"/>
    <sheet name="Garreglwyd" sheetId="24" r:id="rId7"/>
    <sheet name="LLyn Conwy" sheetId="29" r:id="rId8"/>
    <sheet name="Mynydd" sheetId="23" r:id="rId9"/>
    <sheet name="Rhiwgoch"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K65" i="1" l="1"/>
  <c r="L65" i="1"/>
  <c r="N65" i="1"/>
  <c r="P65" i="1"/>
  <c r="Q65" i="1"/>
  <c r="R65" i="1"/>
  <c r="S65" i="1"/>
  <c r="T65" i="1"/>
  <c r="U65" i="1"/>
  <c r="K65" i="21"/>
  <c r="L65" i="21"/>
  <c r="N65" i="21"/>
  <c r="P65" i="21"/>
  <c r="Q65" i="21"/>
  <c r="R65" i="21"/>
  <c r="S65" i="21"/>
  <c r="T65" i="21"/>
  <c r="U65" i="21"/>
  <c r="K65" i="27"/>
  <c r="L65" i="27"/>
  <c r="N65" i="27"/>
  <c r="P65" i="27"/>
  <c r="Q65" i="27"/>
  <c r="R65" i="27"/>
  <c r="S65" i="27"/>
  <c r="T65" i="27"/>
  <c r="U65" i="27"/>
  <c r="K65" i="28"/>
  <c r="L65" i="28"/>
  <c r="N65" i="28"/>
  <c r="P65" i="28"/>
  <c r="Q65" i="28"/>
  <c r="R65" i="28"/>
  <c r="S65" i="28"/>
  <c r="T65" i="28"/>
  <c r="U65" i="28"/>
  <c r="K65" i="30"/>
  <c r="N65" i="30"/>
  <c r="P65" i="30"/>
  <c r="Q65" i="30"/>
  <c r="R65" i="30"/>
  <c r="S65" i="30"/>
  <c r="T65" i="30"/>
  <c r="U65" i="30"/>
  <c r="K65" i="26"/>
  <c r="L65" i="26"/>
  <c r="N65" i="26"/>
  <c r="P65" i="26"/>
  <c r="Q65" i="26"/>
  <c r="R65" i="26"/>
  <c r="S65" i="26"/>
  <c r="T65" i="26"/>
  <c r="U65" i="26"/>
  <c r="K65" i="24"/>
  <c r="L65" i="24"/>
  <c r="N65" i="24"/>
  <c r="P65" i="24"/>
  <c r="Q65" i="24"/>
  <c r="R65" i="24"/>
  <c r="S65" i="24"/>
  <c r="T65" i="24"/>
  <c r="U65" i="24"/>
  <c r="K65" i="29"/>
  <c r="L65" i="29"/>
  <c r="N65" i="29"/>
  <c r="P65" i="29"/>
  <c r="Q65" i="29"/>
  <c r="R65" i="29"/>
  <c r="S65" i="29"/>
  <c r="T65" i="29"/>
  <c r="U65" i="29"/>
  <c r="K65" i="23"/>
  <c r="L65" i="23"/>
  <c r="N65" i="23"/>
  <c r="P65" i="23"/>
  <c r="Q65" i="23"/>
  <c r="R65" i="23"/>
  <c r="S65" i="23"/>
  <c r="T65" i="23"/>
  <c r="U65" i="23"/>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S22" i="30"/>
  <c r="Q22" i="30"/>
  <c r="M22" i="30"/>
  <c r="K22" i="30"/>
  <c r="V20" i="30"/>
  <c r="U20" i="30"/>
  <c r="T20" i="30"/>
  <c r="S20" i="30"/>
  <c r="R20" i="30"/>
  <c r="Q20" i="30"/>
  <c r="P20" i="30"/>
  <c r="O20" i="30"/>
  <c r="N20" i="30"/>
  <c r="M20" i="30"/>
  <c r="L20" i="30"/>
  <c r="K20" i="30"/>
  <c r="V18" i="30"/>
  <c r="P18" i="30"/>
  <c r="N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J22" i="29"/>
  <c r="V20" i="29"/>
  <c r="U20" i="29"/>
  <c r="T20" i="29"/>
  <c r="S20" i="29"/>
  <c r="R20" i="29"/>
  <c r="Q20" i="29"/>
  <c r="P20" i="29"/>
  <c r="O20" i="29"/>
  <c r="N20" i="29"/>
  <c r="M20" i="29"/>
  <c r="L20" i="29"/>
  <c r="K20" i="29"/>
  <c r="V18" i="29"/>
  <c r="U18" i="29"/>
  <c r="R18" i="29"/>
  <c r="P18" i="29"/>
  <c r="N18" i="29"/>
  <c r="M18" i="29"/>
  <c r="H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M24" i="28"/>
  <c r="L24" i="28"/>
  <c r="K24" i="28"/>
  <c r="U22" i="28"/>
  <c r="M22" i="28"/>
  <c r="V20" i="28"/>
  <c r="U20" i="28"/>
  <c r="T20" i="28"/>
  <c r="S20" i="28"/>
  <c r="R20" i="28"/>
  <c r="Q20" i="28"/>
  <c r="P20" i="28"/>
  <c r="O20" i="28"/>
  <c r="N20" i="28"/>
  <c r="M20" i="28"/>
  <c r="L20" i="28"/>
  <c r="K20" i="28"/>
  <c r="V18" i="28"/>
  <c r="U18" i="28"/>
  <c r="N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M24" i="27"/>
  <c r="L24" i="27"/>
  <c r="K24" i="27"/>
  <c r="Q22" i="27"/>
  <c r="O22" i="27"/>
  <c r="V20" i="27"/>
  <c r="U20" i="27"/>
  <c r="T20" i="27"/>
  <c r="S20" i="27"/>
  <c r="R20" i="27"/>
  <c r="Q20" i="27"/>
  <c r="P20" i="27"/>
  <c r="O20" i="27"/>
  <c r="N20" i="27"/>
  <c r="M20" i="27"/>
  <c r="L20" i="27"/>
  <c r="K20" i="27"/>
  <c r="U18" i="27"/>
  <c r="S18" i="27"/>
  <c r="L18" i="27"/>
  <c r="K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I22" i="26"/>
  <c r="V20" i="26"/>
  <c r="U20" i="26"/>
  <c r="T20" i="26"/>
  <c r="S20" i="26"/>
  <c r="R20" i="26"/>
  <c r="Q20" i="26"/>
  <c r="P20" i="26"/>
  <c r="O20" i="26"/>
  <c r="N20" i="26"/>
  <c r="M20" i="26"/>
  <c r="L20" i="26"/>
  <c r="K20" i="26"/>
  <c r="T18" i="26"/>
  <c r="S18" i="26"/>
  <c r="O18" i="26"/>
  <c r="L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N20" i="24"/>
  <c r="M20" i="24"/>
  <c r="L20" i="24"/>
  <c r="K20" i="24"/>
  <c r="U18" i="24"/>
  <c r="M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M24" i="23"/>
  <c r="L24" i="23"/>
  <c r="K24" i="23"/>
  <c r="I22" i="23"/>
  <c r="V20" i="23"/>
  <c r="U20" i="23"/>
  <c r="T20" i="23"/>
  <c r="S20" i="23"/>
  <c r="R20" i="23"/>
  <c r="Q20" i="23"/>
  <c r="P20" i="23"/>
  <c r="O20" i="23"/>
  <c r="N20" i="23"/>
  <c r="M20" i="23"/>
  <c r="L20" i="23"/>
  <c r="K20" i="23"/>
  <c r="S18"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V20" i="22"/>
  <c r="U20" i="22"/>
  <c r="T20" i="22"/>
  <c r="S20" i="22"/>
  <c r="R20" i="22"/>
  <c r="Q20" i="22"/>
  <c r="P20" i="22"/>
  <c r="O20" i="22"/>
  <c r="N20" i="22"/>
  <c r="M20" i="22"/>
  <c r="L20" i="22"/>
  <c r="S18" i="22"/>
  <c r="O18" i="22"/>
  <c r="M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19" i="26" s="1"/>
  <c r="N21" i="26"/>
  <c r="N23" i="26" s="1"/>
  <c r="N24" i="26" s="1"/>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I4" i="20"/>
  <c r="J4" i="19"/>
  <c r="J18" i="19" s="1"/>
  <c r="I59" i="21"/>
  <c r="J17" i="21"/>
  <c r="J19" i="21" s="1"/>
  <c r="J20" i="21" s="1"/>
  <c r="J21" i="21"/>
  <c r="J23" i="21" s="1"/>
  <c r="J24" i="21" s="1"/>
  <c r="C59" i="22"/>
  <c r="D21" i="22"/>
  <c r="D23" i="22" s="1"/>
  <c r="D24"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E19" i="22" s="1"/>
  <c r="E20" i="22" s="1"/>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G19" i="23" s="1"/>
  <c r="G20" i="23" s="1"/>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E23" i="23" s="1"/>
  <c r="E24" i="23" s="1"/>
  <c r="L59" i="23"/>
  <c r="M17" i="23"/>
  <c r="M21" i="23"/>
  <c r="T59" i="23"/>
  <c r="U17" i="23"/>
  <c r="U19" i="23" s="1"/>
  <c r="U21" i="23"/>
  <c r="U23"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24" i="29" s="1"/>
  <c r="R17" i="29"/>
  <c r="H59" i="30"/>
  <c r="H64" i="30" s="1"/>
  <c r="H65" i="30" s="1"/>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23" i="23" s="1"/>
  <c r="N24" i="23" s="1"/>
  <c r="N17" i="23"/>
  <c r="N19" i="23" s="1"/>
  <c r="U59" i="23"/>
  <c r="V21" i="23"/>
  <c r="V23" i="23" s="1"/>
  <c r="V17" i="23"/>
  <c r="I17" i="24"/>
  <c r="I19" i="24" s="1"/>
  <c r="I20" i="24" s="1"/>
  <c r="I21" i="24"/>
  <c r="I23" i="24" s="1"/>
  <c r="I24" i="24" s="1"/>
  <c r="Q17" i="24"/>
  <c r="Q19" i="24" s="1"/>
  <c r="Q21" i="24"/>
  <c r="Q23" i="24" s="1"/>
  <c r="Q24" i="24" s="1"/>
  <c r="D59" i="26"/>
  <c r="E21" i="26"/>
  <c r="E23" i="26" s="1"/>
  <c r="E24" i="26" s="1"/>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O65"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23" i="26" s="1"/>
  <c r="G24" i="26" s="1"/>
  <c r="G17" i="26"/>
  <c r="O17" i="26"/>
  <c r="O21" i="26"/>
  <c r="E59" i="27"/>
  <c r="F17" i="27"/>
  <c r="F19" i="27" s="1"/>
  <c r="F20" i="27" s="1"/>
  <c r="M59" i="27"/>
  <c r="N17" i="27"/>
  <c r="N19" i="27" s="1"/>
  <c r="U59" i="27"/>
  <c r="V17" i="27"/>
  <c r="E59" i="28"/>
  <c r="F17" i="28"/>
  <c r="F19" i="28" s="1"/>
  <c r="F20" i="28" s="1"/>
  <c r="F21" i="28"/>
  <c r="F23" i="28" s="1"/>
  <c r="F24" i="28" s="1"/>
  <c r="M59" i="28"/>
  <c r="N17" i="28"/>
  <c r="N19" i="28" s="1"/>
  <c r="N21" i="28"/>
  <c r="N23" i="28" s="1"/>
  <c r="N24" i="28" s="1"/>
  <c r="U59" i="28"/>
  <c r="V17" i="28"/>
  <c r="V21" i="28"/>
  <c r="D59" i="29"/>
  <c r="E17" i="29"/>
  <c r="E19" i="29" s="1"/>
  <c r="E20" i="29" s="1"/>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19" i="22" s="1"/>
  <c r="G20" i="22" s="1"/>
  <c r="G21" i="22"/>
  <c r="G23" i="22" s="1"/>
  <c r="G24" i="22" s="1"/>
  <c r="O17" i="22"/>
  <c r="O19" i="22" s="1"/>
  <c r="O21" i="22"/>
  <c r="O23" i="22" s="1"/>
  <c r="O24" i="22" s="1"/>
  <c r="H59" i="23"/>
  <c r="I21" i="23"/>
  <c r="I23" i="23" s="1"/>
  <c r="I24" i="23" s="1"/>
  <c r="I17" i="23"/>
  <c r="P59" i="23"/>
  <c r="Q17" i="23"/>
  <c r="Q21" i="23"/>
  <c r="Q23" i="23" s="1"/>
  <c r="C59" i="24"/>
  <c r="D17" i="24"/>
  <c r="D19" i="24" s="1"/>
  <c r="D20" i="24" s="1"/>
  <c r="D21" i="24"/>
  <c r="D23" i="24" s="1"/>
  <c r="D24" i="24" s="1"/>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19" i="29" s="1"/>
  <c r="N21" i="29"/>
  <c r="N23" i="29" s="1"/>
  <c r="N24" i="29" s="1"/>
  <c r="U59" i="29"/>
  <c r="V17" i="29"/>
  <c r="V21" i="29"/>
  <c r="V23" i="29" s="1"/>
  <c r="V24" i="29" s="1"/>
  <c r="D59" i="30"/>
  <c r="E17" i="30"/>
  <c r="E19" i="30" s="1"/>
  <c r="E20" i="30" s="1"/>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G59" i="22"/>
  <c r="H21" i="22"/>
  <c r="H17" i="22"/>
  <c r="H19" i="22" s="1"/>
  <c r="H20" i="22" s="1"/>
  <c r="I59" i="23"/>
  <c r="J21" i="23"/>
  <c r="J17" i="23"/>
  <c r="J19" i="23" s="1"/>
  <c r="J20" i="23" s="1"/>
  <c r="Q59" i="23"/>
  <c r="R21" i="23"/>
  <c r="R17" i="23"/>
  <c r="D59" i="24"/>
  <c r="E17" i="24"/>
  <c r="E19" i="24" s="1"/>
  <c r="E20" i="24" s="1"/>
  <c r="E21" i="24"/>
  <c r="E23" i="24" s="1"/>
  <c r="E24" i="24" s="1"/>
  <c r="L59" i="24"/>
  <c r="M17" i="24"/>
  <c r="M19"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H19" i="28" s="1"/>
  <c r="H20" i="28" s="1"/>
  <c r="P21" i="28"/>
  <c r="P17" i="28"/>
  <c r="P19" i="28" s="1"/>
  <c r="G17" i="29"/>
  <c r="G19" i="29" s="1"/>
  <c r="G20" i="29" s="1"/>
  <c r="G21" i="29"/>
  <c r="G23" i="29" s="1"/>
  <c r="G24" i="29" s="1"/>
  <c r="O17" i="29"/>
  <c r="O21" i="29"/>
  <c r="E59" i="30"/>
  <c r="F21" i="30"/>
  <c r="F23" i="30" s="1"/>
  <c r="F24" i="30" s="1"/>
  <c r="F17" i="30"/>
  <c r="F19" i="30" s="1"/>
  <c r="F20" i="30" s="1"/>
  <c r="M59" i="30"/>
  <c r="N21" i="30"/>
  <c r="N23" i="30" s="1"/>
  <c r="N24" i="30" s="1"/>
  <c r="N17" i="30"/>
  <c r="N19"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0" i="22" s="1"/>
  <c r="I21" i="22"/>
  <c r="I23" i="22" s="1"/>
  <c r="I24" i="22" s="1"/>
  <c r="P59" i="22"/>
  <c r="Q17" i="22"/>
  <c r="Q19" i="22" s="1"/>
  <c r="Q21" i="22"/>
  <c r="J59" i="23"/>
  <c r="K17" i="23"/>
  <c r="K21" i="23"/>
  <c r="K23" i="23" s="1"/>
  <c r="R59" i="23"/>
  <c r="S17" i="23"/>
  <c r="S19" i="23" s="1"/>
  <c r="S21" i="23"/>
  <c r="E59" i="24"/>
  <c r="F21" i="24"/>
  <c r="F17" i="24"/>
  <c r="F19" i="24" s="1"/>
  <c r="F20" i="24" s="1"/>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I19" i="28" s="1"/>
  <c r="I20" i="28" s="1"/>
  <c r="Q21" i="28"/>
  <c r="Q23" i="28" s="1"/>
  <c r="Q17" i="28"/>
  <c r="Q19" i="28" s="1"/>
  <c r="H21" i="29"/>
  <c r="H23" i="29" s="1"/>
  <c r="H24" i="29" s="1"/>
  <c r="H17" i="29"/>
  <c r="P21" i="29"/>
  <c r="P23" i="29" s="1"/>
  <c r="P24"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1" i="26"/>
  <c r="R59" i="26"/>
  <c r="S17" i="26"/>
  <c r="S19" i="26" s="1"/>
  <c r="S21" i="26"/>
  <c r="S23" i="26" s="1"/>
  <c r="S24" i="26" s="1"/>
  <c r="M63" i="26"/>
  <c r="I59" i="27"/>
  <c r="J17" i="27"/>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S58" i="21"/>
  <c r="S61" i="21" s="1"/>
  <c r="C58" i="21"/>
  <c r="C61" i="21" s="1"/>
  <c r="C64" i="21" s="1"/>
  <c r="C65" i="21" s="1"/>
  <c r="K58" i="21"/>
  <c r="K61" i="21" s="1"/>
  <c r="K64" i="21" s="1"/>
  <c r="R19" i="24"/>
  <c r="I21" i="27"/>
  <c r="I23" i="27" s="1"/>
  <c r="I24" i="27" s="1"/>
  <c r="Q21" i="27"/>
  <c r="R58" i="21"/>
  <c r="R61" i="21" s="1"/>
  <c r="R64" i="21" s="1"/>
  <c r="O57" i="21"/>
  <c r="A43" i="21"/>
  <c r="J58" i="21"/>
  <c r="J61" i="21" s="1"/>
  <c r="D58" i="29"/>
  <c r="D61" i="29" s="1"/>
  <c r="P23" i="26"/>
  <c r="P24" i="26" s="1"/>
  <c r="G21" i="27"/>
  <c r="G23" i="27" s="1"/>
  <c r="G24" i="27" s="1"/>
  <c r="O21" i="27"/>
  <c r="O23" i="27" s="1"/>
  <c r="D58" i="30"/>
  <c r="D61" i="30" s="1"/>
  <c r="D64" i="30" s="1"/>
  <c r="D65" i="30" s="1"/>
  <c r="L58" i="30"/>
  <c r="L61" i="30" s="1"/>
  <c r="L64" i="30" s="1"/>
  <c r="R58" i="23"/>
  <c r="R61" i="23" s="1"/>
  <c r="H21" i="27"/>
  <c r="H23" i="27" s="1"/>
  <c r="H24" i="27" s="1"/>
  <c r="P21" i="27"/>
  <c r="J58" i="22"/>
  <c r="J61" i="22" s="1"/>
  <c r="J58" i="26"/>
  <c r="J61" i="26" s="1"/>
  <c r="J23" i="23"/>
  <c r="J24" i="23" s="1"/>
  <c r="R19" i="23"/>
  <c r="J58" i="27"/>
  <c r="J61" i="27" s="1"/>
  <c r="J64" i="27" s="1"/>
  <c r="J65" i="27" s="1"/>
  <c r="R58" i="27"/>
  <c r="R61" i="27" s="1"/>
  <c r="R64" i="27" s="1"/>
  <c r="R58" i="28"/>
  <c r="R61" i="28" s="1"/>
  <c r="R64" i="28" s="1"/>
  <c r="F58" i="22"/>
  <c r="F61" i="22" s="1"/>
  <c r="N58" i="22"/>
  <c r="N61" i="22" s="1"/>
  <c r="N64" i="22" s="1"/>
  <c r="F58" i="23"/>
  <c r="F61" i="23" s="1"/>
  <c r="N58" i="23"/>
  <c r="N61" i="23" s="1"/>
  <c r="D19" i="27"/>
  <c r="D20" i="27" s="1"/>
  <c r="L21" i="27"/>
  <c r="L23" i="27" s="1"/>
  <c r="T21" i="27"/>
  <c r="H57" i="29"/>
  <c r="P58" i="21"/>
  <c r="P61" i="21" s="1"/>
  <c r="H58" i="21"/>
  <c r="H61" i="21" s="1"/>
  <c r="N59" i="23"/>
  <c r="R58" i="26"/>
  <c r="R61" i="26" s="1"/>
  <c r="R57" i="21"/>
  <c r="H58" i="22"/>
  <c r="H61" i="22" s="1"/>
  <c r="H64" i="22" s="1"/>
  <c r="P58" i="22"/>
  <c r="P61" i="22" s="1"/>
  <c r="P64" i="22" s="1"/>
  <c r="F59" i="22"/>
  <c r="K58" i="29"/>
  <c r="K61" i="29" s="1"/>
  <c r="I58" i="23"/>
  <c r="I61" i="23" s="1"/>
  <c r="I64" i="23" s="1"/>
  <c r="I65" i="23" s="1"/>
  <c r="Q58" i="23"/>
  <c r="Q61" i="23" s="1"/>
  <c r="L58" i="29"/>
  <c r="L61" i="29" s="1"/>
  <c r="T58" i="29"/>
  <c r="T61" i="29" s="1"/>
  <c r="T64" i="29" s="1"/>
  <c r="I23" i="30"/>
  <c r="I24" i="30" s="1"/>
  <c r="Q23" i="30"/>
  <c r="Q24" i="30" s="1"/>
  <c r="U23" i="30"/>
  <c r="U24" i="30" s="1"/>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Q24" i="22" s="1"/>
  <c r="J19" i="27"/>
  <c r="J20" i="27" s="1"/>
  <c r="R21" i="27"/>
  <c r="R23"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K19" i="21"/>
  <c r="Q57" i="21"/>
  <c r="B58" i="21"/>
  <c r="B61" i="21" s="1"/>
  <c r="I58" i="22"/>
  <c r="I61"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H24" i="22" s="1"/>
  <c r="P23" i="22"/>
  <c r="P24" i="22" s="1"/>
  <c r="C58" i="22"/>
  <c r="C61" i="22" s="1"/>
  <c r="C64" i="22" s="1"/>
  <c r="C65" i="22" s="1"/>
  <c r="K58" i="22"/>
  <c r="K61" i="22" s="1"/>
  <c r="K64" i="22" s="1"/>
  <c r="S58" i="22"/>
  <c r="S61" i="22" s="1"/>
  <c r="S64" i="22" s="1"/>
  <c r="F57" i="23"/>
  <c r="L23" i="24"/>
  <c r="L24" i="24" s="1"/>
  <c r="T23" i="24"/>
  <c r="T24" i="24" s="1"/>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L24" i="29" s="1"/>
  <c r="T23" i="29"/>
  <c r="T24" i="29" s="1"/>
  <c r="G58" i="29"/>
  <c r="G61" i="29" s="1"/>
  <c r="O58" i="29"/>
  <c r="O61" i="29" s="1"/>
  <c r="P59" i="29"/>
  <c r="I57" i="30"/>
  <c r="M19" i="21"/>
  <c r="G57" i="21"/>
  <c r="E58" i="22"/>
  <c r="E61" i="22" s="1"/>
  <c r="M58" i="22"/>
  <c r="M61"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Q58" i="28"/>
  <c r="Q61" i="28" s="1"/>
  <c r="Q64" i="28" s="1"/>
  <c r="P23" i="28"/>
  <c r="H58" i="29"/>
  <c r="H61" i="29" s="1"/>
  <c r="P58" i="29"/>
  <c r="P61" i="29" s="1"/>
  <c r="E58" i="30"/>
  <c r="E61" i="30" s="1"/>
  <c r="E64"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H23" i="30"/>
  <c r="H24" i="30" s="1"/>
  <c r="R19" i="30"/>
  <c r="F63" i="30"/>
  <c r="N63" i="30"/>
  <c r="K19" i="30"/>
  <c r="S19" i="30"/>
  <c r="S23" i="30"/>
  <c r="S24" i="30" s="1"/>
  <c r="A31" i="30"/>
  <c r="A33" i="30"/>
  <c r="A39" i="30"/>
  <c r="A41" i="30"/>
  <c r="A47" i="30"/>
  <c r="A49" i="30"/>
  <c r="G57" i="30"/>
  <c r="O57" i="30"/>
  <c r="G59" i="30"/>
  <c r="O59" i="30"/>
  <c r="G63" i="30"/>
  <c r="O63" i="30"/>
  <c r="P63" i="30"/>
  <c r="I63" i="30"/>
  <c r="Q63" i="30"/>
  <c r="T19" i="30"/>
  <c r="V19" i="30"/>
  <c r="B63" i="30"/>
  <c r="J63" i="30"/>
  <c r="R63" i="30"/>
  <c r="M19" i="30"/>
  <c r="A32" i="30"/>
  <c r="A34" i="30"/>
  <c r="A40" i="30"/>
  <c r="A42" i="30"/>
  <c r="A48" i="30"/>
  <c r="A50" i="30"/>
  <c r="C63" i="30"/>
  <c r="K63" i="30"/>
  <c r="S63" i="30"/>
  <c r="P19" i="30"/>
  <c r="D63" i="30"/>
  <c r="L63" i="30"/>
  <c r="L65" i="30" s="1"/>
  <c r="T63" i="30"/>
  <c r="H63" i="30"/>
  <c r="Q19" i="30"/>
  <c r="E63" i="30"/>
  <c r="M63" i="30"/>
  <c r="Q23" i="29"/>
  <c r="Q24" i="29" s="1"/>
  <c r="O23" i="29"/>
  <c r="O24" i="29" s="1"/>
  <c r="T19" i="29"/>
  <c r="P63" i="29"/>
  <c r="J19" i="29"/>
  <c r="J20" i="29" s="1"/>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M19" i="29"/>
  <c r="U19" i="29"/>
  <c r="M23" i="29"/>
  <c r="M24" i="29" s="1"/>
  <c r="U23" i="29"/>
  <c r="U24" i="29" s="1"/>
  <c r="I57" i="29"/>
  <c r="Q57" i="29"/>
  <c r="I63" i="29"/>
  <c r="Q63" i="29"/>
  <c r="F19" i="29"/>
  <c r="F20" i="29" s="1"/>
  <c r="V19" i="29"/>
  <c r="F23" i="29"/>
  <c r="F24" i="29" s="1"/>
  <c r="B63" i="29"/>
  <c r="J63" i="29"/>
  <c r="R63" i="29"/>
  <c r="L19" i="29"/>
  <c r="O19" i="29"/>
  <c r="A32" i="29"/>
  <c r="A34" i="29"/>
  <c r="A40" i="29"/>
  <c r="A42" i="29"/>
  <c r="A48" i="29"/>
  <c r="A50" i="29"/>
  <c r="C63" i="29"/>
  <c r="K63" i="29"/>
  <c r="S63" i="29"/>
  <c r="H19" i="29"/>
  <c r="H20" i="29" s="1"/>
  <c r="P19" i="29"/>
  <c r="D63" i="29"/>
  <c r="L63" i="29"/>
  <c r="T63" i="29"/>
  <c r="E63" i="29"/>
  <c r="M63" i="29"/>
  <c r="K19" i="28"/>
  <c r="S19" i="28"/>
  <c r="K23" i="28"/>
  <c r="A31" i="28"/>
  <c r="A33" i="28"/>
  <c r="A37" i="28"/>
  <c r="A39" i="28"/>
  <c r="A41" i="28"/>
  <c r="A45" i="28"/>
  <c r="A47" i="28"/>
  <c r="A49" i="28"/>
  <c r="G57" i="28"/>
  <c r="O57" i="28"/>
  <c r="G59" i="28"/>
  <c r="O59" i="28"/>
  <c r="G63" i="28"/>
  <c r="O63" i="28"/>
  <c r="D19" i="28"/>
  <c r="D20" i="28" s="1"/>
  <c r="L19" i="28"/>
  <c r="L23" i="28"/>
  <c r="T23" i="28"/>
  <c r="H59" i="28"/>
  <c r="P59" i="28"/>
  <c r="H63" i="28"/>
  <c r="P63" i="28"/>
  <c r="M19" i="28"/>
  <c r="U19" i="28"/>
  <c r="M23" i="28"/>
  <c r="I57" i="28"/>
  <c r="Q57" i="28"/>
  <c r="I63" i="28"/>
  <c r="Q63" i="28"/>
  <c r="R19" i="28"/>
  <c r="V19" i="28"/>
  <c r="V23" i="28"/>
  <c r="B63" i="28"/>
  <c r="J63" i="28"/>
  <c r="R63" i="28"/>
  <c r="A32" i="28"/>
  <c r="A34" i="28"/>
  <c r="A40" i="28"/>
  <c r="A42" i="28"/>
  <c r="A48" i="28"/>
  <c r="A50" i="28"/>
  <c r="C63" i="28"/>
  <c r="K63" i="28"/>
  <c r="S63" i="28"/>
  <c r="D63" i="28"/>
  <c r="L63" i="28"/>
  <c r="T63" i="28"/>
  <c r="E63" i="28"/>
  <c r="M63" i="28"/>
  <c r="Q23" i="27"/>
  <c r="T23" i="27"/>
  <c r="R19" i="27"/>
  <c r="J21" i="27"/>
  <c r="J23" i="27" s="1"/>
  <c r="J24" i="27" s="1"/>
  <c r="F63" i="27"/>
  <c r="N63" i="27"/>
  <c r="K21" i="27"/>
  <c r="K23"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V19" i="27"/>
  <c r="F21" i="27"/>
  <c r="F23" i="27" s="1"/>
  <c r="F24" i="27" s="1"/>
  <c r="N21" i="27"/>
  <c r="N23" i="27" s="1"/>
  <c r="N24" i="27" s="1"/>
  <c r="V21" i="27"/>
  <c r="V23" i="27" s="1"/>
  <c r="B63" i="27"/>
  <c r="J63" i="27"/>
  <c r="R63" i="27"/>
  <c r="A32" i="27"/>
  <c r="A34" i="27"/>
  <c r="A40" i="27"/>
  <c r="A42" i="27"/>
  <c r="A48" i="27"/>
  <c r="A50" i="27"/>
  <c r="C63" i="27"/>
  <c r="K63" i="27"/>
  <c r="S63" i="27"/>
  <c r="L19" i="27"/>
  <c r="H19" i="27"/>
  <c r="H20" i="27" s="1"/>
  <c r="D63" i="27"/>
  <c r="L63" i="27"/>
  <c r="T63" i="27"/>
  <c r="H63" i="27"/>
  <c r="Q19" i="27"/>
  <c r="E63" i="27"/>
  <c r="M63" i="27"/>
  <c r="U64" i="26"/>
  <c r="U66" i="26" s="1"/>
  <c r="O23" i="26"/>
  <c r="O24" i="26" s="1"/>
  <c r="K23" i="26"/>
  <c r="K24" i="26" s="1"/>
  <c r="A31" i="26"/>
  <c r="A33" i="26"/>
  <c r="A37" i="26"/>
  <c r="A39" i="26"/>
  <c r="A41" i="26"/>
  <c r="A45" i="26"/>
  <c r="A47" i="26"/>
  <c r="A49" i="26"/>
  <c r="G57" i="26"/>
  <c r="O57" i="26"/>
  <c r="G59" i="26"/>
  <c r="O59" i="26"/>
  <c r="G63" i="26"/>
  <c r="O63" i="26"/>
  <c r="L19" i="26"/>
  <c r="T19" i="26"/>
  <c r="L23" i="26"/>
  <c r="L24" i="26" s="1"/>
  <c r="T23" i="26"/>
  <c r="T24" i="26" s="1"/>
  <c r="H63" i="26"/>
  <c r="P63" i="26"/>
  <c r="M19" i="26"/>
  <c r="M23" i="26"/>
  <c r="M24" i="26" s="1"/>
  <c r="I57" i="26"/>
  <c r="Q57" i="26"/>
  <c r="I59" i="26"/>
  <c r="Q59" i="26"/>
  <c r="Q64" i="26" s="1"/>
  <c r="I63" i="26"/>
  <c r="Q63" i="26"/>
  <c r="V23" i="26"/>
  <c r="V24" i="26" s="1"/>
  <c r="B63" i="26"/>
  <c r="J63" i="26"/>
  <c r="R63" i="26"/>
  <c r="G19" i="26"/>
  <c r="G20" i="26" s="1"/>
  <c r="O19" i="26"/>
  <c r="A32" i="26"/>
  <c r="A34" i="26"/>
  <c r="A40" i="26"/>
  <c r="A42" i="26"/>
  <c r="A48" i="26"/>
  <c r="A50" i="26"/>
  <c r="C63" i="26"/>
  <c r="K63" i="26"/>
  <c r="S63" i="26"/>
  <c r="H19" i="26"/>
  <c r="H20" i="26" s="1"/>
  <c r="P19" i="26"/>
  <c r="D63" i="26"/>
  <c r="L63" i="26"/>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D24" i="23" s="1"/>
  <c r="L23" i="23"/>
  <c r="T23" i="23"/>
  <c r="E19" i="23"/>
  <c r="E20" i="23" s="1"/>
  <c r="M19" i="23"/>
  <c r="M23" i="23"/>
  <c r="I57" i="23"/>
  <c r="Q57" i="23"/>
  <c r="F23" i="23"/>
  <c r="F24"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M19" i="22"/>
  <c r="E23" i="22"/>
  <c r="E24" i="22" s="1"/>
  <c r="U23" i="22"/>
  <c r="U24" i="22" s="1"/>
  <c r="I57" i="22"/>
  <c r="Q57" i="22"/>
  <c r="K19" i="22"/>
  <c r="K20" i="22" s="1"/>
  <c r="A39" i="22"/>
  <c r="A49" i="22"/>
  <c r="N19" i="22"/>
  <c r="V19" i="22"/>
  <c r="V23" i="22"/>
  <c r="V24" i="22" s="1"/>
  <c r="A32" i="22"/>
  <c r="A34" i="22"/>
  <c r="A40" i="22"/>
  <c r="A42" i="22"/>
  <c r="A48" i="22"/>
  <c r="A50" i="22"/>
  <c r="P19" i="22"/>
  <c r="P64" i="21"/>
  <c r="H23" i="21"/>
  <c r="H24" i="21" s="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R23" i="21"/>
  <c r="R24" i="21" s="1"/>
  <c r="I19" i="21"/>
  <c r="I20" i="21" s="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5" i="22" l="1"/>
  <c r="C23" i="22"/>
  <c r="C24" i="22" s="1"/>
  <c r="H65" i="23"/>
  <c r="E65" i="23"/>
  <c r="C65" i="23"/>
  <c r="I65" i="29"/>
  <c r="C65" i="29"/>
  <c r="B65" i="24"/>
  <c r="E65" i="30"/>
  <c r="C65" i="30"/>
  <c r="B65" i="30"/>
  <c r="C23" i="21"/>
  <c r="C24" i="21" s="1"/>
  <c r="D65" i="27"/>
  <c r="C65" i="27"/>
  <c r="D65" i="21"/>
  <c r="E64" i="27"/>
  <c r="E65" i="27" s="1"/>
  <c r="E64" i="22"/>
  <c r="E65" i="22" s="1"/>
  <c r="I64" i="28"/>
  <c r="I65" i="28" s="1"/>
  <c r="I64" i="27"/>
  <c r="I65" i="27" s="1"/>
  <c r="I64" i="22"/>
  <c r="I65" i="22" s="1"/>
  <c r="I64" i="30"/>
  <c r="I65" i="30" s="1"/>
  <c r="M64" i="22"/>
  <c r="M65" i="22" s="1"/>
  <c r="G64" i="30"/>
  <c r="G65" i="30" s="1"/>
  <c r="M66" i="26"/>
  <c r="M65" i="26"/>
  <c r="F64" i="26"/>
  <c r="F65" i="26" s="1"/>
  <c r="I64" i="26"/>
  <c r="I65" i="26" s="1"/>
  <c r="F66" i="26"/>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J64" i="22"/>
  <c r="H64" i="21"/>
  <c r="H65" i="21" s="1"/>
  <c r="H64" i="28"/>
  <c r="G64" i="28"/>
  <c r="P64" i="26"/>
  <c r="E64" i="28"/>
  <c r="N64" i="23"/>
  <c r="J64" i="26"/>
  <c r="J65" i="26" s="1"/>
  <c r="B64" i="23"/>
  <c r="M64" i="27"/>
  <c r="H64" i="27"/>
  <c r="G64" i="22"/>
  <c r="L64" i="29"/>
  <c r="G64" i="24"/>
  <c r="H64" i="24"/>
  <c r="D64" i="23"/>
  <c r="D65" i="23" s="1"/>
  <c r="K64" i="24"/>
  <c r="P64" i="24"/>
  <c r="U64" i="29"/>
  <c r="U66" i="29" s="1"/>
  <c r="O66" i="21"/>
  <c r="M64" i="30"/>
  <c r="K64" i="26"/>
  <c r="K66" i="26" s="1"/>
  <c r="C64" i="28"/>
  <c r="C64" i="24"/>
  <c r="L64" i="27"/>
  <c r="L66" i="27" s="1"/>
  <c r="R64" i="24"/>
  <c r="R66" i="24" s="1"/>
  <c r="K64" i="29"/>
  <c r="K66" i="29" s="1"/>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C66" i="22"/>
  <c r="T66" i="21"/>
  <c r="S66" i="23"/>
  <c r="H66" i="30"/>
  <c r="E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R66" i="29"/>
  <c r="M66" i="29"/>
  <c r="I66" i="29"/>
  <c r="S66" i="29"/>
  <c r="T66" i="28"/>
  <c r="D66" i="28"/>
  <c r="Q66" i="28"/>
  <c r="I66" i="28"/>
  <c r="S66" i="28"/>
  <c r="K66" i="28"/>
  <c r="Q66" i="27"/>
  <c r="I66" i="27"/>
  <c r="P66" i="27"/>
  <c r="Q66" i="26"/>
  <c r="P66" i="26"/>
  <c r="C66" i="26"/>
  <c r="H66" i="26"/>
  <c r="L66" i="24"/>
  <c r="P66" i="24"/>
  <c r="D66" i="24"/>
  <c r="K66" i="24"/>
  <c r="I66" i="23"/>
  <c r="N66" i="23"/>
  <c r="E66" i="23"/>
  <c r="I66" i="22"/>
  <c r="S66" i="22"/>
  <c r="K66" i="22"/>
  <c r="T66" i="22"/>
  <c r="K66" i="21"/>
  <c r="C66" i="21"/>
  <c r="D66" i="21"/>
  <c r="R66" i="21"/>
  <c r="N64" i="1"/>
  <c r="M64" i="1"/>
  <c r="M65" i="1" s="1"/>
  <c r="T64" i="1"/>
  <c r="L64" i="1"/>
  <c r="J64" i="1"/>
  <c r="J65" i="1" s="1"/>
  <c r="K64" i="1"/>
  <c r="O64" i="1"/>
  <c r="O65" i="1" s="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M66" i="22" l="1"/>
  <c r="I66" i="30"/>
  <c r="M66" i="24"/>
  <c r="M66" i="28"/>
  <c r="M66" i="21"/>
  <c r="M66" i="30"/>
  <c r="M65" i="30"/>
  <c r="M66" i="23"/>
  <c r="M65" i="23"/>
  <c r="M66" i="27"/>
  <c r="M65" i="27"/>
  <c r="I66" i="26"/>
  <c r="O66" i="26"/>
  <c r="O65" i="26"/>
  <c r="O66" i="28"/>
  <c r="O65" i="28"/>
  <c r="O66" i="29"/>
  <c r="O65" i="29"/>
  <c r="O66" i="24"/>
  <c r="O65" i="24"/>
  <c r="O66" i="27"/>
  <c r="O65" i="27"/>
  <c r="O66" i="30"/>
  <c r="O65" i="30"/>
  <c r="O66" i="23"/>
  <c r="O65" i="23"/>
  <c r="I65" i="1"/>
  <c r="H65" i="1"/>
  <c r="G65" i="1"/>
  <c r="F65" i="1"/>
  <c r="E65" i="1"/>
  <c r="D65" i="1"/>
  <c r="C65" i="1"/>
  <c r="B65" i="1"/>
  <c r="J66" i="26"/>
  <c r="J66" i="29"/>
  <c r="J65" i="29"/>
  <c r="J66" i="22"/>
  <c r="J65" i="22"/>
  <c r="J66" i="21"/>
  <c r="J65" i="21"/>
  <c r="I66" i="24"/>
  <c r="I66" i="21"/>
  <c r="I65" i="21"/>
  <c r="H66" i="29"/>
  <c r="H65" i="29"/>
  <c r="H66" i="27"/>
  <c r="H65" i="27"/>
  <c r="H66" i="28"/>
  <c r="H65" i="28"/>
  <c r="H66" i="24"/>
  <c r="H65" i="24"/>
  <c r="H66" i="21"/>
  <c r="G66" i="26"/>
  <c r="G65" i="26"/>
  <c r="G66" i="27"/>
  <c r="G65" i="27"/>
  <c r="G66" i="24"/>
  <c r="G65" i="24"/>
  <c r="G66" i="22"/>
  <c r="G65" i="22"/>
  <c r="G66" i="28"/>
  <c r="G65" i="28"/>
  <c r="G66" i="23"/>
  <c r="G65" i="23"/>
  <c r="G66" i="29"/>
  <c r="G65" i="29"/>
  <c r="G66" i="21"/>
  <c r="G65" i="21"/>
  <c r="F66" i="24"/>
  <c r="F65" i="24"/>
  <c r="F66" i="29"/>
  <c r="F65" i="29"/>
  <c r="F66" i="30"/>
  <c r="F65" i="30"/>
  <c r="F66" i="21"/>
  <c r="F65" i="21"/>
  <c r="F66" i="23"/>
  <c r="F65" i="23"/>
  <c r="F66" i="22"/>
  <c r="F65" i="22"/>
  <c r="F66" i="27"/>
  <c r="F65" i="27"/>
  <c r="F66" i="28"/>
  <c r="F65" i="28"/>
  <c r="E66" i="28"/>
  <c r="E65" i="28"/>
  <c r="E66" i="26"/>
  <c r="E65" i="26"/>
  <c r="E66" i="29"/>
  <c r="E65" i="29"/>
  <c r="E66" i="21"/>
  <c r="E65" i="21"/>
  <c r="E66" i="24"/>
  <c r="E65" i="24"/>
  <c r="D66" i="23"/>
  <c r="D66" i="22"/>
  <c r="D66" i="26"/>
  <c r="D66" i="29"/>
  <c r="C66" i="24"/>
  <c r="C65" i="24"/>
  <c r="C66" i="28"/>
  <c r="C65" i="28"/>
  <c r="B66" i="23"/>
  <c r="B65" i="23"/>
  <c r="B66" i="26"/>
  <c r="B65" i="26"/>
  <c r="B66" i="27"/>
  <c r="B65" i="27"/>
  <c r="B66" i="28"/>
  <c r="B65" i="28"/>
  <c r="B66" i="21"/>
  <c r="B65" i="21"/>
  <c r="B66" i="29"/>
  <c r="B65" i="29"/>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<sst xmlns="http://schemas.openxmlformats.org/spreadsheetml/2006/main" count="2235" uniqueCount="185">
  <si>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</si>
  <si>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</si>
  <si>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</si>
  <si>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</si>
  <si>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</si>
  <si>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</si>
  <si>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</si>
  <si>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</si>
  <si>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</si>
  <si>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</si>
  <si>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</si>
  <si>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</si>
  <si>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</si>
  <si>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</si>
  <si>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</si>
  <si>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</si>
  <si>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</si>
  <si>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</si>
  <si>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</si>
  <si>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</si>
  <si>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</si>
  <si>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</si>
  <si>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</si>
  <si>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</si>
  <si>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</si>
  <si>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</si>
  <si>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</si>
  <si>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</si>
  <si>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</si>
  <si>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</si>
  <si>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</si>
  <si>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</si>
  <si>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</si>
  <si>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</si>
  <si>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</si>
  <si>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</si>
  <si>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</si>
  <si>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</si>
  <si>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</si>
  <si>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</si>
  <si>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</si>
  <si>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</si>
  <si>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</si>
  <si>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</si>
  <si>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</si>
  <si>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</si>
  <si>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</si>
  <si>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</si>
  <si>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</si>
  <si>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</si>
  <si>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</si>
  <si>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</si>
  <si>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</si>
  <si>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</si>
  <si>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</si>
  <si>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</si>
  <si>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</si>
  <si>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</si>
  <si>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</si>
  <si>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</si>
  <si>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</si>
  <si>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</si>
  <si>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</si>
  <si>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</si>
  <si>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</si>
  <si>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</si>
  <si>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</si>
  <si>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</si>
  <si>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</si>
  <si>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</si>
  <si>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</si>
  <si>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</si>
  <si>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</si>
  <si>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</si>
  <si>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</si>
  <si>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</si>
  <si>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</si>
  <si>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</si>
  <si>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</si>
  <si>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</si>
  <si>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</si>
  <si>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</si>
  <si>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</si>
  <si>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</si>
  <si>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</si>
  <si>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</si>
  <si>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</si>
  <si>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</si>
  <si>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</si>
  <si>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</si>
  <si>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</si>
  <si>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</si>
  <si>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</si>
  <si>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</si>
  <si>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</si>
  <si>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</si>
  <si>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</si>
  <si>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</si>
  <si>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</si>
  <si>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</si>
  <si>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</si>
  <si>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</si>
  <si>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</si>
  <si>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</si>
  <si>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</si>
  <si>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</si>
  <si>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</si>
  <si>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</si>
  <si>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</si>
  <si>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</si>
  <si>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</si>
  <si>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</si>
  <si>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</si>
  <si>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</si>
  <si>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</si>
  <si>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</si>
  <si>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</si>
  <si>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</si>
  <si>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</si>
  <si>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</si>
  <si>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</si>
  <si>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</si>
  <si>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</si>
  <si>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</si>
  <si>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</si>
  <si>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</si>
  <si>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</si>
  <si>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</si>
  <si>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</si>
  <si>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</si>
  <si>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</si>
  <si>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</si>
  <si>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</si>
  <si>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</si>
  <si>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</si>
  <si>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</si>
  <si>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</si>
  <si>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</si>
  <si>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</si>
  <si>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</si>
  <si>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</si>
  <si>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</si>
  <si>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</si>
  <si>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</si>
  <si>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</si>
  <si>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</si>
  <si>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</si>
  <si>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</si>
  <si>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</si>
  <si>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</si>
  <si>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</si>
  <si>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</si>
  <si>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</si>
  <si>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</si>
  <si>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</si>
  <si>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</si>
  <si>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</si>
  <si>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</si>
  <si>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</si>
  <si>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</si>
  <si>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PAN-027648</t>
  </si>
  <si>
    <t>GP3792SK</t>
  </si>
  <si>
    <t>Byproduct Recovery Limited</t>
  </si>
  <si>
    <t>Plas Bach, Cerrigceinwen, Bodorgan.LL62 5NS</t>
  </si>
  <si>
    <t>Bryan Burn</t>
  </si>
  <si>
    <t>SJC1</t>
  </si>
  <si>
    <t>SJC2</t>
  </si>
  <si>
    <t>SJC3</t>
  </si>
  <si>
    <t>SJC4</t>
  </si>
  <si>
    <t>SJC5</t>
  </si>
  <si>
    <t>SJC6</t>
  </si>
  <si>
    <t>BODNOLWYN A</t>
  </si>
  <si>
    <t>BODNOLWYN B</t>
  </si>
  <si>
    <t>m</t>
  </si>
  <si>
    <t>Alaw</t>
  </si>
  <si>
    <t>Bryan Cowlyd</t>
  </si>
  <si>
    <t xml:space="preserve">m </t>
  </si>
  <si>
    <t>Cefni</t>
  </si>
  <si>
    <t>Cilfor</t>
  </si>
  <si>
    <t>Cwellyn</t>
  </si>
  <si>
    <t>Dolbenmaen</t>
  </si>
  <si>
    <t>Garreglwyd</t>
  </si>
  <si>
    <t>Llyn Conwy</t>
  </si>
  <si>
    <t>Mynydd</t>
  </si>
  <si>
    <t>Rhiwgoch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</si>
</sst>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9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360F44E4-7249-415F-8D5E-41D249F9A162}" name="Crop" dataDxfId="384"/>
    <tableColumn id="2" xr3:uid="{55E07717-B4EC-4E8A-B9A9-34F3CF85E32D}" name="P Offtake" dataDxfId="383"/>
    <tableColumn id="3" xr3:uid="{7B25FA52-8104-4FE3-AED4-B53CBFDF89B2}" name="K Offtake" dataDxfId="382"/>
    <tableColumn id="4" xr3:uid="{0DBAE461-2D09-43C8-9342-3980D552AE4D}" name="Order" dataDxfId="381"/>
    <tableColumn id="5" xr3:uid="{52CACE7B-0CBA-46FC-9F24-02CBD6100239}" name="Lime pH requirement" dataDxfId="380"/>
    <tableColumn id="6" xr3:uid="{F1432630-9B16-4266-8147-CE754A715307}" name="Column1" dataDxfId="37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7E96A84B-948F-445F-BD6E-30CC8E6E6DD1}" name="Crop" dataDxfId="373"/>
    <tableColumn id="2" xr3:uid="{12657DDB-F680-47DE-ABB1-8675D5F91E41}" name="P Offtake" dataDxfId="372"/>
    <tableColumn id="3" xr3:uid="{DEB99109-D325-4F98-8A71-E70C03433437}" name="K Offtake" dataDxfId="371"/>
    <tableColumn id="4" xr3:uid="{E96A561F-7E7F-4FB3-97AA-0B35D8C8E93A}" name="Order" dataDxfId="370"/>
    <tableColumn id="5" xr3:uid="{181DD475-0A71-4C52-AF1A-8BFF46F5A827}" name="Lime pH requirement" dataDxfId="369"/>
    <tableColumn id="6" xr3:uid="{AC3FA7E8-D76B-43A3-B715-04446DFF63C6}" name="Column1" dataDxfId="36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06008BA1-A1E9-4286-B67A-352533C06A26}" name="Crop" dataDxfId="362"/>
    <tableColumn id="2" xr3:uid="{2AEB5EEB-C9D1-41DC-913E-953A33D1A4AF}" name="P Offtake" dataDxfId="361"/>
    <tableColumn id="3" xr3:uid="{8FA16A0B-1017-4CEE-862E-0A8CBD8EB3D3}" name="K Offtake" dataDxfId="360"/>
    <tableColumn id="4" xr3:uid="{E7A3B8CD-4036-47F4-B818-C3F22E80C749}" name="Order" dataDxfId="359"/>
    <tableColumn id="5" xr3:uid="{8F3EBD84-7904-4559-9B5C-63088B792C98}" name="Lime pH requirement" dataDxfId="358"/>
    <tableColumn id="6" xr3:uid="{A21DD95A-C955-4510-9114-E3F1CB645370}" name="Column1" dataDxfId="35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11579FCC-3D9F-49AD-888D-5D79B801F6AE}" name="Crop" dataDxfId="351"/>
    <tableColumn id="2" xr3:uid="{05C08116-56D5-4CC6-A649-B06AF891B931}" name="P Offtake" dataDxfId="350"/>
    <tableColumn id="3" xr3:uid="{59CDE959-192B-4757-9203-A0F691CF0F96}" name="K Offtake" dataDxfId="349"/>
    <tableColumn id="4" xr3:uid="{9FB8E4F7-B91F-4CE0-AF39-D4895D0ECF2F}" name="Order" dataDxfId="348"/>
    <tableColumn id="5" xr3:uid="{688FF2A4-D7C6-4425-A915-A9ADD700A9EE}" name="Lime pH requirement" dataDxfId="347"/>
    <tableColumn id="6" xr3:uid="{05FC5CFF-3D81-4B5F-87C7-2364076F2714}" name="Column1" dataDxfId="34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973D7FFB-D248-4199-9B2E-B3C6CC09D382}" name="Crop" dataDxfId="340"/>
    <tableColumn id="2" xr3:uid="{7F2A3986-EC86-4CF9-BD10-791170BA6682}" name="P Offtake" dataDxfId="339"/>
    <tableColumn id="3" xr3:uid="{D6129C35-9DC6-42E5-AE3F-EA3A083168E6}" name="K Offtake" dataDxfId="338"/>
    <tableColumn id="4" xr3:uid="{C1CC42B5-564A-4DE7-B817-B7D686FE9A11}" name="Order" dataDxfId="337"/>
    <tableColumn id="5" xr3:uid="{620F3ABD-564C-411A-8DEA-CE1A34F9FC36}" name="Lime pH requirement" dataDxfId="336"/>
    <tableColumn id="6" xr3:uid="{76C9BC4F-4FF3-4AFB-8E7B-16DC0CC3E97C}" name="Column1" dataDxfId="33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D13A12FC-EAE6-4280-A219-C2622262E5F4}" name="Crop" dataDxfId="329"/>
    <tableColumn id="2" xr3:uid="{FD06C4A3-4B75-490D-88CF-232C7DC3EFC6}" name="P Offtake" dataDxfId="328"/>
    <tableColumn id="3" xr3:uid="{B043BEFF-10D4-4840-989B-BB13A502ECDF}" name="K Offtake" dataDxfId="327"/>
    <tableColumn id="4" xr3:uid="{48481FDC-5D20-466C-B554-D45886EA366A}" name="Order" dataDxfId="326"/>
    <tableColumn id="5" xr3:uid="{9E0852D2-9D0D-44AB-98B7-FBA51F331ACF}" name="Lime pH requirement" dataDxfId="325"/>
    <tableColumn id="6" xr3:uid="{29F9C4A5-6854-4F37-8BD1-0DD9B6024A55}" name="Column1" dataDxfId="32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1B554ED3-7AAF-4192-827C-B071945474B8}" name="Crop" dataDxfId="318"/>
    <tableColumn id="2" xr3:uid="{35F435E0-8D8E-44D1-84BD-C2FF51C3F944}" name="P Offtake" dataDxfId="317"/>
    <tableColumn id="3" xr3:uid="{38465C9D-AA8F-443A-80F5-96D1F6258317}" name="K Offtake" dataDxfId="316"/>
    <tableColumn id="4" xr3:uid="{E0C0E6AF-5628-4BC3-9625-81A87B93D279}" name="Order" dataDxfId="315"/>
    <tableColumn id="5" xr3:uid="{ACDE1D9A-7F94-4404-BDDC-1235C32C758F}" name="Lime pH requirement" dataDxfId="314"/>
    <tableColumn id="6" xr3:uid="{B093C9DF-C4CF-4906-9658-89F446EB9C12}" name="Column1" dataDxfId="31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C4B2E6E9-5990-417D-9E04-7933BDF1FC69}" name="Crop" dataDxfId="307"/>
    <tableColumn id="2" xr3:uid="{E74EF8D0-6C68-49B8-AE52-40C276CA5FC9}" name="P Offtake" dataDxfId="306"/>
    <tableColumn id="3" xr3:uid="{9E0A7857-36E3-482D-B4B2-65B90760417F}" name="K Offtake" dataDxfId="305"/>
    <tableColumn id="4" xr3:uid="{A78867D2-7566-4070-AF99-15EE4CEB1699}" name="Order" dataDxfId="304"/>
    <tableColumn id="5" xr3:uid="{240FD5FA-5659-468E-8544-C93086800EC9}" name="Lime pH requirement" dataDxfId="303"/>
    <tableColumn id="6" xr3:uid="{D5C8E9C3-9076-473B-AE62-DA32692BAABC}" name="Column1" dataDxfId="30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82F1A1D2-F5AA-4D76-98E8-3C18592FB8CF}" name="Crop" dataDxfId="296"/>
    <tableColumn id="2" xr3:uid="{17F60BEE-3BBA-4198-AA21-518EC4696EB6}" name="P Offtake" dataDxfId="295"/>
    <tableColumn id="3" xr3:uid="{95D820EB-2583-433A-A070-6E8356E186E7}" name="K Offtake" dataDxfId="294"/>
    <tableColumn id="4" xr3:uid="{F3AE1839-F59F-4A70-B11A-A32E3FDD1A00}" name="Order" dataDxfId="293"/>
    <tableColumn id="5" xr3:uid="{C52880C5-B266-4CF0-9A11-778ABC47F9F0}" name="Lime pH requirement" dataDxfId="292"/>
    <tableColumn id="6" xr3:uid="{233F7657-9414-44B1-9E43-A91A69CB97ED}" name="Column1" dataDxfId="29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290" dataDxfId="288" headerRowBorderDxfId="289" tableBorderDxfId="287" totalsRowBorderDxfId="286">
  <autoFilter ref="AI1:AN26" xr:uid="{F8B5EC87-3095-445A-A980-2CFAA0A7B9A2}"/>
  <sortState xmlns:xlrd2="http://schemas.microsoft.com/office/spreadsheetml/2017/richdata2" ref="AI2:AL25">
    <sortCondition ref="AL1:AL25"/>
  </sortState>
  <tableColumns count="6">
    <tableColumn id="1" xr3:uid="{34C99CE0-FFE9-4282-9A7F-89014FFD2010}" name="Crop" dataDxfId="285"/>
    <tableColumn id="2" xr3:uid="{D81725A7-3522-491F-9BAF-35ADAADB5C49}" name="P Offtake" dataDxfId="284"/>
    <tableColumn id="3" xr3:uid="{E1F3CA70-D73E-4B9D-9A9F-F209536EAEFF}" name="K Offtake" dataDxfId="283"/>
    <tableColumn id="4" xr3:uid="{41F03B60-DF58-4AA1-9642-EF87A44AF9EC}" name="Order" dataDxfId="282"/>
    <tableColumn id="5" xr3:uid="{F3D9EC0E-6F67-4466-B24D-F47864B8CBA4}" name="Lime pH requirement" dataDxfId="281"/>
    <tableColumn id="6" xr3:uid="{D49CA6DF-7C49-4445-A0D2-0F2C2FDFB7ED}" name="Column1" dataDxfId="28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M11" sqref="M1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44.3</v>
      </c>
      <c r="G1" s="134" t="s">
        <v>43</v>
      </c>
      <c r="H1" s="135"/>
      <c r="I1" s="109">
        <v>6.2</v>
      </c>
      <c r="J1" s="158" t="s">
        <v>153</v>
      </c>
      <c r="K1" s="159"/>
      <c r="L1" s="109">
        <v>39.799999999999997</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190902</v>
      </c>
      <c r="G2" s="136" t="s">
        <v>110</v>
      </c>
      <c r="H2" s="137"/>
      <c r="I2" s="110"/>
      <c r="J2" s="138" t="s">
        <v>158</v>
      </c>
      <c r="K2" s="139"/>
      <c r="L2" s="110">
        <v>1.1499999999999999</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104</v>
      </c>
      <c r="G3" s="138" t="s">
        <v>159</v>
      </c>
      <c r="H3" s="139"/>
      <c r="I3" s="110"/>
      <c r="J3" s="160" t="s">
        <v>154</v>
      </c>
      <c r="K3" s="161"/>
      <c r="L3" s="110">
        <f>(L1/(L2*10000))*100</f>
        <v>0.3460869565217391</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174</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t="s">
        <v>165</v>
      </c>
      <c r="D8" s="11" t="s">
        <v>166</v>
      </c>
      <c r="E8" s="11" t="s">
        <v>167</v>
      </c>
      <c r="F8" s="11" t="s">
        <v>168</v>
      </c>
      <c r="G8" s="11" t="s">
        <v>169</v>
      </c>
      <c r="H8" s="11" t="s">
        <v>170</v>
      </c>
      <c r="I8" s="11" t="s">
        <v>171</v>
      </c>
      <c r="J8" s="11" t="s">
        <v>172</v>
      </c>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173</v>
      </c>
      <c r="D9" s="11" t="s">
        <v>173</v>
      </c>
      <c r="E9" s="11" t="s">
        <v>173</v>
      </c>
      <c r="F9" s="11">
        <v>2</v>
      </c>
      <c r="G9" s="11" t="s">
        <v>173</v>
      </c>
      <c r="H9" s="11">
        <v>2</v>
      </c>
      <c r="I9" s="11" t="s">
        <v>176</v>
      </c>
      <c r="J9" s="11" t="s">
        <v>176</v>
      </c>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6.4</v>
      </c>
      <c r="D10" s="11">
        <v>5.8</v>
      </c>
      <c r="E10" s="11">
        <v>6</v>
      </c>
      <c r="F10" s="11">
        <v>6</v>
      </c>
      <c r="G10" s="11">
        <v>5.9</v>
      </c>
      <c r="H10" s="11">
        <v>6.1</v>
      </c>
      <c r="I10" s="11">
        <v>5.8</v>
      </c>
      <c r="J10" s="11">
        <v>5.7</v>
      </c>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2</v>
      </c>
      <c r="D11" s="11">
        <v>2</v>
      </c>
      <c r="E11" s="11">
        <v>3</v>
      </c>
      <c r="F11" s="11">
        <v>1</v>
      </c>
      <c r="G11" s="11">
        <v>0</v>
      </c>
      <c r="H11" s="11">
        <v>3</v>
      </c>
      <c r="I11" s="11">
        <v>2</v>
      </c>
      <c r="J11" s="11">
        <v>2</v>
      </c>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3</v>
      </c>
      <c r="D12" s="11">
        <v>4</v>
      </c>
      <c r="E12" s="11">
        <v>4</v>
      </c>
      <c r="F12" s="11">
        <v>1</v>
      </c>
      <c r="G12" s="11">
        <v>1</v>
      </c>
      <c r="H12" s="11">
        <v>2</v>
      </c>
      <c r="I12" s="11">
        <v>2</v>
      </c>
      <c r="J12" s="11">
        <v>2</v>
      </c>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4</v>
      </c>
      <c r="D13" s="11">
        <v>3</v>
      </c>
      <c r="E13" s="11">
        <v>3</v>
      </c>
      <c r="F13" s="11">
        <v>3</v>
      </c>
      <c r="G13" s="11">
        <v>3</v>
      </c>
      <c r="H13" s="11">
        <v>3</v>
      </c>
      <c r="I13" s="11">
        <v>3</v>
      </c>
      <c r="J13" s="11">
        <v>3</v>
      </c>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68</v>
      </c>
      <c r="G14" s="82" t="s">
        <v>113</v>
      </c>
      <c r="H14" s="82" t="s">
        <v>68</v>
      </c>
      <c r="I14" s="82" t="s">
        <v>113</v>
      </c>
      <c r="J14" s="82" t="s">
        <v>113</v>
      </c>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38</v>
      </c>
      <c r="D15" s="11">
        <v>38</v>
      </c>
      <c r="E15" s="11">
        <v>38</v>
      </c>
      <c r="F15" s="11">
        <v>5.5</v>
      </c>
      <c r="G15" s="11">
        <v>38</v>
      </c>
      <c r="H15" s="11">
        <v>5.5</v>
      </c>
      <c r="I15" s="11">
        <v>38</v>
      </c>
      <c r="J15" s="11">
        <v>38</v>
      </c>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46.75</v>
      </c>
      <c r="G17" s="20">
        <f t="shared" si="0"/>
        <v>64.599999999999994</v>
      </c>
      <c r="H17" s="20">
        <f t="shared" si="0"/>
        <v>46.75</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65.23934075999999</v>
      </c>
      <c r="D18" s="12">
        <f>$D32</f>
        <v>0</v>
      </c>
      <c r="E18" s="12">
        <f>$D33</f>
        <v>32.619670379999995</v>
      </c>
      <c r="F18" s="12">
        <f>$D34</f>
        <v>98.553046679999994</v>
      </c>
      <c r="G18" s="12">
        <f>$D35</f>
        <v>0</v>
      </c>
      <c r="H18" s="12">
        <f>$D36</f>
        <v>23.597208359999996</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0.63934075999999607</v>
      </c>
      <c r="D19" s="12">
        <f t="shared" ref="D19:V19" si="1">D18-D17</f>
        <v>-64.599999999999994</v>
      </c>
      <c r="E19" s="12">
        <f t="shared" si="1"/>
        <v>-31.980329619999999</v>
      </c>
      <c r="F19" s="12">
        <f t="shared" si="1"/>
        <v>51.803046679999994</v>
      </c>
      <c r="G19" s="12">
        <f t="shared" si="1"/>
        <v>-64.599999999999994</v>
      </c>
      <c r="H19" s="12">
        <f t="shared" si="1"/>
        <v>-23.152791640000004</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DECREASE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66</v>
      </c>
      <c r="G21" s="20">
        <f t="shared" si="2"/>
        <v>228</v>
      </c>
      <c r="H21" s="20">
        <f t="shared" si="2"/>
        <v>66</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5.6670113700000007E-4</v>
      </c>
      <c r="D22" s="12">
        <f>$E32</f>
        <v>0</v>
      </c>
      <c r="E22" s="12">
        <f>$E33</f>
        <v>2.8335056850000004E-4</v>
      </c>
      <c r="F22" s="12">
        <f>$E34</f>
        <v>8.5608044100000014E-4</v>
      </c>
      <c r="G22" s="12">
        <f>$E35</f>
        <v>0</v>
      </c>
      <c r="H22" s="12">
        <f>$E36</f>
        <v>2.0497700700000004E-4</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-227.99943329886301</v>
      </c>
      <c r="D23" s="12">
        <f t="shared" ref="D23:V23" si="3">D22-D21</f>
        <v>-228</v>
      </c>
      <c r="E23" s="12">
        <f t="shared" si="3"/>
        <v>-227.99971664943149</v>
      </c>
      <c r="F23" s="12">
        <f t="shared" si="3"/>
        <v>-65.999143919559003</v>
      </c>
      <c r="G23" s="12">
        <f t="shared" si="3"/>
        <v>-228</v>
      </c>
      <c r="H23" s="12">
        <f t="shared" si="3"/>
        <v>-65.999795022992998</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15.3</v>
      </c>
      <c r="C28" s="11">
        <v>1.1499999999999999</v>
      </c>
      <c r="D28" s="11">
        <v>0.19800000000000001</v>
      </c>
      <c r="E28" s="11">
        <v>3.27E-2</v>
      </c>
      <c r="F28" s="11">
        <v>591</v>
      </c>
      <c r="G28" s="11">
        <v>46.9</v>
      </c>
      <c r="H28" s="11">
        <v>107</v>
      </c>
      <c r="I28" s="11">
        <v>6.2</v>
      </c>
      <c r="J28" s="11">
        <v>0.5</v>
      </c>
      <c r="K28" s="15">
        <v>0.65</v>
      </c>
      <c r="L28" s="11">
        <v>17.399999999999999</v>
      </c>
      <c r="M28" s="11">
        <v>6.57</v>
      </c>
      <c r="N28" s="11">
        <v>225000</v>
      </c>
      <c r="O28" s="11">
        <v>8530</v>
      </c>
      <c r="P28" s="11"/>
      <c r="Q28" s="11">
        <v>9040</v>
      </c>
      <c r="R28" s="11"/>
      <c r="S28" s="11">
        <v>13.6</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SJC1</v>
      </c>
      <c r="B31" s="11">
        <v>94</v>
      </c>
      <c r="C31" s="65">
        <f>IF(C$27="%w/w SAR",((C$28*10)*$B31),IF(C$27="%w/w DM",(((C$28*10)*($B$28/100))*$B31),IF(C$27="kg/t SAR",(C$28*$B31),IF(C$27="kg/t DM",((C$28*($B$28/100))*$B31),IF(C$27="mg/kg SAR",((C$28*0.001)*$B31),IF(C$27="mg/kg DM",(((C$28*0.001)*($B$28/100))*$B31),0))))))</f>
        <v>165.393</v>
      </c>
      <c r="D31" s="65">
        <f>(IF(D$27="%w/w SAR",((D$28*10)*$B31),IF(D$27="%w/w DM",(((D$28*10)*($B$28/100))*$B31),IF(D$27="kg/t SAR",(D$28*$B31),IF(D$27="kg/t DM",((D$28*($B$28/100))*$B31),IF(D$27="mg/kg SAR",((D$28*0.001)*$B31),IF(D$27="mg/kg DM",(((D$28*0.001)*($B$28/100))*$B31),"0")))))))*2.291</f>
        <v>65.23934075999999</v>
      </c>
      <c r="E31" s="65">
        <f>(IF(E$27="%w/w SAR",((E$28*10)*$B31),IF(E$27="%w/w DM",(((E$28*10)*($B$28/100))*$B31),IF(E$27="kg/t SAR",(E$28*$B31),IF(E$27="kg/t DM",((E$28*($B$28/100))*$B31),IF(E$27="mg/kg SAR",((E$28*0.001)*$B31),IF(E$27="mg/kg DM",(((E$28*0.001)*($B$28/100))*$B31),"0")))))))*1.205</f>
        <v>5.6670113700000007E-4</v>
      </c>
      <c r="F31" s="65">
        <f>(IF(F$27="%w/w SAR",((F$28*10)*$B31),IF(F$27="%w/w DM",(((F$28*10)*($B$28/100))*$B31),IF(F$27="kg/t SAR",(F$28*$B31),IF(F$27="kg/t DM",((F$28*($B$28/100))*$B31),IF(F$27="mg/kg SAR",((F$28*0.001)*$B31),IF(F$27="mg/kg DM",(((F$28*0.001)*($B$28/100))*$B31),"0")))))))*1.658</f>
        <v>14.092605395999998</v>
      </c>
      <c r="G31" s="65">
        <f t="shared" ref="G31:P31" si="5">IF(G$27="%w/w SAR",((G$28*10)*$B31),IF(G$27="%w/w DM",(((G$28*10)*($B$28/100))*$B31),IF(G$27="kg/t SAR",(G$28*$B31),IF(G$27="kg/t DM",((G$28*($B$28/100))*$B31),IF(G$27="mg/kg SAR",((G$28*0.001)*$B31),IF(G$27="mg/kg DM",(((G$28*0.001)*($B$28/100))*$B31),0))))))</f>
        <v>0.67451579999999989</v>
      </c>
      <c r="H31" s="65">
        <f t="shared" si="5"/>
        <v>1.5388740000000001</v>
      </c>
      <c r="I31" s="65">
        <f t="shared" si="5"/>
        <v>8.9168400000000009E-2</v>
      </c>
      <c r="J31" s="65">
        <f t="shared" si="5"/>
        <v>7.1910000000000003E-3</v>
      </c>
      <c r="K31" s="65">
        <f t="shared" si="5"/>
        <v>9.3483000000000004E-3</v>
      </c>
      <c r="L31" s="65">
        <f t="shared" si="5"/>
        <v>0.25024679999999999</v>
      </c>
      <c r="M31" s="65">
        <f t="shared" si="5"/>
        <v>9.4489740000000003E-2</v>
      </c>
      <c r="N31" s="65">
        <f t="shared" si="5"/>
        <v>3235.95</v>
      </c>
      <c r="O31" s="65">
        <f t="shared" si="5"/>
        <v>122.67845999999999</v>
      </c>
      <c r="P31" s="65">
        <f t="shared" si="5"/>
        <v>0</v>
      </c>
      <c r="Q31" s="65">
        <f>(IF(Q$27="%w/w SAR",((Q$28*10)*$B31),IF(Q$27="%w/w DM",(((Q$28*10)*($B$28/100))*$B31),IF(Q$27="kg/t SAR",(Q$28*$B31),IF(Q$27="kg/t DM",((Q$28*($B$28/100))*$B31),IF(Q$27="mg/kg SAR",((Q$28*0.001)*$B31),IF(Q$27="mg/kg DM",(((Q$28*0.001)*($B$28/100))*$B31),0)))))))*2.5</f>
        <v>325.03320000000002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0.1955952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SJC2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ref="G32:P50" si="10">IF(G$27="%w/w SAR",((G$28*10)*$B32),IF(G$27="%w/w DM",(((G$28*10)*($B$28/100))*$B32),IF(G$27="kg/t SAR",(G$28*$B32),IF(G$27="kg/t DM",((G$28*($B$28/100))*$B32),IF(G$27="mg/kg SAR",((G$28*0.001)*$B32),IF(G$27="mg/kg DM",(((G$28*0.001)*($B$28/100))*$B32),0))))))</f>
        <v>0</v>
      </c>
      <c r="H32" s="65">
        <f t="shared" si="10"/>
        <v>0</v>
      </c>
      <c r="I32" s="65">
        <f t="shared" si="10"/>
        <v>0</v>
      </c>
      <c r="J32" s="65">
        <f t="shared" si="10"/>
        <v>0</v>
      </c>
      <c r="K32" s="65">
        <f t="shared" si="10"/>
        <v>0</v>
      </c>
      <c r="L32" s="65">
        <f t="shared" si="10"/>
        <v>0</v>
      </c>
      <c r="M32" s="65">
        <f t="shared" si="10"/>
        <v>0</v>
      </c>
      <c r="N32" s="65">
        <f t="shared" si="10"/>
        <v>0</v>
      </c>
      <c r="O32" s="65">
        <f t="shared" si="10"/>
        <v>0</v>
      </c>
      <c r="P32" s="65">
        <f t="shared" si="10"/>
        <v>0</v>
      </c>
      <c r="Q32" s="65">
        <f t="shared" ref="Q32:Q50" si="11">(IF(Q$27="%w/w SAR",((Q$28*10)*$B32),IF(Q$27="%w/w DM",(((Q$28*10)*($B$28/100))*$B32),IF(Q$27="kg/t SAR",(Q$28*$B32),IF(Q$27="kg/t DM",((Q$28*($B$28/100))*$B32),IF(Q$27="mg/kg SAR",((Q$28*0.001)*$B32),IF(Q$27="mg/kg DM",(((Q$28*0.001)*($B$28/100))*$B32),0)))))))*2.5</f>
        <v>0</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t="str">
        <f>E8</f>
        <v>SJC3</v>
      </c>
      <c r="B33" s="11">
        <v>47</v>
      </c>
      <c r="C33" s="65">
        <f t="shared" si="6"/>
        <v>82.6965</v>
      </c>
      <c r="D33" s="65">
        <f t="shared" si="7"/>
        <v>32.619670379999995</v>
      </c>
      <c r="E33" s="65">
        <f t="shared" si="8"/>
        <v>2.8335056850000004E-4</v>
      </c>
      <c r="F33" s="65">
        <f t="shared" si="9"/>
        <v>7.046302697999999</v>
      </c>
      <c r="G33" s="65">
        <f t="shared" si="10"/>
        <v>0.33725789999999994</v>
      </c>
      <c r="H33" s="65">
        <f t="shared" si="10"/>
        <v>0.76943700000000004</v>
      </c>
      <c r="I33" s="65">
        <f t="shared" si="10"/>
        <v>4.4584200000000004E-2</v>
      </c>
      <c r="J33" s="65">
        <f t="shared" si="10"/>
        <v>3.5955000000000002E-3</v>
      </c>
      <c r="K33" s="65">
        <f t="shared" si="10"/>
        <v>4.6741500000000002E-3</v>
      </c>
      <c r="L33" s="65">
        <f t="shared" si="10"/>
        <v>0.1251234</v>
      </c>
      <c r="M33" s="65">
        <f t="shared" si="10"/>
        <v>4.7244870000000001E-2</v>
      </c>
      <c r="N33" s="65">
        <f t="shared" si="10"/>
        <v>1617.9749999999999</v>
      </c>
      <c r="O33" s="65">
        <f t="shared" si="10"/>
        <v>61.339229999999993</v>
      </c>
      <c r="P33" s="65">
        <f t="shared" si="10"/>
        <v>0</v>
      </c>
      <c r="Q33" s="65">
        <f t="shared" si="11"/>
        <v>162.51660000000001</v>
      </c>
      <c r="R33" s="65">
        <f t="shared" si="12"/>
        <v>0</v>
      </c>
      <c r="S33" s="65">
        <f t="shared" si="12"/>
        <v>9.7797599999999998E-2</v>
      </c>
      <c r="T33" s="65">
        <f t="shared" si="12"/>
        <v>0</v>
      </c>
      <c r="U33" s="126">
        <f t="shared" si="12"/>
        <v>0</v>
      </c>
    </row>
    <row r="34" spans="1:21" s="48" customFormat="1" ht="13" x14ac:dyDescent="0.35">
      <c r="A34" s="125" t="str">
        <f>F8</f>
        <v>SJC4</v>
      </c>
      <c r="B34" s="11">
        <v>142</v>
      </c>
      <c r="C34" s="65">
        <f t="shared" si="6"/>
        <v>249.84900000000002</v>
      </c>
      <c r="D34" s="65">
        <f t="shared" si="7"/>
        <v>98.553046679999994</v>
      </c>
      <c r="E34" s="65">
        <f t="shared" si="8"/>
        <v>8.5608044100000014E-4</v>
      </c>
      <c r="F34" s="65">
        <f t="shared" si="9"/>
        <v>21.288829427999996</v>
      </c>
      <c r="G34" s="65">
        <f t="shared" si="10"/>
        <v>1.0189493999999999</v>
      </c>
      <c r="H34" s="65">
        <f t="shared" si="10"/>
        <v>2.3246820000000001</v>
      </c>
      <c r="I34" s="65">
        <f t="shared" si="10"/>
        <v>0.13470120000000002</v>
      </c>
      <c r="J34" s="65">
        <f t="shared" si="10"/>
        <v>1.0863000000000001E-2</v>
      </c>
      <c r="K34" s="65">
        <f t="shared" si="10"/>
        <v>1.4121900000000001E-2</v>
      </c>
      <c r="L34" s="65">
        <f t="shared" si="10"/>
        <v>0.37803239999999999</v>
      </c>
      <c r="M34" s="65">
        <f t="shared" si="10"/>
        <v>0.14273982000000002</v>
      </c>
      <c r="N34" s="65">
        <f t="shared" si="10"/>
        <v>4888.3499999999995</v>
      </c>
      <c r="O34" s="65">
        <f t="shared" si="10"/>
        <v>185.32277999999997</v>
      </c>
      <c r="P34" s="65">
        <f t="shared" si="10"/>
        <v>0</v>
      </c>
      <c r="Q34" s="65">
        <f t="shared" si="11"/>
        <v>491.00760000000002</v>
      </c>
      <c r="R34" s="65">
        <f t="shared" si="12"/>
        <v>0</v>
      </c>
      <c r="S34" s="65">
        <f t="shared" si="12"/>
        <v>0.2954736</v>
      </c>
      <c r="T34" s="65">
        <f t="shared" si="12"/>
        <v>0</v>
      </c>
      <c r="U34" s="126">
        <f t="shared" si="12"/>
        <v>0</v>
      </c>
    </row>
    <row r="35" spans="1:21" s="48" customFormat="1" ht="13" x14ac:dyDescent="0.35">
      <c r="A35" s="125" t="str">
        <f>G8</f>
        <v>SJC5</v>
      </c>
      <c r="B35" s="11">
        <v>0</v>
      </c>
      <c r="C35" s="65">
        <f t="shared" si="6"/>
        <v>0</v>
      </c>
      <c r="D35" s="65">
        <f t="shared" si="7"/>
        <v>0</v>
      </c>
      <c r="E35" s="65">
        <f t="shared" si="8"/>
        <v>0</v>
      </c>
      <c r="F35" s="65">
        <f t="shared" si="9"/>
        <v>0</v>
      </c>
      <c r="G35" s="65">
        <f t="shared" si="10"/>
        <v>0</v>
      </c>
      <c r="H35" s="65">
        <f t="shared" si="10"/>
        <v>0</v>
      </c>
      <c r="I35" s="65">
        <f t="shared" si="10"/>
        <v>0</v>
      </c>
      <c r="J35" s="65">
        <f t="shared" si="10"/>
        <v>0</v>
      </c>
      <c r="K35" s="65">
        <f t="shared" si="10"/>
        <v>0</v>
      </c>
      <c r="L35" s="65">
        <f t="shared" si="10"/>
        <v>0</v>
      </c>
      <c r="M35" s="65">
        <f t="shared" si="10"/>
        <v>0</v>
      </c>
      <c r="N35" s="65">
        <f t="shared" si="10"/>
        <v>0</v>
      </c>
      <c r="O35" s="65">
        <f t="shared" si="10"/>
        <v>0</v>
      </c>
      <c r="P35" s="65">
        <f t="shared" si="10"/>
        <v>0</v>
      </c>
      <c r="Q35" s="65">
        <f t="shared" si="11"/>
        <v>0</v>
      </c>
      <c r="R35" s="65">
        <f t="shared" si="12"/>
        <v>0</v>
      </c>
      <c r="S35" s="65">
        <f t="shared" si="12"/>
        <v>0</v>
      </c>
      <c r="T35" s="65">
        <f t="shared" si="12"/>
        <v>0</v>
      </c>
      <c r="U35" s="126">
        <f t="shared" si="12"/>
        <v>0</v>
      </c>
    </row>
    <row r="36" spans="1:21" s="48" customFormat="1" ht="13" x14ac:dyDescent="0.35">
      <c r="A36" s="125" t="str">
        <f>H8</f>
        <v>SJC6</v>
      </c>
      <c r="B36" s="11">
        <v>34</v>
      </c>
      <c r="C36" s="65">
        <f t="shared" si="6"/>
        <v>59.823</v>
      </c>
      <c r="D36" s="65">
        <f t="shared" si="7"/>
        <v>23.597208359999996</v>
      </c>
      <c r="E36" s="65">
        <f t="shared" si="8"/>
        <v>2.0497700700000004E-4</v>
      </c>
      <c r="F36" s="65">
        <f t="shared" si="9"/>
        <v>5.0973253559999989</v>
      </c>
      <c r="G36" s="65">
        <f t="shared" si="10"/>
        <v>0.24397379999999996</v>
      </c>
      <c r="H36" s="65">
        <f t="shared" si="10"/>
        <v>0.55661400000000005</v>
      </c>
      <c r="I36" s="65">
        <f t="shared" si="10"/>
        <v>3.2252400000000001E-2</v>
      </c>
      <c r="J36" s="65">
        <f t="shared" si="10"/>
        <v>2.601E-3</v>
      </c>
      <c r="K36" s="65">
        <f t="shared" si="10"/>
        <v>3.3813000000000003E-3</v>
      </c>
      <c r="L36" s="65">
        <f t="shared" si="10"/>
        <v>9.0514800000000006E-2</v>
      </c>
      <c r="M36" s="65">
        <f t="shared" si="10"/>
        <v>3.4177140000000002E-2</v>
      </c>
      <c r="N36" s="65">
        <f t="shared" si="10"/>
        <v>1170.4499999999998</v>
      </c>
      <c r="O36" s="65">
        <f t="shared" si="10"/>
        <v>44.373059999999995</v>
      </c>
      <c r="P36" s="65">
        <f t="shared" si="10"/>
        <v>0</v>
      </c>
      <c r="Q36" s="65">
        <f t="shared" si="11"/>
        <v>117.56520000000002</v>
      </c>
      <c r="R36" s="65">
        <f t="shared" si="12"/>
        <v>0</v>
      </c>
      <c r="S36" s="65">
        <f t="shared" si="12"/>
        <v>7.0747199999999996E-2</v>
      </c>
      <c r="T36" s="65">
        <f t="shared" si="12"/>
        <v>0</v>
      </c>
      <c r="U36" s="126">
        <f t="shared" si="12"/>
        <v>0</v>
      </c>
    </row>
    <row r="37" spans="1:21" s="48" customFormat="1" ht="13" x14ac:dyDescent="0.35">
      <c r="A37" s="125" t="str">
        <f>I8</f>
        <v>BODNOLWYN A</v>
      </c>
      <c r="B37" s="11">
        <v>0</v>
      </c>
      <c r="C37" s="65">
        <f t="shared" si="6"/>
        <v>0</v>
      </c>
      <c r="D37" s="65">
        <f t="shared" si="7"/>
        <v>0</v>
      </c>
      <c r="E37" s="65">
        <f t="shared" si="8"/>
        <v>0</v>
      </c>
      <c r="F37" s="65">
        <f t="shared" si="9"/>
        <v>0</v>
      </c>
      <c r="G37" s="65">
        <f t="shared" si="10"/>
        <v>0</v>
      </c>
      <c r="H37" s="65">
        <f t="shared" si="10"/>
        <v>0</v>
      </c>
      <c r="I37" s="65">
        <f t="shared" si="10"/>
        <v>0</v>
      </c>
      <c r="J37" s="65">
        <f t="shared" si="10"/>
        <v>0</v>
      </c>
      <c r="K37" s="65">
        <f t="shared" si="10"/>
        <v>0</v>
      </c>
      <c r="L37" s="65">
        <f t="shared" si="10"/>
        <v>0</v>
      </c>
      <c r="M37" s="65">
        <f t="shared" si="10"/>
        <v>0</v>
      </c>
      <c r="N37" s="65">
        <f t="shared" si="10"/>
        <v>0</v>
      </c>
      <c r="O37" s="65">
        <f t="shared" si="10"/>
        <v>0</v>
      </c>
      <c r="P37" s="65">
        <f t="shared" si="10"/>
        <v>0</v>
      </c>
      <c r="Q37" s="65">
        <f t="shared" si="11"/>
        <v>0</v>
      </c>
      <c r="R37" s="65">
        <f t="shared" si="12"/>
        <v>0</v>
      </c>
      <c r="S37" s="65">
        <f t="shared" si="12"/>
        <v>0</v>
      </c>
      <c r="T37" s="65">
        <f t="shared" si="12"/>
        <v>0</v>
      </c>
      <c r="U37" s="126">
        <f t="shared" si="12"/>
        <v>0</v>
      </c>
    </row>
    <row r="38" spans="1:21" s="48" customFormat="1" ht="13" x14ac:dyDescent="0.35">
      <c r="A38" s="125" t="str">
        <f>J8</f>
        <v>BODNOLWYN B</v>
      </c>
      <c r="B38" s="11">
        <v>0</v>
      </c>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SJC1</v>
      </c>
      <c r="C57" s="8" t="str">
        <f t="shared" ref="C57:U57" si="13">D8</f>
        <v>SJC2</v>
      </c>
      <c r="D57" s="8" t="str">
        <f t="shared" si="13"/>
        <v>SJC3</v>
      </c>
      <c r="E57" s="8" t="str">
        <f t="shared" si="13"/>
        <v>SJC4</v>
      </c>
      <c r="F57" s="8" t="str">
        <f t="shared" si="13"/>
        <v>SJC5</v>
      </c>
      <c r="G57" s="8" t="str">
        <f t="shared" si="13"/>
        <v>SJC6</v>
      </c>
      <c r="H57" s="8" t="str">
        <f t="shared" si="13"/>
        <v>BODNOLWYN A</v>
      </c>
      <c r="I57" s="8" t="str">
        <f t="shared" si="13"/>
        <v>BODNOLWYN 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Arable</v>
      </c>
      <c r="F58" s="10" t="str">
        <f>G16&amp;" I "&amp;(VLOOKUP(G14,Table24[],6,FALSE))</f>
        <v>Medium/Clay I Grass</v>
      </c>
      <c r="G58" s="10" t="str">
        <f>H16&amp;" I "&amp;(VLOOKUP(H14,Table24[],6,FALSE))</f>
        <v>Medium/Clay I Arable</v>
      </c>
      <c r="H58" s="10" t="str">
        <f>I16&amp;" I "&amp;(VLOOKUP(I14,Table24[],6,FALSE))</f>
        <v>Medium/Clay I Grass</v>
      </c>
      <c r="I58" s="10" t="str">
        <f>J16&amp;" I "&amp;(VLOOKUP(J14,Table24[],6,FALSE))</f>
        <v>Medium/Clay I Grass</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6.7</v>
      </c>
      <c r="F59" s="64">
        <f>VLOOKUP(G$14,Table24[],5,FALSE)</f>
        <v>6.2</v>
      </c>
      <c r="G59" s="64">
        <f>VLOOKUP(H$14,Table24[],5,FALSE)</f>
        <v>6.7</v>
      </c>
      <c r="H59" s="64">
        <f>VLOOKUP(I$14,Table24[],5,FALSE)</f>
        <v>6.2</v>
      </c>
      <c r="I59" s="64">
        <f>VLOOKUP(J$14,Table24[],5,FALSE)</f>
        <v>6.2</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5.8</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94</v>
      </c>
      <c r="C62" s="65">
        <f>B32</f>
        <v>0</v>
      </c>
      <c r="D62" s="65">
        <f>B33</f>
        <v>47</v>
      </c>
      <c r="E62" s="65">
        <f>B34</f>
        <v>142</v>
      </c>
      <c r="F62" s="65">
        <f>B35</f>
        <v>0</v>
      </c>
      <c r="G62" s="65">
        <f>B36</f>
        <v>34</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1.7999999999999989</v>
      </c>
      <c r="G64" s="65">
        <f t="shared" si="17"/>
        <v>4.8000000000000043</v>
      </c>
      <c r="H64" s="65">
        <f t="shared" si="17"/>
        <v>2.4000000000000021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-1.7999999999999989</v>
      </c>
      <c r="G65" s="65">
        <f t="shared" si="18"/>
        <v>-4.8000000000000043</v>
      </c>
      <c r="H65" s="65">
        <f t="shared" si="18"/>
        <v>-2.4000000000000021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x3Cp+UjEJJjCuVfAG733RKb/prcr4CX94Utp9IfgLXq+jSqq8/r3yNNShN7H1cMBsZjMuALUf+92zJ+2iPLaQA==" saltValue="Wt+0+CNpd2rT1Qr6w46v7g=="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phoneticPr fontId="12" type="noConversion"/>
  <conditionalFormatting sqref="B62:U66 B31:B50">
    <cfRule type="cellIs" dxfId="279" priority="45" operator="greaterThan">
      <formula>$B$51</formula>
    </cfRule>
  </conditionalFormatting>
  <conditionalFormatting sqref="B66:U66">
    <cfRule type="cellIs" dxfId="278" priority="7" operator="equal">
      <formula>"UNDER"</formula>
    </cfRule>
    <cfRule type="cellIs" dxfId="277" priority="8" operator="equal">
      <formula>"OVER"</formula>
    </cfRule>
  </conditionalFormatting>
  <conditionalFormatting sqref="C31:C50">
    <cfRule type="cellIs" dxfId="276" priority="44" operator="greaterThan">
      <formula>$C$51</formula>
    </cfRule>
  </conditionalFormatting>
  <conditionalFormatting sqref="C17:V19">
    <cfRule type="cellIs" dxfId="275" priority="37" operator="equal">
      <formula>0</formula>
    </cfRule>
  </conditionalFormatting>
  <conditionalFormatting sqref="C20:V21">
    <cfRule type="cellIs" dxfId="274" priority="46" operator="equal">
      <formula>"DECREASE"</formula>
    </cfRule>
    <cfRule type="cellIs" dxfId="273" priority="47" operator="equal">
      <formula>"INCREASE"</formula>
    </cfRule>
  </conditionalFormatting>
  <conditionalFormatting sqref="C21:V21">
    <cfRule type="cellIs" dxfId="272" priority="11" operator="equal">
      <formula>0</formula>
    </cfRule>
  </conditionalFormatting>
  <conditionalFormatting sqref="C22:V23">
    <cfRule type="cellIs" dxfId="271" priority="18" operator="equal">
      <formula>0</formula>
    </cfRule>
  </conditionalFormatting>
  <conditionalFormatting sqref="C24:V24">
    <cfRule type="cellIs" dxfId="270" priority="19" operator="equal">
      <formula>"DECREASE"</formula>
    </cfRule>
    <cfRule type="cellIs" dxfId="269" priority="20" operator="equal">
      <formula>"INCREASE"</formula>
    </cfRule>
  </conditionalFormatting>
  <conditionalFormatting sqref="G31:G50">
    <cfRule type="cellIs" dxfId="268" priority="34" operator="greaterThan">
      <formula>$G$51</formula>
    </cfRule>
  </conditionalFormatting>
  <conditionalFormatting sqref="H31:H50">
    <cfRule type="cellIs" dxfId="267" priority="33" operator="greaterThan">
      <formula>$H$51</formula>
    </cfRule>
  </conditionalFormatting>
  <conditionalFormatting sqref="I1">
    <cfRule type="cellIs" dxfId="266" priority="14" operator="between">
      <formula>0.1</formula>
      <formula>5</formula>
    </cfRule>
  </conditionalFormatting>
  <conditionalFormatting sqref="I2">
    <cfRule type="cellIs" dxfId="265" priority="13" operator="greaterThan">
      <formula>5000.1</formula>
    </cfRule>
  </conditionalFormatting>
  <conditionalFormatting sqref="I3">
    <cfRule type="cellIs" dxfId="264" priority="12" operator="greaterThan">
      <formula>40000.01</formula>
    </cfRule>
  </conditionalFormatting>
  <conditionalFormatting sqref="I31:I50">
    <cfRule type="cellIs" dxfId="263" priority="32" operator="greaterThan">
      <formula>$I$51</formula>
    </cfRule>
  </conditionalFormatting>
  <conditionalFormatting sqref="J31:J50">
    <cfRule type="cellIs" dxfId="262" priority="6" operator="greaterThan">
      <formula>$J$51</formula>
    </cfRule>
  </conditionalFormatting>
  <conditionalFormatting sqref="K31:K50">
    <cfRule type="cellIs" dxfId="261" priority="30" operator="greaterThan">
      <formula>$K$51</formula>
    </cfRule>
  </conditionalFormatting>
  <conditionalFormatting sqref="L3">
    <cfRule type="cellIs" dxfId="260" priority="4" operator="lessThan">
      <formula>30</formula>
    </cfRule>
    <cfRule type="cellIs" dxfId="259" priority="5" operator="greaterThanOrEqual">
      <formula>30</formula>
    </cfRule>
  </conditionalFormatting>
  <conditionalFormatting sqref="L31:L50">
    <cfRule type="cellIs" dxfId="258" priority="29" operator="greaterThan">
      <formula>$L$51</formula>
    </cfRule>
  </conditionalFormatting>
  <conditionalFormatting sqref="M31:M50">
    <cfRule type="cellIs" dxfId="257" priority="28" operator="greaterThan">
      <formula>$M$51</formula>
    </cfRule>
  </conditionalFormatting>
  <conditionalFormatting sqref="P31:P50">
    <cfRule type="cellIs" dxfId="256" priority="27" operator="greaterThan">
      <formula>$P$51</formula>
    </cfRule>
  </conditionalFormatting>
  <conditionalFormatting sqref="R31:R50">
    <cfRule type="cellIs" dxfId="255" priority="26" operator="greaterThan">
      <formula>$R$51</formula>
    </cfRule>
  </conditionalFormatting>
  <conditionalFormatting sqref="S31:S50">
    <cfRule type="cellIs" dxfId="254" priority="25" operator="greaterThan">
      <formula>$S$51</formula>
    </cfRule>
  </conditionalFormatting>
  <conditionalFormatting sqref="T31:T50">
    <cfRule type="cellIs" dxfId="253" priority="24" operator="greaterThan">
      <formula>$T$51</formula>
    </cfRule>
  </conditionalFormatting>
  <conditionalFormatting sqref="U31:U50">
    <cfRule type="cellIs" dxfId="252" priority="23"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D27" sqref="D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Alaw'!C1:D1</f>
        <v>PAN-027648</v>
      </c>
      <c r="D1" s="167"/>
      <c r="E1" s="106" t="s">
        <v>45</v>
      </c>
      <c r="F1" s="113">
        <f>'Field data and Alaw'!F1</f>
        <v>44.3</v>
      </c>
      <c r="G1" s="134" t="s">
        <v>43</v>
      </c>
      <c r="H1" s="135"/>
      <c r="I1" s="109">
        <v>7</v>
      </c>
      <c r="J1" s="158" t="s">
        <v>153</v>
      </c>
      <c r="K1" s="159"/>
      <c r="L1" s="109">
        <v>226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Alaw'!C2:D2</f>
        <v>GP3792SK</v>
      </c>
      <c r="D2" s="169"/>
      <c r="E2" s="96" t="s">
        <v>109</v>
      </c>
      <c r="F2" s="110">
        <v>190902</v>
      </c>
      <c r="G2" s="136" t="s">
        <v>110</v>
      </c>
      <c r="H2" s="137"/>
      <c r="I2" s="110"/>
      <c r="J2" s="138" t="s">
        <v>158</v>
      </c>
      <c r="K2" s="139"/>
      <c r="L2" s="110">
        <v>0.75800000000000001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Alaw'!C3:D3</f>
        <v>Byproduct Recovery Limited</v>
      </c>
      <c r="D3" s="169"/>
      <c r="E3" s="96" t="s">
        <v>108</v>
      </c>
      <c r="F3" s="111" t="s">
        <v>78</v>
      </c>
      <c r="G3" s="138" t="s">
        <v>159</v>
      </c>
      <c r="H3" s="139"/>
      <c r="I3" s="110"/>
      <c r="J3" s="160" t="s">
        <v>154</v>
      </c>
      <c r="K3" s="161"/>
      <c r="L3" s="110">
        <f>(L1/(L2*10000))*100</f>
        <v>2.9815303430079156</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Alaw'!C4:D4</f>
        <v>Plas Bach, Cerrigceinwen, Bodorgan.LL62 5NS</v>
      </c>
      <c r="D4" s="171"/>
      <c r="E4" s="99" t="s">
        <v>1</v>
      </c>
      <c r="F4" s="110" t="s">
        <v>175</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Alaw'!C5:D5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Alaw'!C8</f>
        <v>SJC1</v>
      </c>
      <c r="D8" s="49" t="str">
        <f>'Field data and Alaw'!D8</f>
        <v>SJC2</v>
      </c>
      <c r="E8" s="49" t="str">
        <f>'Field data and Alaw'!E8</f>
        <v>SJC3</v>
      </c>
      <c r="F8" s="49" t="str">
        <f>'Field data and Alaw'!F8</f>
        <v>SJC4</v>
      </c>
      <c r="G8" s="49" t="str">
        <f>'Field data and Alaw'!G8</f>
        <v>SJC5</v>
      </c>
      <c r="H8" s="49" t="str">
        <f>'Field data and Alaw'!H8</f>
        <v>SJC6</v>
      </c>
      <c r="I8" s="49" t="str">
        <f>'Field data and Alaw'!I8</f>
        <v>BODNOLWYN A</v>
      </c>
      <c r="J8" s="49" t="str">
        <f>'Field data and Alaw'!J8</f>
        <v>BODNOLWYN B</v>
      </c>
      <c r="K8" s="49">
        <f>'Field data and Alaw'!K8</f>
        <v>0</v>
      </c>
      <c r="L8" s="49">
        <f>'Field data and Alaw'!L8</f>
        <v>0</v>
      </c>
      <c r="M8" s="49">
        <f>'Field data and Alaw'!M8</f>
        <v>0</v>
      </c>
      <c r="N8" s="49">
        <f>'Field data and Alaw'!N8</f>
        <v>0</v>
      </c>
      <c r="O8" s="49">
        <f>'Field data and Alaw'!O8</f>
        <v>0</v>
      </c>
      <c r="P8" s="49">
        <f>'Field data and Alaw'!P8</f>
        <v>0</v>
      </c>
      <c r="Q8" s="49">
        <f>'Field data and Alaw'!Q8</f>
        <v>0</v>
      </c>
      <c r="R8" s="49">
        <f>'Field data and Alaw'!R8</f>
        <v>0</v>
      </c>
      <c r="S8" s="49">
        <f>'Field data and Alaw'!S8</f>
        <v>0</v>
      </c>
      <c r="T8" s="49">
        <f>'Field data and Alaw'!T8</f>
        <v>0</v>
      </c>
      <c r="U8" s="49">
        <f>'Field data and Alaw'!U8</f>
        <v>0</v>
      </c>
      <c r="V8" s="102">
        <f>'Field data and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Alaw'!C9</f>
        <v>m</v>
      </c>
      <c r="D9" s="49" t="str">
        <f>'Field data and Alaw'!D9</f>
        <v>m</v>
      </c>
      <c r="E9" s="49" t="str">
        <f>'Field data and Alaw'!E9</f>
        <v>m</v>
      </c>
      <c r="F9" s="49">
        <f>'Field data and Alaw'!F9</f>
        <v>2</v>
      </c>
      <c r="G9" s="49" t="str">
        <f>'Field data and Alaw'!G9</f>
        <v>m</v>
      </c>
      <c r="H9" s="49">
        <f>'Field data and Alaw'!H9</f>
        <v>2</v>
      </c>
      <c r="I9" s="49" t="str">
        <f>'Field data and Alaw'!I9</f>
        <v xml:space="preserve">m </v>
      </c>
      <c r="J9" s="49" t="str">
        <f>'Field data and Alaw'!J9</f>
        <v xml:space="preserve">m </v>
      </c>
      <c r="K9" s="49">
        <f>'Field data and Alaw'!K9</f>
        <v>0</v>
      </c>
      <c r="L9" s="49">
        <f>'Field data and Alaw'!L9</f>
        <v>0</v>
      </c>
      <c r="M9" s="49">
        <f>'Field data and Alaw'!M9</f>
        <v>0</v>
      </c>
      <c r="N9" s="49">
        <f>'Field data and Alaw'!N9</f>
        <v>0</v>
      </c>
      <c r="O9" s="49">
        <f>'Field data and Alaw'!O9</f>
        <v>0</v>
      </c>
      <c r="P9" s="49">
        <f>'Field data and Alaw'!P9</f>
        <v>0</v>
      </c>
      <c r="Q9" s="49">
        <f>'Field data and Alaw'!Q9</f>
        <v>0</v>
      </c>
      <c r="R9" s="49">
        <f>'Field data and Alaw'!R9</f>
        <v>0</v>
      </c>
      <c r="S9" s="49">
        <f>'Field data and Alaw'!S9</f>
        <v>0</v>
      </c>
      <c r="T9" s="49">
        <f>'Field data and Alaw'!T9</f>
        <v>0</v>
      </c>
      <c r="U9" s="49">
        <f>'Field data and Alaw'!U9</f>
        <v>0</v>
      </c>
      <c r="V9" s="102">
        <f>'Field data and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Alaw'!C10</f>
        <v>6.4</v>
      </c>
      <c r="D10" s="49">
        <f>'Field data and Alaw'!D10</f>
        <v>5.8</v>
      </c>
      <c r="E10" s="49">
        <f>'Field data and Alaw'!E10</f>
        <v>6</v>
      </c>
      <c r="F10" s="49">
        <f>'Field data and Alaw'!F10</f>
        <v>6</v>
      </c>
      <c r="G10" s="49">
        <f>'Field data and Alaw'!G10</f>
        <v>5.9</v>
      </c>
      <c r="H10" s="49">
        <f>'Field data and Alaw'!H10</f>
        <v>6.1</v>
      </c>
      <c r="I10" s="49">
        <f>'Field data and Alaw'!I10</f>
        <v>5.8</v>
      </c>
      <c r="J10" s="49">
        <f>'Field data and Alaw'!J10</f>
        <v>5.7</v>
      </c>
      <c r="K10" s="49">
        <f>'Field data and Alaw'!K10</f>
        <v>0</v>
      </c>
      <c r="L10" s="49">
        <f>'Field data and Alaw'!L10</f>
        <v>0</v>
      </c>
      <c r="M10" s="49">
        <f>'Field data and Alaw'!M10</f>
        <v>0</v>
      </c>
      <c r="N10" s="49">
        <f>'Field data and Alaw'!N10</f>
        <v>0</v>
      </c>
      <c r="O10" s="49">
        <f>'Field data and Alaw'!O10</f>
        <v>0</v>
      </c>
      <c r="P10" s="49">
        <f>'Field data and Alaw'!P10</f>
        <v>0</v>
      </c>
      <c r="Q10" s="49">
        <f>'Field data and Alaw'!Q10</f>
        <v>0</v>
      </c>
      <c r="R10" s="49">
        <f>'Field data and Alaw'!R10</f>
        <v>0</v>
      </c>
      <c r="S10" s="49">
        <f>'Field data and Alaw'!S10</f>
        <v>0</v>
      </c>
      <c r="T10" s="49">
        <f>'Field data and Alaw'!T10</f>
        <v>0</v>
      </c>
      <c r="U10" s="49">
        <f>'Field data and Alaw'!U10</f>
        <v>0</v>
      </c>
      <c r="V10" s="102">
        <f>'Field data and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Alaw'!C11</f>
        <v>2</v>
      </c>
      <c r="D11" s="49">
        <f>'Field data and Alaw'!D11</f>
        <v>2</v>
      </c>
      <c r="E11" s="49">
        <f>'Field data and Alaw'!E11</f>
        <v>3</v>
      </c>
      <c r="F11" s="49">
        <f>'Field data and Alaw'!F11</f>
        <v>1</v>
      </c>
      <c r="G11" s="49">
        <f>'Field data and Alaw'!G11</f>
        <v>0</v>
      </c>
      <c r="H11" s="49">
        <f>'Field data and Alaw'!H11</f>
        <v>3</v>
      </c>
      <c r="I11" s="49">
        <f>'Field data and Alaw'!I11</f>
        <v>2</v>
      </c>
      <c r="J11" s="49">
        <f>'Field data and Alaw'!J11</f>
        <v>2</v>
      </c>
      <c r="K11" s="49">
        <f>'Field data and Alaw'!K11</f>
        <v>0</v>
      </c>
      <c r="L11" s="49">
        <f>'Field data and Alaw'!L11</f>
        <v>0</v>
      </c>
      <c r="M11" s="49">
        <f>'Field data and Alaw'!M11</f>
        <v>0</v>
      </c>
      <c r="N11" s="49">
        <f>'Field data and Alaw'!N11</f>
        <v>0</v>
      </c>
      <c r="O11" s="49">
        <f>'Field data and Alaw'!O11</f>
        <v>0</v>
      </c>
      <c r="P11" s="49">
        <f>'Field data and Alaw'!P11</f>
        <v>0</v>
      </c>
      <c r="Q11" s="49">
        <f>'Field data and Alaw'!Q11</f>
        <v>0</v>
      </c>
      <c r="R11" s="49">
        <f>'Field data and Alaw'!R11</f>
        <v>0</v>
      </c>
      <c r="S11" s="49">
        <f>'Field data and Alaw'!S11</f>
        <v>0</v>
      </c>
      <c r="T11" s="49">
        <f>'Field data and Alaw'!T11</f>
        <v>0</v>
      </c>
      <c r="U11" s="49">
        <f>'Field data and Alaw'!U11</f>
        <v>0</v>
      </c>
      <c r="V11" s="102">
        <f>'Field data and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Alaw'!C12</f>
        <v>3</v>
      </c>
      <c r="D12" s="49">
        <f>'Field data and Alaw'!D12</f>
        <v>4</v>
      </c>
      <c r="E12" s="49">
        <f>'Field data and Alaw'!E12</f>
        <v>4</v>
      </c>
      <c r="F12" s="49">
        <f>'Field data and Alaw'!F12</f>
        <v>1</v>
      </c>
      <c r="G12" s="49">
        <f>'Field data and Alaw'!G12</f>
        <v>1</v>
      </c>
      <c r="H12" s="49">
        <f>'Field data and Alaw'!H12</f>
        <v>2</v>
      </c>
      <c r="I12" s="49">
        <f>'Field data and Alaw'!I12</f>
        <v>2</v>
      </c>
      <c r="J12" s="49">
        <f>'Field data and Alaw'!J12</f>
        <v>2</v>
      </c>
      <c r="K12" s="49">
        <f>'Field data and Alaw'!K12</f>
        <v>0</v>
      </c>
      <c r="L12" s="49">
        <f>'Field data and Alaw'!L12</f>
        <v>0</v>
      </c>
      <c r="M12" s="49">
        <f>'Field data and Alaw'!M12</f>
        <v>0</v>
      </c>
      <c r="N12" s="49">
        <f>'Field data and Alaw'!N12</f>
        <v>0</v>
      </c>
      <c r="O12" s="49">
        <f>'Field data and Alaw'!O12</f>
        <v>0</v>
      </c>
      <c r="P12" s="49">
        <f>'Field data and Alaw'!P12</f>
        <v>0</v>
      </c>
      <c r="Q12" s="49">
        <f>'Field data and Alaw'!Q12</f>
        <v>0</v>
      </c>
      <c r="R12" s="49">
        <f>'Field data and Alaw'!R12</f>
        <v>0</v>
      </c>
      <c r="S12" s="49">
        <f>'Field data and Alaw'!S12</f>
        <v>0</v>
      </c>
      <c r="T12" s="49">
        <f>'Field data and Alaw'!T12</f>
        <v>0</v>
      </c>
      <c r="U12" s="49">
        <f>'Field data and Alaw'!U12</f>
        <v>0</v>
      </c>
      <c r="V12" s="102">
        <f>'Field data and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Alaw'!C13</f>
        <v>4</v>
      </c>
      <c r="D13" s="49">
        <f>'Field data and Alaw'!D13</f>
        <v>3</v>
      </c>
      <c r="E13" s="49">
        <f>'Field data and Alaw'!E13</f>
        <v>3</v>
      </c>
      <c r="F13" s="49">
        <f>'Field data and Alaw'!F13</f>
        <v>3</v>
      </c>
      <c r="G13" s="49">
        <f>'Field data and Alaw'!G13</f>
        <v>3</v>
      </c>
      <c r="H13" s="49">
        <f>'Field data and Alaw'!H13</f>
        <v>3</v>
      </c>
      <c r="I13" s="49">
        <f>'Field data and Alaw'!I13</f>
        <v>3</v>
      </c>
      <c r="J13" s="49">
        <f>'Field data and Alaw'!J13</f>
        <v>3</v>
      </c>
      <c r="K13" s="49">
        <f>'Field data and Alaw'!K13</f>
        <v>0</v>
      </c>
      <c r="L13" s="49">
        <f>'Field data and Alaw'!L13</f>
        <v>0</v>
      </c>
      <c r="M13" s="49">
        <f>'Field data and Alaw'!M13</f>
        <v>0</v>
      </c>
      <c r="N13" s="49">
        <f>'Field data and Alaw'!N13</f>
        <v>0</v>
      </c>
      <c r="O13" s="49">
        <f>'Field data and Alaw'!O13</f>
        <v>0</v>
      </c>
      <c r="P13" s="49">
        <f>'Field data and Alaw'!P13</f>
        <v>0</v>
      </c>
      <c r="Q13" s="49">
        <f>'Field data and Alaw'!Q13</f>
        <v>0</v>
      </c>
      <c r="R13" s="49">
        <f>'Field data and Alaw'!R13</f>
        <v>0</v>
      </c>
      <c r="S13" s="49">
        <f>'Field data and Alaw'!S13</f>
        <v>0</v>
      </c>
      <c r="T13" s="49">
        <f>'Field data and Alaw'!T13</f>
        <v>0</v>
      </c>
      <c r="U13" s="49">
        <f>'Field data and Alaw'!U13</f>
        <v>0</v>
      </c>
      <c r="V13" s="102">
        <f>'Field data and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Alaw'!C14</f>
        <v xml:space="preserve">Grass Silage (25% DM) </v>
      </c>
      <c r="D14" s="83" t="str">
        <f>'Field data and Alaw'!D14</f>
        <v xml:space="preserve">Grass Silage (25% DM) </v>
      </c>
      <c r="E14" s="83" t="str">
        <f>'Field data and Alaw'!E14</f>
        <v xml:space="preserve">Grass Silage (25% DM) </v>
      </c>
      <c r="F14" s="83" t="str">
        <f>'Field data and Alaw'!F14</f>
        <v>Spring wheat/barley</v>
      </c>
      <c r="G14" s="83" t="str">
        <f>'Field data and Alaw'!G14</f>
        <v xml:space="preserve">Grass Silage (25% DM) </v>
      </c>
      <c r="H14" s="83" t="str">
        <f>'Field data and Alaw'!H14</f>
        <v>Spring wheat/barley</v>
      </c>
      <c r="I14" s="83" t="str">
        <f>'Field data and Alaw'!I14</f>
        <v xml:space="preserve">Grass Silage (25% DM) </v>
      </c>
      <c r="J14" s="83" t="str">
        <f>'Field data and Alaw'!J14</f>
        <v xml:space="preserve">Grass Silage (25% DM) </v>
      </c>
      <c r="K14" s="83">
        <f>'Field data and Alaw'!K14</f>
        <v>0</v>
      </c>
      <c r="L14" s="83">
        <f>'Field data and Alaw'!L14</f>
        <v>0</v>
      </c>
      <c r="M14" s="83">
        <f>'Field data and Alaw'!M14</f>
        <v>0</v>
      </c>
      <c r="N14" s="83">
        <f>'Field data and Alaw'!N14</f>
        <v>0</v>
      </c>
      <c r="O14" s="83">
        <f>'Field data and Alaw'!O14</f>
        <v>0</v>
      </c>
      <c r="P14" s="83">
        <f>'Field data and Alaw'!P14</f>
        <v>0</v>
      </c>
      <c r="Q14" s="83">
        <f>'Field data and Alaw'!Q14</f>
        <v>0</v>
      </c>
      <c r="R14" s="83">
        <f>'Field data and Alaw'!R14</f>
        <v>0</v>
      </c>
      <c r="S14" s="83">
        <f>'Field data and Alaw'!S14</f>
        <v>0</v>
      </c>
      <c r="T14" s="83">
        <f>'Field data and Alaw'!T14</f>
        <v>0</v>
      </c>
      <c r="U14" s="83">
        <f>'Field data and Alaw'!U14</f>
        <v>0</v>
      </c>
      <c r="V14" s="103">
        <f>'Field data and Alaw'!V14</f>
        <v>0</v>
      </c>
      <c r="AD14" s="22" t="s">
        <v>138</v>
      </c>
      <c r="AE14" s="22">
        <v>6</v>
      </c>
      <c r="AI14" s="43" t="s">
        <v>119</v>
      </c>
      <c r="AJ14" s="44">
        <v>0.8</v>
      </c>
      <c r="AK14" s="45">
        <v>1.7</v>
      </c>
      <c r="AL14" s="9">
        <v>12</v>
      </c>
      <c r="AM14" s="9">
        <v>6.7</v>
      </c>
      <c r="AN14" s="9" t="s">
        <v>135</v>
      </c>
    </row>
    <row r="15" spans="1:41" ht="13" x14ac:dyDescent="0.25">
      <c r="A15" s="152" t="s">
        <v>9</v>
      </c>
      <c r="B15" s="153"/>
      <c r="C15" s="49">
        <f>'Field data and Alaw'!C15</f>
        <v>38</v>
      </c>
      <c r="D15" s="49">
        <f>'Field data and Alaw'!D15</f>
        <v>38</v>
      </c>
      <c r="E15" s="49">
        <f>'Field data and Alaw'!E15</f>
        <v>38</v>
      </c>
      <c r="F15" s="49">
        <f>'Field data and Alaw'!F15</f>
        <v>5.5</v>
      </c>
      <c r="G15" s="49">
        <f>'Field data and Alaw'!G15</f>
        <v>38</v>
      </c>
      <c r="H15" s="49">
        <f>'Field data and Alaw'!H15</f>
        <v>5.5</v>
      </c>
      <c r="I15" s="49">
        <f>'Field data and Alaw'!I15</f>
        <v>38</v>
      </c>
      <c r="J15" s="49">
        <f>'Field data and Alaw'!J15</f>
        <v>38</v>
      </c>
      <c r="K15" s="49">
        <f>'Field data and Alaw'!K15</f>
        <v>0</v>
      </c>
      <c r="L15" s="49">
        <f>'Field data and Alaw'!L15</f>
        <v>0</v>
      </c>
      <c r="M15" s="49">
        <f>'Field data and Alaw'!M15</f>
        <v>0</v>
      </c>
      <c r="N15" s="49">
        <f>'Field data and Alaw'!N15</f>
        <v>0</v>
      </c>
      <c r="O15" s="49">
        <f>'Field data and Alaw'!O15</f>
        <v>0</v>
      </c>
      <c r="P15" s="49">
        <f>'Field data and Alaw'!P15</f>
        <v>0</v>
      </c>
      <c r="Q15" s="49">
        <f>'Field data and Alaw'!Q15</f>
        <v>0</v>
      </c>
      <c r="R15" s="49">
        <f>'Field data and Alaw'!R15</f>
        <v>0</v>
      </c>
      <c r="S15" s="49">
        <f>'Field data and Alaw'!S15</f>
        <v>0</v>
      </c>
      <c r="T15" s="49">
        <f>'Field data and Alaw'!T15</f>
        <v>0</v>
      </c>
      <c r="U15" s="49">
        <f>'Field data and Alaw'!U15</f>
        <v>0</v>
      </c>
      <c r="V15" s="102">
        <f>'Field data and Alaw'!V15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Alaw'!C16</f>
        <v>Medium/Clay</v>
      </c>
      <c r="D16" s="104" t="str">
        <f>'Field data and Alaw'!D16</f>
        <v>Medium/Clay</v>
      </c>
      <c r="E16" s="104" t="str">
        <f>'Field data and Alaw'!E16</f>
        <v>Medium/Clay</v>
      </c>
      <c r="F16" s="104" t="str">
        <f>'Field data and Alaw'!F16</f>
        <v>Medium/Clay</v>
      </c>
      <c r="G16" s="104" t="str">
        <f>'Field data and Alaw'!G16</f>
        <v>Medium/Clay</v>
      </c>
      <c r="H16" s="104" t="str">
        <f>'Field data and Alaw'!H16</f>
        <v>Medium/Clay</v>
      </c>
      <c r="I16" s="104" t="str">
        <f>'Field data and Alaw'!I16</f>
        <v>Medium/Clay</v>
      </c>
      <c r="J16" s="104" t="str">
        <f>'Field data and Alaw'!J16</f>
        <v>Medium/Clay</v>
      </c>
      <c r="K16" s="104">
        <f>'Field data and Alaw'!K16</f>
        <v>0</v>
      </c>
      <c r="L16" s="104">
        <f>'Field data and Alaw'!L16</f>
        <v>0</v>
      </c>
      <c r="M16" s="104">
        <f>'Field data and Alaw'!M16</f>
        <v>0</v>
      </c>
      <c r="N16" s="104">
        <f>'Field data and Alaw'!N16</f>
        <v>0</v>
      </c>
      <c r="O16" s="104">
        <f>'Field data and Alaw'!O16</f>
        <v>0</v>
      </c>
      <c r="P16" s="104">
        <f>'Field data and Alaw'!P16</f>
        <v>0</v>
      </c>
      <c r="Q16" s="104">
        <f>'Field data and Alaw'!Q16</f>
        <v>0</v>
      </c>
      <c r="R16" s="104">
        <f>'Field data and Alaw'!R16</f>
        <v>0</v>
      </c>
      <c r="S16" s="104">
        <f>'Field data and Alaw'!S16</f>
        <v>0</v>
      </c>
      <c r="T16" s="104">
        <f>'Field data and Alaw'!T16</f>
        <v>0</v>
      </c>
      <c r="U16" s="104">
        <f>'Field data and Alaw'!U16</f>
        <v>0</v>
      </c>
      <c r="V16" s="105">
        <f>'Field data and Alaw'!V16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46.75</v>
      </c>
      <c r="G17" s="20">
        <f t="shared" si="0"/>
        <v>64.599999999999994</v>
      </c>
      <c r="H17" s="20">
        <f t="shared" si="0"/>
        <v>46.75</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6.7771789249999994</v>
      </c>
      <c r="D18" s="12">
        <f>$D32</f>
        <v>6.7771789249999994</v>
      </c>
      <c r="E18" s="12">
        <f>$D33</f>
        <v>6.7771789249999994</v>
      </c>
      <c r="F18" s="12">
        <f>$D34</f>
        <v>6.7771789249999994</v>
      </c>
      <c r="G18" s="12">
        <f>$D35</f>
        <v>6.7771789249999994</v>
      </c>
      <c r="H18" s="12">
        <f>$D36</f>
        <v>6.7771789249999994</v>
      </c>
      <c r="I18" s="12">
        <f>$D37</f>
        <v>6.7771789249999994</v>
      </c>
      <c r="J18" s="12">
        <f>$D38</f>
        <v>6.7771789249999994</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-57.822821074999993</v>
      </c>
      <c r="D19" s="12">
        <f t="shared" ref="D19:V19" si="1">D18-D17</f>
        <v>-57.822821074999993</v>
      </c>
      <c r="E19" s="12">
        <f t="shared" si="1"/>
        <v>-57.822821074999993</v>
      </c>
      <c r="F19" s="12">
        <f t="shared" si="1"/>
        <v>-39.972821074999999</v>
      </c>
      <c r="G19" s="12">
        <f t="shared" si="1"/>
        <v>-57.822821074999993</v>
      </c>
      <c r="H19" s="12">
        <f t="shared" si="1"/>
        <v>-39.972821074999999</v>
      </c>
      <c r="I19" s="12">
        <f t="shared" si="1"/>
        <v>-57.822821074999993</v>
      </c>
      <c r="J19" s="12">
        <f t="shared" si="1"/>
        <v>-57.822821074999993</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66</v>
      </c>
      <c r="G21" s="20">
        <f t="shared" si="2"/>
        <v>228</v>
      </c>
      <c r="H21" s="20">
        <f t="shared" si="2"/>
        <v>66</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1.7566188750000003E-4</v>
      </c>
      <c r="D22" s="12">
        <f>$E32</f>
        <v>1.7566188750000003E-4</v>
      </c>
      <c r="E22" s="12">
        <f>$E33</f>
        <v>1.7566188750000003E-4</v>
      </c>
      <c r="F22" s="12">
        <f>$E34</f>
        <v>1.7566188750000003E-4</v>
      </c>
      <c r="G22" s="12">
        <f>$E35</f>
        <v>1.7566188750000003E-4</v>
      </c>
      <c r="H22" s="12">
        <f>$E36</f>
        <v>1.7566188750000003E-4</v>
      </c>
      <c r="I22" s="12">
        <f>$E37</f>
        <v>1.7566188750000003E-4</v>
      </c>
      <c r="J22" s="12">
        <f>$E38</f>
        <v>1.7566188750000003E-4</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-227.99982433811249</v>
      </c>
      <c r="D23" s="12">
        <f t="shared" ref="D23:V23" si="3">D22-D21</f>
        <v>-227.99982433811249</v>
      </c>
      <c r="E23" s="12">
        <f t="shared" si="3"/>
        <v>-227.99982433811249</v>
      </c>
      <c r="F23" s="12">
        <f t="shared" si="3"/>
        <v>-65.999824338112504</v>
      </c>
      <c r="G23" s="12">
        <f t="shared" si="3"/>
        <v>-227.99982433811249</v>
      </c>
      <c r="H23" s="12">
        <f t="shared" si="3"/>
        <v>-65.999824338112504</v>
      </c>
      <c r="I23" s="12">
        <f t="shared" si="3"/>
        <v>-227.99982433811249</v>
      </c>
      <c r="J23" s="12">
        <f t="shared" si="3"/>
        <v>-227.99982433811249</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3.41</v>
      </c>
      <c r="C28" s="11">
        <v>0.75800000000000001</v>
      </c>
      <c r="D28" s="11">
        <v>3.4700000000000002E-2</v>
      </c>
      <c r="E28" s="11">
        <v>1.7100000000000001E-2</v>
      </c>
      <c r="F28" s="11">
        <v>496</v>
      </c>
      <c r="G28" s="11">
        <v>7.8</v>
      </c>
      <c r="H28" s="11">
        <v>127</v>
      </c>
      <c r="I28" s="11">
        <v>16.899999999999999</v>
      </c>
      <c r="J28" s="11">
        <v>0.28999999999999998</v>
      </c>
      <c r="K28" s="15">
        <v>1.17</v>
      </c>
      <c r="L28" s="11">
        <v>15.7</v>
      </c>
      <c r="M28" s="11">
        <v>18.600000000000001</v>
      </c>
      <c r="N28" s="11">
        <v>2550</v>
      </c>
      <c r="O28" s="11">
        <v>419000</v>
      </c>
      <c r="P28" s="11"/>
      <c r="Q28" s="11">
        <v>2950</v>
      </c>
      <c r="R28" s="11"/>
      <c r="S28" s="11">
        <v>30.6</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SJC1</v>
      </c>
      <c r="B31" s="11">
        <v>250</v>
      </c>
      <c r="C31" s="65">
        <f>IF(C$27="%w/w SAR",((C$28*10)*$B31),IF(C$27="%w/w DM",(((C$28*10)*($B$28/100))*$B31),IF(C$27="kg/t SAR",(C$28*$B31),IF(C$27="kg/t DM",((C$28*($B$28/100))*$B31),IF(C$27="mg/kg SAR",((C$28*0.001)*$B31),IF(C$27="mg/kg DM",(((C$28*0.001)*($B$28/100))*$B31),0))))))</f>
        <v>64.619500000000002</v>
      </c>
      <c r="D31" s="65">
        <f>(IF(D$27="%w/w SAR",((D$28*10)*$B31),IF(D$27="%w/w DM",(((D$28*10)*($B$28/100))*$B31),IF(D$27="kg/t SAR",(D$28*$B31),IF(D$27="kg/t DM",((D$28*($B$28/100))*$B31),IF(D$27="mg/kg SAR",((D$28*0.001)*$B31),IF(D$27="mg/kg DM",(((D$28*0.001)*($B$28/100))*$B31),"0")))))))*2.291</f>
        <v>6.7771789249999994</v>
      </c>
      <c r="E31" s="65">
        <f>(IF(E$27="%w/w SAR",((E$28*10)*$B31),IF(E$27="%w/w DM",(((E$28*10)*($B$28/100))*$B31),IF(E$27="kg/t SAR",(E$28*$B31),IF(E$27="kg/t DM",((E$28*($B$28/100))*$B31),IF(E$27="mg/kg SAR",((E$28*0.001)*$B31),IF(E$27="mg/kg DM",(((E$28*0.001)*($B$28/100))*$B31),"0")))))))*1.205</f>
        <v>1.7566188750000003E-4</v>
      </c>
      <c r="F31" s="65">
        <f>(IF(F$27="%w/w SAR",((F$28*10)*$B31),IF(F$27="%w/w DM",(((F$28*10)*($B$28/100))*$B31),IF(F$27="kg/t SAR",(F$28*$B31),IF(F$27="kg/t DM",((F$28*($B$28/100))*$B31),IF(F$27="mg/kg SAR",((F$28*0.001)*$B31),IF(F$27="mg/kg DM",(((F$28*0.001)*($B$28/100))*$B31),"0")))))))*1.658</f>
        <v>7.0106871999999996</v>
      </c>
      <c r="G31" s="65">
        <f t="shared" ref="G31:P46" si="5">IF(G$27="%w/w SAR",((G$28*10)*$B31),IF(G$27="%w/w DM",(((G$28*10)*($B$28/100))*$B31),IF(G$27="kg/t SAR",(G$28*$B31),IF(G$27="kg/t DM",((G$28*($B$28/100))*$B31),IF(G$27="mg/kg SAR",((G$28*0.001)*$B31),IF(G$27="mg/kg DM",(((G$28*0.001)*($B$28/100))*$B31),0))))))</f>
        <v>6.6494999999999999E-2</v>
      </c>
      <c r="H31" s="65">
        <f t="shared" si="5"/>
        <v>1.0826750000000001</v>
      </c>
      <c r="I31" s="65">
        <f t="shared" si="5"/>
        <v>0.14407249999999999</v>
      </c>
      <c r="J31" s="65">
        <f t="shared" si="5"/>
        <v>2.4722500000000001E-3</v>
      </c>
      <c r="K31" s="65">
        <f t="shared" si="5"/>
        <v>9.9742500000000005E-3</v>
      </c>
      <c r="L31" s="65">
        <f t="shared" si="5"/>
        <v>0.1338425</v>
      </c>
      <c r="M31" s="65">
        <f t="shared" si="5"/>
        <v>0.15856499999999998</v>
      </c>
      <c r="N31" s="65">
        <f t="shared" si="5"/>
        <v>21.73875</v>
      </c>
      <c r="O31" s="65">
        <f t="shared" si="5"/>
        <v>3571.9749999999995</v>
      </c>
      <c r="P31" s="65">
        <f t="shared" si="5"/>
        <v>0</v>
      </c>
      <c r="Q31" s="65">
        <f>(IF(Q$27="%w/w SAR",((Q$28*10)*$B31),IF(Q$27="%w/w DM",(((Q$28*10)*($B$28/100))*$B31),IF(Q$27="kg/t SAR",(Q$28*$B31),IF(Q$27="kg/t DM",((Q$28*($B$28/100))*$B31),IF(Q$27="mg/kg SAR",((Q$28*0.001)*$B31),IF(Q$27="mg/kg DM",(((Q$28*0.001)*($B$28/100))*$B31),0)))))))*2.5</f>
        <v>62.871875000000003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0.26086500000000001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SJC2</v>
      </c>
      <c r="B32" s="11">
        <v>250</v>
      </c>
      <c r="C32" s="65">
        <f t="shared" ref="C32:C50" si="6">IF(C$27="%w/w SAR",((C$28*10)*$B32),IF(C$27="%w/w DM",(((C$28*10)*($B$28/100))*$B32),IF(C$27="kg/t SAR",(C$28*$B32),IF(C$27="kg/t DM",((C$28*($B$28/100))*$B32),IF(C$27="mg/kg SAR",((C$28*0.001)*$B32),IF(C$27="mg/kg DM",(((C$28*0.001)*($B$28/100))*$B32),0))))))</f>
        <v>64.619500000000002</v>
      </c>
      <c r="D32" s="65">
        <f t="shared" ref="D32:D50" si="7">(IF(D$27="%w/w SAR",((D$28*10)*$B32),IF(D$27="%w/w DM",(((D$28*10)*($B$28/100))*$B32),IF(D$27="kg/t SAR",(D$28*$B32),IF(D$27="kg/t DM",((D$28*($B$28/100))*$B32),IF(D$27="mg/kg SAR",((D$28*0.001)*$B32),IF(D$27="mg/kg DM",(((D$28*0.001)*($B$28/100))*$B32),"0")))))))*2.291</f>
        <v>6.7771789249999994</v>
      </c>
      <c r="E32" s="65">
        <f t="shared" ref="E32:E50" si="8">(IF(E$27="%w/w SAR",((E$28*10)*$B32),IF(E$27="%w/w DM",(((E$28*10)*($B$28/100))*$B32),IF(E$27="kg/t SAR",(E$28*$B32),IF(E$27="kg/t DM",((E$28*($B$28/100))*$B32),IF(E$27="mg/kg SAR",((E$28*0.001)*$B32),IF(E$27="mg/kg DM",(((E$28*0.001)*($B$28/100))*$B32),"0")))))))*1.205</f>
        <v>1.7566188750000003E-4</v>
      </c>
      <c r="F32" s="65">
        <f t="shared" ref="F32:F50" si="9">(IF(F$27="%w/w SAR",((F$28*10)*$B32),IF(F$27="%w/w DM",(((F$28*10)*($B$28/100))*$B32),IF(F$27="kg/t SAR",(F$28*$B32),IF(F$27="kg/t DM",((F$28*($B$28/100))*$B32),IF(F$27="mg/kg SAR",((F$28*0.001)*$B32),IF(F$27="mg/kg DM",(((F$28*0.001)*($B$28/100))*$B32),"0")))))))*1.658</f>
        <v>7.0106871999999996</v>
      </c>
      <c r="G32" s="65">
        <f t="shared" si="5"/>
        <v>6.6494999999999999E-2</v>
      </c>
      <c r="H32" s="65">
        <f t="shared" si="5"/>
        <v>1.0826750000000001</v>
      </c>
      <c r="I32" s="65">
        <f t="shared" si="5"/>
        <v>0.14407249999999999</v>
      </c>
      <c r="J32" s="65">
        <f t="shared" si="5"/>
        <v>2.4722500000000001E-3</v>
      </c>
      <c r="K32" s="65">
        <f t="shared" si="5"/>
        <v>9.9742500000000005E-3</v>
      </c>
      <c r="L32" s="65">
        <f t="shared" si="5"/>
        <v>0.1338425</v>
      </c>
      <c r="M32" s="65">
        <f t="shared" si="5"/>
        <v>0.15856499999999998</v>
      </c>
      <c r="N32" s="65">
        <f t="shared" si="5"/>
        <v>21.73875</v>
      </c>
      <c r="O32" s="65">
        <f t="shared" si="5"/>
        <v>3571.9749999999995</v>
      </c>
      <c r="P32" s="65">
        <f t="shared" si="5"/>
        <v>0</v>
      </c>
      <c r="Q32" s="65">
        <f t="shared" ref="Q32:Q50" si="10">(IF(Q$27="%w/w SAR",((Q$28*10)*$B32),IF(Q$27="%w/w DM",(((Q$28*10)*($B$28/100))*$B32),IF(Q$27="kg/t SAR",(Q$28*$B32),IF(Q$27="kg/t DM",((Q$28*($B$28/100))*$B32),IF(Q$27="mg/kg SAR",((Q$28*0.001)*$B32),IF(Q$27="mg/kg DM",(((Q$28*0.001)*($B$28/100))*$B32),0)))))))*2.5</f>
        <v>62.871875000000003</v>
      </c>
      <c r="R32" s="65">
        <f t="shared" ref="R32:U50" si="11">IF(R$27="%w/w SAR",((R$28*10)*$B32),IF(R$27="%w/w DM",(((R$28*10)*($B$28/100))*$B32),IF(R$27="kg/t SAR",(R$28*$B32),IF(R$27="kg/t DM",((R$28*($B$28/100))*$B32),IF(R$27="mg/kg SAR",((R$28*0.001)*$B32),IF(R$27="mg/kg DM",(((R$28*0.001)*($B$28/100))*$B32),0))))))</f>
        <v>0</v>
      </c>
      <c r="S32" s="65">
        <f t="shared" si="11"/>
        <v>0.26086500000000001</v>
      </c>
      <c r="T32" s="65">
        <f t="shared" si="11"/>
        <v>0</v>
      </c>
      <c r="U32" s="126">
        <f t="shared" si="11"/>
        <v>0</v>
      </c>
    </row>
    <row r="33" spans="1:21" s="48" customFormat="1" ht="13" x14ac:dyDescent="0.35">
      <c r="A33" s="125" t="str">
        <f>E8</f>
        <v>SJC3</v>
      </c>
      <c r="B33" s="11">
        <v>250</v>
      </c>
      <c r="C33" s="65">
        <f t="shared" si="6"/>
        <v>64.619500000000002</v>
      </c>
      <c r="D33" s="65">
        <f t="shared" si="7"/>
        <v>6.7771789249999994</v>
      </c>
      <c r="E33" s="65">
        <f t="shared" si="8"/>
        <v>1.7566188750000003E-4</v>
      </c>
      <c r="F33" s="65">
        <f t="shared" si="9"/>
        <v>7.0106871999999996</v>
      </c>
      <c r="G33" s="65">
        <f t="shared" si="5"/>
        <v>6.6494999999999999E-2</v>
      </c>
      <c r="H33" s="65">
        <f t="shared" si="5"/>
        <v>1.0826750000000001</v>
      </c>
      <c r="I33" s="65">
        <f t="shared" si="5"/>
        <v>0.14407249999999999</v>
      </c>
      <c r="J33" s="65">
        <f t="shared" si="5"/>
        <v>2.4722500000000001E-3</v>
      </c>
      <c r="K33" s="65">
        <f t="shared" si="5"/>
        <v>9.9742500000000005E-3</v>
      </c>
      <c r="L33" s="65">
        <f t="shared" si="5"/>
        <v>0.1338425</v>
      </c>
      <c r="M33" s="65">
        <f t="shared" si="5"/>
        <v>0.15856499999999998</v>
      </c>
      <c r="N33" s="65">
        <f t="shared" si="5"/>
        <v>21.73875</v>
      </c>
      <c r="O33" s="65">
        <f t="shared" si="5"/>
        <v>3571.9749999999995</v>
      </c>
      <c r="P33" s="65">
        <f t="shared" si="5"/>
        <v>0</v>
      </c>
      <c r="Q33" s="65">
        <f t="shared" si="10"/>
        <v>62.871875000000003</v>
      </c>
      <c r="R33" s="65">
        <f t="shared" si="11"/>
        <v>0</v>
      </c>
      <c r="S33" s="65">
        <f t="shared" si="11"/>
        <v>0.26086500000000001</v>
      </c>
      <c r="T33" s="65">
        <f t="shared" si="11"/>
        <v>0</v>
      </c>
      <c r="U33" s="126">
        <f t="shared" si="11"/>
        <v>0</v>
      </c>
    </row>
    <row r="34" spans="1:21" s="48" customFormat="1" ht="13" x14ac:dyDescent="0.35">
      <c r="A34" s="125" t="str">
        <f>F8</f>
        <v>SJC4</v>
      </c>
      <c r="B34" s="11">
        <v>250</v>
      </c>
      <c r="C34" s="65">
        <f t="shared" si="6"/>
        <v>64.619500000000002</v>
      </c>
      <c r="D34" s="65">
        <f t="shared" si="7"/>
        <v>6.7771789249999994</v>
      </c>
      <c r="E34" s="65">
        <f t="shared" si="8"/>
        <v>1.7566188750000003E-4</v>
      </c>
      <c r="F34" s="65">
        <f t="shared" si="9"/>
        <v>7.0106871999999996</v>
      </c>
      <c r="G34" s="65">
        <f t="shared" si="5"/>
        <v>6.6494999999999999E-2</v>
      </c>
      <c r="H34" s="65">
        <f t="shared" si="5"/>
        <v>1.0826750000000001</v>
      </c>
      <c r="I34" s="65">
        <f t="shared" si="5"/>
        <v>0.14407249999999999</v>
      </c>
      <c r="J34" s="65">
        <f t="shared" si="5"/>
        <v>2.4722500000000001E-3</v>
      </c>
      <c r="K34" s="65">
        <f t="shared" si="5"/>
        <v>9.9742500000000005E-3</v>
      </c>
      <c r="L34" s="65">
        <f t="shared" si="5"/>
        <v>0.1338425</v>
      </c>
      <c r="M34" s="65">
        <f t="shared" si="5"/>
        <v>0.15856499999999998</v>
      </c>
      <c r="N34" s="65">
        <f t="shared" si="5"/>
        <v>21.73875</v>
      </c>
      <c r="O34" s="65">
        <f t="shared" si="5"/>
        <v>3571.9749999999995</v>
      </c>
      <c r="P34" s="65">
        <f t="shared" si="5"/>
        <v>0</v>
      </c>
      <c r="Q34" s="65">
        <f t="shared" si="10"/>
        <v>62.871875000000003</v>
      </c>
      <c r="R34" s="65">
        <f t="shared" si="11"/>
        <v>0</v>
      </c>
      <c r="S34" s="65">
        <f t="shared" si="11"/>
        <v>0.26086500000000001</v>
      </c>
      <c r="T34" s="65">
        <f t="shared" si="11"/>
        <v>0</v>
      </c>
      <c r="U34" s="126">
        <f t="shared" si="11"/>
        <v>0</v>
      </c>
    </row>
    <row r="35" spans="1:21" s="48" customFormat="1" ht="13" x14ac:dyDescent="0.35">
      <c r="A35" s="125" t="str">
        <f>G8</f>
        <v>SJC5</v>
      </c>
      <c r="B35" s="11">
        <v>250</v>
      </c>
      <c r="C35" s="65">
        <f t="shared" si="6"/>
        <v>64.619500000000002</v>
      </c>
      <c r="D35" s="65">
        <f t="shared" si="7"/>
        <v>6.7771789249999994</v>
      </c>
      <c r="E35" s="65">
        <f t="shared" si="8"/>
        <v>1.7566188750000003E-4</v>
      </c>
      <c r="F35" s="65">
        <f t="shared" si="9"/>
        <v>7.0106871999999996</v>
      </c>
      <c r="G35" s="65">
        <f t="shared" si="5"/>
        <v>6.6494999999999999E-2</v>
      </c>
      <c r="H35" s="65">
        <f t="shared" si="5"/>
        <v>1.0826750000000001</v>
      </c>
      <c r="I35" s="65">
        <f t="shared" si="5"/>
        <v>0.14407249999999999</v>
      </c>
      <c r="J35" s="65">
        <f t="shared" si="5"/>
        <v>2.4722500000000001E-3</v>
      </c>
      <c r="K35" s="65">
        <f t="shared" si="5"/>
        <v>9.9742500000000005E-3</v>
      </c>
      <c r="L35" s="65">
        <f t="shared" si="5"/>
        <v>0.1338425</v>
      </c>
      <c r="M35" s="65">
        <f t="shared" si="5"/>
        <v>0.15856499999999998</v>
      </c>
      <c r="N35" s="65">
        <f t="shared" si="5"/>
        <v>21.73875</v>
      </c>
      <c r="O35" s="65">
        <f t="shared" si="5"/>
        <v>3571.9749999999995</v>
      </c>
      <c r="P35" s="65">
        <f t="shared" si="5"/>
        <v>0</v>
      </c>
      <c r="Q35" s="65">
        <f t="shared" si="10"/>
        <v>62.871875000000003</v>
      </c>
      <c r="R35" s="65">
        <f t="shared" si="11"/>
        <v>0</v>
      </c>
      <c r="S35" s="65">
        <f t="shared" si="11"/>
        <v>0.26086500000000001</v>
      </c>
      <c r="T35" s="65">
        <f t="shared" si="11"/>
        <v>0</v>
      </c>
      <c r="U35" s="126">
        <f t="shared" si="11"/>
        <v>0</v>
      </c>
    </row>
    <row r="36" spans="1:21" s="48" customFormat="1" ht="13" x14ac:dyDescent="0.35">
      <c r="A36" s="125" t="str">
        <f>H8</f>
        <v>SJC6</v>
      </c>
      <c r="B36" s="11">
        <v>250</v>
      </c>
      <c r="C36" s="65">
        <f t="shared" si="6"/>
        <v>64.619500000000002</v>
      </c>
      <c r="D36" s="65">
        <f t="shared" si="7"/>
        <v>6.7771789249999994</v>
      </c>
      <c r="E36" s="65">
        <f t="shared" si="8"/>
        <v>1.7566188750000003E-4</v>
      </c>
      <c r="F36" s="65">
        <f t="shared" si="9"/>
        <v>7.0106871999999996</v>
      </c>
      <c r="G36" s="65">
        <f t="shared" si="5"/>
        <v>6.6494999999999999E-2</v>
      </c>
      <c r="H36" s="65">
        <f t="shared" si="5"/>
        <v>1.0826750000000001</v>
      </c>
      <c r="I36" s="65">
        <f t="shared" si="5"/>
        <v>0.14407249999999999</v>
      </c>
      <c r="J36" s="65">
        <f t="shared" si="5"/>
        <v>2.4722500000000001E-3</v>
      </c>
      <c r="K36" s="65">
        <f t="shared" si="5"/>
        <v>9.9742500000000005E-3</v>
      </c>
      <c r="L36" s="65">
        <f t="shared" si="5"/>
        <v>0.1338425</v>
      </c>
      <c r="M36" s="65">
        <f t="shared" si="5"/>
        <v>0.15856499999999998</v>
      </c>
      <c r="N36" s="65">
        <f t="shared" si="5"/>
        <v>21.73875</v>
      </c>
      <c r="O36" s="65">
        <f t="shared" si="5"/>
        <v>3571.9749999999995</v>
      </c>
      <c r="P36" s="65">
        <f t="shared" si="5"/>
        <v>0</v>
      </c>
      <c r="Q36" s="65">
        <f t="shared" si="10"/>
        <v>62.871875000000003</v>
      </c>
      <c r="R36" s="65">
        <f t="shared" si="11"/>
        <v>0</v>
      </c>
      <c r="S36" s="65">
        <f t="shared" si="11"/>
        <v>0.26086500000000001</v>
      </c>
      <c r="T36" s="65">
        <f t="shared" si="11"/>
        <v>0</v>
      </c>
      <c r="U36" s="126">
        <f t="shared" si="11"/>
        <v>0</v>
      </c>
    </row>
    <row r="37" spans="1:21" s="48" customFormat="1" ht="13" x14ac:dyDescent="0.35">
      <c r="A37" s="125" t="str">
        <f>I8</f>
        <v>BODNOLWYN A</v>
      </c>
      <c r="B37" s="11">
        <v>250</v>
      </c>
      <c r="C37" s="65">
        <f t="shared" si="6"/>
        <v>64.619500000000002</v>
      </c>
      <c r="D37" s="65">
        <f t="shared" si="7"/>
        <v>6.7771789249999994</v>
      </c>
      <c r="E37" s="65">
        <f t="shared" si="8"/>
        <v>1.7566188750000003E-4</v>
      </c>
      <c r="F37" s="65">
        <f t="shared" si="9"/>
        <v>7.0106871999999996</v>
      </c>
      <c r="G37" s="65">
        <f t="shared" si="5"/>
        <v>6.6494999999999999E-2</v>
      </c>
      <c r="H37" s="65">
        <f t="shared" si="5"/>
        <v>1.0826750000000001</v>
      </c>
      <c r="I37" s="65">
        <f t="shared" si="5"/>
        <v>0.14407249999999999</v>
      </c>
      <c r="J37" s="65">
        <f t="shared" si="5"/>
        <v>2.4722500000000001E-3</v>
      </c>
      <c r="K37" s="65">
        <f t="shared" si="5"/>
        <v>9.9742500000000005E-3</v>
      </c>
      <c r="L37" s="65">
        <f t="shared" si="5"/>
        <v>0.1338425</v>
      </c>
      <c r="M37" s="65">
        <f t="shared" si="5"/>
        <v>0.15856499999999998</v>
      </c>
      <c r="N37" s="65">
        <f t="shared" si="5"/>
        <v>21.73875</v>
      </c>
      <c r="O37" s="65">
        <f t="shared" si="5"/>
        <v>3571.9749999999995</v>
      </c>
      <c r="P37" s="65">
        <f t="shared" si="5"/>
        <v>0</v>
      </c>
      <c r="Q37" s="65">
        <f t="shared" si="10"/>
        <v>62.871875000000003</v>
      </c>
      <c r="R37" s="65">
        <f t="shared" si="11"/>
        <v>0</v>
      </c>
      <c r="S37" s="65">
        <f t="shared" si="11"/>
        <v>0.26086500000000001</v>
      </c>
      <c r="T37" s="65">
        <f t="shared" si="11"/>
        <v>0</v>
      </c>
      <c r="U37" s="126">
        <f t="shared" si="11"/>
        <v>0</v>
      </c>
    </row>
    <row r="38" spans="1:21" s="48" customFormat="1" ht="13" x14ac:dyDescent="0.35">
      <c r="A38" s="125" t="str">
        <f>J8</f>
        <v>BODNOLWYN B</v>
      </c>
      <c r="B38" s="11">
        <v>250</v>
      </c>
      <c r="C38" s="65">
        <f t="shared" si="6"/>
        <v>64.619500000000002</v>
      </c>
      <c r="D38" s="65">
        <f t="shared" si="7"/>
        <v>6.7771789249999994</v>
      </c>
      <c r="E38" s="65">
        <f t="shared" si="8"/>
        <v>1.7566188750000003E-4</v>
      </c>
      <c r="F38" s="65">
        <f t="shared" si="9"/>
        <v>7.0106871999999996</v>
      </c>
      <c r="G38" s="65">
        <f t="shared" si="5"/>
        <v>6.6494999999999999E-2</v>
      </c>
      <c r="H38" s="65">
        <f t="shared" si="5"/>
        <v>1.0826750000000001</v>
      </c>
      <c r="I38" s="65">
        <f t="shared" si="5"/>
        <v>0.14407249999999999</v>
      </c>
      <c r="J38" s="65">
        <f t="shared" si="5"/>
        <v>2.4722500000000001E-3</v>
      </c>
      <c r="K38" s="65">
        <f t="shared" si="5"/>
        <v>9.9742500000000005E-3</v>
      </c>
      <c r="L38" s="65">
        <f t="shared" si="5"/>
        <v>0.1338425</v>
      </c>
      <c r="M38" s="65">
        <f t="shared" si="5"/>
        <v>0.15856499999999998</v>
      </c>
      <c r="N38" s="65">
        <f t="shared" si="5"/>
        <v>21.73875</v>
      </c>
      <c r="O38" s="65">
        <f t="shared" si="5"/>
        <v>3571.9749999999995</v>
      </c>
      <c r="P38" s="65">
        <f t="shared" si="5"/>
        <v>0</v>
      </c>
      <c r="Q38" s="65">
        <f t="shared" si="10"/>
        <v>62.871875000000003</v>
      </c>
      <c r="R38" s="65">
        <f t="shared" si="11"/>
        <v>0</v>
      </c>
      <c r="S38" s="65">
        <f t="shared" si="11"/>
        <v>0.26086500000000001</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SJC1</v>
      </c>
      <c r="C57" s="8" t="str">
        <f t="shared" ref="C57:U57" si="13">D8</f>
        <v>SJC2</v>
      </c>
      <c r="D57" s="8" t="str">
        <f t="shared" si="13"/>
        <v>SJC3</v>
      </c>
      <c r="E57" s="8" t="str">
        <f t="shared" si="13"/>
        <v>SJC4</v>
      </c>
      <c r="F57" s="8" t="str">
        <f t="shared" si="13"/>
        <v>SJC5</v>
      </c>
      <c r="G57" s="8" t="str">
        <f t="shared" si="13"/>
        <v>SJC6</v>
      </c>
      <c r="H57" s="8" t="str">
        <f t="shared" si="13"/>
        <v>BODNOLWYN A</v>
      </c>
      <c r="I57" s="8" t="str">
        <f t="shared" si="13"/>
        <v>BODNOLWYN 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Arable</v>
      </c>
      <c r="F58" s="10" t="str">
        <f>G16&amp;" I "&amp;(VLOOKUP(G14,Table245[],6,FALSE))</f>
        <v>Medium/Clay I Grass</v>
      </c>
      <c r="G58" s="10" t="str">
        <f>H16&amp;" I "&amp;(VLOOKUP(H14,Table245[],6,FALSE))</f>
        <v>Medium/Clay I Arable</v>
      </c>
      <c r="H58" s="10" t="str">
        <f>I16&amp;" I "&amp;(VLOOKUP(I14,Table245[],6,FALSE))</f>
        <v>Medium/Clay I Grass</v>
      </c>
      <c r="I58" s="10" t="str">
        <f>J16&amp;" I "&amp;(VLOOKUP(J14,Table245[],6,FALSE))</f>
        <v>Medium/Clay I Grass</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6.7</v>
      </c>
      <c r="F59" s="64">
        <f>VLOOKUP(G$14,Table245[],5,FALSE)</f>
        <v>6.2</v>
      </c>
      <c r="G59" s="64">
        <f>VLOOKUP(H$14,Table245[],5,FALSE)</f>
        <v>6.7</v>
      </c>
      <c r="H59" s="64">
        <f>VLOOKUP(I$14,Table245[],5,FALSE)</f>
        <v>6.2</v>
      </c>
      <c r="I59" s="64">
        <f>VLOOKUP(J$14,Table245[],5,FALSE)</f>
        <v>6.2</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5.8</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1.7999999999999989</v>
      </c>
      <c r="G64" s="65">
        <f t="shared" si="17"/>
        <v>4.8000000000000043</v>
      </c>
      <c r="H64" s="65">
        <f t="shared" si="17"/>
        <v>2.4000000000000021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-1.7999999999999989</v>
      </c>
      <c r="G65" s="65">
        <f t="shared" si="18"/>
        <v>-4.8000000000000043</v>
      </c>
      <c r="H65" s="65">
        <f t="shared" si="18"/>
        <v>-2.4000000000000021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VCWkkbS2EXlpP7jskbuFX8Mkdtas610SLXMSsIB/R10C++LAwjgvFQ2nxRf6TjPMPNiN1vNxJfSGA3klv++ZaA==" saltValue="xJ66iE0HpUKYMIYA14y+m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51" priority="37" operator="greaterThan">
      <formula>$B$51</formula>
    </cfRule>
  </conditionalFormatting>
  <conditionalFormatting sqref="B66:U66">
    <cfRule type="cellIs" dxfId="250" priority="12" operator="equal">
      <formula>"UNDER"</formula>
    </cfRule>
    <cfRule type="cellIs" dxfId="249" priority="13" operator="equal">
      <formula>"OVER"</formula>
    </cfRule>
  </conditionalFormatting>
  <conditionalFormatting sqref="C31:C50">
    <cfRule type="cellIs" dxfId="248" priority="36" operator="greaterThan">
      <formula>$C$51</formula>
    </cfRule>
  </conditionalFormatting>
  <conditionalFormatting sqref="C17:V19">
    <cfRule type="cellIs" dxfId="247" priority="33" operator="equal">
      <formula>0</formula>
    </cfRule>
  </conditionalFormatting>
  <conditionalFormatting sqref="C20:V21">
    <cfRule type="cellIs" dxfId="246" priority="38" operator="equal">
      <formula>"DECREASE"</formula>
    </cfRule>
    <cfRule type="cellIs" dxfId="245" priority="39" operator="equal">
      <formula>"INCREASE"</formula>
    </cfRule>
  </conditionalFormatting>
  <conditionalFormatting sqref="C21:V21">
    <cfRule type="cellIs" dxfId="244" priority="14" operator="equal">
      <formula>0</formula>
    </cfRule>
  </conditionalFormatting>
  <conditionalFormatting sqref="C22:V23">
    <cfRule type="cellIs" dxfId="243" priority="18" operator="equal">
      <formula>0</formula>
    </cfRule>
  </conditionalFormatting>
  <conditionalFormatting sqref="C24:V24">
    <cfRule type="cellIs" dxfId="242" priority="19" operator="equal">
      <formula>"DECREASE"</formula>
    </cfRule>
    <cfRule type="cellIs" dxfId="241" priority="20" operator="equal">
      <formula>"INCREASE"</formula>
    </cfRule>
  </conditionalFormatting>
  <conditionalFormatting sqref="G31:G50">
    <cfRule type="cellIs" dxfId="240" priority="32" operator="greaterThan">
      <formula>$G$51</formula>
    </cfRule>
  </conditionalFormatting>
  <conditionalFormatting sqref="H31:H50">
    <cfRule type="cellIs" dxfId="239" priority="31" operator="greaterThan">
      <formula>$H$51</formula>
    </cfRule>
  </conditionalFormatting>
  <conditionalFormatting sqref="I1">
    <cfRule type="cellIs" dxfId="238" priority="4" operator="between">
      <formula>0.1</formula>
      <formula>5</formula>
    </cfRule>
  </conditionalFormatting>
  <conditionalFormatting sqref="I2">
    <cfRule type="cellIs" dxfId="237" priority="3" operator="greaterThan">
      <formula>5000.1</formula>
    </cfRule>
  </conditionalFormatting>
  <conditionalFormatting sqref="I3">
    <cfRule type="cellIs" dxfId="236" priority="2" operator="greaterThan">
      <formula>40000.01</formula>
    </cfRule>
  </conditionalFormatting>
  <conditionalFormatting sqref="I31:I50">
    <cfRule type="cellIs" dxfId="235" priority="30" operator="greaterThan">
      <formula>$I$51</formula>
    </cfRule>
  </conditionalFormatting>
  <conditionalFormatting sqref="J31:J50">
    <cfRule type="cellIs" dxfId="234" priority="9" operator="greaterThan">
      <formula>$J$51</formula>
    </cfRule>
  </conditionalFormatting>
  <conditionalFormatting sqref="K31:K50">
    <cfRule type="cellIs" dxfId="233" priority="29" operator="greaterThan">
      <formula>$K$51</formula>
    </cfRule>
  </conditionalFormatting>
  <conditionalFormatting sqref="L3">
    <cfRule type="cellIs" dxfId="232" priority="5" operator="lessThan">
      <formula>30</formula>
    </cfRule>
    <cfRule type="cellIs" dxfId="231" priority="6" operator="greaterThanOrEqual">
      <formula>30</formula>
    </cfRule>
  </conditionalFormatting>
  <conditionalFormatting sqref="L31:L50">
    <cfRule type="cellIs" dxfId="230" priority="28" operator="greaterThan">
      <formula>$L$51</formula>
    </cfRule>
  </conditionalFormatting>
  <conditionalFormatting sqref="M31:M50">
    <cfRule type="cellIs" dxfId="229" priority="27" operator="greaterThan">
      <formula>$M$51</formula>
    </cfRule>
  </conditionalFormatting>
  <conditionalFormatting sqref="P31:P50">
    <cfRule type="cellIs" dxfId="228" priority="26" operator="greaterThan">
      <formula>$P$51</formula>
    </cfRule>
  </conditionalFormatting>
  <conditionalFormatting sqref="R31:R50">
    <cfRule type="cellIs" dxfId="227" priority="25" operator="greaterThan">
      <formula>$R$51</formula>
    </cfRule>
  </conditionalFormatting>
  <conditionalFormatting sqref="S31:S50">
    <cfRule type="cellIs" dxfId="226" priority="24" operator="greaterThan">
      <formula>$S$51</formula>
    </cfRule>
  </conditionalFormatting>
  <conditionalFormatting sqref="T31:T50">
    <cfRule type="cellIs" dxfId="225" priority="23" operator="greaterThan">
      <formula>$T$51</formula>
    </cfRule>
  </conditionalFormatting>
  <conditionalFormatting sqref="U31:U50">
    <cfRule type="cellIs" dxfId="224" priority="22"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43" sqref="B4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Alaw'!C1:D1</f>
        <v>PAN-027648</v>
      </c>
      <c r="D1" s="167"/>
      <c r="E1" s="106" t="s">
        <v>45</v>
      </c>
      <c r="F1" s="113">
        <f>'Field data and Alaw'!F1</f>
        <v>44.3</v>
      </c>
      <c r="G1" s="134" t="s">
        <v>43</v>
      </c>
      <c r="H1" s="135"/>
      <c r="I1" s="109">
        <v>6.7</v>
      </c>
      <c r="J1" s="158" t="s">
        <v>153</v>
      </c>
      <c r="K1" s="159"/>
      <c r="L1" s="109">
        <v>574</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Alaw'!C2:D2</f>
        <v>GP3792SK</v>
      </c>
      <c r="D2" s="169"/>
      <c r="E2" s="96" t="s">
        <v>109</v>
      </c>
      <c r="F2" s="110">
        <v>190902</v>
      </c>
      <c r="G2" s="136" t="s">
        <v>110</v>
      </c>
      <c r="H2" s="137"/>
      <c r="I2" s="110"/>
      <c r="J2" s="138" t="s">
        <v>158</v>
      </c>
      <c r="K2" s="139"/>
      <c r="L2" s="110">
        <v>1.1299999999999999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Alaw'!C3:D3</f>
        <v>Byproduct Recovery Limited</v>
      </c>
      <c r="D3" s="169"/>
      <c r="E3" s="96" t="s">
        <v>108</v>
      </c>
      <c r="F3" s="111" t="s">
        <v>78</v>
      </c>
      <c r="G3" s="138" t="s">
        <v>159</v>
      </c>
      <c r="H3" s="139"/>
      <c r="I3" s="110"/>
      <c r="J3" s="160" t="s">
        <v>154</v>
      </c>
      <c r="K3" s="161"/>
      <c r="L3" s="110">
        <f>(L1/(L2*10000))*100</f>
        <v>5.0796460176991163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Alaw'!C4:D4</f>
        <v>Plas Bach, Cerrigceinwen, Bodorgan.LL62 5NS</v>
      </c>
      <c r="D4" s="171"/>
      <c r="E4" s="99" t="s">
        <v>1</v>
      </c>
      <c r="F4" s="110" t="s">
        <v>177</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Alaw'!C5:D5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Alaw'!C8</f>
        <v>SJC1</v>
      </c>
      <c r="D8" s="49" t="str">
        <f>'Field data and Alaw'!D8</f>
        <v>SJC2</v>
      </c>
      <c r="E8" s="49" t="str">
        <f>'Field data and Alaw'!E8</f>
        <v>SJC3</v>
      </c>
      <c r="F8" s="49" t="str">
        <f>'Field data and Alaw'!F8</f>
        <v>SJC4</v>
      </c>
      <c r="G8" s="49" t="str">
        <f>'Field data and Alaw'!G8</f>
        <v>SJC5</v>
      </c>
      <c r="H8" s="49" t="str">
        <f>'Field data and Alaw'!H8</f>
        <v>SJC6</v>
      </c>
      <c r="I8" s="49" t="str">
        <f>'Field data and Alaw'!I8</f>
        <v>BODNOLWYN A</v>
      </c>
      <c r="J8" s="49" t="str">
        <f>'Field data and Alaw'!J8</f>
        <v>BODNOLWYN B</v>
      </c>
      <c r="K8" s="49">
        <f>'Field data and Alaw'!K8</f>
        <v>0</v>
      </c>
      <c r="L8" s="49">
        <f>'Field data and Alaw'!L8</f>
        <v>0</v>
      </c>
      <c r="M8" s="49">
        <f>'Field data and Alaw'!M8</f>
        <v>0</v>
      </c>
      <c r="N8" s="49">
        <f>'Field data and Alaw'!N8</f>
        <v>0</v>
      </c>
      <c r="O8" s="49">
        <f>'Field data and Alaw'!O8</f>
        <v>0</v>
      </c>
      <c r="P8" s="49">
        <f>'Field data and Alaw'!P8</f>
        <v>0</v>
      </c>
      <c r="Q8" s="49">
        <f>'Field data and Alaw'!Q8</f>
        <v>0</v>
      </c>
      <c r="R8" s="49">
        <f>'Field data and Alaw'!R8</f>
        <v>0</v>
      </c>
      <c r="S8" s="49">
        <f>'Field data and Alaw'!S8</f>
        <v>0</v>
      </c>
      <c r="T8" s="49">
        <f>'Field data and Alaw'!T8</f>
        <v>0</v>
      </c>
      <c r="U8" s="49">
        <f>'Field data and Alaw'!U8</f>
        <v>0</v>
      </c>
      <c r="V8" s="102">
        <f>'Field data and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Alaw'!C9</f>
        <v>m</v>
      </c>
      <c r="D9" s="49" t="str">
        <f>'Field data and Alaw'!D9</f>
        <v>m</v>
      </c>
      <c r="E9" s="49" t="str">
        <f>'Field data and Alaw'!E9</f>
        <v>m</v>
      </c>
      <c r="F9" s="49">
        <f>'Field data and Alaw'!F9</f>
        <v>2</v>
      </c>
      <c r="G9" s="49" t="str">
        <f>'Field data and Alaw'!G9</f>
        <v>m</v>
      </c>
      <c r="H9" s="49">
        <f>'Field data and Alaw'!H9</f>
        <v>2</v>
      </c>
      <c r="I9" s="49" t="str">
        <f>'Field data and Alaw'!I9</f>
        <v xml:space="preserve">m </v>
      </c>
      <c r="J9" s="49" t="str">
        <f>'Field data and Alaw'!J9</f>
        <v xml:space="preserve">m </v>
      </c>
      <c r="K9" s="49">
        <f>'Field data and Alaw'!K9</f>
        <v>0</v>
      </c>
      <c r="L9" s="49">
        <f>'Field data and Alaw'!L9</f>
        <v>0</v>
      </c>
      <c r="M9" s="49">
        <f>'Field data and Alaw'!M9</f>
        <v>0</v>
      </c>
      <c r="N9" s="49">
        <f>'Field data and Alaw'!N9</f>
        <v>0</v>
      </c>
      <c r="O9" s="49">
        <f>'Field data and Alaw'!O9</f>
        <v>0</v>
      </c>
      <c r="P9" s="49">
        <f>'Field data and Alaw'!P9</f>
        <v>0</v>
      </c>
      <c r="Q9" s="49">
        <f>'Field data and Alaw'!Q9</f>
        <v>0</v>
      </c>
      <c r="R9" s="49">
        <f>'Field data and Alaw'!R9</f>
        <v>0</v>
      </c>
      <c r="S9" s="49">
        <f>'Field data and Alaw'!S9</f>
        <v>0</v>
      </c>
      <c r="T9" s="49">
        <f>'Field data and Alaw'!T9</f>
        <v>0</v>
      </c>
      <c r="U9" s="49">
        <f>'Field data and Alaw'!U9</f>
        <v>0</v>
      </c>
      <c r="V9" s="102">
        <f>'Field data and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Alaw'!C10</f>
        <v>6.4</v>
      </c>
      <c r="D10" s="49">
        <f>'Field data and Alaw'!D10</f>
        <v>5.8</v>
      </c>
      <c r="E10" s="49">
        <f>'Field data and Alaw'!E10</f>
        <v>6</v>
      </c>
      <c r="F10" s="49">
        <f>'Field data and Alaw'!F10</f>
        <v>6</v>
      </c>
      <c r="G10" s="49">
        <f>'Field data and Alaw'!G10</f>
        <v>5.9</v>
      </c>
      <c r="H10" s="49">
        <f>'Field data and Alaw'!H10</f>
        <v>6.1</v>
      </c>
      <c r="I10" s="49">
        <f>'Field data and Alaw'!I10</f>
        <v>5.8</v>
      </c>
      <c r="J10" s="49">
        <f>'Field data and Alaw'!J10</f>
        <v>5.7</v>
      </c>
      <c r="K10" s="49">
        <f>'Field data and Alaw'!K10</f>
        <v>0</v>
      </c>
      <c r="L10" s="49">
        <f>'Field data and Alaw'!L10</f>
        <v>0</v>
      </c>
      <c r="M10" s="49">
        <f>'Field data and Alaw'!M10</f>
        <v>0</v>
      </c>
      <c r="N10" s="49">
        <f>'Field data and Alaw'!N10</f>
        <v>0</v>
      </c>
      <c r="O10" s="49">
        <f>'Field data and Alaw'!O10</f>
        <v>0</v>
      </c>
      <c r="P10" s="49">
        <f>'Field data and Alaw'!P10</f>
        <v>0</v>
      </c>
      <c r="Q10" s="49">
        <f>'Field data and Alaw'!Q10</f>
        <v>0</v>
      </c>
      <c r="R10" s="49">
        <f>'Field data and Alaw'!R10</f>
        <v>0</v>
      </c>
      <c r="S10" s="49">
        <f>'Field data and Alaw'!S10</f>
        <v>0</v>
      </c>
      <c r="T10" s="49">
        <f>'Field data and Alaw'!T10</f>
        <v>0</v>
      </c>
      <c r="U10" s="49">
        <f>'Field data and Alaw'!U10</f>
        <v>0</v>
      </c>
      <c r="V10" s="102">
        <f>'Field data and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Alaw'!C11</f>
        <v>2</v>
      </c>
      <c r="D11" s="49">
        <f>'Field data and Alaw'!D11</f>
        <v>2</v>
      </c>
      <c r="E11" s="49">
        <f>'Field data and Alaw'!E11</f>
        <v>3</v>
      </c>
      <c r="F11" s="49">
        <f>'Field data and Alaw'!F11</f>
        <v>1</v>
      </c>
      <c r="G11" s="49">
        <f>'Field data and Alaw'!G11</f>
        <v>0</v>
      </c>
      <c r="H11" s="49">
        <f>'Field data and Alaw'!H11</f>
        <v>3</v>
      </c>
      <c r="I11" s="49">
        <f>'Field data and Alaw'!I11</f>
        <v>2</v>
      </c>
      <c r="J11" s="49">
        <f>'Field data and Alaw'!J11</f>
        <v>2</v>
      </c>
      <c r="K11" s="49">
        <f>'Field data and Alaw'!K11</f>
        <v>0</v>
      </c>
      <c r="L11" s="49">
        <f>'Field data and Alaw'!L11</f>
        <v>0</v>
      </c>
      <c r="M11" s="49">
        <f>'Field data and Alaw'!M11</f>
        <v>0</v>
      </c>
      <c r="N11" s="49">
        <f>'Field data and Alaw'!N11</f>
        <v>0</v>
      </c>
      <c r="O11" s="49">
        <f>'Field data and Alaw'!O11</f>
        <v>0</v>
      </c>
      <c r="P11" s="49">
        <f>'Field data and Alaw'!P11</f>
        <v>0</v>
      </c>
      <c r="Q11" s="49">
        <f>'Field data and Alaw'!Q11</f>
        <v>0</v>
      </c>
      <c r="R11" s="49">
        <f>'Field data and Alaw'!R11</f>
        <v>0</v>
      </c>
      <c r="S11" s="49">
        <f>'Field data and Alaw'!S11</f>
        <v>0</v>
      </c>
      <c r="T11" s="49">
        <f>'Field data and Alaw'!T11</f>
        <v>0</v>
      </c>
      <c r="U11" s="49">
        <f>'Field data and Alaw'!U11</f>
        <v>0</v>
      </c>
      <c r="V11" s="102">
        <f>'Field data and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Alaw'!C12</f>
        <v>3</v>
      </c>
      <c r="D12" s="49">
        <f>'Field data and Alaw'!D12</f>
        <v>4</v>
      </c>
      <c r="E12" s="49">
        <f>'Field data and Alaw'!E12</f>
        <v>4</v>
      </c>
      <c r="F12" s="49">
        <f>'Field data and Alaw'!F12</f>
        <v>1</v>
      </c>
      <c r="G12" s="49">
        <f>'Field data and Alaw'!G12</f>
        <v>1</v>
      </c>
      <c r="H12" s="49">
        <f>'Field data and Alaw'!H12</f>
        <v>2</v>
      </c>
      <c r="I12" s="49">
        <f>'Field data and Alaw'!I12</f>
        <v>2</v>
      </c>
      <c r="J12" s="49">
        <f>'Field data and Alaw'!J12</f>
        <v>2</v>
      </c>
      <c r="K12" s="49">
        <f>'Field data and Alaw'!K12</f>
        <v>0</v>
      </c>
      <c r="L12" s="49">
        <f>'Field data and Alaw'!L12</f>
        <v>0</v>
      </c>
      <c r="M12" s="49">
        <f>'Field data and Alaw'!M12</f>
        <v>0</v>
      </c>
      <c r="N12" s="49">
        <f>'Field data and Alaw'!N12</f>
        <v>0</v>
      </c>
      <c r="O12" s="49">
        <f>'Field data and Alaw'!O12</f>
        <v>0</v>
      </c>
      <c r="P12" s="49">
        <f>'Field data and Alaw'!P12</f>
        <v>0</v>
      </c>
      <c r="Q12" s="49">
        <f>'Field data and Alaw'!Q12</f>
        <v>0</v>
      </c>
      <c r="R12" s="49">
        <f>'Field data and Alaw'!R12</f>
        <v>0</v>
      </c>
      <c r="S12" s="49">
        <f>'Field data and Alaw'!S12</f>
        <v>0</v>
      </c>
      <c r="T12" s="49">
        <f>'Field data and Alaw'!T12</f>
        <v>0</v>
      </c>
      <c r="U12" s="49">
        <f>'Field data and Alaw'!U12</f>
        <v>0</v>
      </c>
      <c r="V12" s="102">
        <f>'Field data and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Alaw'!C13</f>
        <v>4</v>
      </c>
      <c r="D13" s="49">
        <f>'Field data and Alaw'!D13</f>
        <v>3</v>
      </c>
      <c r="E13" s="49">
        <f>'Field data and Alaw'!E13</f>
        <v>3</v>
      </c>
      <c r="F13" s="49">
        <f>'Field data and Alaw'!F13</f>
        <v>3</v>
      </c>
      <c r="G13" s="49">
        <f>'Field data and Alaw'!G13</f>
        <v>3</v>
      </c>
      <c r="H13" s="49">
        <f>'Field data and Alaw'!H13</f>
        <v>3</v>
      </c>
      <c r="I13" s="49">
        <f>'Field data and Alaw'!I13</f>
        <v>3</v>
      </c>
      <c r="J13" s="49">
        <f>'Field data and Alaw'!J13</f>
        <v>3</v>
      </c>
      <c r="K13" s="49">
        <f>'Field data and Alaw'!K13</f>
        <v>0</v>
      </c>
      <c r="L13" s="49">
        <f>'Field data and Alaw'!L13</f>
        <v>0</v>
      </c>
      <c r="M13" s="49">
        <f>'Field data and Alaw'!M13</f>
        <v>0</v>
      </c>
      <c r="N13" s="49">
        <f>'Field data and Alaw'!N13</f>
        <v>0</v>
      </c>
      <c r="O13" s="49">
        <f>'Field data and Alaw'!O13</f>
        <v>0</v>
      </c>
      <c r="P13" s="49">
        <f>'Field data and Alaw'!P13</f>
        <v>0</v>
      </c>
      <c r="Q13" s="49">
        <f>'Field data and Alaw'!Q13</f>
        <v>0</v>
      </c>
      <c r="R13" s="49">
        <f>'Field data and Alaw'!R13</f>
        <v>0</v>
      </c>
      <c r="S13" s="49">
        <f>'Field data and Alaw'!S13</f>
        <v>0</v>
      </c>
      <c r="T13" s="49">
        <f>'Field data and Alaw'!T13</f>
        <v>0</v>
      </c>
      <c r="U13" s="49">
        <f>'Field data and Alaw'!U13</f>
        <v>0</v>
      </c>
      <c r="V13" s="102">
        <f>'Field data and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Alaw'!C14</f>
        <v xml:space="preserve">Grass Silage (25% DM) </v>
      </c>
      <c r="D14" s="83" t="str">
        <f>'Field data and Alaw'!D14</f>
        <v xml:space="preserve">Grass Silage (25% DM) </v>
      </c>
      <c r="E14" s="83" t="str">
        <f>'Field data and Alaw'!E14</f>
        <v xml:space="preserve">Grass Silage (25% DM) </v>
      </c>
      <c r="F14" s="83" t="str">
        <f>'Field data and Alaw'!F14</f>
        <v>Spring wheat/barley</v>
      </c>
      <c r="G14" s="83" t="str">
        <f>'Field data and Alaw'!G14</f>
        <v xml:space="preserve">Grass Silage (25% DM) </v>
      </c>
      <c r="H14" s="83" t="str">
        <f>'Field data and Alaw'!H14</f>
        <v>Spring wheat/barley</v>
      </c>
      <c r="I14" s="83" t="str">
        <f>'Field data and Alaw'!I14</f>
        <v xml:space="preserve">Grass Silage (25% DM) </v>
      </c>
      <c r="J14" s="83" t="str">
        <f>'Field data and Alaw'!J14</f>
        <v xml:space="preserve">Grass Silage (25% DM) </v>
      </c>
      <c r="K14" s="83">
        <f>'Field data and Alaw'!K14</f>
        <v>0</v>
      </c>
      <c r="L14" s="83">
        <f>'Field data and Alaw'!L14</f>
        <v>0</v>
      </c>
      <c r="M14" s="83">
        <f>'Field data and Alaw'!M14</f>
        <v>0</v>
      </c>
      <c r="N14" s="83">
        <f>'Field data and Alaw'!N14</f>
        <v>0</v>
      </c>
      <c r="O14" s="83">
        <f>'Field data and Alaw'!O14</f>
        <v>0</v>
      </c>
      <c r="P14" s="83">
        <f>'Field data and Alaw'!P14</f>
        <v>0</v>
      </c>
      <c r="Q14" s="83">
        <f>'Field data and Alaw'!Q14</f>
        <v>0</v>
      </c>
      <c r="R14" s="83">
        <f>'Field data and Alaw'!R14</f>
        <v>0</v>
      </c>
      <c r="S14" s="83">
        <f>'Field data and Alaw'!S14</f>
        <v>0</v>
      </c>
      <c r="T14" s="83">
        <f>'Field data and Alaw'!T14</f>
        <v>0</v>
      </c>
      <c r="U14" s="83">
        <f>'Field data and Alaw'!U14</f>
        <v>0</v>
      </c>
      <c r="V14" s="103">
        <f>'Field data and Alaw'!V14</f>
        <v>0</v>
      </c>
      <c r="AD14" s="22" t="s">
        <v>138</v>
      </c>
      <c r="AE14" s="22">
        <v>6</v>
      </c>
      <c r="AI14" s="43" t="s">
        <v>119</v>
      </c>
      <c r="AJ14" s="44">
        <v>0.8</v>
      </c>
      <c r="AK14" s="45">
        <v>1.7</v>
      </c>
      <c r="AL14" s="9">
        <v>12</v>
      </c>
      <c r="AM14" s="9">
        <v>6.7</v>
      </c>
      <c r="AN14" s="9" t="s">
        <v>135</v>
      </c>
    </row>
    <row r="15" spans="1:41" ht="13" x14ac:dyDescent="0.25">
      <c r="A15" s="152" t="s">
        <v>9</v>
      </c>
      <c r="B15" s="153"/>
      <c r="C15" s="49">
        <f>'Field data and Alaw'!C15</f>
        <v>38</v>
      </c>
      <c r="D15" s="49">
        <f>'Field data and Alaw'!D15</f>
        <v>38</v>
      </c>
      <c r="E15" s="49">
        <f>'Field data and Alaw'!E15</f>
        <v>38</v>
      </c>
      <c r="F15" s="49">
        <f>'Field data and Alaw'!F15</f>
        <v>5.5</v>
      </c>
      <c r="G15" s="49">
        <f>'Field data and Alaw'!G15</f>
        <v>38</v>
      </c>
      <c r="H15" s="49">
        <f>'Field data and Alaw'!H15</f>
        <v>5.5</v>
      </c>
      <c r="I15" s="49">
        <f>'Field data and Alaw'!I15</f>
        <v>38</v>
      </c>
      <c r="J15" s="49">
        <f>'Field data and Alaw'!J15</f>
        <v>38</v>
      </c>
      <c r="K15" s="49">
        <f>'Field data and Alaw'!K15</f>
        <v>0</v>
      </c>
      <c r="L15" s="49">
        <f>'Field data and Alaw'!L15</f>
        <v>0</v>
      </c>
      <c r="M15" s="49">
        <f>'Field data and Alaw'!M15</f>
        <v>0</v>
      </c>
      <c r="N15" s="49">
        <f>'Field data and Alaw'!N15</f>
        <v>0</v>
      </c>
      <c r="O15" s="49">
        <f>'Field data and Alaw'!O15</f>
        <v>0</v>
      </c>
      <c r="P15" s="49">
        <f>'Field data and Alaw'!P15</f>
        <v>0</v>
      </c>
      <c r="Q15" s="49">
        <f>'Field data and Alaw'!Q15</f>
        <v>0</v>
      </c>
      <c r="R15" s="49">
        <f>'Field data and Alaw'!R15</f>
        <v>0</v>
      </c>
      <c r="S15" s="49">
        <f>'Field data and Alaw'!S15</f>
        <v>0</v>
      </c>
      <c r="T15" s="49">
        <f>'Field data and Alaw'!T15</f>
        <v>0</v>
      </c>
      <c r="U15" s="49">
        <f>'Field data and Alaw'!U15</f>
        <v>0</v>
      </c>
      <c r="V15" s="102">
        <f>'Field data and Alaw'!V15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Alaw'!C16</f>
        <v>Medium/Clay</v>
      </c>
      <c r="D16" s="104" t="str">
        <f>'Field data and Alaw'!D16</f>
        <v>Medium/Clay</v>
      </c>
      <c r="E16" s="104" t="str">
        <f>'Field data and Alaw'!E16</f>
        <v>Medium/Clay</v>
      </c>
      <c r="F16" s="104" t="str">
        <f>'Field data and Alaw'!F16</f>
        <v>Medium/Clay</v>
      </c>
      <c r="G16" s="104" t="str">
        <f>'Field data and Alaw'!G16</f>
        <v>Medium/Clay</v>
      </c>
      <c r="H16" s="104" t="str">
        <f>'Field data and Alaw'!H16</f>
        <v>Medium/Clay</v>
      </c>
      <c r="I16" s="104" t="str">
        <f>'Field data and Alaw'!I16</f>
        <v>Medium/Clay</v>
      </c>
      <c r="J16" s="104" t="str">
        <f>'Field data and Alaw'!J16</f>
        <v>Medium/Clay</v>
      </c>
      <c r="K16" s="104">
        <f>'Field data and Alaw'!K16</f>
        <v>0</v>
      </c>
      <c r="L16" s="104">
        <f>'Field data and Alaw'!L16</f>
        <v>0</v>
      </c>
      <c r="M16" s="104">
        <f>'Field data and Alaw'!M16</f>
        <v>0</v>
      </c>
      <c r="N16" s="104">
        <f>'Field data and Alaw'!N16</f>
        <v>0</v>
      </c>
      <c r="O16" s="104">
        <f>'Field data and Alaw'!O16</f>
        <v>0</v>
      </c>
      <c r="P16" s="104">
        <f>'Field data and Alaw'!P16</f>
        <v>0</v>
      </c>
      <c r="Q16" s="104">
        <f>'Field data and Alaw'!Q16</f>
        <v>0</v>
      </c>
      <c r="R16" s="104">
        <f>'Field data and Alaw'!R16</f>
        <v>0</v>
      </c>
      <c r="S16" s="104">
        <f>'Field data and Alaw'!S16</f>
        <v>0</v>
      </c>
      <c r="T16" s="104">
        <f>'Field data and Alaw'!T16</f>
        <v>0</v>
      </c>
      <c r="U16" s="104">
        <f>'Field data and Alaw'!U16</f>
        <v>0</v>
      </c>
      <c r="V16" s="105">
        <f>'Field data and Alaw'!V16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46.75</v>
      </c>
      <c r="G17" s="20">
        <f t="shared" si="0"/>
        <v>64.599999999999994</v>
      </c>
      <c r="H17" s="20">
        <f t="shared" si="0"/>
        <v>46.75</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64.867374000000012</v>
      </c>
      <c r="D18" s="12">
        <f>$D32</f>
        <v>0</v>
      </c>
      <c r="E18" s="12">
        <f>$D33</f>
        <v>35.382204000000002</v>
      </c>
      <c r="F18" s="12">
        <f>$D34</f>
        <v>73.712925000000013</v>
      </c>
      <c r="G18" s="12">
        <f>$D35</f>
        <v>0</v>
      </c>
      <c r="H18" s="12">
        <f>$D36</f>
        <v>23.588136000000002</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0.26737400000001799</v>
      </c>
      <c r="D19" s="12">
        <f t="shared" ref="D19:V19" si="1">D18-D17</f>
        <v>-64.599999999999994</v>
      </c>
      <c r="E19" s="12">
        <f t="shared" si="1"/>
        <v>-29.217795999999993</v>
      </c>
      <c r="F19" s="12">
        <f t="shared" si="1"/>
        <v>26.962925000000013</v>
      </c>
      <c r="G19" s="12">
        <f t="shared" si="1"/>
        <v>-64.599999999999994</v>
      </c>
      <c r="H19" s="12">
        <f t="shared" si="1"/>
        <v>-23.161863999999998</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DECREASE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(VLOOKUP(D$14,$AI2:$AK24,3,FALSE))*D$15</f>
        <v>228</v>
      </c>
      <c r="E21" s="20">
        <f t="shared" si="2"/>
        <v>228</v>
      </c>
      <c r="F21" s="20">
        <f t="shared" si="2"/>
        <v>66</v>
      </c>
      <c r="G21" s="20">
        <f t="shared" si="2"/>
        <v>228</v>
      </c>
      <c r="H21" s="20">
        <f t="shared" si="2"/>
        <v>66</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6.4294172800000019E-4</v>
      </c>
      <c r="D22" s="12">
        <f>$E32</f>
        <v>0</v>
      </c>
      <c r="E22" s="12">
        <f>$E33</f>
        <v>3.506954880000001E-4</v>
      </c>
      <c r="F22" s="12">
        <f>$E34</f>
        <v>7.3061560000000009E-4</v>
      </c>
      <c r="G22" s="12">
        <f>$E35</f>
        <v>0</v>
      </c>
      <c r="H22" s="12">
        <f>$E36</f>
        <v>2.3379699200000003E-4</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-227.99935705827201</v>
      </c>
      <c r="D23" s="12">
        <f t="shared" ref="D23:V23" si="3">D22-D21</f>
        <v>-228</v>
      </c>
      <c r="E23" s="12">
        <f t="shared" si="3"/>
        <v>-227.99964930451199</v>
      </c>
      <c r="F23" s="12">
        <f t="shared" si="3"/>
        <v>-65.999269384399994</v>
      </c>
      <c r="G23" s="12">
        <f t="shared" si="3"/>
        <v>-228</v>
      </c>
      <c r="H23" s="12">
        <f t="shared" si="3"/>
        <v>-65.999766203007994</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5.72</v>
      </c>
      <c r="C28" s="11">
        <v>1.1299999999999999</v>
      </c>
      <c r="D28" s="11">
        <v>0.22500000000000001</v>
      </c>
      <c r="E28" s="11">
        <v>4.24E-2</v>
      </c>
      <c r="F28" s="11">
        <v>1030</v>
      </c>
      <c r="G28" s="11">
        <v>41.7</v>
      </c>
      <c r="H28" s="11">
        <v>59.2</v>
      </c>
      <c r="I28" s="11">
        <v>6.2</v>
      </c>
      <c r="J28" s="11">
        <v>0.34</v>
      </c>
      <c r="K28" s="15">
        <v>0.71</v>
      </c>
      <c r="L28" s="11">
        <v>27.1</v>
      </c>
      <c r="M28" s="11">
        <v>12.7</v>
      </c>
      <c r="N28" s="11">
        <v>184000</v>
      </c>
      <c r="O28" s="11">
        <v>12400</v>
      </c>
      <c r="P28" s="11"/>
      <c r="Q28" s="11">
        <v>8250</v>
      </c>
      <c r="R28" s="11"/>
      <c r="S28" s="11">
        <v>14.2</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SJC1</v>
      </c>
      <c r="B31" s="11">
        <v>220</v>
      </c>
      <c r="C31" s="65">
        <f>IF(C$27="%w/w SAR",((C$28*10)*$B31),IF(C$27="%w/w DM",(((C$28*10)*($B$28/100))*$B31),IF(C$27="kg/t SAR",(C$28*$B31),IF(C$27="kg/t DM",((C$28*($B$28/100))*$B31),IF(C$27="mg/kg SAR",((C$28*0.001)*$B31),IF(C$27="mg/kg DM",(((C$28*0.001)*($B$28/100))*$B31),0))))))</f>
        <v>142.19919999999999</v>
      </c>
      <c r="D31" s="65">
        <f>(IF(D$27="%w/w SAR",((D$28*10)*$B31),IF(D$27="%w/w DM",(((D$28*10)*($B$28/100))*$B31),IF(D$27="kg/t SAR",(D$28*$B31),IF(D$27="kg/t DM",((D$28*($B$28/100))*$B31),IF(D$27="mg/kg SAR",((D$28*0.001)*$B31),IF(D$27="mg/kg DM",(((D$28*0.001)*($B$28/100))*$B31),"0")))))))*2.291</f>
        <v>64.867374000000012</v>
      </c>
      <c r="E31" s="65">
        <f>(IF(E$27="%w/w SAR",((E$28*10)*$B31),IF(E$27="%w/w DM",(((E$28*10)*($B$28/100))*$B31),IF(E$27="kg/t SAR",(E$28*$B31),IF(E$27="kg/t DM",((E$28*($B$28/100))*$B31),IF(E$27="mg/kg SAR",((E$28*0.001)*$B31),IF(E$27="mg/kg DM",(((E$28*0.001)*($B$28/100))*$B31),"0")))))))*1.205</f>
        <v>6.4294172800000019E-4</v>
      </c>
      <c r="F31" s="65">
        <f>(IF(F$27="%w/w SAR",((F$28*10)*$B31),IF(F$27="%w/w DM",(((F$28*10)*($B$28/100))*$B31),IF(F$27="kg/t SAR",(F$28*$B31),IF(F$27="kg/t DM",((F$28*($B$28/100))*$B31),IF(F$27="mg/kg SAR",((F$28*0.001)*$B31),IF(F$27="mg/kg DM",(((F$28*0.001)*($B$28/100))*$B31),"0")))))))*1.658</f>
        <v>21.490200160000001</v>
      </c>
      <c r="G31" s="65">
        <f t="shared" ref="G31:P46" si="5">IF(G$27="%w/w SAR",((G$28*10)*$B31),IF(G$27="%w/w DM",(((G$28*10)*($B$28/100))*$B31),IF(G$27="kg/t SAR",(G$28*$B31),IF(G$27="kg/t DM",((G$28*($B$28/100))*$B31),IF(G$27="mg/kg SAR",((G$28*0.001)*$B31),IF(G$27="mg/kg DM",(((G$28*0.001)*($B$28/100))*$B31),0))))))</f>
        <v>0.52475280000000002</v>
      </c>
      <c r="H31" s="65">
        <f t="shared" si="5"/>
        <v>0.74497279999999999</v>
      </c>
      <c r="I31" s="65">
        <f t="shared" si="5"/>
        <v>7.8020800000000001E-2</v>
      </c>
      <c r="J31" s="65">
        <f t="shared" si="5"/>
        <v>4.2785599999999998E-3</v>
      </c>
      <c r="K31" s="65">
        <f t="shared" si="5"/>
        <v>8.9346400000000006E-3</v>
      </c>
      <c r="L31" s="65">
        <f t="shared" si="5"/>
        <v>0.34102640000000001</v>
      </c>
      <c r="M31" s="65">
        <f t="shared" si="5"/>
        <v>0.15981679999999998</v>
      </c>
      <c r="N31" s="65">
        <f t="shared" si="5"/>
        <v>2315.4560000000001</v>
      </c>
      <c r="O31" s="65">
        <f t="shared" si="5"/>
        <v>156.04160000000002</v>
      </c>
      <c r="P31" s="65">
        <f t="shared" si="5"/>
        <v>0</v>
      </c>
      <c r="Q31" s="65">
        <f>(IF(Q$27="%w/w SAR",((Q$28*10)*$B31),IF(Q$27="%w/w DM",(((Q$28*10)*($B$28/100))*$B31),IF(Q$27="kg/t SAR",(Q$28*$B31),IF(Q$27="kg/t DM",((Q$28*($B$28/100))*$B31),IF(Q$27="mg/kg SAR",((Q$28*0.001)*$B31),IF(Q$27="mg/kg DM",(((Q$28*0.001)*($B$28/100))*$B31),0)))))))*2.5</f>
        <v>259.54500000000002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0.17869279999999998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SJC2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SJC3</v>
      </c>
      <c r="B33" s="11">
        <v>120</v>
      </c>
      <c r="C33" s="65">
        <f t="shared" si="6"/>
        <v>77.563199999999995</v>
      </c>
      <c r="D33" s="65">
        <f t="shared" si="7"/>
        <v>35.382204000000002</v>
      </c>
      <c r="E33" s="65">
        <f t="shared" si="8"/>
        <v>3.506954880000001E-4</v>
      </c>
      <c r="F33" s="65">
        <f t="shared" si="9"/>
        <v>11.72192736</v>
      </c>
      <c r="G33" s="65">
        <f t="shared" si="5"/>
        <v>0.28622880000000006</v>
      </c>
      <c r="H33" s="65">
        <f t="shared" si="5"/>
        <v>0.40634880000000001</v>
      </c>
      <c r="I33" s="65">
        <f t="shared" si="5"/>
        <v>4.2556800000000006E-2</v>
      </c>
      <c r="J33" s="65">
        <f t="shared" si="5"/>
        <v>2.3337600000000003E-3</v>
      </c>
      <c r="K33" s="65">
        <f t="shared" si="5"/>
        <v>4.8734400000000006E-3</v>
      </c>
      <c r="L33" s="65">
        <f t="shared" si="5"/>
        <v>0.18601440000000002</v>
      </c>
      <c r="M33" s="65">
        <f t="shared" si="5"/>
        <v>8.7172799999999995E-2</v>
      </c>
      <c r="N33" s="65">
        <f t="shared" si="5"/>
        <v>1262.9760000000001</v>
      </c>
      <c r="O33" s="65">
        <f t="shared" si="5"/>
        <v>85.113600000000005</v>
      </c>
      <c r="P33" s="65">
        <f t="shared" si="5"/>
        <v>0</v>
      </c>
      <c r="Q33" s="65">
        <f t="shared" si="10"/>
        <v>141.57</v>
      </c>
      <c r="R33" s="65">
        <f t="shared" si="11"/>
        <v>0</v>
      </c>
      <c r="S33" s="65">
        <f t="shared" si="11"/>
        <v>9.7468799999999994E-2</v>
      </c>
      <c r="T33" s="65">
        <f t="shared" si="11"/>
        <v>0</v>
      </c>
      <c r="U33" s="126">
        <f t="shared" si="11"/>
        <v>0</v>
      </c>
    </row>
    <row r="34" spans="1:21" s="48" customFormat="1" ht="13" x14ac:dyDescent="0.35">
      <c r="A34" s="125" t="str">
        <f>F8</f>
        <v>SJC4</v>
      </c>
      <c r="B34" s="11">
        <v>250</v>
      </c>
      <c r="C34" s="65">
        <f t="shared" si="6"/>
        <v>161.58999999999997</v>
      </c>
      <c r="D34" s="65">
        <f t="shared" si="7"/>
        <v>73.712925000000013</v>
      </c>
      <c r="E34" s="65">
        <f t="shared" si="8"/>
        <v>7.3061560000000009E-4</v>
      </c>
      <c r="F34" s="65">
        <f t="shared" si="9"/>
        <v>24.420681999999999</v>
      </c>
      <c r="G34" s="65">
        <f t="shared" si="5"/>
        <v>0.59631000000000012</v>
      </c>
      <c r="H34" s="65">
        <f t="shared" si="5"/>
        <v>0.84655999999999998</v>
      </c>
      <c r="I34" s="65">
        <f t="shared" si="5"/>
        <v>8.8660000000000003E-2</v>
      </c>
      <c r="J34" s="65">
        <f t="shared" si="5"/>
        <v>4.862E-3</v>
      </c>
      <c r="K34" s="65">
        <f t="shared" si="5"/>
        <v>1.0153000000000001E-2</v>
      </c>
      <c r="L34" s="65">
        <f t="shared" si="5"/>
        <v>0.38753000000000004</v>
      </c>
      <c r="M34" s="65">
        <f t="shared" si="5"/>
        <v>0.18160999999999999</v>
      </c>
      <c r="N34" s="65">
        <f t="shared" si="5"/>
        <v>2631.2000000000003</v>
      </c>
      <c r="O34" s="65">
        <f t="shared" si="5"/>
        <v>177.32</v>
      </c>
      <c r="P34" s="65">
        <f t="shared" si="5"/>
        <v>0</v>
      </c>
      <c r="Q34" s="65">
        <f t="shared" si="10"/>
        <v>294.9375</v>
      </c>
      <c r="R34" s="65">
        <f t="shared" si="11"/>
        <v>0</v>
      </c>
      <c r="S34" s="65">
        <f t="shared" si="11"/>
        <v>0.20305999999999999</v>
      </c>
      <c r="T34" s="65">
        <f t="shared" si="11"/>
        <v>0</v>
      </c>
      <c r="U34" s="126">
        <f t="shared" si="11"/>
        <v>0</v>
      </c>
    </row>
    <row r="35" spans="1:21" s="48" customFormat="1" ht="13" x14ac:dyDescent="0.35">
      <c r="A35" s="125" t="str">
        <f>G8</f>
        <v>SJC5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SJC6</v>
      </c>
      <c r="B36" s="11">
        <v>80</v>
      </c>
      <c r="C36" s="65">
        <f t="shared" si="6"/>
        <v>51.708799999999997</v>
      </c>
      <c r="D36" s="65">
        <f t="shared" si="7"/>
        <v>23.588136000000002</v>
      </c>
      <c r="E36" s="65">
        <f t="shared" si="8"/>
        <v>2.3379699200000003E-4</v>
      </c>
      <c r="F36" s="65">
        <f t="shared" si="9"/>
        <v>7.8146182399999997</v>
      </c>
      <c r="G36" s="65">
        <f t="shared" si="5"/>
        <v>0.19081920000000002</v>
      </c>
      <c r="H36" s="65">
        <f t="shared" si="5"/>
        <v>0.27089920000000001</v>
      </c>
      <c r="I36" s="65">
        <f t="shared" si="5"/>
        <v>2.8371200000000003E-2</v>
      </c>
      <c r="J36" s="65">
        <f t="shared" si="5"/>
        <v>1.5558400000000002E-3</v>
      </c>
      <c r="K36" s="65">
        <f t="shared" si="5"/>
        <v>3.2489600000000004E-3</v>
      </c>
      <c r="L36" s="65">
        <f t="shared" si="5"/>
        <v>0.12400960000000001</v>
      </c>
      <c r="M36" s="65">
        <f t="shared" si="5"/>
        <v>5.8115199999999999E-2</v>
      </c>
      <c r="N36" s="65">
        <f t="shared" si="5"/>
        <v>841.98400000000004</v>
      </c>
      <c r="O36" s="65">
        <f t="shared" si="5"/>
        <v>56.742400000000004</v>
      </c>
      <c r="P36" s="65">
        <f t="shared" si="5"/>
        <v>0</v>
      </c>
      <c r="Q36" s="65">
        <f t="shared" si="10"/>
        <v>94.38</v>
      </c>
      <c r="R36" s="65">
        <f t="shared" si="11"/>
        <v>0</v>
      </c>
      <c r="S36" s="65">
        <f t="shared" si="11"/>
        <v>6.4979200000000001E-2</v>
      </c>
      <c r="T36" s="65">
        <f t="shared" si="11"/>
        <v>0</v>
      </c>
      <c r="U36" s="126">
        <f t="shared" si="11"/>
        <v>0</v>
      </c>
    </row>
    <row r="37" spans="1:21" s="48" customFormat="1" ht="13" x14ac:dyDescent="0.35">
      <c r="A37" s="125" t="str">
        <f>I8</f>
        <v>BODNOLWYN A</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BODNOLWYN B</v>
      </c>
      <c r="B38" s="11">
        <v>0</v>
      </c>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SJC1</v>
      </c>
      <c r="C57" s="8" t="str">
        <f t="shared" ref="C57:U57" si="13">D8</f>
        <v>SJC2</v>
      </c>
      <c r="D57" s="8" t="str">
        <f t="shared" si="13"/>
        <v>SJC3</v>
      </c>
      <c r="E57" s="8" t="str">
        <f t="shared" si="13"/>
        <v>SJC4</v>
      </c>
      <c r="F57" s="8" t="str">
        <f t="shared" si="13"/>
        <v>SJC5</v>
      </c>
      <c r="G57" s="8" t="str">
        <f t="shared" si="13"/>
        <v>SJC6</v>
      </c>
      <c r="H57" s="8" t="str">
        <f t="shared" si="13"/>
        <v>BODNOLWYN A</v>
      </c>
      <c r="I57" s="8" t="str">
        <f t="shared" si="13"/>
        <v>BODNOLWYN 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Arable</v>
      </c>
      <c r="F58" s="10" t="str">
        <f>G16&amp;" I "&amp;(VLOOKUP(G14,Table245811[],6,FALSE))</f>
        <v>Medium/Clay I Grass</v>
      </c>
      <c r="G58" s="10" t="str">
        <f>H16&amp;" I "&amp;(VLOOKUP(H14,Table245811[],6,FALSE))</f>
        <v>Medium/Clay I Arable</v>
      </c>
      <c r="H58" s="10" t="str">
        <f>I16&amp;" I "&amp;(VLOOKUP(I14,Table245811[],6,FALSE))</f>
        <v>Medium/Clay I Grass</v>
      </c>
      <c r="I58" s="10" t="str">
        <f>J16&amp;" I "&amp;(VLOOKUP(J14,Table245811[],6,FALSE))</f>
        <v>Medium/Clay I Grass</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6.7</v>
      </c>
      <c r="F59" s="64">
        <f>VLOOKUP(G$14,Table245811[],5,FALSE)</f>
        <v>6.2</v>
      </c>
      <c r="G59" s="64">
        <f>VLOOKUP(H$14,Table245811[],5,FALSE)</f>
        <v>6.7</v>
      </c>
      <c r="H59" s="64">
        <f>VLOOKUP(I$14,Table245811[],5,FALSE)</f>
        <v>6.2</v>
      </c>
      <c r="I59" s="64">
        <f>VLOOKUP(J$14,Table245811[],5,FALSE)</f>
        <v>6.2</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5.8</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220</v>
      </c>
      <c r="C62" s="65">
        <f>B32</f>
        <v>0</v>
      </c>
      <c r="D62" s="65">
        <f>B33</f>
        <v>120</v>
      </c>
      <c r="E62" s="65">
        <f>B34</f>
        <v>250</v>
      </c>
      <c r="F62" s="65">
        <f>B35</f>
        <v>0</v>
      </c>
      <c r="G62" s="65">
        <f>B36</f>
        <v>80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1.7999999999999989</v>
      </c>
      <c r="G64" s="65">
        <f t="shared" si="17"/>
        <v>4.8000000000000043</v>
      </c>
      <c r="H64" s="65">
        <f t="shared" si="17"/>
        <v>2.4000000000000021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-1.7999999999999989</v>
      </c>
      <c r="G65" s="65">
        <f t="shared" si="18"/>
        <v>-4.8000000000000043</v>
      </c>
      <c r="H65" s="65">
        <f t="shared" si="18"/>
        <v>-2.4000000000000021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C7uQ7OY1BKBp2KD7+R9rvtBWrmq6s5PMxTQ4nqZ8cDxcgYlwlrBlaabq+SqA0Cc44rPJLoG3/vjC1bx+eKzqg==" saltValue="QOJRl+OKD0rX+6mca+GHO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23" priority="37" operator="greaterThan">
      <formula>$B$51</formula>
    </cfRule>
  </conditionalFormatting>
  <conditionalFormatting sqref="B66:U66">
    <cfRule type="cellIs" dxfId="222" priority="12" operator="equal">
      <formula>"UNDER"</formula>
    </cfRule>
    <cfRule type="cellIs" dxfId="221" priority="13" operator="equal">
      <formula>"OVER"</formula>
    </cfRule>
  </conditionalFormatting>
  <conditionalFormatting sqref="C31:C50">
    <cfRule type="cellIs" dxfId="220" priority="36" operator="greaterThan">
      <formula>$C$51</formula>
    </cfRule>
  </conditionalFormatting>
  <conditionalFormatting sqref="C17:V19">
    <cfRule type="cellIs" dxfId="219" priority="33" operator="equal">
      <formula>0</formula>
    </cfRule>
  </conditionalFormatting>
  <conditionalFormatting sqref="C20:V21">
    <cfRule type="cellIs" dxfId="218" priority="38" operator="equal">
      <formula>"DECREASE"</formula>
    </cfRule>
    <cfRule type="cellIs" dxfId="217" priority="39" operator="equal">
      <formula>"INCREASE"</formula>
    </cfRule>
  </conditionalFormatting>
  <conditionalFormatting sqref="C21:V21">
    <cfRule type="cellIs" dxfId="216" priority="14" operator="equal">
      <formula>0</formula>
    </cfRule>
  </conditionalFormatting>
  <conditionalFormatting sqref="C22:V23">
    <cfRule type="cellIs" dxfId="215" priority="18" operator="equal">
      <formula>0</formula>
    </cfRule>
  </conditionalFormatting>
  <conditionalFormatting sqref="C24:V24">
    <cfRule type="cellIs" dxfId="214" priority="19" operator="equal">
      <formula>"DECREASE"</formula>
    </cfRule>
    <cfRule type="cellIs" dxfId="213" priority="20" operator="equal">
      <formula>"INCREASE"</formula>
    </cfRule>
  </conditionalFormatting>
  <conditionalFormatting sqref="G31:G50">
    <cfRule type="cellIs" dxfId="212" priority="32" operator="greaterThan">
      <formula>$G$51</formula>
    </cfRule>
  </conditionalFormatting>
  <conditionalFormatting sqref="H31:H50">
    <cfRule type="cellIs" dxfId="211" priority="31" operator="greaterThan">
      <formula>$H$51</formula>
    </cfRule>
  </conditionalFormatting>
  <conditionalFormatting sqref="I1">
    <cfRule type="cellIs" dxfId="210" priority="4" operator="between">
      <formula>0.1</formula>
      <formula>5</formula>
    </cfRule>
  </conditionalFormatting>
  <conditionalFormatting sqref="I2">
    <cfRule type="cellIs" dxfId="209" priority="3" operator="greaterThan">
      <formula>5000.1</formula>
    </cfRule>
  </conditionalFormatting>
  <conditionalFormatting sqref="I3">
    <cfRule type="cellIs" dxfId="208" priority="2" operator="greaterThan">
      <formula>40000.01</formula>
    </cfRule>
  </conditionalFormatting>
  <conditionalFormatting sqref="I31:I50">
    <cfRule type="cellIs" dxfId="207" priority="30" operator="greaterThan">
      <formula>$I$51</formula>
    </cfRule>
  </conditionalFormatting>
  <conditionalFormatting sqref="J31:J50">
    <cfRule type="cellIs" dxfId="206" priority="9" operator="greaterThan">
      <formula>$J$51</formula>
    </cfRule>
  </conditionalFormatting>
  <conditionalFormatting sqref="K31:K50">
    <cfRule type="cellIs" dxfId="205" priority="29" operator="greaterThan">
      <formula>$K$51</formula>
    </cfRule>
  </conditionalFormatting>
  <conditionalFormatting sqref="L3">
    <cfRule type="cellIs" dxfId="204" priority="5" operator="lessThan">
      <formula>30</formula>
    </cfRule>
    <cfRule type="cellIs" dxfId="203" priority="6" operator="greaterThanOrEqual">
      <formula>30</formula>
    </cfRule>
  </conditionalFormatting>
  <conditionalFormatting sqref="L31:L50">
    <cfRule type="cellIs" dxfId="202" priority="28" operator="greaterThan">
      <formula>$L$51</formula>
    </cfRule>
  </conditionalFormatting>
  <conditionalFormatting sqref="M31:M50">
    <cfRule type="cellIs" dxfId="201" priority="27" operator="greaterThan">
      <formula>$M$51</formula>
    </cfRule>
  </conditionalFormatting>
  <conditionalFormatting sqref="P31:P50">
    <cfRule type="cellIs" dxfId="200" priority="26" operator="greaterThan">
      <formula>$P$51</formula>
    </cfRule>
  </conditionalFormatting>
  <conditionalFormatting sqref="R31:R50">
    <cfRule type="cellIs" dxfId="199" priority="25" operator="greaterThan">
      <formula>$R$51</formula>
    </cfRule>
  </conditionalFormatting>
  <conditionalFormatting sqref="S31:S50">
    <cfRule type="cellIs" dxfId="198" priority="24" operator="greaterThan">
      <formula>$S$51</formula>
    </cfRule>
  </conditionalFormatting>
  <conditionalFormatting sqref="T31:T50">
    <cfRule type="cellIs" dxfId="197" priority="23" operator="greaterThan">
      <formula>$T$51</formula>
    </cfRule>
  </conditionalFormatting>
  <conditionalFormatting sqref="U31:U50">
    <cfRule type="cellIs" dxfId="196" priority="22"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43" sqref="B4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Alaw'!C1:D1</f>
        <v>PAN-027648</v>
      </c>
      <c r="D1" s="167"/>
      <c r="E1" s="106" t="s">
        <v>45</v>
      </c>
      <c r="F1" s="113">
        <f>'Field data and Alaw'!F1</f>
        <v>44.3</v>
      </c>
      <c r="G1" s="134" t="s">
        <v>43</v>
      </c>
      <c r="H1" s="135"/>
      <c r="I1" s="109">
        <v>6.7</v>
      </c>
      <c r="J1" s="158" t="s">
        <v>153</v>
      </c>
      <c r="K1" s="159"/>
      <c r="L1" s="109">
        <v>226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Alaw'!C2:D2</f>
        <v>GP3792SK</v>
      </c>
      <c r="D2" s="169"/>
      <c r="E2" s="96" t="s">
        <v>109</v>
      </c>
      <c r="F2" s="110">
        <v>190902</v>
      </c>
      <c r="G2" s="136" t="s">
        <v>110</v>
      </c>
      <c r="H2" s="137"/>
      <c r="I2" s="110"/>
      <c r="J2" s="138" t="s">
        <v>158</v>
      </c>
      <c r="K2" s="139"/>
      <c r="L2" s="110">
        <v>1.4</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Alaw'!C3:D3</f>
        <v>Byproduct Recovery Limited</v>
      </c>
      <c r="D3" s="169"/>
      <c r="E3" s="96" t="s">
        <v>108</v>
      </c>
      <c r="F3" s="111" t="s">
        <v>78</v>
      </c>
      <c r="G3" s="138" t="s">
        <v>159</v>
      </c>
      <c r="H3" s="139"/>
      <c r="I3" s="110"/>
      <c r="J3" s="160" t="s">
        <v>154</v>
      </c>
      <c r="K3" s="161"/>
      <c r="L3" s="110">
        <f>(L1/(L2*10000))*100</f>
        <v>1.6142857142857143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Alaw'!C4:D4</f>
        <v>Plas Bach, Cerrigceinwen, Bodorgan.LL62 5NS</v>
      </c>
      <c r="D4" s="171"/>
      <c r="E4" s="99" t="s">
        <v>1</v>
      </c>
      <c r="F4" s="110" t="s">
        <v>178</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Alaw'!C5:D5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Alaw'!C8</f>
        <v>SJC1</v>
      </c>
      <c r="D8" s="49" t="str">
        <f>'Field data and Alaw'!D8</f>
        <v>SJC2</v>
      </c>
      <c r="E8" s="49" t="str">
        <f>'Field data and Alaw'!E8</f>
        <v>SJC3</v>
      </c>
      <c r="F8" s="49" t="str">
        <f>'Field data and Alaw'!F8</f>
        <v>SJC4</v>
      </c>
      <c r="G8" s="49" t="str">
        <f>'Field data and Alaw'!G8</f>
        <v>SJC5</v>
      </c>
      <c r="H8" s="49" t="str">
        <f>'Field data and Alaw'!H8</f>
        <v>SJC6</v>
      </c>
      <c r="I8" s="49" t="str">
        <f>'Field data and Alaw'!I8</f>
        <v>BODNOLWYN A</v>
      </c>
      <c r="J8" s="49" t="str">
        <f>'Field data and Alaw'!J8</f>
        <v>BODNOLWYN B</v>
      </c>
      <c r="K8" s="49">
        <f>'Field data and Alaw'!K8</f>
        <v>0</v>
      </c>
      <c r="L8" s="49">
        <f>'Field data and Alaw'!L8</f>
        <v>0</v>
      </c>
      <c r="M8" s="49">
        <f>'Field data and Alaw'!M8</f>
        <v>0</v>
      </c>
      <c r="N8" s="49">
        <f>'Field data and Alaw'!N8</f>
        <v>0</v>
      </c>
      <c r="O8" s="49">
        <f>'Field data and Alaw'!O8</f>
        <v>0</v>
      </c>
      <c r="P8" s="49">
        <f>'Field data and Alaw'!P8</f>
        <v>0</v>
      </c>
      <c r="Q8" s="49">
        <f>'Field data and Alaw'!Q8</f>
        <v>0</v>
      </c>
      <c r="R8" s="49">
        <f>'Field data and Alaw'!R8</f>
        <v>0</v>
      </c>
      <c r="S8" s="49">
        <f>'Field data and Alaw'!S8</f>
        <v>0</v>
      </c>
      <c r="T8" s="49">
        <f>'Field data and Alaw'!T8</f>
        <v>0</v>
      </c>
      <c r="U8" s="49">
        <f>'Field data and Alaw'!U8</f>
        <v>0</v>
      </c>
      <c r="V8" s="102">
        <f>'Field data and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Alaw'!C9</f>
        <v>m</v>
      </c>
      <c r="D9" s="49" t="str">
        <f>'Field data and Alaw'!D9</f>
        <v>m</v>
      </c>
      <c r="E9" s="49" t="str">
        <f>'Field data and Alaw'!E9</f>
        <v>m</v>
      </c>
      <c r="F9" s="49">
        <f>'Field data and Alaw'!F9</f>
        <v>2</v>
      </c>
      <c r="G9" s="49" t="str">
        <f>'Field data and Alaw'!G9</f>
        <v>m</v>
      </c>
      <c r="H9" s="49">
        <f>'Field data and Alaw'!H9</f>
        <v>2</v>
      </c>
      <c r="I9" s="49" t="str">
        <f>'Field data and Alaw'!I9</f>
        <v xml:space="preserve">m </v>
      </c>
      <c r="J9" s="49" t="str">
        <f>'Field data and Alaw'!J9</f>
        <v xml:space="preserve">m </v>
      </c>
      <c r="K9" s="49">
        <f>'Field data and Alaw'!K9</f>
        <v>0</v>
      </c>
      <c r="L9" s="49">
        <f>'Field data and Alaw'!L9</f>
        <v>0</v>
      </c>
      <c r="M9" s="49">
        <f>'Field data and Alaw'!M9</f>
        <v>0</v>
      </c>
      <c r="N9" s="49">
        <f>'Field data and Alaw'!N9</f>
        <v>0</v>
      </c>
      <c r="O9" s="49">
        <f>'Field data and Alaw'!O9</f>
        <v>0</v>
      </c>
      <c r="P9" s="49">
        <f>'Field data and Alaw'!P9</f>
        <v>0</v>
      </c>
      <c r="Q9" s="49">
        <f>'Field data and Alaw'!Q9</f>
        <v>0</v>
      </c>
      <c r="R9" s="49">
        <f>'Field data and Alaw'!R9</f>
        <v>0</v>
      </c>
      <c r="S9" s="49">
        <f>'Field data and Alaw'!S9</f>
        <v>0</v>
      </c>
      <c r="T9" s="49">
        <f>'Field data and Alaw'!T9</f>
        <v>0</v>
      </c>
      <c r="U9" s="49">
        <f>'Field data and Alaw'!U9</f>
        <v>0</v>
      </c>
      <c r="V9" s="102">
        <f>'Field data and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Alaw'!C10</f>
        <v>6.4</v>
      </c>
      <c r="D10" s="49">
        <f>'Field data and Alaw'!D10</f>
        <v>5.8</v>
      </c>
      <c r="E10" s="49">
        <f>'Field data and Alaw'!E10</f>
        <v>6</v>
      </c>
      <c r="F10" s="49">
        <f>'Field data and Alaw'!F10</f>
        <v>6</v>
      </c>
      <c r="G10" s="49">
        <f>'Field data and Alaw'!G10</f>
        <v>5.9</v>
      </c>
      <c r="H10" s="49">
        <f>'Field data and Alaw'!H10</f>
        <v>6.1</v>
      </c>
      <c r="I10" s="49">
        <f>'Field data and Alaw'!I10</f>
        <v>5.8</v>
      </c>
      <c r="J10" s="49">
        <f>'Field data and Alaw'!J10</f>
        <v>5.7</v>
      </c>
      <c r="K10" s="49">
        <f>'Field data and Alaw'!K10</f>
        <v>0</v>
      </c>
      <c r="L10" s="49">
        <f>'Field data and Alaw'!L10</f>
        <v>0</v>
      </c>
      <c r="M10" s="49">
        <f>'Field data and Alaw'!M10</f>
        <v>0</v>
      </c>
      <c r="N10" s="49">
        <f>'Field data and Alaw'!N10</f>
        <v>0</v>
      </c>
      <c r="O10" s="49">
        <f>'Field data and Alaw'!O10</f>
        <v>0</v>
      </c>
      <c r="P10" s="49">
        <f>'Field data and Alaw'!P10</f>
        <v>0</v>
      </c>
      <c r="Q10" s="49">
        <f>'Field data and Alaw'!Q10</f>
        <v>0</v>
      </c>
      <c r="R10" s="49">
        <f>'Field data and Alaw'!R10</f>
        <v>0</v>
      </c>
      <c r="S10" s="49">
        <f>'Field data and Alaw'!S10</f>
        <v>0</v>
      </c>
      <c r="T10" s="49">
        <f>'Field data and Alaw'!T10</f>
        <v>0</v>
      </c>
      <c r="U10" s="49">
        <f>'Field data and Alaw'!U10</f>
        <v>0</v>
      </c>
      <c r="V10" s="102">
        <f>'Field data and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Alaw'!C11</f>
        <v>2</v>
      </c>
      <c r="D11" s="49">
        <f>'Field data and Alaw'!D11</f>
        <v>2</v>
      </c>
      <c r="E11" s="49">
        <f>'Field data and Alaw'!E11</f>
        <v>3</v>
      </c>
      <c r="F11" s="49">
        <f>'Field data and Alaw'!F11</f>
        <v>1</v>
      </c>
      <c r="G11" s="49">
        <f>'Field data and Alaw'!G11</f>
        <v>0</v>
      </c>
      <c r="H11" s="49">
        <f>'Field data and Alaw'!H11</f>
        <v>3</v>
      </c>
      <c r="I11" s="49">
        <f>'Field data and Alaw'!I11</f>
        <v>2</v>
      </c>
      <c r="J11" s="49">
        <f>'Field data and Alaw'!J11</f>
        <v>2</v>
      </c>
      <c r="K11" s="49">
        <f>'Field data and Alaw'!K11</f>
        <v>0</v>
      </c>
      <c r="L11" s="49">
        <f>'Field data and Alaw'!L11</f>
        <v>0</v>
      </c>
      <c r="M11" s="49">
        <f>'Field data and Alaw'!M11</f>
        <v>0</v>
      </c>
      <c r="N11" s="49">
        <f>'Field data and Alaw'!N11</f>
        <v>0</v>
      </c>
      <c r="O11" s="49">
        <f>'Field data and Alaw'!O11</f>
        <v>0</v>
      </c>
      <c r="P11" s="49">
        <f>'Field data and Alaw'!P11</f>
        <v>0</v>
      </c>
      <c r="Q11" s="49">
        <f>'Field data and Alaw'!Q11</f>
        <v>0</v>
      </c>
      <c r="R11" s="49">
        <f>'Field data and Alaw'!R11</f>
        <v>0</v>
      </c>
      <c r="S11" s="49">
        <f>'Field data and Alaw'!S11</f>
        <v>0</v>
      </c>
      <c r="T11" s="49">
        <f>'Field data and Alaw'!T11</f>
        <v>0</v>
      </c>
      <c r="U11" s="49">
        <f>'Field data and Alaw'!U11</f>
        <v>0</v>
      </c>
      <c r="V11" s="102">
        <f>'Field data and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Alaw'!C12</f>
        <v>3</v>
      </c>
      <c r="D12" s="49">
        <f>'Field data and Alaw'!D12</f>
        <v>4</v>
      </c>
      <c r="E12" s="49">
        <f>'Field data and Alaw'!E12</f>
        <v>4</v>
      </c>
      <c r="F12" s="49">
        <f>'Field data and Alaw'!F12</f>
        <v>1</v>
      </c>
      <c r="G12" s="49">
        <f>'Field data and Alaw'!G12</f>
        <v>1</v>
      </c>
      <c r="H12" s="49">
        <f>'Field data and Alaw'!H12</f>
        <v>2</v>
      </c>
      <c r="I12" s="49">
        <f>'Field data and Alaw'!I12</f>
        <v>2</v>
      </c>
      <c r="J12" s="49">
        <f>'Field data and Alaw'!J12</f>
        <v>2</v>
      </c>
      <c r="K12" s="49">
        <f>'Field data and Alaw'!K12</f>
        <v>0</v>
      </c>
      <c r="L12" s="49">
        <f>'Field data and Alaw'!L12</f>
        <v>0</v>
      </c>
      <c r="M12" s="49">
        <f>'Field data and Alaw'!M12</f>
        <v>0</v>
      </c>
      <c r="N12" s="49">
        <f>'Field data and Alaw'!N12</f>
        <v>0</v>
      </c>
      <c r="O12" s="49">
        <f>'Field data and Alaw'!O12</f>
        <v>0</v>
      </c>
      <c r="P12" s="49">
        <f>'Field data and Alaw'!P12</f>
        <v>0</v>
      </c>
      <c r="Q12" s="49">
        <f>'Field data and Alaw'!Q12</f>
        <v>0</v>
      </c>
      <c r="R12" s="49">
        <f>'Field data and Alaw'!R12</f>
        <v>0</v>
      </c>
      <c r="S12" s="49">
        <f>'Field data and Alaw'!S12</f>
        <v>0</v>
      </c>
      <c r="T12" s="49">
        <f>'Field data and Alaw'!T12</f>
        <v>0</v>
      </c>
      <c r="U12" s="49">
        <f>'Field data and Alaw'!U12</f>
        <v>0</v>
      </c>
      <c r="V12" s="102">
        <f>'Field data and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Alaw'!C13</f>
        <v>4</v>
      </c>
      <c r="D13" s="49">
        <f>'Field data and Alaw'!D13</f>
        <v>3</v>
      </c>
      <c r="E13" s="49">
        <f>'Field data and Alaw'!E13</f>
        <v>3</v>
      </c>
      <c r="F13" s="49">
        <f>'Field data and Alaw'!F13</f>
        <v>3</v>
      </c>
      <c r="G13" s="49">
        <f>'Field data and Alaw'!G13</f>
        <v>3</v>
      </c>
      <c r="H13" s="49">
        <f>'Field data and Alaw'!H13</f>
        <v>3</v>
      </c>
      <c r="I13" s="49">
        <f>'Field data and Alaw'!I13</f>
        <v>3</v>
      </c>
      <c r="J13" s="49">
        <f>'Field data and Alaw'!J13</f>
        <v>3</v>
      </c>
      <c r="K13" s="49">
        <f>'Field data and Alaw'!K13</f>
        <v>0</v>
      </c>
      <c r="L13" s="49">
        <f>'Field data and Alaw'!L13</f>
        <v>0</v>
      </c>
      <c r="M13" s="49">
        <f>'Field data and Alaw'!M13</f>
        <v>0</v>
      </c>
      <c r="N13" s="49">
        <f>'Field data and Alaw'!N13</f>
        <v>0</v>
      </c>
      <c r="O13" s="49">
        <f>'Field data and Alaw'!O13</f>
        <v>0</v>
      </c>
      <c r="P13" s="49">
        <f>'Field data and Alaw'!P13</f>
        <v>0</v>
      </c>
      <c r="Q13" s="49">
        <f>'Field data and Alaw'!Q13</f>
        <v>0</v>
      </c>
      <c r="R13" s="49">
        <f>'Field data and Alaw'!R13</f>
        <v>0</v>
      </c>
      <c r="S13" s="49">
        <f>'Field data and Alaw'!S13</f>
        <v>0</v>
      </c>
      <c r="T13" s="49">
        <f>'Field data and Alaw'!T13</f>
        <v>0</v>
      </c>
      <c r="U13" s="49">
        <f>'Field data and Alaw'!U13</f>
        <v>0</v>
      </c>
      <c r="V13" s="102">
        <f>'Field data and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Alaw'!C14</f>
        <v xml:space="preserve">Grass Silage (25% DM) </v>
      </c>
      <c r="D14" s="83" t="str">
        <f>'Field data and Alaw'!D14</f>
        <v xml:space="preserve">Grass Silage (25% DM) </v>
      </c>
      <c r="E14" s="83" t="str">
        <f>'Field data and Alaw'!E14</f>
        <v xml:space="preserve">Grass Silage (25% DM) </v>
      </c>
      <c r="F14" s="83" t="str">
        <f>'Field data and Alaw'!F14</f>
        <v>Spring wheat/barley</v>
      </c>
      <c r="G14" s="83" t="str">
        <f>'Field data and Alaw'!G14</f>
        <v xml:space="preserve">Grass Silage (25% DM) </v>
      </c>
      <c r="H14" s="83" t="str">
        <f>'Field data and Alaw'!H14</f>
        <v>Spring wheat/barley</v>
      </c>
      <c r="I14" s="83" t="str">
        <f>'Field data and Alaw'!I14</f>
        <v xml:space="preserve">Grass Silage (25% DM) </v>
      </c>
      <c r="J14" s="83" t="str">
        <f>'Field data and Alaw'!J14</f>
        <v xml:space="preserve">Grass Silage (25% DM) </v>
      </c>
      <c r="K14" s="83">
        <f>'Field data and Alaw'!K14</f>
        <v>0</v>
      </c>
      <c r="L14" s="83">
        <f>'Field data and Alaw'!L14</f>
        <v>0</v>
      </c>
      <c r="M14" s="83">
        <f>'Field data and Alaw'!M14</f>
        <v>0</v>
      </c>
      <c r="N14" s="83">
        <f>'Field data and Alaw'!N14</f>
        <v>0</v>
      </c>
      <c r="O14" s="83">
        <f>'Field data and Alaw'!O14</f>
        <v>0</v>
      </c>
      <c r="P14" s="83">
        <f>'Field data and Alaw'!P14</f>
        <v>0</v>
      </c>
      <c r="Q14" s="83">
        <f>'Field data and Alaw'!Q14</f>
        <v>0</v>
      </c>
      <c r="R14" s="83">
        <f>'Field data and Alaw'!R14</f>
        <v>0</v>
      </c>
      <c r="S14" s="83">
        <f>'Field data and Alaw'!S14</f>
        <v>0</v>
      </c>
      <c r="T14" s="83">
        <f>'Field data and Alaw'!T14</f>
        <v>0</v>
      </c>
      <c r="U14" s="83">
        <f>'Field data and Alaw'!U14</f>
        <v>0</v>
      </c>
      <c r="V14" s="103">
        <f>'Field data and Alaw'!V14</f>
        <v>0</v>
      </c>
      <c r="AD14" s="22" t="s">
        <v>138</v>
      </c>
      <c r="AE14" s="22">
        <v>6</v>
      </c>
      <c r="AI14" s="43" t="s">
        <v>119</v>
      </c>
      <c r="AJ14" s="44">
        <v>0.8</v>
      </c>
      <c r="AK14" s="45">
        <v>1.7</v>
      </c>
      <c r="AL14" s="9">
        <v>12</v>
      </c>
      <c r="AM14" s="9">
        <v>6.7</v>
      </c>
      <c r="AN14" s="9" t="s">
        <v>135</v>
      </c>
    </row>
    <row r="15" spans="1:41" ht="13" x14ac:dyDescent="0.25">
      <c r="A15" s="152" t="s">
        <v>9</v>
      </c>
      <c r="B15" s="153"/>
      <c r="C15" s="49">
        <f>'Field data and Alaw'!C15</f>
        <v>38</v>
      </c>
      <c r="D15" s="49">
        <f>'Field data and Alaw'!D15</f>
        <v>38</v>
      </c>
      <c r="E15" s="49">
        <f>'Field data and Alaw'!E15</f>
        <v>38</v>
      </c>
      <c r="F15" s="49">
        <f>'Field data and Alaw'!F15</f>
        <v>5.5</v>
      </c>
      <c r="G15" s="49">
        <f>'Field data and Alaw'!G15</f>
        <v>38</v>
      </c>
      <c r="H15" s="49">
        <f>'Field data and Alaw'!H15</f>
        <v>5.5</v>
      </c>
      <c r="I15" s="49">
        <f>'Field data and Alaw'!I15</f>
        <v>38</v>
      </c>
      <c r="J15" s="49">
        <f>'Field data and Alaw'!J15</f>
        <v>38</v>
      </c>
      <c r="K15" s="49">
        <f>'Field data and Alaw'!K15</f>
        <v>0</v>
      </c>
      <c r="L15" s="49">
        <f>'Field data and Alaw'!L15</f>
        <v>0</v>
      </c>
      <c r="M15" s="49">
        <f>'Field data and Alaw'!M15</f>
        <v>0</v>
      </c>
      <c r="N15" s="49">
        <f>'Field data and Alaw'!N15</f>
        <v>0</v>
      </c>
      <c r="O15" s="49">
        <f>'Field data and Alaw'!O15</f>
        <v>0</v>
      </c>
      <c r="P15" s="49">
        <f>'Field data and Alaw'!P15</f>
        <v>0</v>
      </c>
      <c r="Q15" s="49">
        <f>'Field data and Alaw'!Q15</f>
        <v>0</v>
      </c>
      <c r="R15" s="49">
        <f>'Field data and Alaw'!R15</f>
        <v>0</v>
      </c>
      <c r="S15" s="49">
        <f>'Field data and Alaw'!S15</f>
        <v>0</v>
      </c>
      <c r="T15" s="49">
        <f>'Field data and Alaw'!T15</f>
        <v>0</v>
      </c>
      <c r="U15" s="49">
        <f>'Field data and Alaw'!U15</f>
        <v>0</v>
      </c>
      <c r="V15" s="102">
        <f>'Field data and Alaw'!V15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Alaw'!C16</f>
        <v>Medium/Clay</v>
      </c>
      <c r="D16" s="104" t="str">
        <f>'Field data and Alaw'!D16</f>
        <v>Medium/Clay</v>
      </c>
      <c r="E16" s="104" t="str">
        <f>'Field data and Alaw'!E16</f>
        <v>Medium/Clay</v>
      </c>
      <c r="F16" s="104" t="str">
        <f>'Field data and Alaw'!F16</f>
        <v>Medium/Clay</v>
      </c>
      <c r="G16" s="104" t="str">
        <f>'Field data and Alaw'!G16</f>
        <v>Medium/Clay</v>
      </c>
      <c r="H16" s="104" t="str">
        <f>'Field data and Alaw'!H16</f>
        <v>Medium/Clay</v>
      </c>
      <c r="I16" s="104" t="str">
        <f>'Field data and Alaw'!I16</f>
        <v>Medium/Clay</v>
      </c>
      <c r="J16" s="104" t="str">
        <f>'Field data and Alaw'!J16</f>
        <v>Medium/Clay</v>
      </c>
      <c r="K16" s="104">
        <f>'Field data and Alaw'!K16</f>
        <v>0</v>
      </c>
      <c r="L16" s="104">
        <f>'Field data and Alaw'!L16</f>
        <v>0</v>
      </c>
      <c r="M16" s="104">
        <f>'Field data and Alaw'!M16</f>
        <v>0</v>
      </c>
      <c r="N16" s="104">
        <f>'Field data and Alaw'!N16</f>
        <v>0</v>
      </c>
      <c r="O16" s="104">
        <f>'Field data and Alaw'!O16</f>
        <v>0</v>
      </c>
      <c r="P16" s="104">
        <f>'Field data and Alaw'!P16</f>
        <v>0</v>
      </c>
      <c r="Q16" s="104">
        <f>'Field data and Alaw'!Q16</f>
        <v>0</v>
      </c>
      <c r="R16" s="104">
        <f>'Field data and Alaw'!R16</f>
        <v>0</v>
      </c>
      <c r="S16" s="104">
        <f>'Field data and Alaw'!S16</f>
        <v>0</v>
      </c>
      <c r="T16" s="104">
        <f>'Field data and Alaw'!T16</f>
        <v>0</v>
      </c>
      <c r="U16" s="104">
        <f>'Field data and Alaw'!U16</f>
        <v>0</v>
      </c>
      <c r="V16" s="105">
        <f>'Field data and Alaw'!V16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46.75</v>
      </c>
      <c r="G17" s="20">
        <f t="shared" si="0"/>
        <v>64.599999999999994</v>
      </c>
      <c r="H17" s="20">
        <f t="shared" si="0"/>
        <v>46.75</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64.664620499999998</v>
      </c>
      <c r="D18" s="12">
        <f>$D32</f>
        <v>0</v>
      </c>
      <c r="E18" s="12">
        <f>$D33</f>
        <v>32.332310249999999</v>
      </c>
      <c r="F18" s="12">
        <f>$D34</f>
        <v>107.77436750000001</v>
      </c>
      <c r="G18" s="12">
        <f>$D35</f>
        <v>0</v>
      </c>
      <c r="H18" s="12">
        <f>$D36</f>
        <v>23.27926338</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6.4620500000003744E-2</v>
      </c>
      <c r="D19" s="12">
        <f t="shared" ref="D19:V19" si="1">D18-D17</f>
        <v>-64.599999999999994</v>
      </c>
      <c r="E19" s="12">
        <f t="shared" si="1"/>
        <v>-32.267689749999995</v>
      </c>
      <c r="F19" s="12">
        <f t="shared" si="1"/>
        <v>61.024367500000011</v>
      </c>
      <c r="G19" s="12">
        <f t="shared" si="1"/>
        <v>-64.599999999999994</v>
      </c>
      <c r="H19" s="12">
        <f t="shared" si="1"/>
        <v>-23.47073662</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DECREASE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66</v>
      </c>
      <c r="G21" s="20">
        <f t="shared" si="2"/>
        <v>228</v>
      </c>
      <c r="H21" s="20">
        <f t="shared" si="2"/>
        <v>66</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1.1038402499999999E-4</v>
      </c>
      <c r="D22" s="12">
        <f>$E32</f>
        <v>0</v>
      </c>
      <c r="E22" s="12">
        <f>$E33</f>
        <v>5.5192012499999994E-5</v>
      </c>
      <c r="F22" s="12">
        <f>$E34</f>
        <v>1.83973375E-4</v>
      </c>
      <c r="G22" s="12">
        <f>$E35</f>
        <v>0</v>
      </c>
      <c r="H22" s="12">
        <f>$E36</f>
        <v>3.9738248999999992E-5</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-227.99988961597501</v>
      </c>
      <c r="D23" s="12">
        <f t="shared" ref="D23:V23" si="3">D22-D21</f>
        <v>-228</v>
      </c>
      <c r="E23" s="12">
        <f t="shared" si="3"/>
        <v>-227.9999448079875</v>
      </c>
      <c r="F23" s="12">
        <f t="shared" si="3"/>
        <v>-65.999816026624998</v>
      </c>
      <c r="G23" s="12">
        <f t="shared" si="3"/>
        <v>-228</v>
      </c>
      <c r="H23" s="12">
        <f t="shared" si="3"/>
        <v>-65.999960261750999</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55</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3.1</v>
      </c>
      <c r="C28" s="11">
        <v>1.4</v>
      </c>
      <c r="D28" s="11">
        <v>0.60699999999999998</v>
      </c>
      <c r="E28" s="11">
        <v>1.9699999999999999E-2</v>
      </c>
      <c r="F28" s="11">
        <v>1020</v>
      </c>
      <c r="G28" s="11">
        <v>36.799999999999997</v>
      </c>
      <c r="H28" s="11">
        <v>148</v>
      </c>
      <c r="I28" s="11">
        <v>6.2</v>
      </c>
      <c r="J28" s="11">
        <v>0.59</v>
      </c>
      <c r="K28" s="15">
        <v>1.3</v>
      </c>
      <c r="L28" s="11">
        <v>39.5</v>
      </c>
      <c r="M28" s="11">
        <v>4.32</v>
      </c>
      <c r="N28" s="11">
        <v>203000</v>
      </c>
      <c r="O28" s="11">
        <v>5370</v>
      </c>
      <c r="P28" s="11"/>
      <c r="Q28" s="11">
        <v>11500</v>
      </c>
      <c r="R28" s="11"/>
      <c r="S28" s="11">
        <v>9.6999999999999993</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SJC1</v>
      </c>
      <c r="B31" s="11">
        <v>150</v>
      </c>
      <c r="C31" s="65">
        <f>IF(C$27="%w/w SAR",((C$28*10)*$B31),IF(C$27="%w/w DM",(((C$28*10)*($B$28/100))*$B31),IF(C$27="kg/t SAR",(C$28*$B31),IF(C$27="kg/t DM",((C$28*($B$28/100))*$B31),IF(C$27="mg/kg SAR",((C$28*0.001)*$B31),IF(C$27="mg/kg DM",(((C$28*0.001)*($B$28/100))*$B31),0))))))</f>
        <v>65.099999999999994</v>
      </c>
      <c r="D31" s="65">
        <f>(IF(D$27="%w/w SAR",((D$28*10)*$B31),IF(D$27="%w/w DM",(((D$28*10)*($B$28/100))*$B31),IF(D$27="kg/t SAR",(D$28*$B31),IF(D$27="kg/t DM",((D$28*($B$28/100))*$B31),IF(D$27="mg/kg SAR",((D$28*0.001)*$B31),IF(D$27="mg/kg DM",(((D$28*0.001)*($B$28/100))*$B31),"0")))))))*2.291</f>
        <v>64.664620499999998</v>
      </c>
      <c r="E31" s="65">
        <f>(IF(E$27="%w/w SAR",((E$28*10)*$B31),IF(E$27="%w/w DM",(((E$28*10)*($B$28/100))*$B31),IF(E$27="kg/t SAR",(E$28*$B31),IF(E$27="kg/t DM",((E$28*($B$28/100))*$B31),IF(E$27="mg/kg SAR",((E$28*0.001)*$B31),IF(E$27="mg/kg DM",(((E$28*0.001)*($B$28/100))*$B31),"0")))))))*1.205</f>
        <v>1.1038402499999999E-4</v>
      </c>
      <c r="F31" s="65">
        <f>(IF(F$27="%w/w SAR",((F$28*10)*$B31),IF(F$27="%w/w DM",(((F$28*10)*($B$28/100))*$B31),IF(F$27="kg/t SAR",(F$28*$B31),IF(F$27="kg/t DM",((F$28*($B$28/100))*$B31),IF(F$27="mg/kg SAR",((F$28*0.001)*$B31),IF(F$27="mg/kg DM",(((F$28*0.001)*($B$28/100))*$B31),"0")))))))*1.658</f>
        <v>7.8638940000000002</v>
      </c>
      <c r="G31" s="65">
        <f t="shared" ref="G31:P46" si="5">IF(G$27="%w/w SAR",((G$28*10)*$B31),IF(G$27="%w/w DM",(((G$28*10)*($B$28/100))*$B31),IF(G$27="kg/t SAR",(G$28*$B31),IF(G$27="kg/t DM",((G$28*($B$28/100))*$B31),IF(G$27="mg/kg SAR",((G$28*0.001)*$B31),IF(G$27="mg/kg DM",(((G$28*0.001)*($B$28/100))*$B31),0))))))</f>
        <v>0.17111999999999999</v>
      </c>
      <c r="H31" s="65">
        <f t="shared" si="5"/>
        <v>0.68820000000000003</v>
      </c>
      <c r="I31" s="65">
        <f t="shared" si="5"/>
        <v>2.8830000000000001E-2</v>
      </c>
      <c r="J31" s="65">
        <f t="shared" si="5"/>
        <v>2.7434999999999998E-3</v>
      </c>
      <c r="K31" s="65">
        <f t="shared" si="5"/>
        <v>6.0450000000000009E-3</v>
      </c>
      <c r="L31" s="65">
        <f t="shared" si="5"/>
        <v>0.183675</v>
      </c>
      <c r="M31" s="65">
        <f t="shared" si="5"/>
        <v>2.0087999999999998E-2</v>
      </c>
      <c r="N31" s="65">
        <f t="shared" si="5"/>
        <v>943.95</v>
      </c>
      <c r="O31" s="65">
        <f t="shared" si="5"/>
        <v>24.970500000000001</v>
      </c>
      <c r="P31" s="65">
        <f t="shared" si="5"/>
        <v>0</v>
      </c>
      <c r="Q31" s="65">
        <f>(IF(Q$27="%w/w SAR",((Q$28*10)*$B31),IF(Q$27="%w/w DM",(((Q$28*10)*($B$28/100))*$B31),IF(Q$27="kg/t SAR",(Q$28*$B31),IF(Q$27="kg/t DM",((Q$28*($B$28/100))*$B31),IF(Q$27="mg/kg SAR",((Q$28*0.001)*$B31),IF(Q$27="mg/kg DM",(((Q$28*0.001)*($B$28/100))*$B31),0)))))))*2.5</f>
        <v>133.6875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4.5104999999999999E-2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SJC2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SJC3</v>
      </c>
      <c r="B33" s="11">
        <v>75</v>
      </c>
      <c r="C33" s="65">
        <f t="shared" si="6"/>
        <v>32.549999999999997</v>
      </c>
      <c r="D33" s="65">
        <f t="shared" si="7"/>
        <v>32.332310249999999</v>
      </c>
      <c r="E33" s="65">
        <f t="shared" si="8"/>
        <v>5.5192012499999994E-5</v>
      </c>
      <c r="F33" s="65">
        <f t="shared" si="9"/>
        <v>3.9319470000000001</v>
      </c>
      <c r="G33" s="65">
        <f t="shared" si="5"/>
        <v>8.5559999999999997E-2</v>
      </c>
      <c r="H33" s="65">
        <f t="shared" si="5"/>
        <v>0.34410000000000002</v>
      </c>
      <c r="I33" s="65">
        <f t="shared" si="5"/>
        <v>1.4415000000000001E-2</v>
      </c>
      <c r="J33" s="65">
        <f t="shared" si="5"/>
        <v>1.3717499999999999E-3</v>
      </c>
      <c r="K33" s="65">
        <f t="shared" si="5"/>
        <v>3.0225000000000004E-3</v>
      </c>
      <c r="L33" s="65">
        <f t="shared" si="5"/>
        <v>9.1837500000000002E-2</v>
      </c>
      <c r="M33" s="65">
        <f t="shared" si="5"/>
        <v>1.0043999999999999E-2</v>
      </c>
      <c r="N33" s="65">
        <f t="shared" si="5"/>
        <v>471.97500000000002</v>
      </c>
      <c r="O33" s="65">
        <f t="shared" si="5"/>
        <v>12.485250000000001</v>
      </c>
      <c r="P33" s="65">
        <f t="shared" si="5"/>
        <v>0</v>
      </c>
      <c r="Q33" s="65">
        <f t="shared" si="10"/>
        <v>66.84375</v>
      </c>
      <c r="R33" s="65">
        <f t="shared" si="11"/>
        <v>0</v>
      </c>
      <c r="S33" s="65">
        <f t="shared" si="11"/>
        <v>2.25525E-2</v>
      </c>
      <c r="T33" s="65">
        <f t="shared" si="11"/>
        <v>0</v>
      </c>
      <c r="U33" s="126">
        <f t="shared" si="11"/>
        <v>0</v>
      </c>
    </row>
    <row r="34" spans="1:21" s="48" customFormat="1" ht="13" x14ac:dyDescent="0.35">
      <c r="A34" s="125" t="str">
        <f>F8</f>
        <v>SJC4</v>
      </c>
      <c r="B34" s="11">
        <v>250</v>
      </c>
      <c r="C34" s="65">
        <f t="shared" si="6"/>
        <v>108.5</v>
      </c>
      <c r="D34" s="65">
        <f t="shared" si="7"/>
        <v>107.77436750000001</v>
      </c>
      <c r="E34" s="65">
        <f t="shared" si="8"/>
        <v>1.83973375E-4</v>
      </c>
      <c r="F34" s="65">
        <f t="shared" si="9"/>
        <v>13.106489999999999</v>
      </c>
      <c r="G34" s="65">
        <f t="shared" si="5"/>
        <v>0.28520000000000001</v>
      </c>
      <c r="H34" s="65">
        <f t="shared" si="5"/>
        <v>1.147</v>
      </c>
      <c r="I34" s="65">
        <f t="shared" si="5"/>
        <v>4.8050000000000002E-2</v>
      </c>
      <c r="J34" s="65">
        <f t="shared" si="5"/>
        <v>4.5725000000000002E-3</v>
      </c>
      <c r="K34" s="65">
        <f t="shared" si="5"/>
        <v>1.0075000000000001E-2</v>
      </c>
      <c r="L34" s="65">
        <f t="shared" si="5"/>
        <v>0.30612500000000004</v>
      </c>
      <c r="M34" s="65">
        <f t="shared" si="5"/>
        <v>3.3479999999999996E-2</v>
      </c>
      <c r="N34" s="65">
        <f t="shared" si="5"/>
        <v>1573.25</v>
      </c>
      <c r="O34" s="65">
        <f t="shared" si="5"/>
        <v>41.6175</v>
      </c>
      <c r="P34" s="65">
        <f t="shared" si="5"/>
        <v>0</v>
      </c>
      <c r="Q34" s="65">
        <f t="shared" si="10"/>
        <v>222.8125</v>
      </c>
      <c r="R34" s="65">
        <f t="shared" si="11"/>
        <v>0</v>
      </c>
      <c r="S34" s="65">
        <f t="shared" si="11"/>
        <v>7.5174999999999992E-2</v>
      </c>
      <c r="T34" s="65">
        <f t="shared" si="11"/>
        <v>0</v>
      </c>
      <c r="U34" s="126">
        <f t="shared" si="11"/>
        <v>0</v>
      </c>
    </row>
    <row r="35" spans="1:21" s="48" customFormat="1" ht="13" x14ac:dyDescent="0.35">
      <c r="A35" s="125" t="str">
        <f>G8</f>
        <v>SJC5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SJC6</v>
      </c>
      <c r="B36" s="11">
        <v>54</v>
      </c>
      <c r="C36" s="65">
        <f t="shared" si="6"/>
        <v>23.436</v>
      </c>
      <c r="D36" s="65">
        <f t="shared" si="7"/>
        <v>23.27926338</v>
      </c>
      <c r="E36" s="65">
        <f t="shared" si="8"/>
        <v>3.9738248999999992E-5</v>
      </c>
      <c r="F36" s="65">
        <f t="shared" si="9"/>
        <v>2.8310018399999999</v>
      </c>
      <c r="G36" s="65">
        <f t="shared" si="5"/>
        <v>6.1603199999999997E-2</v>
      </c>
      <c r="H36" s="65">
        <f t="shared" si="5"/>
        <v>0.247752</v>
      </c>
      <c r="I36" s="65">
        <f t="shared" si="5"/>
        <v>1.0378800000000001E-2</v>
      </c>
      <c r="J36" s="65">
        <f t="shared" si="5"/>
        <v>9.8766000000000001E-4</v>
      </c>
      <c r="K36" s="65">
        <f t="shared" si="5"/>
        <v>2.1762000000000001E-3</v>
      </c>
      <c r="L36" s="65">
        <f t="shared" si="5"/>
        <v>6.6123000000000001E-2</v>
      </c>
      <c r="M36" s="65">
        <f t="shared" si="5"/>
        <v>7.2316799999999999E-3</v>
      </c>
      <c r="N36" s="65">
        <f t="shared" si="5"/>
        <v>339.822</v>
      </c>
      <c r="O36" s="65">
        <f t="shared" si="5"/>
        <v>8.9893800000000006</v>
      </c>
      <c r="P36" s="65">
        <f t="shared" si="5"/>
        <v>0</v>
      </c>
      <c r="Q36" s="65">
        <f t="shared" si="10"/>
        <v>48.127499999999998</v>
      </c>
      <c r="R36" s="65">
        <f t="shared" si="11"/>
        <v>0</v>
      </c>
      <c r="S36" s="65">
        <f t="shared" si="11"/>
        <v>1.62378E-2</v>
      </c>
      <c r="T36" s="65">
        <f t="shared" si="11"/>
        <v>0</v>
      </c>
      <c r="U36" s="126">
        <f t="shared" si="11"/>
        <v>0</v>
      </c>
    </row>
    <row r="37" spans="1:21" s="48" customFormat="1" ht="13" x14ac:dyDescent="0.35">
      <c r="A37" s="125" t="str">
        <f>I8</f>
        <v>BODNOLWYN A</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BODNOLWYN B</v>
      </c>
      <c r="B38" s="11">
        <v>0</v>
      </c>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SJC1</v>
      </c>
      <c r="C57" s="8" t="str">
        <f t="shared" ref="C57:U57" si="13">D8</f>
        <v>SJC2</v>
      </c>
      <c r="D57" s="8" t="str">
        <f t="shared" si="13"/>
        <v>SJC3</v>
      </c>
      <c r="E57" s="8" t="str">
        <f t="shared" si="13"/>
        <v>SJC4</v>
      </c>
      <c r="F57" s="8" t="str">
        <f t="shared" si="13"/>
        <v>SJC5</v>
      </c>
      <c r="G57" s="8" t="str">
        <f t="shared" si="13"/>
        <v>SJC6</v>
      </c>
      <c r="H57" s="8" t="str">
        <f t="shared" si="13"/>
        <v>BODNOLWYN A</v>
      </c>
      <c r="I57" s="8" t="str">
        <f t="shared" si="13"/>
        <v>BODNOLWYN 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Arable</v>
      </c>
      <c r="F58" s="10" t="str">
        <f>G16&amp;" I "&amp;(VLOOKUP(G14,Table24581112[],6,FALSE))</f>
        <v>Medium/Clay I Grass</v>
      </c>
      <c r="G58" s="10" t="str">
        <f>H16&amp;" I "&amp;(VLOOKUP(H14,Table24581112[],6,FALSE))</f>
        <v>Medium/Clay I Arable</v>
      </c>
      <c r="H58" s="10" t="str">
        <f>I16&amp;" I "&amp;(VLOOKUP(I14,Table24581112[],6,FALSE))</f>
        <v>Medium/Clay I Grass</v>
      </c>
      <c r="I58" s="10" t="str">
        <f>J16&amp;" I "&amp;(VLOOKUP(J14,Table24581112[],6,FALSE))</f>
        <v>Medium/Clay I Grass</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6.7</v>
      </c>
      <c r="F59" s="64">
        <f>VLOOKUP(G$14,Table24581112[],5,FALSE)</f>
        <v>6.2</v>
      </c>
      <c r="G59" s="64">
        <f>VLOOKUP(H$14,Table24581112[],5,FALSE)</f>
        <v>6.7</v>
      </c>
      <c r="H59" s="64">
        <f>VLOOKUP(I$14,Table24581112[],5,FALSE)</f>
        <v>6.2</v>
      </c>
      <c r="I59" s="64">
        <f>VLOOKUP(J$14,Table24581112[],5,FALSE)</f>
        <v>6.2</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5.8</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150</v>
      </c>
      <c r="C62" s="65">
        <f>B32</f>
        <v>0</v>
      </c>
      <c r="D62" s="65">
        <f>B33</f>
        <v>75</v>
      </c>
      <c r="E62" s="65">
        <f>B34</f>
        <v>250</v>
      </c>
      <c r="F62" s="65">
        <f>B35</f>
        <v>0</v>
      </c>
      <c r="G62" s="65">
        <f>B36</f>
        <v>54</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1.7999999999999989</v>
      </c>
      <c r="G64" s="65">
        <f t="shared" si="17"/>
        <v>4.8000000000000043</v>
      </c>
      <c r="H64" s="65">
        <f t="shared" si="17"/>
        <v>2.4000000000000021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-1.7999999999999989</v>
      </c>
      <c r="G65" s="65">
        <f t="shared" si="18"/>
        <v>-4.8000000000000043</v>
      </c>
      <c r="H65" s="65">
        <f t="shared" si="18"/>
        <v>-2.4000000000000021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n5jWDvgNehFVKdeGJwyxAWH45zLhKNu1oGRtix76GDNS1UUV/VALtHFnHIvpa1geoUPXwjLrOIFdzBJXKqTKw==" saltValue="c4aILgvXoXZHv0lf5HIVS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95" priority="37" operator="greaterThan">
      <formula>$B$51</formula>
    </cfRule>
  </conditionalFormatting>
  <conditionalFormatting sqref="B66:U66">
    <cfRule type="cellIs" dxfId="194" priority="12" operator="equal">
      <formula>"UNDER"</formula>
    </cfRule>
    <cfRule type="cellIs" dxfId="193" priority="13" operator="equal">
      <formula>"OVER"</formula>
    </cfRule>
  </conditionalFormatting>
  <conditionalFormatting sqref="C31:C50">
    <cfRule type="cellIs" dxfId="192" priority="36" operator="greaterThan">
      <formula>$C$51</formula>
    </cfRule>
  </conditionalFormatting>
  <conditionalFormatting sqref="C17:V19">
    <cfRule type="cellIs" dxfId="191" priority="33" operator="equal">
      <formula>0</formula>
    </cfRule>
  </conditionalFormatting>
  <conditionalFormatting sqref="C20:V21">
    <cfRule type="cellIs" dxfId="190" priority="38" operator="equal">
      <formula>"DECREASE"</formula>
    </cfRule>
    <cfRule type="cellIs" dxfId="189" priority="39" operator="equal">
      <formula>"INCREASE"</formula>
    </cfRule>
  </conditionalFormatting>
  <conditionalFormatting sqref="C21:V21">
    <cfRule type="cellIs" dxfId="188" priority="14" operator="equal">
      <formula>0</formula>
    </cfRule>
  </conditionalFormatting>
  <conditionalFormatting sqref="C22:V23">
    <cfRule type="cellIs" dxfId="187" priority="18" operator="equal">
      <formula>0</formula>
    </cfRule>
  </conditionalFormatting>
  <conditionalFormatting sqref="C24:V24">
    <cfRule type="cellIs" dxfId="186" priority="19" operator="equal">
      <formula>"DECREASE"</formula>
    </cfRule>
    <cfRule type="cellIs" dxfId="185" priority="20" operator="equal">
      <formula>"INCREASE"</formula>
    </cfRule>
  </conditionalFormatting>
  <conditionalFormatting sqref="G31:G50">
    <cfRule type="cellIs" dxfId="184" priority="32" operator="greaterThan">
      <formula>$G$51</formula>
    </cfRule>
  </conditionalFormatting>
  <conditionalFormatting sqref="H31:H50">
    <cfRule type="cellIs" dxfId="183" priority="31" operator="greaterThan">
      <formula>$H$51</formula>
    </cfRule>
  </conditionalFormatting>
  <conditionalFormatting sqref="I1">
    <cfRule type="cellIs" dxfId="182" priority="4" operator="between">
      <formula>0.1</formula>
      <formula>5</formula>
    </cfRule>
  </conditionalFormatting>
  <conditionalFormatting sqref="I2">
    <cfRule type="cellIs" dxfId="181" priority="3" operator="greaterThan">
      <formula>5000.1</formula>
    </cfRule>
  </conditionalFormatting>
  <conditionalFormatting sqref="I3">
    <cfRule type="cellIs" dxfId="180" priority="2" operator="greaterThan">
      <formula>40000.01</formula>
    </cfRule>
  </conditionalFormatting>
  <conditionalFormatting sqref="I31:I50">
    <cfRule type="cellIs" dxfId="179" priority="30" operator="greaterThan">
      <formula>$I$51</formula>
    </cfRule>
  </conditionalFormatting>
  <conditionalFormatting sqref="J31:J50">
    <cfRule type="cellIs" dxfId="178" priority="9" operator="greaterThan">
      <formula>$J$51</formula>
    </cfRule>
  </conditionalFormatting>
  <conditionalFormatting sqref="K31:K50">
    <cfRule type="cellIs" dxfId="177" priority="29" operator="greaterThan">
      <formula>$K$51</formula>
    </cfRule>
  </conditionalFormatting>
  <conditionalFormatting sqref="L3">
    <cfRule type="cellIs" dxfId="176" priority="5" operator="lessThan">
      <formula>30</formula>
    </cfRule>
    <cfRule type="cellIs" dxfId="175" priority="6" operator="greaterThanOrEqual">
      <formula>30</formula>
    </cfRule>
  </conditionalFormatting>
  <conditionalFormatting sqref="L31:L50">
    <cfRule type="cellIs" dxfId="174" priority="28" operator="greaterThan">
      <formula>$L$51</formula>
    </cfRule>
  </conditionalFormatting>
  <conditionalFormatting sqref="M31:M50">
    <cfRule type="cellIs" dxfId="173" priority="27" operator="greaterThan">
      <formula>$M$51</formula>
    </cfRule>
  </conditionalFormatting>
  <conditionalFormatting sqref="P31:P50">
    <cfRule type="cellIs" dxfId="172" priority="26" operator="greaterThan">
      <formula>$P$51</formula>
    </cfRule>
  </conditionalFormatting>
  <conditionalFormatting sqref="R31:R50">
    <cfRule type="cellIs" dxfId="171" priority="25" operator="greaterThan">
      <formula>$R$51</formula>
    </cfRule>
  </conditionalFormatting>
  <conditionalFormatting sqref="S31:S50">
    <cfRule type="cellIs" dxfId="170" priority="24" operator="greaterThan">
      <formula>$S$51</formula>
    </cfRule>
  </conditionalFormatting>
  <conditionalFormatting sqref="T31:T50">
    <cfRule type="cellIs" dxfId="169" priority="23" operator="greaterThan">
      <formula>$T$51</formula>
    </cfRule>
  </conditionalFormatting>
  <conditionalFormatting sqref="U31:U50">
    <cfRule type="cellIs" dxfId="168" priority="22"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M4" sqref="M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Alaw'!C1:D1</f>
        <v>PAN-027648</v>
      </c>
      <c r="D1" s="167"/>
      <c r="E1" s="106" t="s">
        <v>45</v>
      </c>
      <c r="F1" s="113">
        <f>'Field data and Alaw'!F1</f>
        <v>44.3</v>
      </c>
      <c r="G1" s="134" t="s">
        <v>43</v>
      </c>
      <c r="H1" s="135"/>
      <c r="I1" s="109">
        <v>6.7</v>
      </c>
      <c r="J1" s="158" t="s">
        <v>153</v>
      </c>
      <c r="K1" s="159"/>
      <c r="L1" s="109">
        <v>420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Alaw'!C2:D2</f>
        <v>GP3792SK</v>
      </c>
      <c r="D2" s="169"/>
      <c r="E2" s="96" t="s">
        <v>109</v>
      </c>
      <c r="F2" s="110">
        <v>190902</v>
      </c>
      <c r="G2" s="136" t="s">
        <v>110</v>
      </c>
      <c r="H2" s="137"/>
      <c r="I2" s="110"/>
      <c r="J2" s="138" t="s">
        <v>158</v>
      </c>
      <c r="K2" s="139"/>
      <c r="L2" s="110">
        <v>1.39</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Alaw'!C3:D3</f>
        <v>Byproduct Recovery Limited</v>
      </c>
      <c r="D3" s="169"/>
      <c r="E3" s="96" t="s">
        <v>108</v>
      </c>
      <c r="F3" s="111" t="s">
        <v>78</v>
      </c>
      <c r="G3" s="138" t="s">
        <v>159</v>
      </c>
      <c r="H3" s="139"/>
      <c r="I3" s="110"/>
      <c r="J3" s="160" t="s">
        <v>154</v>
      </c>
      <c r="K3" s="161"/>
      <c r="L3" s="110">
        <f>(L1/(L2*10000))*100</f>
        <v>3.02158273381295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Alaw'!C4:D4</f>
        <v>Plas Bach, Cerrigceinwen, Bodorgan.LL62 5NS</v>
      </c>
      <c r="D4" s="171"/>
      <c r="E4" s="99" t="s">
        <v>1</v>
      </c>
      <c r="F4" s="110" t="s">
        <v>179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Alaw'!C5:D5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Alaw'!C8</f>
        <v>SJC1</v>
      </c>
      <c r="D8" s="49" t="str">
        <f>'Field data and Alaw'!D8</f>
        <v>SJC2</v>
      </c>
      <c r="E8" s="49" t="str">
        <f>'Field data and Alaw'!E8</f>
        <v>SJC3</v>
      </c>
      <c r="F8" s="49" t="str">
        <f>'Field data and Alaw'!F8</f>
        <v>SJC4</v>
      </c>
      <c r="G8" s="49" t="str">
        <f>'Field data and Alaw'!G8</f>
        <v>SJC5</v>
      </c>
      <c r="H8" s="49" t="str">
        <f>'Field data and Alaw'!H8</f>
        <v>SJC6</v>
      </c>
      <c r="I8" s="49" t="str">
        <f>'Field data and Alaw'!I8</f>
        <v>BODNOLWYN A</v>
      </c>
      <c r="J8" s="49" t="str">
        <f>'Field data and Alaw'!J8</f>
        <v>BODNOLWYN B</v>
      </c>
      <c r="K8" s="49">
        <f>'Field data and Alaw'!K8</f>
        <v>0</v>
      </c>
      <c r="L8" s="49">
        <f>'Field data and Alaw'!L8</f>
        <v>0</v>
      </c>
      <c r="M8" s="49">
        <f>'Field data and Alaw'!M8</f>
        <v>0</v>
      </c>
      <c r="N8" s="49">
        <f>'Field data and Alaw'!N8</f>
        <v>0</v>
      </c>
      <c r="O8" s="49">
        <f>'Field data and Alaw'!O8</f>
        <v>0</v>
      </c>
      <c r="P8" s="49">
        <f>'Field data and Alaw'!P8</f>
        <v>0</v>
      </c>
      <c r="Q8" s="49">
        <f>'Field data and Alaw'!Q8</f>
        <v>0</v>
      </c>
      <c r="R8" s="49">
        <f>'Field data and Alaw'!R8</f>
        <v>0</v>
      </c>
      <c r="S8" s="49">
        <f>'Field data and Alaw'!S8</f>
        <v>0</v>
      </c>
      <c r="T8" s="49">
        <f>'Field data and Alaw'!T8</f>
        <v>0</v>
      </c>
      <c r="U8" s="49">
        <f>'Field data and Alaw'!U8</f>
        <v>0</v>
      </c>
      <c r="V8" s="102">
        <f>'Field data and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Alaw'!C9</f>
        <v>m</v>
      </c>
      <c r="D9" s="49" t="str">
        <f>'Field data and Alaw'!D9</f>
        <v>m</v>
      </c>
      <c r="E9" s="49" t="str">
        <f>'Field data and Alaw'!E9</f>
        <v>m</v>
      </c>
      <c r="F9" s="49">
        <f>'Field data and Alaw'!F9</f>
        <v>2</v>
      </c>
      <c r="G9" s="49" t="str">
        <f>'Field data and Alaw'!G9</f>
        <v>m</v>
      </c>
      <c r="H9" s="49">
        <f>'Field data and Alaw'!H9</f>
        <v>2</v>
      </c>
      <c r="I9" s="49" t="str">
        <f>'Field data and Alaw'!I9</f>
        <v xml:space="preserve">m </v>
      </c>
      <c r="J9" s="49" t="str">
        <f>'Field data and Alaw'!J9</f>
        <v xml:space="preserve">m </v>
      </c>
      <c r="K9" s="49">
        <f>'Field data and Alaw'!K9</f>
        <v>0</v>
      </c>
      <c r="L9" s="49">
        <f>'Field data and Alaw'!L9</f>
        <v>0</v>
      </c>
      <c r="M9" s="49">
        <f>'Field data and Alaw'!M9</f>
        <v>0</v>
      </c>
      <c r="N9" s="49">
        <f>'Field data and Alaw'!N9</f>
        <v>0</v>
      </c>
      <c r="O9" s="49">
        <f>'Field data and Alaw'!O9</f>
        <v>0</v>
      </c>
      <c r="P9" s="49">
        <f>'Field data and Alaw'!P9</f>
        <v>0</v>
      </c>
      <c r="Q9" s="49">
        <f>'Field data and Alaw'!Q9</f>
        <v>0</v>
      </c>
      <c r="R9" s="49">
        <f>'Field data and Alaw'!R9</f>
        <v>0</v>
      </c>
      <c r="S9" s="49">
        <f>'Field data and Alaw'!S9</f>
        <v>0</v>
      </c>
      <c r="T9" s="49">
        <f>'Field data and Alaw'!T9</f>
        <v>0</v>
      </c>
      <c r="U9" s="49">
        <f>'Field data and Alaw'!U9</f>
        <v>0</v>
      </c>
      <c r="V9" s="102">
        <f>'Field data and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Alaw'!C10</f>
        <v>6.4</v>
      </c>
      <c r="D10" s="49">
        <f>'Field data and Alaw'!D10</f>
        <v>5.8</v>
      </c>
      <c r="E10" s="49">
        <f>'Field data and Alaw'!E10</f>
        <v>6</v>
      </c>
      <c r="F10" s="49">
        <f>'Field data and Alaw'!F10</f>
        <v>6</v>
      </c>
      <c r="G10" s="49">
        <f>'Field data and Alaw'!G10</f>
        <v>5.9</v>
      </c>
      <c r="H10" s="49">
        <f>'Field data and Alaw'!H10</f>
        <v>6.1</v>
      </c>
      <c r="I10" s="49">
        <f>'Field data and Alaw'!I10</f>
        <v>5.8</v>
      </c>
      <c r="J10" s="49">
        <f>'Field data and Alaw'!J10</f>
        <v>5.7</v>
      </c>
      <c r="K10" s="49">
        <f>'Field data and Alaw'!K10</f>
        <v>0</v>
      </c>
      <c r="L10" s="49">
        <f>'Field data and Alaw'!L10</f>
        <v>0</v>
      </c>
      <c r="M10" s="49">
        <f>'Field data and Alaw'!M10</f>
        <v>0</v>
      </c>
      <c r="N10" s="49">
        <f>'Field data and Alaw'!N10</f>
        <v>0</v>
      </c>
      <c r="O10" s="49">
        <f>'Field data and Alaw'!O10</f>
        <v>0</v>
      </c>
      <c r="P10" s="49">
        <f>'Field data and Alaw'!P10</f>
        <v>0</v>
      </c>
      <c r="Q10" s="49">
        <f>'Field data and Alaw'!Q10</f>
        <v>0</v>
      </c>
      <c r="R10" s="49">
        <f>'Field data and Alaw'!R10</f>
        <v>0</v>
      </c>
      <c r="S10" s="49">
        <f>'Field data and Alaw'!S10</f>
        <v>0</v>
      </c>
      <c r="T10" s="49">
        <f>'Field data and Alaw'!T10</f>
        <v>0</v>
      </c>
      <c r="U10" s="49">
        <f>'Field data and Alaw'!U10</f>
        <v>0</v>
      </c>
      <c r="V10" s="102">
        <f>'Field data and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Alaw'!C11</f>
        <v>2</v>
      </c>
      <c r="D11" s="49">
        <f>'Field data and Alaw'!D11</f>
        <v>2</v>
      </c>
      <c r="E11" s="49">
        <f>'Field data and Alaw'!E11</f>
        <v>3</v>
      </c>
      <c r="F11" s="49">
        <f>'Field data and Alaw'!F11</f>
        <v>1</v>
      </c>
      <c r="G11" s="49">
        <f>'Field data and Alaw'!G11</f>
        <v>0</v>
      </c>
      <c r="H11" s="49">
        <f>'Field data and Alaw'!H11</f>
        <v>3</v>
      </c>
      <c r="I11" s="49">
        <f>'Field data and Alaw'!I11</f>
        <v>2</v>
      </c>
      <c r="J11" s="49">
        <f>'Field data and Alaw'!J11</f>
        <v>2</v>
      </c>
      <c r="K11" s="49">
        <f>'Field data and Alaw'!K11</f>
        <v>0</v>
      </c>
      <c r="L11" s="49">
        <f>'Field data and Alaw'!L11</f>
        <v>0</v>
      </c>
      <c r="M11" s="49">
        <f>'Field data and Alaw'!M11</f>
        <v>0</v>
      </c>
      <c r="N11" s="49">
        <f>'Field data and Alaw'!N11</f>
        <v>0</v>
      </c>
      <c r="O11" s="49">
        <f>'Field data and Alaw'!O11</f>
        <v>0</v>
      </c>
      <c r="P11" s="49">
        <f>'Field data and Alaw'!P11</f>
        <v>0</v>
      </c>
      <c r="Q11" s="49">
        <f>'Field data and Alaw'!Q11</f>
        <v>0</v>
      </c>
      <c r="R11" s="49">
        <f>'Field data and Alaw'!R11</f>
        <v>0</v>
      </c>
      <c r="S11" s="49">
        <f>'Field data and Alaw'!S11</f>
        <v>0</v>
      </c>
      <c r="T11" s="49">
        <f>'Field data and Alaw'!T11</f>
        <v>0</v>
      </c>
      <c r="U11" s="49">
        <f>'Field data and Alaw'!U11</f>
        <v>0</v>
      </c>
      <c r="V11" s="102">
        <f>'Field data and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Alaw'!C12</f>
        <v>3</v>
      </c>
      <c r="D12" s="49">
        <f>'Field data and Alaw'!D12</f>
        <v>4</v>
      </c>
      <c r="E12" s="49">
        <f>'Field data and Alaw'!E12</f>
        <v>4</v>
      </c>
      <c r="F12" s="49">
        <f>'Field data and Alaw'!F12</f>
        <v>1</v>
      </c>
      <c r="G12" s="49">
        <f>'Field data and Alaw'!G12</f>
        <v>1</v>
      </c>
      <c r="H12" s="49">
        <f>'Field data and Alaw'!H12</f>
        <v>2</v>
      </c>
      <c r="I12" s="49">
        <f>'Field data and Alaw'!I12</f>
        <v>2</v>
      </c>
      <c r="J12" s="49">
        <f>'Field data and Alaw'!J12</f>
        <v>2</v>
      </c>
      <c r="K12" s="49">
        <f>'Field data and Alaw'!K12</f>
        <v>0</v>
      </c>
      <c r="L12" s="49">
        <f>'Field data and Alaw'!L12</f>
        <v>0</v>
      </c>
      <c r="M12" s="49">
        <f>'Field data and Alaw'!M12</f>
        <v>0</v>
      </c>
      <c r="N12" s="49">
        <f>'Field data and Alaw'!N12</f>
        <v>0</v>
      </c>
      <c r="O12" s="49">
        <f>'Field data and Alaw'!O12</f>
        <v>0</v>
      </c>
      <c r="P12" s="49">
        <f>'Field data and Alaw'!P12</f>
        <v>0</v>
      </c>
      <c r="Q12" s="49">
        <f>'Field data and Alaw'!Q12</f>
        <v>0</v>
      </c>
      <c r="R12" s="49">
        <f>'Field data and Alaw'!R12</f>
        <v>0</v>
      </c>
      <c r="S12" s="49">
        <f>'Field data and Alaw'!S12</f>
        <v>0</v>
      </c>
      <c r="T12" s="49">
        <f>'Field data and Alaw'!T12</f>
        <v>0</v>
      </c>
      <c r="U12" s="49">
        <f>'Field data and Alaw'!U12</f>
        <v>0</v>
      </c>
      <c r="V12" s="102">
        <f>'Field data and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Alaw'!C13</f>
        <v>4</v>
      </c>
      <c r="D13" s="49">
        <f>'Field data and Alaw'!D13</f>
        <v>3</v>
      </c>
      <c r="E13" s="49">
        <f>'Field data and Alaw'!E13</f>
        <v>3</v>
      </c>
      <c r="F13" s="49">
        <f>'Field data and Alaw'!F13</f>
        <v>3</v>
      </c>
      <c r="G13" s="49">
        <f>'Field data and Alaw'!G13</f>
        <v>3</v>
      </c>
      <c r="H13" s="49">
        <f>'Field data and Alaw'!H13</f>
        <v>3</v>
      </c>
      <c r="I13" s="49">
        <f>'Field data and Alaw'!I13</f>
        <v>3</v>
      </c>
      <c r="J13" s="49">
        <f>'Field data and Alaw'!J13</f>
        <v>3</v>
      </c>
      <c r="K13" s="49">
        <f>'Field data and Alaw'!K13</f>
        <v>0</v>
      </c>
      <c r="L13" s="49">
        <f>'Field data and Alaw'!L13</f>
        <v>0</v>
      </c>
      <c r="M13" s="49">
        <f>'Field data and Alaw'!M13</f>
        <v>0</v>
      </c>
      <c r="N13" s="49">
        <f>'Field data and Alaw'!N13</f>
        <v>0</v>
      </c>
      <c r="O13" s="49">
        <f>'Field data and Alaw'!O13</f>
        <v>0</v>
      </c>
      <c r="P13" s="49">
        <f>'Field data and Alaw'!P13</f>
        <v>0</v>
      </c>
      <c r="Q13" s="49">
        <f>'Field data and Alaw'!Q13</f>
        <v>0</v>
      </c>
      <c r="R13" s="49">
        <f>'Field data and Alaw'!R13</f>
        <v>0</v>
      </c>
      <c r="S13" s="49">
        <f>'Field data and Alaw'!S13</f>
        <v>0</v>
      </c>
      <c r="T13" s="49">
        <f>'Field data and Alaw'!T13</f>
        <v>0</v>
      </c>
      <c r="U13" s="49">
        <f>'Field data and Alaw'!U13</f>
        <v>0</v>
      </c>
      <c r="V13" s="102">
        <f>'Field data and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Alaw'!C14</f>
        <v xml:space="preserve">Grass Silage (25% DM) </v>
      </c>
      <c r="D14" s="83" t="str">
        <f>'Field data and Alaw'!D14</f>
        <v xml:space="preserve">Grass Silage (25% DM) </v>
      </c>
      <c r="E14" s="83" t="str">
        <f>'Field data and Alaw'!E14</f>
        <v xml:space="preserve">Grass Silage (25% DM) </v>
      </c>
      <c r="F14" s="83" t="str">
        <f>'Field data and Alaw'!F14</f>
        <v>Spring wheat/barley</v>
      </c>
      <c r="G14" s="83" t="str">
        <f>'Field data and Alaw'!G14</f>
        <v xml:space="preserve">Grass Silage (25% DM) </v>
      </c>
      <c r="H14" s="83" t="str">
        <f>'Field data and Alaw'!H14</f>
        <v>Spring wheat/barley</v>
      </c>
      <c r="I14" s="83" t="str">
        <f>'Field data and Alaw'!I14</f>
        <v xml:space="preserve">Grass Silage (25% DM) </v>
      </c>
      <c r="J14" s="83" t="str">
        <f>'Field data and Alaw'!J14</f>
        <v xml:space="preserve">Grass Silage (25% DM) </v>
      </c>
      <c r="K14" s="83">
        <f>'Field data and Alaw'!K14</f>
        <v>0</v>
      </c>
      <c r="L14" s="83">
        <f>'Field data and Alaw'!L14</f>
        <v>0</v>
      </c>
      <c r="M14" s="83">
        <f>'Field data and Alaw'!M14</f>
        <v>0</v>
      </c>
      <c r="N14" s="83">
        <f>'Field data and Alaw'!N14</f>
        <v>0</v>
      </c>
      <c r="O14" s="83">
        <f>'Field data and Alaw'!O14</f>
        <v>0</v>
      </c>
      <c r="P14" s="83">
        <f>'Field data and Alaw'!P14</f>
        <v>0</v>
      </c>
      <c r="Q14" s="83">
        <f>'Field data and Alaw'!Q14</f>
        <v>0</v>
      </c>
      <c r="R14" s="83">
        <f>'Field data and Alaw'!R14</f>
        <v>0</v>
      </c>
      <c r="S14" s="83">
        <f>'Field data and Alaw'!S14</f>
        <v>0</v>
      </c>
      <c r="T14" s="83">
        <f>'Field data and Alaw'!T14</f>
        <v>0</v>
      </c>
      <c r="U14" s="83">
        <f>'Field data and Alaw'!U14</f>
        <v>0</v>
      </c>
      <c r="V14" s="103">
        <f>'Field data and Alaw'!V14</f>
        <v>0</v>
      </c>
      <c r="AD14" s="22" t="s">
        <v>138</v>
      </c>
      <c r="AE14" s="22">
        <v>6</v>
      </c>
      <c r="AI14" s="43" t="s">
        <v>119</v>
      </c>
      <c r="AJ14" s="44">
        <v>0.8</v>
      </c>
      <c r="AK14" s="45">
        <v>1.7</v>
      </c>
      <c r="AL14" s="9">
        <v>12</v>
      </c>
      <c r="AM14" s="9">
        <v>6.7</v>
      </c>
      <c r="AN14" s="9" t="s">
        <v>135</v>
      </c>
    </row>
    <row r="15" spans="1:41" ht="13" x14ac:dyDescent="0.25">
      <c r="A15" s="152" t="s">
        <v>9</v>
      </c>
      <c r="B15" s="153"/>
      <c r="C15" s="49">
        <f>'Field data and Alaw'!C15</f>
        <v>38</v>
      </c>
      <c r="D15" s="49">
        <f>'Field data and Alaw'!D15</f>
        <v>38</v>
      </c>
      <c r="E15" s="49">
        <f>'Field data and Alaw'!E15</f>
        <v>38</v>
      </c>
      <c r="F15" s="49">
        <f>'Field data and Alaw'!F15</f>
        <v>5.5</v>
      </c>
      <c r="G15" s="49">
        <f>'Field data and Alaw'!G15</f>
        <v>38</v>
      </c>
      <c r="H15" s="49">
        <f>'Field data and Alaw'!H15</f>
        <v>5.5</v>
      </c>
      <c r="I15" s="49">
        <f>'Field data and Alaw'!I15</f>
        <v>38</v>
      </c>
      <c r="J15" s="49">
        <f>'Field data and Alaw'!J15</f>
        <v>38</v>
      </c>
      <c r="K15" s="49">
        <f>'Field data and Alaw'!K15</f>
        <v>0</v>
      </c>
      <c r="L15" s="49">
        <f>'Field data and Alaw'!L15</f>
        <v>0</v>
      </c>
      <c r="M15" s="49">
        <f>'Field data and Alaw'!M15</f>
        <v>0</v>
      </c>
      <c r="N15" s="49">
        <f>'Field data and Alaw'!N15</f>
        <v>0</v>
      </c>
      <c r="O15" s="49">
        <f>'Field data and Alaw'!O15</f>
        <v>0</v>
      </c>
      <c r="P15" s="49">
        <f>'Field data and Alaw'!P15</f>
        <v>0</v>
      </c>
      <c r="Q15" s="49">
        <f>'Field data and Alaw'!Q15</f>
        <v>0</v>
      </c>
      <c r="R15" s="49">
        <f>'Field data and Alaw'!R15</f>
        <v>0</v>
      </c>
      <c r="S15" s="49">
        <f>'Field data and Alaw'!S15</f>
        <v>0</v>
      </c>
      <c r="T15" s="49">
        <f>'Field data and Alaw'!T15</f>
        <v>0</v>
      </c>
      <c r="U15" s="49">
        <f>'Field data and Alaw'!U15</f>
        <v>0</v>
      </c>
      <c r="V15" s="102">
        <f>'Field data and Alaw'!V15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Alaw'!C16</f>
        <v>Medium/Clay</v>
      </c>
      <c r="D16" s="104" t="str">
        <f>'Field data and Alaw'!D16</f>
        <v>Medium/Clay</v>
      </c>
      <c r="E16" s="104" t="str">
        <f>'Field data and Alaw'!E16</f>
        <v>Medium/Clay</v>
      </c>
      <c r="F16" s="104" t="str">
        <f>'Field data and Alaw'!F16</f>
        <v>Medium/Clay</v>
      </c>
      <c r="G16" s="104" t="str">
        <f>'Field data and Alaw'!G16</f>
        <v>Medium/Clay</v>
      </c>
      <c r="H16" s="104" t="str">
        <f>'Field data and Alaw'!H16</f>
        <v>Medium/Clay</v>
      </c>
      <c r="I16" s="104" t="str">
        <f>'Field data and Alaw'!I16</f>
        <v>Medium/Clay</v>
      </c>
      <c r="J16" s="104" t="str">
        <f>'Field data and Alaw'!J16</f>
        <v>Medium/Clay</v>
      </c>
      <c r="K16" s="104">
        <f>'Field data and Alaw'!K16</f>
        <v>0</v>
      </c>
      <c r="L16" s="104">
        <f>'Field data and Alaw'!L16</f>
        <v>0</v>
      </c>
      <c r="M16" s="104">
        <f>'Field data and Alaw'!M16</f>
        <v>0</v>
      </c>
      <c r="N16" s="104">
        <f>'Field data and Alaw'!N16</f>
        <v>0</v>
      </c>
      <c r="O16" s="104">
        <f>'Field data and Alaw'!O16</f>
        <v>0</v>
      </c>
      <c r="P16" s="104">
        <f>'Field data and Alaw'!P16</f>
        <v>0</v>
      </c>
      <c r="Q16" s="104">
        <f>'Field data and Alaw'!Q16</f>
        <v>0</v>
      </c>
      <c r="R16" s="104">
        <f>'Field data and Alaw'!R16</f>
        <v>0</v>
      </c>
      <c r="S16" s="104">
        <f>'Field data and Alaw'!S16</f>
        <v>0</v>
      </c>
      <c r="T16" s="104">
        <f>'Field data and Alaw'!T16</f>
        <v>0</v>
      </c>
      <c r="U16" s="104">
        <f>'Field data and Alaw'!U16</f>
        <v>0</v>
      </c>
      <c r="V16" s="105">
        <f>'Field data and Alaw'!V16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46.75</v>
      </c>
      <c r="G17" s="20">
        <f t="shared" si="0"/>
        <v>64.599999999999994</v>
      </c>
      <c r="H17" s="20">
        <f t="shared" si="0"/>
        <v>46.75</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65.222478999999979</v>
      </c>
      <c r="D18" s="12">
        <f>$D32</f>
        <v>0</v>
      </c>
      <c r="E18" s="12">
        <f>$D33</f>
        <v>32.42488955999999</v>
      </c>
      <c r="F18" s="12">
        <f>$D34</f>
        <v>93.174969999999973</v>
      </c>
      <c r="G18" s="12">
        <f>$D35</f>
        <v>0</v>
      </c>
      <c r="H18" s="12">
        <f>$D36</f>
        <v>23.480092439999993</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0.62247899999998424</v>
      </c>
      <c r="D19" s="12">
        <f t="shared" ref="D19:V19" si="1">D18-D17</f>
        <v>-64.599999999999994</v>
      </c>
      <c r="E19" s="12">
        <f t="shared" si="1"/>
        <v>-32.175110440000005</v>
      </c>
      <c r="F19" s="12">
        <f t="shared" si="1"/>
        <v>46.424969999999973</v>
      </c>
      <c r="G19" s="12">
        <f t="shared" si="1"/>
        <v>-64.599999999999994</v>
      </c>
      <c r="H19" s="12">
        <f t="shared" si="1"/>
        <v>-23.269907560000007</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DECREASE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66</v>
      </c>
      <c r="G21" s="20">
        <f t="shared" si="2"/>
        <v>228</v>
      </c>
      <c r="H21" s="20">
        <f t="shared" si="2"/>
        <v>66</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3.0254658000000001</v>
      </c>
      <c r="D22" s="12">
        <f>$E32</f>
        <v>0</v>
      </c>
      <c r="E22" s="12">
        <f>$E33</f>
        <v>1.5040887119999999</v>
      </c>
      <c r="F22" s="12">
        <f>$E34</f>
        <v>4.3220939999999999</v>
      </c>
      <c r="G22" s="12">
        <f>$E35</f>
        <v>0</v>
      </c>
      <c r="H22" s="12">
        <f>$E36</f>
        <v>1.0891676880000001</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-224.97453419999999</v>
      </c>
      <c r="D23" s="12">
        <f t="shared" ref="D23:V23" si="3">D22-D21</f>
        <v>-228</v>
      </c>
      <c r="E23" s="12">
        <f t="shared" si="3"/>
        <v>-226.495911288</v>
      </c>
      <c r="F23" s="12">
        <f t="shared" si="3"/>
        <v>-61.677906</v>
      </c>
      <c r="G23" s="12">
        <f t="shared" si="3"/>
        <v>-228</v>
      </c>
      <c r="H23" s="12">
        <f t="shared" si="3"/>
        <v>-64.910832311999997</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3.92</v>
      </c>
      <c r="C28" s="11">
        <v>1.39</v>
      </c>
      <c r="D28" s="11">
        <v>0.41499999999999998</v>
      </c>
      <c r="E28" s="11">
        <v>3.6600000000000001E-2</v>
      </c>
      <c r="F28" s="11">
        <v>509</v>
      </c>
      <c r="G28" s="11">
        <v>76.5</v>
      </c>
      <c r="H28" s="11">
        <v>316</v>
      </c>
      <c r="I28" s="11">
        <v>6.2</v>
      </c>
      <c r="J28" s="11">
        <v>1</v>
      </c>
      <c r="K28" s="15">
        <v>1.03</v>
      </c>
      <c r="L28" s="11">
        <v>29.2</v>
      </c>
      <c r="M28" s="11">
        <v>5.07</v>
      </c>
      <c r="N28" s="11">
        <v>190000</v>
      </c>
      <c r="O28" s="11">
        <v>6390</v>
      </c>
      <c r="P28" s="11"/>
      <c r="Q28" s="11">
        <v>6860</v>
      </c>
      <c r="R28" s="11"/>
      <c r="S28" s="11">
        <v>19.2</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SJC1</v>
      </c>
      <c r="B31" s="11">
        <v>175</v>
      </c>
      <c r="C31" s="65">
        <f>IF(C$27="%w/w SAR",((C$28*10)*$B31),IF(C$27="%w/w DM",(((C$28*10)*($B$28/100))*$B31),IF(C$27="kg/t SAR",(C$28*$B31),IF(C$27="kg/t DM",((C$28*($B$28/100))*$B31),IF(C$27="mg/kg SAR",((C$28*0.001)*$B31),IF(C$27="mg/kg DM",(((C$28*0.001)*($B$28/100))*$B31),0))))))</f>
        <v>95.353999999999985</v>
      </c>
      <c r="D31" s="65">
        <f>(IF(D$27="%w/w SAR",((D$28*10)*$B31),IF(D$27="%w/w DM",(((D$28*10)*($B$28/100))*$B31),IF(D$27="kg/t SAR",(D$28*$B31),IF(D$27="kg/t DM",((D$28*($B$28/100))*$B31),IF(D$27="mg/kg SAR",((D$28*0.001)*$B31),IF(D$27="mg/kg DM",(((D$28*0.001)*($B$28/100))*$B31),"0")))))))*2.291</f>
        <v>65.222478999999979</v>
      </c>
      <c r="E31" s="65">
        <f>(IF(E$27="%w/w SAR",((E$28*10)*$B31),IF(E$27="%w/w DM",(((E$28*10)*($B$28/100))*$B31),IF(E$27="kg/t SAR",(E$28*$B31),IF(E$27="kg/t DM",((E$28*($B$28/100))*$B31),IF(E$27="mg/kg SAR",((E$28*0.001)*$B31),IF(E$27="mg/kg DM",(((E$28*0.001)*($B$28/100))*$B31),"0")))))))*1.205</f>
        <v>3.0254658000000001</v>
      </c>
      <c r="F31" s="65">
        <f>(IF(F$27="%w/w SAR",((F$28*10)*$B31),IF(F$27="%w/w DM",(((F$28*10)*($B$28/100))*$B31),IF(F$27="kg/t SAR",(F$28*$B31),IF(F$27="kg/t DM",((F$28*($B$28/100))*$B31),IF(F$27="mg/kg SAR",((F$28*0.001)*$B31),IF(F$27="mg/kg DM",(((F$28*0.001)*($B$28/100))*$B31),"0")))))))*1.658</f>
        <v>5.7893049200000002</v>
      </c>
      <c r="G31" s="65">
        <f t="shared" ref="G31:P46" si="5">IF(G$27="%w/w SAR",((G$28*10)*$B31),IF(G$27="%w/w DM",(((G$28*10)*($B$28/100))*$B31),IF(G$27="kg/t SAR",(G$28*$B31),IF(G$27="kg/t DM",((G$28*($B$28/100))*$B31),IF(G$27="mg/kg SAR",((G$28*0.001)*$B31),IF(G$27="mg/kg DM",(((G$28*0.001)*($B$28/100))*$B31),0))))))</f>
        <v>0.52478999999999998</v>
      </c>
      <c r="H31" s="65">
        <f t="shared" si="5"/>
        <v>2.1677599999999999</v>
      </c>
      <c r="I31" s="65">
        <f t="shared" si="5"/>
        <v>4.2532E-2</v>
      </c>
      <c r="J31" s="65">
        <f t="shared" si="5"/>
        <v>6.8599999999999998E-3</v>
      </c>
      <c r="K31" s="65">
        <f t="shared" si="5"/>
        <v>7.0658000000000006E-3</v>
      </c>
      <c r="L31" s="65">
        <f t="shared" si="5"/>
        <v>0.20031199999999999</v>
      </c>
      <c r="M31" s="65">
        <f t="shared" si="5"/>
        <v>3.4780200000000004E-2</v>
      </c>
      <c r="N31" s="65">
        <f t="shared" si="5"/>
        <v>1303.3999999999999</v>
      </c>
      <c r="O31" s="65">
        <f t="shared" si="5"/>
        <v>43.8354</v>
      </c>
      <c r="P31" s="65">
        <f t="shared" si="5"/>
        <v>0</v>
      </c>
      <c r="Q31" s="65">
        <f>(IF(Q$27="%w/w SAR",((Q$28*10)*$B31),IF(Q$27="%w/w DM",(((Q$28*10)*($B$28/100))*$B31),IF(Q$27="kg/t SAR",(Q$28*$B31),IF(Q$27="kg/t DM",((Q$28*($B$28/100))*$B31),IF(Q$27="mg/kg SAR",((Q$28*0.001)*$B31),IF(Q$27="mg/kg DM",(((Q$28*0.001)*($B$28/100))*$B31),0)))))))*2.5</f>
        <v>117.64899999999999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0.131712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SJC2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SJC3</v>
      </c>
      <c r="B33" s="11">
        <v>87</v>
      </c>
      <c r="C33" s="65">
        <f t="shared" si="6"/>
        <v>47.404559999999996</v>
      </c>
      <c r="D33" s="65">
        <f t="shared" si="7"/>
        <v>32.42488955999999</v>
      </c>
      <c r="E33" s="65">
        <f t="shared" si="8"/>
        <v>1.5040887119999999</v>
      </c>
      <c r="F33" s="65">
        <f t="shared" si="9"/>
        <v>2.8781115888</v>
      </c>
      <c r="G33" s="65">
        <f t="shared" si="5"/>
        <v>0.26089560000000001</v>
      </c>
      <c r="H33" s="65">
        <f t="shared" si="5"/>
        <v>1.0776863999999999</v>
      </c>
      <c r="I33" s="65">
        <f t="shared" si="5"/>
        <v>2.114448E-2</v>
      </c>
      <c r="J33" s="65">
        <f t="shared" si="5"/>
        <v>3.4103999999999996E-3</v>
      </c>
      <c r="K33" s="65">
        <f t="shared" si="5"/>
        <v>3.5127120000000003E-3</v>
      </c>
      <c r="L33" s="65">
        <f t="shared" si="5"/>
        <v>9.9583679999999994E-2</v>
      </c>
      <c r="M33" s="65">
        <f t="shared" si="5"/>
        <v>1.7290728000000002E-2</v>
      </c>
      <c r="N33" s="65">
        <f t="shared" si="5"/>
        <v>647.976</v>
      </c>
      <c r="O33" s="65">
        <f t="shared" si="5"/>
        <v>21.792455999999998</v>
      </c>
      <c r="P33" s="65">
        <f t="shared" si="5"/>
        <v>0</v>
      </c>
      <c r="Q33" s="65">
        <f t="shared" si="10"/>
        <v>58.488359999999993</v>
      </c>
      <c r="R33" s="65">
        <f t="shared" si="11"/>
        <v>0</v>
      </c>
      <c r="S33" s="65">
        <f t="shared" si="11"/>
        <v>6.5479679999999998E-2</v>
      </c>
      <c r="T33" s="65">
        <f t="shared" si="11"/>
        <v>0</v>
      </c>
      <c r="U33" s="126">
        <f t="shared" si="11"/>
        <v>0</v>
      </c>
    </row>
    <row r="34" spans="1:21" s="48" customFormat="1" ht="13" x14ac:dyDescent="0.35">
      <c r="A34" s="125" t="str">
        <f>F8</f>
        <v>SJC4</v>
      </c>
      <c r="B34" s="11">
        <v>250</v>
      </c>
      <c r="C34" s="65">
        <f t="shared" si="6"/>
        <v>136.21999999999997</v>
      </c>
      <c r="D34" s="65">
        <f t="shared" si="7"/>
        <v>93.174969999999973</v>
      </c>
      <c r="E34" s="65">
        <f t="shared" si="8"/>
        <v>4.3220939999999999</v>
      </c>
      <c r="F34" s="65">
        <f t="shared" si="9"/>
        <v>8.270435599999999</v>
      </c>
      <c r="G34" s="65">
        <f t="shared" si="5"/>
        <v>0.74969999999999992</v>
      </c>
      <c r="H34" s="65">
        <f t="shared" si="5"/>
        <v>3.0968</v>
      </c>
      <c r="I34" s="65">
        <f t="shared" si="5"/>
        <v>6.0760000000000002E-2</v>
      </c>
      <c r="J34" s="65">
        <f t="shared" si="5"/>
        <v>9.7999999999999997E-3</v>
      </c>
      <c r="K34" s="65">
        <f t="shared" si="5"/>
        <v>1.0094000000000001E-2</v>
      </c>
      <c r="L34" s="65">
        <f t="shared" si="5"/>
        <v>0.28615999999999997</v>
      </c>
      <c r="M34" s="65">
        <f t="shared" si="5"/>
        <v>4.9686000000000008E-2</v>
      </c>
      <c r="N34" s="65">
        <f t="shared" si="5"/>
        <v>1861.9999999999998</v>
      </c>
      <c r="O34" s="65">
        <f t="shared" si="5"/>
        <v>62.622</v>
      </c>
      <c r="P34" s="65">
        <f t="shared" si="5"/>
        <v>0</v>
      </c>
      <c r="Q34" s="65">
        <f t="shared" si="10"/>
        <v>168.07</v>
      </c>
      <c r="R34" s="65">
        <f t="shared" si="11"/>
        <v>0</v>
      </c>
      <c r="S34" s="65">
        <f t="shared" si="11"/>
        <v>0.18815999999999999</v>
      </c>
      <c r="T34" s="65">
        <f t="shared" si="11"/>
        <v>0</v>
      </c>
      <c r="U34" s="126">
        <f t="shared" si="11"/>
        <v>0</v>
      </c>
    </row>
    <row r="35" spans="1:21" s="48" customFormat="1" ht="13" x14ac:dyDescent="0.35">
      <c r="A35" s="125" t="str">
        <f>G8</f>
        <v>SJC5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SJC6</v>
      </c>
      <c r="B36" s="11">
        <v>63</v>
      </c>
      <c r="C36" s="65">
        <f t="shared" si="6"/>
        <v>34.327439999999996</v>
      </c>
      <c r="D36" s="65">
        <f t="shared" si="7"/>
        <v>23.480092439999993</v>
      </c>
      <c r="E36" s="65">
        <f t="shared" si="8"/>
        <v>1.0891676880000001</v>
      </c>
      <c r="F36" s="65">
        <f t="shared" si="9"/>
        <v>2.0841497711999999</v>
      </c>
      <c r="G36" s="65">
        <f t="shared" si="5"/>
        <v>0.18892439999999999</v>
      </c>
      <c r="H36" s="65">
        <f t="shared" si="5"/>
        <v>0.78039359999999991</v>
      </c>
      <c r="I36" s="65">
        <f t="shared" si="5"/>
        <v>1.531152E-2</v>
      </c>
      <c r="J36" s="65">
        <f t="shared" si="5"/>
        <v>2.4695999999999997E-3</v>
      </c>
      <c r="K36" s="65">
        <f t="shared" si="5"/>
        <v>2.5436880000000001E-3</v>
      </c>
      <c r="L36" s="65">
        <f t="shared" si="5"/>
        <v>7.2112319999999994E-2</v>
      </c>
      <c r="M36" s="65">
        <f t="shared" si="5"/>
        <v>1.2520872000000001E-2</v>
      </c>
      <c r="N36" s="65">
        <f t="shared" si="5"/>
        <v>469.22399999999999</v>
      </c>
      <c r="O36" s="65">
        <f t="shared" si="5"/>
        <v>15.780743999999999</v>
      </c>
      <c r="P36" s="65">
        <f t="shared" si="5"/>
        <v>0</v>
      </c>
      <c r="Q36" s="65">
        <f t="shared" si="10"/>
        <v>42.353639999999999</v>
      </c>
      <c r="R36" s="65">
        <f t="shared" si="11"/>
        <v>0</v>
      </c>
      <c r="S36" s="65">
        <f t="shared" si="11"/>
        <v>4.7416319999999998E-2</v>
      </c>
      <c r="T36" s="65">
        <f t="shared" si="11"/>
        <v>0</v>
      </c>
      <c r="U36" s="126">
        <f t="shared" si="11"/>
        <v>0</v>
      </c>
    </row>
    <row r="37" spans="1:21" s="48" customFormat="1" ht="13" x14ac:dyDescent="0.35">
      <c r="A37" s="125" t="str">
        <f>I8</f>
        <v>BODNOLWYN A</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BODNOLWYN B</v>
      </c>
      <c r="B38" s="11">
        <v>0</v>
      </c>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SJC1</v>
      </c>
      <c r="C57" s="8" t="str">
        <f t="shared" ref="C57:U57" si="13">D8</f>
        <v>SJC2</v>
      </c>
      <c r="D57" s="8" t="str">
        <f t="shared" si="13"/>
        <v>SJC3</v>
      </c>
      <c r="E57" s="8" t="str">
        <f t="shared" si="13"/>
        <v>SJC4</v>
      </c>
      <c r="F57" s="8" t="str">
        <f t="shared" si="13"/>
        <v>SJC5</v>
      </c>
      <c r="G57" s="8" t="str">
        <f t="shared" si="13"/>
        <v>SJC6</v>
      </c>
      <c r="H57" s="8" t="str">
        <f t="shared" si="13"/>
        <v>BODNOLWYN A</v>
      </c>
      <c r="I57" s="8" t="str">
        <f t="shared" si="13"/>
        <v>BODNOLWYN 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Arable</v>
      </c>
      <c r="F58" s="10" t="str">
        <f>G16&amp;" I "&amp;(VLOOKUP(G14,Table24581114[],6,FALSE))</f>
        <v>Medium/Clay I Grass</v>
      </c>
      <c r="G58" s="10" t="str">
        <f>H16&amp;" I "&amp;(VLOOKUP(H14,Table24581114[],6,FALSE))</f>
        <v>Medium/Clay I Arable</v>
      </c>
      <c r="H58" s="10" t="str">
        <f>I16&amp;" I "&amp;(VLOOKUP(I14,Table24581114[],6,FALSE))</f>
        <v>Medium/Clay I Grass</v>
      </c>
      <c r="I58" s="10" t="str">
        <f>J16&amp;" I "&amp;(VLOOKUP(J14,Table24581114[],6,FALSE))</f>
        <v>Medium/Clay I Grass</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6.7</v>
      </c>
      <c r="F59" s="64">
        <f>VLOOKUP(G$14,Table24581114[],5,FALSE)</f>
        <v>6.2</v>
      </c>
      <c r="G59" s="64">
        <f>VLOOKUP(H$14,Table24581114[],5,FALSE)</f>
        <v>6.7</v>
      </c>
      <c r="H59" s="64">
        <f>VLOOKUP(I$14,Table24581114[],5,FALSE)</f>
        <v>6.2</v>
      </c>
      <c r="I59" s="64">
        <f>VLOOKUP(J$14,Table24581114[],5,FALSE)</f>
        <v>6.2</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5.8</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175</v>
      </c>
      <c r="C62" s="65">
        <f>B32</f>
        <v>0</v>
      </c>
      <c r="D62" s="65">
        <f>B33</f>
        <v>87</v>
      </c>
      <c r="E62" s="65">
        <f>B34</f>
        <v>250</v>
      </c>
      <c r="F62" s="65">
        <f>B35</f>
        <v>0</v>
      </c>
      <c r="G62" s="65">
        <f>B36</f>
        <v>63</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1.7999999999999989</v>
      </c>
      <c r="G64" s="65">
        <f t="shared" si="17"/>
        <v>4.8000000000000043</v>
      </c>
      <c r="H64" s="65">
        <f t="shared" si="17"/>
        <v>2.4000000000000021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-1.7999999999999989</v>
      </c>
      <c r="G65" s="65">
        <f t="shared" si="18"/>
        <v>-4.8000000000000043</v>
      </c>
      <c r="H65" s="65">
        <f t="shared" si="18"/>
        <v>-2.4000000000000021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Kc9ZDAFRe3OtHD8kZl/MsXWUA+AduZkL0PfCrxmeBMLvI2u6EOllHBfQq4Yv8T2NVCiKTrMujkAPrBLSCIpVrQ==" saltValue="DRawd+BKDNViYWRcf2eVn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67" priority="37" operator="greaterThan">
      <formula>$B$51</formula>
    </cfRule>
  </conditionalFormatting>
  <conditionalFormatting sqref="B66:U66">
    <cfRule type="cellIs" dxfId="166" priority="12" operator="equal">
      <formula>"UNDER"</formula>
    </cfRule>
    <cfRule type="cellIs" dxfId="165" priority="13" operator="equal">
      <formula>"OVER"</formula>
    </cfRule>
  </conditionalFormatting>
  <conditionalFormatting sqref="C31:C50">
    <cfRule type="cellIs" dxfId="164" priority="36" operator="greaterThan">
      <formula>$C$51</formula>
    </cfRule>
  </conditionalFormatting>
  <conditionalFormatting sqref="C17:V19">
    <cfRule type="cellIs" dxfId="163" priority="33" operator="equal">
      <formula>0</formula>
    </cfRule>
  </conditionalFormatting>
  <conditionalFormatting sqref="C20:V21">
    <cfRule type="cellIs" dxfId="162" priority="38" operator="equal">
      <formula>"DECREASE"</formula>
    </cfRule>
    <cfRule type="cellIs" dxfId="161" priority="39" operator="equal">
      <formula>"INCREASE"</formula>
    </cfRule>
  </conditionalFormatting>
  <conditionalFormatting sqref="C21:V21">
    <cfRule type="cellIs" dxfId="160" priority="14" operator="equal">
      <formula>0</formula>
    </cfRule>
  </conditionalFormatting>
  <conditionalFormatting sqref="C22:V23">
    <cfRule type="cellIs" dxfId="159" priority="18" operator="equal">
      <formula>0</formula>
    </cfRule>
  </conditionalFormatting>
  <conditionalFormatting sqref="C24:V24">
    <cfRule type="cellIs" dxfId="158" priority="19" operator="equal">
      <formula>"DECREASE"</formula>
    </cfRule>
    <cfRule type="cellIs" dxfId="157" priority="20" operator="equal">
      <formula>"INCREASE"</formula>
    </cfRule>
  </conditionalFormatting>
  <conditionalFormatting sqref="G31:G50">
    <cfRule type="cellIs" dxfId="156" priority="32" operator="greaterThan">
      <formula>$G$51</formula>
    </cfRule>
  </conditionalFormatting>
  <conditionalFormatting sqref="H31:H50">
    <cfRule type="cellIs" dxfId="155" priority="31" operator="greaterThan">
      <formula>$H$51</formula>
    </cfRule>
  </conditionalFormatting>
  <conditionalFormatting sqref="I1">
    <cfRule type="cellIs" dxfId="154" priority="4" operator="between">
      <formula>0.1</formula>
      <formula>5</formula>
    </cfRule>
  </conditionalFormatting>
  <conditionalFormatting sqref="I2">
    <cfRule type="cellIs" dxfId="153" priority="3" operator="greaterThan">
      <formula>5000.1</formula>
    </cfRule>
  </conditionalFormatting>
  <conditionalFormatting sqref="I3">
    <cfRule type="cellIs" dxfId="152" priority="2" operator="greaterThan">
      <formula>40000.01</formula>
    </cfRule>
  </conditionalFormatting>
  <conditionalFormatting sqref="I31:I50">
    <cfRule type="cellIs" dxfId="151" priority="30" operator="greaterThan">
      <formula>$I$51</formula>
    </cfRule>
  </conditionalFormatting>
  <conditionalFormatting sqref="J31:J50">
    <cfRule type="cellIs" dxfId="150" priority="9" operator="greaterThan">
      <formula>$J$51</formula>
    </cfRule>
  </conditionalFormatting>
  <conditionalFormatting sqref="K31:K50">
    <cfRule type="cellIs" dxfId="149" priority="29" operator="greaterThan">
      <formula>$K$51</formula>
    </cfRule>
  </conditionalFormatting>
  <conditionalFormatting sqref="L3">
    <cfRule type="cellIs" dxfId="148" priority="5" operator="lessThan">
      <formula>30</formula>
    </cfRule>
    <cfRule type="cellIs" dxfId="147" priority="6" operator="greaterThanOrEqual">
      <formula>30</formula>
    </cfRule>
  </conditionalFormatting>
  <conditionalFormatting sqref="L31:L50">
    <cfRule type="cellIs" dxfId="146" priority="28" operator="greaterThan">
      <formula>$L$51</formula>
    </cfRule>
  </conditionalFormatting>
  <conditionalFormatting sqref="M31:M50">
    <cfRule type="cellIs" dxfId="145" priority="27" operator="greaterThan">
      <formula>$M$51</formula>
    </cfRule>
  </conditionalFormatting>
  <conditionalFormatting sqref="P31:P50">
    <cfRule type="cellIs" dxfId="144" priority="26" operator="greaterThan">
      <formula>$P$51</formula>
    </cfRule>
  </conditionalFormatting>
  <conditionalFormatting sqref="R31:R50">
    <cfRule type="cellIs" dxfId="143" priority="25" operator="greaterThan">
      <formula>$R$51</formula>
    </cfRule>
  </conditionalFormatting>
  <conditionalFormatting sqref="S31:S50">
    <cfRule type="cellIs" dxfId="142" priority="24" operator="greaterThan">
      <formula>$S$51</formula>
    </cfRule>
  </conditionalFormatting>
  <conditionalFormatting sqref="T31:T50">
    <cfRule type="cellIs" dxfId="141" priority="23" operator="greaterThan">
      <formula>$T$51</formula>
    </cfRule>
  </conditionalFormatting>
  <conditionalFormatting sqref="U31:U50">
    <cfRule type="cellIs" dxfId="140" priority="22"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Alaw'!C1:D1</f>
        <v>PAN-027648</v>
      </c>
      <c r="D1" s="167"/>
      <c r="E1" s="106" t="s">
        <v>45</v>
      </c>
      <c r="F1" s="113">
        <f>'Field data and Alaw'!F1</f>
        <v>44.3</v>
      </c>
      <c r="G1" s="134" t="s">
        <v>43</v>
      </c>
      <c r="H1" s="135"/>
      <c r="I1" s="109">
        <v>6.9</v>
      </c>
      <c r="J1" s="158" t="s">
        <v>153</v>
      </c>
      <c r="K1" s="159"/>
      <c r="L1" s="109">
        <v>325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Alaw'!C2:D2</f>
        <v>GP3792SK</v>
      </c>
      <c r="D2" s="169"/>
      <c r="E2" s="96" t="s">
        <v>109</v>
      </c>
      <c r="F2" s="110">
        <v>190902</v>
      </c>
      <c r="G2" s="136" t="s">
        <v>110</v>
      </c>
      <c r="H2" s="137"/>
      <c r="I2" s="110"/>
      <c r="J2" s="138" t="s">
        <v>158</v>
      </c>
      <c r="K2" s="139"/>
      <c r="L2" s="110">
        <v>1.05</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Alaw'!C3:D3</f>
        <v>Byproduct Recovery Limited</v>
      </c>
      <c r="D3" s="169"/>
      <c r="E3" s="96" t="s">
        <v>108</v>
      </c>
      <c r="F3" s="111" t="s">
        <v>78</v>
      </c>
      <c r="G3" s="138" t="s">
        <v>159</v>
      </c>
      <c r="H3" s="139"/>
      <c r="I3" s="110"/>
      <c r="J3" s="160" t="s">
        <v>154</v>
      </c>
      <c r="K3" s="161"/>
      <c r="L3" s="110">
        <f>(L1/(L2*10000))*100</f>
        <v>3.0952380952380953</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Alaw'!C4:D4</f>
        <v>Plas Bach, Cerrigceinwen, Bodorgan.LL62 5NS</v>
      </c>
      <c r="D4" s="171"/>
      <c r="E4" s="99" t="s">
        <v>1</v>
      </c>
      <c r="F4" s="110" t="s">
        <v>180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Alaw'!C5:D5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Alaw'!C8</f>
        <v>SJC1</v>
      </c>
      <c r="D8" s="49" t="str">
        <f>'Field data and Alaw'!D8</f>
        <v>SJC2</v>
      </c>
      <c r="E8" s="49" t="str">
        <f>'Field data and Alaw'!E8</f>
        <v>SJC3</v>
      </c>
      <c r="F8" s="49" t="str">
        <f>'Field data and Alaw'!F8</f>
        <v>SJC4</v>
      </c>
      <c r="G8" s="49" t="str">
        <f>'Field data and Alaw'!G8</f>
        <v>SJC5</v>
      </c>
      <c r="H8" s="49" t="str">
        <f>'Field data and Alaw'!H8</f>
        <v>SJC6</v>
      </c>
      <c r="I8" s="49" t="str">
        <f>'Field data and Alaw'!I8</f>
        <v>BODNOLWYN A</v>
      </c>
      <c r="J8" s="49" t="str">
        <f>'Field data and Alaw'!J8</f>
        <v>BODNOLWYN B</v>
      </c>
      <c r="K8" s="49">
        <f>'Field data and Alaw'!K8</f>
        <v>0</v>
      </c>
      <c r="L8" s="49">
        <f>'Field data and Alaw'!L8</f>
        <v>0</v>
      </c>
      <c r="M8" s="49">
        <f>'Field data and Alaw'!M8</f>
        <v>0</v>
      </c>
      <c r="N8" s="49">
        <f>'Field data and Alaw'!N8</f>
        <v>0</v>
      </c>
      <c r="O8" s="49">
        <f>'Field data and Alaw'!O8</f>
        <v>0</v>
      </c>
      <c r="P8" s="49">
        <f>'Field data and Alaw'!P8</f>
        <v>0</v>
      </c>
      <c r="Q8" s="49">
        <f>'Field data and Alaw'!Q8</f>
        <v>0</v>
      </c>
      <c r="R8" s="49">
        <f>'Field data and Alaw'!R8</f>
        <v>0</v>
      </c>
      <c r="S8" s="49">
        <f>'Field data and Alaw'!S8</f>
        <v>0</v>
      </c>
      <c r="T8" s="49">
        <f>'Field data and Alaw'!T8</f>
        <v>0</v>
      </c>
      <c r="U8" s="49">
        <f>'Field data and Alaw'!U8</f>
        <v>0</v>
      </c>
      <c r="V8" s="102">
        <f>'Field data and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Alaw'!C9</f>
        <v>m</v>
      </c>
      <c r="D9" s="49" t="str">
        <f>'Field data and Alaw'!D9</f>
        <v>m</v>
      </c>
      <c r="E9" s="49" t="str">
        <f>'Field data and Alaw'!E9</f>
        <v>m</v>
      </c>
      <c r="F9" s="49">
        <f>'Field data and Alaw'!F9</f>
        <v>2</v>
      </c>
      <c r="G9" s="49" t="str">
        <f>'Field data and Alaw'!G9</f>
        <v>m</v>
      </c>
      <c r="H9" s="49">
        <f>'Field data and Alaw'!H9</f>
        <v>2</v>
      </c>
      <c r="I9" s="49" t="str">
        <f>'Field data and Alaw'!I9</f>
        <v xml:space="preserve">m </v>
      </c>
      <c r="J9" s="49" t="str">
        <f>'Field data and Alaw'!J9</f>
        <v xml:space="preserve">m </v>
      </c>
      <c r="K9" s="49">
        <f>'Field data and Alaw'!K9</f>
        <v>0</v>
      </c>
      <c r="L9" s="49">
        <f>'Field data and Alaw'!L9</f>
        <v>0</v>
      </c>
      <c r="M9" s="49">
        <f>'Field data and Alaw'!M9</f>
        <v>0</v>
      </c>
      <c r="N9" s="49">
        <f>'Field data and Alaw'!N9</f>
        <v>0</v>
      </c>
      <c r="O9" s="49">
        <f>'Field data and Alaw'!O9</f>
        <v>0</v>
      </c>
      <c r="P9" s="49">
        <f>'Field data and Alaw'!P9</f>
        <v>0</v>
      </c>
      <c r="Q9" s="49">
        <f>'Field data and Alaw'!Q9</f>
        <v>0</v>
      </c>
      <c r="R9" s="49">
        <f>'Field data and Alaw'!R9</f>
        <v>0</v>
      </c>
      <c r="S9" s="49">
        <f>'Field data and Alaw'!S9</f>
        <v>0</v>
      </c>
      <c r="T9" s="49">
        <f>'Field data and Alaw'!T9</f>
        <v>0</v>
      </c>
      <c r="U9" s="49">
        <f>'Field data and Alaw'!U9</f>
        <v>0</v>
      </c>
      <c r="V9" s="102">
        <f>'Field data and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Alaw'!C10</f>
        <v>6.4</v>
      </c>
      <c r="D10" s="49">
        <f>'Field data and Alaw'!D10</f>
        <v>5.8</v>
      </c>
      <c r="E10" s="49">
        <f>'Field data and Alaw'!E10</f>
        <v>6</v>
      </c>
      <c r="F10" s="49">
        <f>'Field data and Alaw'!F10</f>
        <v>6</v>
      </c>
      <c r="G10" s="49">
        <f>'Field data and Alaw'!G10</f>
        <v>5.9</v>
      </c>
      <c r="H10" s="49">
        <f>'Field data and Alaw'!H10</f>
        <v>6.1</v>
      </c>
      <c r="I10" s="49">
        <f>'Field data and Alaw'!I10</f>
        <v>5.8</v>
      </c>
      <c r="J10" s="49">
        <f>'Field data and Alaw'!J10</f>
        <v>5.7</v>
      </c>
      <c r="K10" s="49">
        <f>'Field data and Alaw'!K10</f>
        <v>0</v>
      </c>
      <c r="L10" s="49">
        <f>'Field data and Alaw'!L10</f>
        <v>0</v>
      </c>
      <c r="M10" s="49">
        <f>'Field data and Alaw'!M10</f>
        <v>0</v>
      </c>
      <c r="N10" s="49">
        <f>'Field data and Alaw'!N10</f>
        <v>0</v>
      </c>
      <c r="O10" s="49">
        <f>'Field data and Alaw'!O10</f>
        <v>0</v>
      </c>
      <c r="P10" s="49">
        <f>'Field data and Alaw'!P10</f>
        <v>0</v>
      </c>
      <c r="Q10" s="49">
        <f>'Field data and Alaw'!Q10</f>
        <v>0</v>
      </c>
      <c r="R10" s="49">
        <f>'Field data and Alaw'!R10</f>
        <v>0</v>
      </c>
      <c r="S10" s="49">
        <f>'Field data and Alaw'!S10</f>
        <v>0</v>
      </c>
      <c r="T10" s="49">
        <f>'Field data and Alaw'!T10</f>
        <v>0</v>
      </c>
      <c r="U10" s="49">
        <f>'Field data and Alaw'!U10</f>
        <v>0</v>
      </c>
      <c r="V10" s="102">
        <f>'Field data and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Alaw'!C11</f>
        <v>2</v>
      </c>
      <c r="D11" s="49">
        <f>'Field data and Alaw'!D11</f>
        <v>2</v>
      </c>
      <c r="E11" s="49">
        <f>'Field data and Alaw'!E11</f>
        <v>3</v>
      </c>
      <c r="F11" s="49">
        <f>'Field data and Alaw'!F11</f>
        <v>1</v>
      </c>
      <c r="G11" s="49">
        <f>'Field data and Alaw'!G11</f>
        <v>0</v>
      </c>
      <c r="H11" s="49">
        <f>'Field data and Alaw'!H11</f>
        <v>3</v>
      </c>
      <c r="I11" s="49">
        <f>'Field data and Alaw'!I11</f>
        <v>2</v>
      </c>
      <c r="J11" s="49">
        <f>'Field data and Alaw'!J11</f>
        <v>2</v>
      </c>
      <c r="K11" s="49">
        <f>'Field data and Alaw'!K11</f>
        <v>0</v>
      </c>
      <c r="L11" s="49">
        <f>'Field data and Alaw'!L11</f>
        <v>0</v>
      </c>
      <c r="M11" s="49">
        <f>'Field data and Alaw'!M11</f>
        <v>0</v>
      </c>
      <c r="N11" s="49">
        <f>'Field data and Alaw'!N11</f>
        <v>0</v>
      </c>
      <c r="O11" s="49">
        <f>'Field data and Alaw'!O11</f>
        <v>0</v>
      </c>
      <c r="P11" s="49">
        <f>'Field data and Alaw'!P11</f>
        <v>0</v>
      </c>
      <c r="Q11" s="49">
        <f>'Field data and Alaw'!Q11</f>
        <v>0</v>
      </c>
      <c r="R11" s="49">
        <f>'Field data and Alaw'!R11</f>
        <v>0</v>
      </c>
      <c r="S11" s="49">
        <f>'Field data and Alaw'!S11</f>
        <v>0</v>
      </c>
      <c r="T11" s="49">
        <f>'Field data and Alaw'!T11</f>
        <v>0</v>
      </c>
      <c r="U11" s="49">
        <f>'Field data and Alaw'!U11</f>
        <v>0</v>
      </c>
      <c r="V11" s="102">
        <f>'Field data and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Alaw'!C12</f>
        <v>3</v>
      </c>
      <c r="D12" s="49">
        <f>'Field data and Alaw'!D12</f>
        <v>4</v>
      </c>
      <c r="E12" s="49">
        <f>'Field data and Alaw'!E12</f>
        <v>4</v>
      </c>
      <c r="F12" s="49">
        <f>'Field data and Alaw'!F12</f>
        <v>1</v>
      </c>
      <c r="G12" s="49">
        <f>'Field data and Alaw'!G12</f>
        <v>1</v>
      </c>
      <c r="H12" s="49">
        <f>'Field data and Alaw'!H12</f>
        <v>2</v>
      </c>
      <c r="I12" s="49">
        <f>'Field data and Alaw'!I12</f>
        <v>2</v>
      </c>
      <c r="J12" s="49">
        <f>'Field data and Alaw'!J12</f>
        <v>2</v>
      </c>
      <c r="K12" s="49">
        <f>'Field data and Alaw'!K12</f>
        <v>0</v>
      </c>
      <c r="L12" s="49">
        <f>'Field data and Alaw'!L12</f>
        <v>0</v>
      </c>
      <c r="M12" s="49">
        <f>'Field data and Alaw'!M12</f>
        <v>0</v>
      </c>
      <c r="N12" s="49">
        <f>'Field data and Alaw'!N12</f>
        <v>0</v>
      </c>
      <c r="O12" s="49">
        <f>'Field data and Alaw'!O12</f>
        <v>0</v>
      </c>
      <c r="P12" s="49">
        <f>'Field data and Alaw'!P12</f>
        <v>0</v>
      </c>
      <c r="Q12" s="49">
        <f>'Field data and Alaw'!Q12</f>
        <v>0</v>
      </c>
      <c r="R12" s="49">
        <f>'Field data and Alaw'!R12</f>
        <v>0</v>
      </c>
      <c r="S12" s="49">
        <f>'Field data and Alaw'!S12</f>
        <v>0</v>
      </c>
      <c r="T12" s="49">
        <f>'Field data and Alaw'!T12</f>
        <v>0</v>
      </c>
      <c r="U12" s="49">
        <f>'Field data and Alaw'!U12</f>
        <v>0</v>
      </c>
      <c r="V12" s="102">
        <f>'Field data and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Alaw'!C13</f>
        <v>4</v>
      </c>
      <c r="D13" s="49">
        <f>'Field data and Alaw'!D13</f>
        <v>3</v>
      </c>
      <c r="E13" s="49">
        <f>'Field data and Alaw'!E13</f>
        <v>3</v>
      </c>
      <c r="F13" s="49">
        <f>'Field data and Alaw'!F13</f>
        <v>3</v>
      </c>
      <c r="G13" s="49">
        <f>'Field data and Alaw'!G13</f>
        <v>3</v>
      </c>
      <c r="H13" s="49">
        <f>'Field data and Alaw'!H13</f>
        <v>3</v>
      </c>
      <c r="I13" s="49">
        <f>'Field data and Alaw'!I13</f>
        <v>3</v>
      </c>
      <c r="J13" s="49">
        <f>'Field data and Alaw'!J13</f>
        <v>3</v>
      </c>
      <c r="K13" s="49">
        <f>'Field data and Alaw'!K13</f>
        <v>0</v>
      </c>
      <c r="L13" s="49">
        <f>'Field data and Alaw'!L13</f>
        <v>0</v>
      </c>
      <c r="M13" s="49">
        <f>'Field data and Alaw'!M13</f>
        <v>0</v>
      </c>
      <c r="N13" s="49">
        <f>'Field data and Alaw'!N13</f>
        <v>0</v>
      </c>
      <c r="O13" s="49">
        <f>'Field data and Alaw'!O13</f>
        <v>0</v>
      </c>
      <c r="P13" s="49">
        <f>'Field data and Alaw'!P13</f>
        <v>0</v>
      </c>
      <c r="Q13" s="49">
        <f>'Field data and Alaw'!Q13</f>
        <v>0</v>
      </c>
      <c r="R13" s="49">
        <f>'Field data and Alaw'!R13</f>
        <v>0</v>
      </c>
      <c r="S13" s="49">
        <f>'Field data and Alaw'!S13</f>
        <v>0</v>
      </c>
      <c r="T13" s="49">
        <f>'Field data and Alaw'!T13</f>
        <v>0</v>
      </c>
      <c r="U13" s="49">
        <f>'Field data and Alaw'!U13</f>
        <v>0</v>
      </c>
      <c r="V13" s="102">
        <f>'Field data and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Alaw'!C14</f>
        <v xml:space="preserve">Grass Silage (25% DM) </v>
      </c>
      <c r="D14" s="83" t="str">
        <f>'Field data and Alaw'!D14</f>
        <v xml:space="preserve">Grass Silage (25% DM) </v>
      </c>
      <c r="E14" s="83" t="str">
        <f>'Field data and Alaw'!E14</f>
        <v xml:space="preserve">Grass Silage (25% DM) </v>
      </c>
      <c r="F14" s="83" t="str">
        <f>'Field data and Alaw'!F14</f>
        <v>Spring wheat/barley</v>
      </c>
      <c r="G14" s="83" t="str">
        <f>'Field data and Alaw'!G14</f>
        <v xml:space="preserve">Grass Silage (25% DM) </v>
      </c>
      <c r="H14" s="83" t="str">
        <f>'Field data and Alaw'!H14</f>
        <v>Spring wheat/barley</v>
      </c>
      <c r="I14" s="83" t="str">
        <f>'Field data and Alaw'!I14</f>
        <v xml:space="preserve">Grass Silage (25% DM) </v>
      </c>
      <c r="J14" s="83" t="str">
        <f>'Field data and Alaw'!J14</f>
        <v xml:space="preserve">Grass Silage (25% DM) </v>
      </c>
      <c r="K14" s="83">
        <f>'Field data and Alaw'!K14</f>
        <v>0</v>
      </c>
      <c r="L14" s="83">
        <f>'Field data and Alaw'!L14</f>
        <v>0</v>
      </c>
      <c r="M14" s="83">
        <f>'Field data and Alaw'!M14</f>
        <v>0</v>
      </c>
      <c r="N14" s="83">
        <f>'Field data and Alaw'!N14</f>
        <v>0</v>
      </c>
      <c r="O14" s="83">
        <f>'Field data and Alaw'!O14</f>
        <v>0</v>
      </c>
      <c r="P14" s="83">
        <f>'Field data and Alaw'!P14</f>
        <v>0</v>
      </c>
      <c r="Q14" s="83">
        <f>'Field data and Alaw'!Q14</f>
        <v>0</v>
      </c>
      <c r="R14" s="83">
        <f>'Field data and Alaw'!R14</f>
        <v>0</v>
      </c>
      <c r="S14" s="83">
        <f>'Field data and Alaw'!S14</f>
        <v>0</v>
      </c>
      <c r="T14" s="83">
        <f>'Field data and Alaw'!T14</f>
        <v>0</v>
      </c>
      <c r="U14" s="83">
        <f>'Field data and Alaw'!U14</f>
        <v>0</v>
      </c>
      <c r="V14" s="103">
        <f>'Field data and Alaw'!V14</f>
        <v>0</v>
      </c>
      <c r="AD14" s="22" t="s">
        <v>138</v>
      </c>
      <c r="AE14" s="22">
        <v>6</v>
      </c>
      <c r="AI14" s="43" t="s">
        <v>119</v>
      </c>
      <c r="AJ14" s="44">
        <v>0.8</v>
      </c>
      <c r="AK14" s="45">
        <v>1.7</v>
      </c>
      <c r="AL14" s="9">
        <v>12</v>
      </c>
      <c r="AM14" s="9">
        <v>6.7</v>
      </c>
      <c r="AN14" s="9" t="s">
        <v>135</v>
      </c>
    </row>
    <row r="15" spans="1:41" ht="13" x14ac:dyDescent="0.25">
      <c r="A15" s="152" t="s">
        <v>9</v>
      </c>
      <c r="B15" s="153"/>
      <c r="C15" s="49">
        <f>'Field data and Alaw'!C15</f>
        <v>38</v>
      </c>
      <c r="D15" s="49">
        <f>'Field data and Alaw'!D15</f>
        <v>38</v>
      </c>
      <c r="E15" s="49">
        <f>'Field data and Alaw'!E15</f>
        <v>38</v>
      </c>
      <c r="F15" s="49">
        <f>'Field data and Alaw'!F15</f>
        <v>5.5</v>
      </c>
      <c r="G15" s="49">
        <f>'Field data and Alaw'!G15</f>
        <v>38</v>
      </c>
      <c r="H15" s="49">
        <f>'Field data and Alaw'!H15</f>
        <v>5.5</v>
      </c>
      <c r="I15" s="49">
        <f>'Field data and Alaw'!I15</f>
        <v>38</v>
      </c>
      <c r="J15" s="49">
        <f>'Field data and Alaw'!J15</f>
        <v>38</v>
      </c>
      <c r="K15" s="49">
        <f>'Field data and Alaw'!K15</f>
        <v>0</v>
      </c>
      <c r="L15" s="49">
        <f>'Field data and Alaw'!L15</f>
        <v>0</v>
      </c>
      <c r="M15" s="49">
        <f>'Field data and Alaw'!M15</f>
        <v>0</v>
      </c>
      <c r="N15" s="49">
        <f>'Field data and Alaw'!N15</f>
        <v>0</v>
      </c>
      <c r="O15" s="49">
        <f>'Field data and Alaw'!O15</f>
        <v>0</v>
      </c>
      <c r="P15" s="49">
        <f>'Field data and Alaw'!P15</f>
        <v>0</v>
      </c>
      <c r="Q15" s="49">
        <f>'Field data and Alaw'!Q15</f>
        <v>0</v>
      </c>
      <c r="R15" s="49">
        <f>'Field data and Alaw'!R15</f>
        <v>0</v>
      </c>
      <c r="S15" s="49">
        <f>'Field data and Alaw'!S15</f>
        <v>0</v>
      </c>
      <c r="T15" s="49">
        <f>'Field data and Alaw'!T15</f>
        <v>0</v>
      </c>
      <c r="U15" s="49">
        <f>'Field data and Alaw'!U15</f>
        <v>0</v>
      </c>
      <c r="V15" s="102">
        <f>'Field data and Alaw'!V15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Alaw'!C16</f>
        <v>Medium/Clay</v>
      </c>
      <c r="D16" s="104" t="str">
        <f>'Field data and Alaw'!D16</f>
        <v>Medium/Clay</v>
      </c>
      <c r="E16" s="104" t="str">
        <f>'Field data and Alaw'!E16</f>
        <v>Medium/Clay</v>
      </c>
      <c r="F16" s="104" t="str">
        <f>'Field data and Alaw'!F16</f>
        <v>Medium/Clay</v>
      </c>
      <c r="G16" s="104" t="str">
        <f>'Field data and Alaw'!G16</f>
        <v>Medium/Clay</v>
      </c>
      <c r="H16" s="104" t="str">
        <f>'Field data and Alaw'!H16</f>
        <v>Medium/Clay</v>
      </c>
      <c r="I16" s="104" t="str">
        <f>'Field data and Alaw'!I16</f>
        <v>Medium/Clay</v>
      </c>
      <c r="J16" s="104" t="str">
        <f>'Field data and Alaw'!J16</f>
        <v>Medium/Clay</v>
      </c>
      <c r="K16" s="104">
        <f>'Field data and Alaw'!K16</f>
        <v>0</v>
      </c>
      <c r="L16" s="104">
        <f>'Field data and Alaw'!L16</f>
        <v>0</v>
      </c>
      <c r="M16" s="104">
        <f>'Field data and Alaw'!M16</f>
        <v>0</v>
      </c>
      <c r="N16" s="104">
        <f>'Field data and Alaw'!N16</f>
        <v>0</v>
      </c>
      <c r="O16" s="104">
        <f>'Field data and Alaw'!O16</f>
        <v>0</v>
      </c>
      <c r="P16" s="104">
        <f>'Field data and Alaw'!P16</f>
        <v>0</v>
      </c>
      <c r="Q16" s="104">
        <f>'Field data and Alaw'!Q16</f>
        <v>0</v>
      </c>
      <c r="R16" s="104">
        <f>'Field data and Alaw'!R16</f>
        <v>0</v>
      </c>
      <c r="S16" s="104">
        <f>'Field data and Alaw'!S16</f>
        <v>0</v>
      </c>
      <c r="T16" s="104">
        <f>'Field data and Alaw'!T16</f>
        <v>0</v>
      </c>
      <c r="U16" s="104">
        <f>'Field data and Alaw'!U16</f>
        <v>0</v>
      </c>
      <c r="V16" s="105">
        <f>'Field data and Alaw'!V16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46.75</v>
      </c>
      <c r="G17" s="20">
        <f t="shared" si="0"/>
        <v>64.599999999999994</v>
      </c>
      <c r="H17" s="20">
        <f t="shared" si="0"/>
        <v>46.75</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96.823387500000024</v>
      </c>
      <c r="D18" s="12">
        <f>$D32</f>
        <v>0</v>
      </c>
      <c r="E18" s="12">
        <f>$D33</f>
        <v>65.45260995000001</v>
      </c>
      <c r="F18" s="12">
        <f>$D34</f>
        <v>96.823387500000024</v>
      </c>
      <c r="G18" s="12">
        <f>$D35</f>
        <v>0</v>
      </c>
      <c r="H18" s="12">
        <f>$D36</f>
        <v>47.249813100000011</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32.22338750000003</v>
      </c>
      <c r="D19" s="12">
        <f t="shared" ref="D19:V19" si="1">D18-D17</f>
        <v>-64.599999999999994</v>
      </c>
      <c r="E19" s="12">
        <f t="shared" si="1"/>
        <v>0.85260995000001571</v>
      </c>
      <c r="F19" s="12">
        <f t="shared" si="1"/>
        <v>50.073387500000024</v>
      </c>
      <c r="G19" s="12">
        <f t="shared" si="1"/>
        <v>-64.599999999999994</v>
      </c>
      <c r="H19" s="12">
        <f t="shared" si="1"/>
        <v>0.49981310000001145</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DECREASE</v>
      </c>
      <c r="E20" s="18" t="str">
        <f>IF($B33="","",IF(E$19&gt;=0,"INCREASE","DECREASE"))</f>
        <v>INCREASE</v>
      </c>
      <c r="F20" s="18" t="str">
        <f>IF($B34="","",IF(F$19&gt;=0,"INCREASE","DECREASE"))</f>
        <v>INCREASE</v>
      </c>
      <c r="G20" s="18" t="str">
        <f>IF($B35="","",IF(G$19&gt;=0,"INCREASE","DECREASE"))</f>
        <v>DECREASE</v>
      </c>
      <c r="H20" s="18" t="str">
        <f>IF($B36="","",IF(H$19&gt;=0,"INCREASE","DECREASE"))</f>
        <v>INCREASE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66</v>
      </c>
      <c r="G21" s="20">
        <f t="shared" si="2"/>
        <v>228</v>
      </c>
      <c r="H21" s="20">
        <f t="shared" si="2"/>
        <v>66</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4.1572500000000003</v>
      </c>
      <c r="D22" s="12">
        <f>$E32</f>
        <v>0</v>
      </c>
      <c r="E22" s="12">
        <f>$E33</f>
        <v>2.8103010000000004</v>
      </c>
      <c r="F22" s="12">
        <f>$E34</f>
        <v>4.1572500000000003</v>
      </c>
      <c r="G22" s="12">
        <f>$E35</f>
        <v>0</v>
      </c>
      <c r="H22" s="12">
        <f>$E36</f>
        <v>2.0287380000000002</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-223.84275</v>
      </c>
      <c r="D23" s="12">
        <f t="shared" ref="D23:V23" si="3">D22-D21</f>
        <v>-228</v>
      </c>
      <c r="E23" s="12">
        <f t="shared" si="3"/>
        <v>-225.18969899999999</v>
      </c>
      <c r="F23" s="12">
        <f t="shared" si="3"/>
        <v>-61.842750000000002</v>
      </c>
      <c r="G23" s="12">
        <f t="shared" si="3"/>
        <v>-228</v>
      </c>
      <c r="H23" s="12">
        <f t="shared" si="3"/>
        <v>-63.971262000000003</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6.9</v>
      </c>
      <c r="C28" s="11">
        <v>1.05</v>
      </c>
      <c r="D28" s="11">
        <v>0.245</v>
      </c>
      <c r="E28" s="11">
        <v>0.02</v>
      </c>
      <c r="F28" s="11">
        <v>281</v>
      </c>
      <c r="G28" s="11">
        <v>37</v>
      </c>
      <c r="H28" s="11">
        <v>272</v>
      </c>
      <c r="I28" s="11">
        <v>6.2</v>
      </c>
      <c r="J28" s="11">
        <v>0.98</v>
      </c>
      <c r="K28" s="15">
        <v>1.1599999999999999</v>
      </c>
      <c r="L28" s="11">
        <v>8.3000000000000007</v>
      </c>
      <c r="M28" s="11">
        <v>4.3</v>
      </c>
      <c r="N28" s="11">
        <v>308000</v>
      </c>
      <c r="O28" s="11">
        <v>4350</v>
      </c>
      <c r="P28" s="11"/>
      <c r="Q28" s="11">
        <v>11500</v>
      </c>
      <c r="R28" s="11"/>
      <c r="S28" s="11">
        <v>16.8</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SJC1</v>
      </c>
      <c r="B31" s="11">
        <v>250</v>
      </c>
      <c r="C31" s="65">
        <f>IF(C$27="%w/w SAR",((C$28*10)*$B31),IF(C$27="%w/w DM",(((C$28*10)*($B$28/100))*$B31),IF(C$27="kg/t SAR",(C$28*$B31),IF(C$27="kg/t DM",((C$28*($B$28/100))*$B31),IF(C$27="mg/kg SAR",((C$28*0.001)*$B31),IF(C$27="mg/kg DM",(((C$28*0.001)*($B$28/100))*$B31),0))))))</f>
        <v>181.125</v>
      </c>
      <c r="D31" s="65">
        <f>(IF(D$27="%w/w SAR",((D$28*10)*$B31),IF(D$27="%w/w DM",(((D$28*10)*($B$28/100))*$B31),IF(D$27="kg/t SAR",(D$28*$B31),IF(D$27="kg/t DM",((D$28*($B$28/100))*$B31),IF(D$27="mg/kg SAR",((D$28*0.001)*$B31),IF(D$27="mg/kg DM",(((D$28*0.001)*($B$28/100))*$B31),"0")))))))*2.291</f>
        <v>96.823387500000024</v>
      </c>
      <c r="E31" s="65">
        <f>(IF(E$27="%w/w SAR",((E$28*10)*$B31),IF(E$27="%w/w DM",(((E$28*10)*($B$28/100))*$B31),IF(E$27="kg/t SAR",(E$28*$B31),IF(E$27="kg/t DM",((E$28*($B$28/100))*$B31),IF(E$27="mg/kg SAR",((E$28*0.001)*$B31),IF(E$27="mg/kg DM",(((E$28*0.001)*($B$28/100))*$B31),"0")))))))*1.205</f>
        <v>4.1572500000000003</v>
      </c>
      <c r="F31" s="65">
        <f>(IF(F$27="%w/w SAR",((F$28*10)*$B31),IF(F$27="%w/w DM",(((F$28*10)*($B$28/100))*$B31),IF(F$27="kg/t SAR",(F$28*$B31),IF(F$27="kg/t DM",((F$28*($B$28/100))*$B31),IF(F$27="mg/kg SAR",((F$28*0.001)*$B31),IF(F$27="mg/kg DM",(((F$28*0.001)*($B$28/100))*$B31),"0")))))))*1.658</f>
        <v>8.0367405000000005</v>
      </c>
      <c r="G31" s="65">
        <f t="shared" ref="G31:P46" si="5">IF(G$27="%w/w SAR",((G$28*10)*$B31),IF(G$27="%w/w DM",(((G$28*10)*($B$28/100))*$B31),IF(G$27="kg/t SAR",(G$28*$B31),IF(G$27="kg/t DM",((G$28*($B$28/100))*$B31),IF(G$27="mg/kg SAR",((G$28*0.001)*$B31),IF(G$27="mg/kg DM",(((G$28*0.001)*($B$28/100))*$B31),0))))))</f>
        <v>0.63824999999999998</v>
      </c>
      <c r="H31" s="65">
        <f t="shared" si="5"/>
        <v>4.6920000000000011</v>
      </c>
      <c r="I31" s="65">
        <f t="shared" si="5"/>
        <v>0.10695000000000003</v>
      </c>
      <c r="J31" s="65">
        <f t="shared" si="5"/>
        <v>1.6905000000000003E-2</v>
      </c>
      <c r="K31" s="65">
        <f t="shared" si="5"/>
        <v>2.0010000000000003E-2</v>
      </c>
      <c r="L31" s="65">
        <f t="shared" si="5"/>
        <v>0.14317500000000002</v>
      </c>
      <c r="M31" s="65">
        <f t="shared" si="5"/>
        <v>7.4175000000000005E-2</v>
      </c>
      <c r="N31" s="65">
        <f t="shared" si="5"/>
        <v>5313.0000000000009</v>
      </c>
      <c r="O31" s="65">
        <f t="shared" si="5"/>
        <v>75.037500000000023</v>
      </c>
      <c r="P31" s="65">
        <f t="shared" si="5"/>
        <v>0</v>
      </c>
      <c r="Q31" s="65">
        <f>(IF(Q$27="%w/w SAR",((Q$28*10)*$B31),IF(Q$27="%w/w DM",(((Q$28*10)*($B$28/100))*$B31),IF(Q$27="kg/t SAR",(Q$28*$B31),IF(Q$27="kg/t DM",((Q$28*($B$28/100))*$B31),IF(Q$27="mg/kg SAR",((Q$28*0.001)*$B31),IF(Q$27="mg/kg DM",(((Q$28*0.001)*($B$28/100))*$B31),0)))))))*2.5</f>
        <v>495.93750000000006</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0.28980000000000006</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SJC2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SJC3</v>
      </c>
      <c r="B33" s="11">
        <v>169</v>
      </c>
      <c r="C33" s="65">
        <f t="shared" si="6"/>
        <v>122.4405</v>
      </c>
      <c r="D33" s="65">
        <f t="shared" si="7"/>
        <v>65.45260995000001</v>
      </c>
      <c r="E33" s="65">
        <f t="shared" si="8"/>
        <v>2.8103010000000004</v>
      </c>
      <c r="F33" s="65">
        <f t="shared" si="9"/>
        <v>5.4328365780000007</v>
      </c>
      <c r="G33" s="65">
        <f t="shared" si="5"/>
        <v>0.43145700000000003</v>
      </c>
      <c r="H33" s="65">
        <f t="shared" si="5"/>
        <v>3.1717920000000004</v>
      </c>
      <c r="I33" s="65">
        <f t="shared" si="5"/>
        <v>7.2298200000000021E-2</v>
      </c>
      <c r="J33" s="65">
        <f t="shared" si="5"/>
        <v>1.1427780000000002E-2</v>
      </c>
      <c r="K33" s="65">
        <f t="shared" si="5"/>
        <v>1.3526760000000002E-2</v>
      </c>
      <c r="L33" s="65">
        <f t="shared" si="5"/>
        <v>9.678630000000002E-2</v>
      </c>
      <c r="M33" s="65">
        <f t="shared" si="5"/>
        <v>5.0142300000000001E-2</v>
      </c>
      <c r="N33" s="65">
        <f t="shared" si="5"/>
        <v>3591.5880000000002</v>
      </c>
      <c r="O33" s="65">
        <f t="shared" si="5"/>
        <v>50.725350000000013</v>
      </c>
      <c r="P33" s="65">
        <f t="shared" si="5"/>
        <v>0</v>
      </c>
      <c r="Q33" s="65">
        <f t="shared" si="10"/>
        <v>335.25375000000003</v>
      </c>
      <c r="R33" s="65">
        <f t="shared" si="11"/>
        <v>0</v>
      </c>
      <c r="S33" s="65">
        <f t="shared" si="11"/>
        <v>0.19590480000000005</v>
      </c>
      <c r="T33" s="65">
        <f t="shared" si="11"/>
        <v>0</v>
      </c>
      <c r="U33" s="126">
        <f t="shared" si="11"/>
        <v>0</v>
      </c>
    </row>
    <row r="34" spans="1:21" s="48" customFormat="1" ht="13" x14ac:dyDescent="0.35">
      <c r="A34" s="125" t="str">
        <f>F8</f>
        <v>SJC4</v>
      </c>
      <c r="B34" s="11">
        <v>250</v>
      </c>
      <c r="C34" s="65">
        <f t="shared" si="6"/>
        <v>181.125</v>
      </c>
      <c r="D34" s="65">
        <f t="shared" si="7"/>
        <v>96.823387500000024</v>
      </c>
      <c r="E34" s="65">
        <f t="shared" si="8"/>
        <v>4.1572500000000003</v>
      </c>
      <c r="F34" s="65">
        <f t="shared" si="9"/>
        <v>8.0367405000000005</v>
      </c>
      <c r="G34" s="65">
        <f t="shared" si="5"/>
        <v>0.63824999999999998</v>
      </c>
      <c r="H34" s="65">
        <f t="shared" si="5"/>
        <v>4.6920000000000011</v>
      </c>
      <c r="I34" s="65">
        <f t="shared" si="5"/>
        <v>0.10695000000000003</v>
      </c>
      <c r="J34" s="65">
        <f t="shared" si="5"/>
        <v>1.6905000000000003E-2</v>
      </c>
      <c r="K34" s="65">
        <f t="shared" si="5"/>
        <v>2.0010000000000003E-2</v>
      </c>
      <c r="L34" s="65">
        <f t="shared" si="5"/>
        <v>0.14317500000000002</v>
      </c>
      <c r="M34" s="65">
        <f t="shared" si="5"/>
        <v>7.4175000000000005E-2</v>
      </c>
      <c r="N34" s="65">
        <f t="shared" si="5"/>
        <v>5313.0000000000009</v>
      </c>
      <c r="O34" s="65">
        <f t="shared" si="5"/>
        <v>75.037500000000023</v>
      </c>
      <c r="P34" s="65">
        <f t="shared" si="5"/>
        <v>0</v>
      </c>
      <c r="Q34" s="65">
        <f t="shared" si="10"/>
        <v>495.93750000000006</v>
      </c>
      <c r="R34" s="65">
        <f t="shared" si="11"/>
        <v>0</v>
      </c>
      <c r="S34" s="65">
        <f t="shared" si="11"/>
        <v>0.28980000000000006</v>
      </c>
      <c r="T34" s="65">
        <f t="shared" si="11"/>
        <v>0</v>
      </c>
      <c r="U34" s="126">
        <f t="shared" si="11"/>
        <v>0</v>
      </c>
    </row>
    <row r="35" spans="1:21" s="48" customFormat="1" ht="13" x14ac:dyDescent="0.35">
      <c r="A35" s="125" t="str">
        <f>G8</f>
        <v>SJC5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SJC6</v>
      </c>
      <c r="B36" s="11">
        <v>122</v>
      </c>
      <c r="C36" s="65">
        <f t="shared" si="6"/>
        <v>88.38900000000001</v>
      </c>
      <c r="D36" s="65">
        <f t="shared" si="7"/>
        <v>47.249813100000011</v>
      </c>
      <c r="E36" s="65">
        <f t="shared" si="8"/>
        <v>2.0287380000000002</v>
      </c>
      <c r="F36" s="65">
        <f t="shared" si="9"/>
        <v>3.9219293640000004</v>
      </c>
      <c r="G36" s="65">
        <f t="shared" si="5"/>
        <v>0.31146600000000002</v>
      </c>
      <c r="H36" s="65">
        <f t="shared" si="5"/>
        <v>2.2896960000000006</v>
      </c>
      <c r="I36" s="65">
        <f t="shared" si="5"/>
        <v>5.2191600000000012E-2</v>
      </c>
      <c r="J36" s="65">
        <f t="shared" si="5"/>
        <v>8.2496400000000008E-3</v>
      </c>
      <c r="K36" s="65">
        <f t="shared" si="5"/>
        <v>9.7648800000000018E-3</v>
      </c>
      <c r="L36" s="65">
        <f t="shared" si="5"/>
        <v>6.9869400000000012E-2</v>
      </c>
      <c r="M36" s="65">
        <f t="shared" si="5"/>
        <v>3.6197399999999998E-2</v>
      </c>
      <c r="N36" s="65">
        <f t="shared" si="5"/>
        <v>2592.7440000000001</v>
      </c>
      <c r="O36" s="65">
        <f t="shared" si="5"/>
        <v>36.618300000000012</v>
      </c>
      <c r="P36" s="65">
        <f t="shared" si="5"/>
        <v>0</v>
      </c>
      <c r="Q36" s="65">
        <f t="shared" si="10"/>
        <v>242.01750000000004</v>
      </c>
      <c r="R36" s="65">
        <f t="shared" si="11"/>
        <v>0</v>
      </c>
      <c r="S36" s="65">
        <f t="shared" si="11"/>
        <v>0.14142240000000003</v>
      </c>
      <c r="T36" s="65">
        <f t="shared" si="11"/>
        <v>0</v>
      </c>
      <c r="U36" s="126">
        <f t="shared" si="11"/>
        <v>0</v>
      </c>
    </row>
    <row r="37" spans="1:21" s="48" customFormat="1" ht="13" x14ac:dyDescent="0.35">
      <c r="A37" s="125" t="str">
        <f>I8</f>
        <v>BODNOLWYN A</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BODNOLWYN B</v>
      </c>
      <c r="B38" s="11">
        <v>0</v>
      </c>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SJC1</v>
      </c>
      <c r="C57" s="8" t="str">
        <f t="shared" ref="C57:U57" si="13">D8</f>
        <v>SJC2</v>
      </c>
      <c r="D57" s="8" t="str">
        <f t="shared" si="13"/>
        <v>SJC3</v>
      </c>
      <c r="E57" s="8" t="str">
        <f t="shared" si="13"/>
        <v>SJC4</v>
      </c>
      <c r="F57" s="8" t="str">
        <f t="shared" si="13"/>
        <v>SJC5</v>
      </c>
      <c r="G57" s="8" t="str">
        <f t="shared" si="13"/>
        <v>SJC6</v>
      </c>
      <c r="H57" s="8" t="str">
        <f t="shared" si="13"/>
        <v>BODNOLWYN A</v>
      </c>
      <c r="I57" s="8" t="str">
        <f t="shared" si="13"/>
        <v>BODNOLWYN 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Arable</v>
      </c>
      <c r="F58" s="10" t="str">
        <f>G16&amp;" I "&amp;(VLOOKUP(G14,Table245810[],6,FALSE))</f>
        <v>Medium/Clay I Grass</v>
      </c>
      <c r="G58" s="10" t="str">
        <f>H16&amp;" I "&amp;(VLOOKUP(H14,Table245810[],6,FALSE))</f>
        <v>Medium/Clay I Arable</v>
      </c>
      <c r="H58" s="10" t="str">
        <f>I16&amp;" I "&amp;(VLOOKUP(I14,Table245810[],6,FALSE))</f>
        <v>Medium/Clay I Grass</v>
      </c>
      <c r="I58" s="10" t="str">
        <f>J16&amp;" I "&amp;(VLOOKUP(J14,Table245810[],6,FALSE))</f>
        <v>Medium/Clay I Grass</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6.7</v>
      </c>
      <c r="F59" s="64">
        <f>VLOOKUP(G$14,Table245810[],5,FALSE)</f>
        <v>6.2</v>
      </c>
      <c r="G59" s="64">
        <f>VLOOKUP(H$14,Table245810[],5,FALSE)</f>
        <v>6.7</v>
      </c>
      <c r="H59" s="64">
        <f>VLOOKUP(I$14,Table245810[],5,FALSE)</f>
        <v>6.2</v>
      </c>
      <c r="I59" s="64">
        <f>VLOOKUP(J$14,Table245810[],5,FALSE)</f>
        <v>6.2</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5.8</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0</v>
      </c>
      <c r="D62" s="65">
        <f>B33</f>
        <v>169</v>
      </c>
      <c r="E62" s="65">
        <f>B34</f>
        <v>250</v>
      </c>
      <c r="F62" s="65">
        <f>B35</f>
        <v>0</v>
      </c>
      <c r="G62" s="65">
        <f>B36</f>
        <v>122</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1.7999999999999989</v>
      </c>
      <c r="G64" s="65">
        <f t="shared" si="17"/>
        <v>4.8000000000000043</v>
      </c>
      <c r="H64" s="65">
        <f t="shared" si="17"/>
        <v>2.4000000000000021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-1.7999999999999989</v>
      </c>
      <c r="G65" s="65">
        <f t="shared" si="18"/>
        <v>-4.8000000000000043</v>
      </c>
      <c r="H65" s="65">
        <f t="shared" si="18"/>
        <v>-2.4000000000000021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7IJmaLjWGcG+uWqtBbqQSzZw6myeFjkZw/y1nIj1KykBoLpgmpjxr9/9RRh+mNVuVRQ2KhRB00d1Gn5nt11/Iw==" saltValue="aPbbGZjpsMfNPqhrtNo2r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39" priority="37" operator="greaterThan">
      <formula>$B$51</formula>
    </cfRule>
  </conditionalFormatting>
  <conditionalFormatting sqref="B66:U66">
    <cfRule type="cellIs" dxfId="138" priority="12" operator="equal">
      <formula>"UNDER"</formula>
    </cfRule>
    <cfRule type="cellIs" dxfId="137" priority="13" operator="equal">
      <formula>"OVER"</formula>
    </cfRule>
  </conditionalFormatting>
  <conditionalFormatting sqref="C31:C50">
    <cfRule type="cellIs" dxfId="136" priority="36" operator="greaterThan">
      <formula>$C$51</formula>
    </cfRule>
  </conditionalFormatting>
  <conditionalFormatting sqref="C17:V19">
    <cfRule type="cellIs" dxfId="135" priority="33" operator="equal">
      <formula>0</formula>
    </cfRule>
  </conditionalFormatting>
  <conditionalFormatting sqref="C20:V21">
    <cfRule type="cellIs" dxfId="134" priority="38" operator="equal">
      <formula>"DECREASE"</formula>
    </cfRule>
    <cfRule type="cellIs" dxfId="133" priority="39" operator="equal">
      <formula>"INCREASE"</formula>
    </cfRule>
  </conditionalFormatting>
  <conditionalFormatting sqref="C21:V21">
    <cfRule type="cellIs" dxfId="132" priority="14" operator="equal">
      <formula>0</formula>
    </cfRule>
  </conditionalFormatting>
  <conditionalFormatting sqref="C22:V23">
    <cfRule type="cellIs" dxfId="131" priority="18" operator="equal">
      <formula>0</formula>
    </cfRule>
  </conditionalFormatting>
  <conditionalFormatting sqref="C24:V24">
    <cfRule type="cellIs" dxfId="130" priority="19" operator="equal">
      <formula>"DECREASE"</formula>
    </cfRule>
    <cfRule type="cellIs" dxfId="129" priority="20" operator="equal">
      <formula>"INCREASE"</formula>
    </cfRule>
  </conditionalFormatting>
  <conditionalFormatting sqref="G31:G50">
    <cfRule type="cellIs" dxfId="128" priority="32" operator="greaterThan">
      <formula>$G$51</formula>
    </cfRule>
  </conditionalFormatting>
  <conditionalFormatting sqref="H31:H50">
    <cfRule type="cellIs" dxfId="127" priority="31" operator="greaterThan">
      <formula>$H$51</formula>
    </cfRule>
  </conditionalFormatting>
  <conditionalFormatting sqref="I1">
    <cfRule type="cellIs" dxfId="126" priority="4" operator="between">
      <formula>0.1</formula>
      <formula>5</formula>
    </cfRule>
  </conditionalFormatting>
  <conditionalFormatting sqref="I2">
    <cfRule type="cellIs" dxfId="125" priority="3" operator="greaterThan">
      <formula>5000.1</formula>
    </cfRule>
  </conditionalFormatting>
  <conditionalFormatting sqref="I3">
    <cfRule type="cellIs" dxfId="124" priority="2" operator="greaterThan">
      <formula>40000.01</formula>
    </cfRule>
  </conditionalFormatting>
  <conditionalFormatting sqref="I31:I50">
    <cfRule type="cellIs" dxfId="123" priority="30" operator="greaterThan">
      <formula>$I$51</formula>
    </cfRule>
  </conditionalFormatting>
  <conditionalFormatting sqref="J31:J50">
    <cfRule type="cellIs" dxfId="122" priority="9" operator="greaterThan">
      <formula>$J$51</formula>
    </cfRule>
  </conditionalFormatting>
  <conditionalFormatting sqref="K31:K50">
    <cfRule type="cellIs" dxfId="121" priority="29" operator="greaterThan">
      <formula>$K$51</formula>
    </cfRule>
  </conditionalFormatting>
  <conditionalFormatting sqref="L3">
    <cfRule type="cellIs" dxfId="120" priority="5" operator="lessThan">
      <formula>30</formula>
    </cfRule>
    <cfRule type="cellIs" dxfId="119" priority="6" operator="greaterThanOrEqual">
      <formula>30</formula>
    </cfRule>
  </conditionalFormatting>
  <conditionalFormatting sqref="L31:L50">
    <cfRule type="cellIs" dxfId="118" priority="28" operator="greaterThan">
      <formula>$L$51</formula>
    </cfRule>
  </conditionalFormatting>
  <conditionalFormatting sqref="M31:M50">
    <cfRule type="cellIs" dxfId="117" priority="27" operator="greaterThan">
      <formula>$M$51</formula>
    </cfRule>
  </conditionalFormatting>
  <conditionalFormatting sqref="P31:P50">
    <cfRule type="cellIs" dxfId="116" priority="26" operator="greaterThan">
      <formula>$P$51</formula>
    </cfRule>
  </conditionalFormatting>
  <conditionalFormatting sqref="R31:R50">
    <cfRule type="cellIs" dxfId="115" priority="25" operator="greaterThan">
      <formula>$R$51</formula>
    </cfRule>
  </conditionalFormatting>
  <conditionalFormatting sqref="S31:S50">
    <cfRule type="cellIs" dxfId="114" priority="24" operator="greaterThan">
      <formula>$S$51</formula>
    </cfRule>
  </conditionalFormatting>
  <conditionalFormatting sqref="T31:T50">
    <cfRule type="cellIs" dxfId="113" priority="23" operator="greaterThan">
      <formula>$T$51</formula>
    </cfRule>
  </conditionalFormatting>
  <conditionalFormatting sqref="U31:U50">
    <cfRule type="cellIs" dxfId="112" priority="22"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Alaw'!C1:D1</f>
        <v>PAN-027648</v>
      </c>
      <c r="D1" s="167"/>
      <c r="E1" s="106" t="s">
        <v>45</v>
      </c>
      <c r="F1" s="113">
        <f>'Field data and Alaw'!F1</f>
        <v>44.3</v>
      </c>
      <c r="G1" s="134" t="s">
        <v>43</v>
      </c>
      <c r="H1" s="135"/>
      <c r="I1" s="109">
        <v>6.9</v>
      </c>
      <c r="J1" s="158" t="s">
        <v>153</v>
      </c>
      <c r="K1" s="159"/>
      <c r="L1" s="109">
        <v>268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Alaw'!C2:D2</f>
        <v>GP3792SK</v>
      </c>
      <c r="D2" s="169"/>
      <c r="E2" s="96" t="s">
        <v>109</v>
      </c>
      <c r="F2" s="110">
        <v>190902</v>
      </c>
      <c r="G2" s="136" t="s">
        <v>110</v>
      </c>
      <c r="H2" s="137"/>
      <c r="I2" s="110"/>
      <c r="J2" s="138" t="s">
        <v>158</v>
      </c>
      <c r="K2" s="139"/>
      <c r="L2" s="110">
        <v>0.63500000000000001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Alaw'!C3:D3</f>
        <v>Byproduct Recovery Limited</v>
      </c>
      <c r="D3" s="169"/>
      <c r="E3" s="96" t="s">
        <v>108</v>
      </c>
      <c r="F3" s="111" t="s">
        <v>78</v>
      </c>
      <c r="G3" s="138" t="s">
        <v>159</v>
      </c>
      <c r="H3" s="139"/>
      <c r="I3" s="110"/>
      <c r="J3" s="160" t="s">
        <v>154</v>
      </c>
      <c r="K3" s="161"/>
      <c r="L3" s="110">
        <f>(L1/(L2*10000))*100</f>
        <v>4.2204724409448824</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Alaw'!C4:D4</f>
        <v>Plas Bach, Cerrigceinwen, Bodorgan.LL62 5NS</v>
      </c>
      <c r="D4" s="171"/>
      <c r="E4" s="99" t="s">
        <v>1</v>
      </c>
      <c r="F4" s="110" t="s">
        <v>181</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Alaw'!C5:D5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Alaw'!C8</f>
        <v>SJC1</v>
      </c>
      <c r="D8" s="49" t="str">
        <f>'Field data and Alaw'!D8</f>
        <v>SJC2</v>
      </c>
      <c r="E8" s="49" t="str">
        <f>'Field data and Alaw'!E8</f>
        <v>SJC3</v>
      </c>
      <c r="F8" s="49" t="str">
        <f>'Field data and Alaw'!F8</f>
        <v>SJC4</v>
      </c>
      <c r="G8" s="49" t="str">
        <f>'Field data and Alaw'!G8</f>
        <v>SJC5</v>
      </c>
      <c r="H8" s="49" t="str">
        <f>'Field data and Alaw'!H8</f>
        <v>SJC6</v>
      </c>
      <c r="I8" s="49" t="str">
        <f>'Field data and Alaw'!I8</f>
        <v>BODNOLWYN A</v>
      </c>
      <c r="J8" s="49" t="str">
        <f>'Field data and Alaw'!J8</f>
        <v>BODNOLWYN B</v>
      </c>
      <c r="K8" s="49">
        <f>'Field data and Alaw'!K8</f>
        <v>0</v>
      </c>
      <c r="L8" s="49">
        <f>'Field data and Alaw'!L8</f>
        <v>0</v>
      </c>
      <c r="M8" s="49">
        <f>'Field data and Alaw'!M8</f>
        <v>0</v>
      </c>
      <c r="N8" s="49">
        <f>'Field data and Alaw'!N8</f>
        <v>0</v>
      </c>
      <c r="O8" s="49">
        <f>'Field data and Alaw'!O8</f>
        <v>0</v>
      </c>
      <c r="P8" s="49">
        <f>'Field data and Alaw'!P8</f>
        <v>0</v>
      </c>
      <c r="Q8" s="49">
        <f>'Field data and Alaw'!Q8</f>
        <v>0</v>
      </c>
      <c r="R8" s="49">
        <f>'Field data and Alaw'!R8</f>
        <v>0</v>
      </c>
      <c r="S8" s="49">
        <f>'Field data and Alaw'!S8</f>
        <v>0</v>
      </c>
      <c r="T8" s="49">
        <f>'Field data and Alaw'!T8</f>
        <v>0</v>
      </c>
      <c r="U8" s="49">
        <f>'Field data and Alaw'!U8</f>
        <v>0</v>
      </c>
      <c r="V8" s="102">
        <f>'Field data and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Alaw'!C9</f>
        <v>m</v>
      </c>
      <c r="D9" s="49" t="str">
        <f>'Field data and Alaw'!D9</f>
        <v>m</v>
      </c>
      <c r="E9" s="49" t="str">
        <f>'Field data and Alaw'!E9</f>
        <v>m</v>
      </c>
      <c r="F9" s="49">
        <f>'Field data and Alaw'!F9</f>
        <v>2</v>
      </c>
      <c r="G9" s="49" t="str">
        <f>'Field data and Alaw'!G9</f>
        <v>m</v>
      </c>
      <c r="H9" s="49">
        <f>'Field data and Alaw'!H9</f>
        <v>2</v>
      </c>
      <c r="I9" s="49" t="str">
        <f>'Field data and Alaw'!I9</f>
        <v xml:space="preserve">m </v>
      </c>
      <c r="J9" s="49" t="str">
        <f>'Field data and Alaw'!J9</f>
        <v xml:space="preserve">m </v>
      </c>
      <c r="K9" s="49">
        <f>'Field data and Alaw'!K9</f>
        <v>0</v>
      </c>
      <c r="L9" s="49">
        <f>'Field data and Alaw'!L9</f>
        <v>0</v>
      </c>
      <c r="M9" s="49">
        <f>'Field data and Alaw'!M9</f>
        <v>0</v>
      </c>
      <c r="N9" s="49">
        <f>'Field data and Alaw'!N9</f>
        <v>0</v>
      </c>
      <c r="O9" s="49">
        <f>'Field data and Alaw'!O9</f>
        <v>0</v>
      </c>
      <c r="P9" s="49">
        <f>'Field data and Alaw'!P9</f>
        <v>0</v>
      </c>
      <c r="Q9" s="49">
        <f>'Field data and Alaw'!Q9</f>
        <v>0</v>
      </c>
      <c r="R9" s="49">
        <f>'Field data and Alaw'!R9</f>
        <v>0</v>
      </c>
      <c r="S9" s="49">
        <f>'Field data and Alaw'!S9</f>
        <v>0</v>
      </c>
      <c r="T9" s="49">
        <f>'Field data and Alaw'!T9</f>
        <v>0</v>
      </c>
      <c r="U9" s="49">
        <f>'Field data and Alaw'!U9</f>
        <v>0</v>
      </c>
      <c r="V9" s="102">
        <f>'Field data and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Alaw'!C10</f>
        <v>6.4</v>
      </c>
      <c r="D10" s="49">
        <f>'Field data and Alaw'!D10</f>
        <v>5.8</v>
      </c>
      <c r="E10" s="49">
        <f>'Field data and Alaw'!E10</f>
        <v>6</v>
      </c>
      <c r="F10" s="49">
        <f>'Field data and Alaw'!F10</f>
        <v>6</v>
      </c>
      <c r="G10" s="49">
        <f>'Field data and Alaw'!G10</f>
        <v>5.9</v>
      </c>
      <c r="H10" s="49">
        <f>'Field data and Alaw'!H10</f>
        <v>6.1</v>
      </c>
      <c r="I10" s="49">
        <f>'Field data and Alaw'!I10</f>
        <v>5.8</v>
      </c>
      <c r="J10" s="49">
        <f>'Field data and Alaw'!J10</f>
        <v>5.7</v>
      </c>
      <c r="K10" s="49">
        <f>'Field data and Alaw'!K10</f>
        <v>0</v>
      </c>
      <c r="L10" s="49">
        <f>'Field data and Alaw'!L10</f>
        <v>0</v>
      </c>
      <c r="M10" s="49">
        <f>'Field data and Alaw'!M10</f>
        <v>0</v>
      </c>
      <c r="N10" s="49">
        <f>'Field data and Alaw'!N10</f>
        <v>0</v>
      </c>
      <c r="O10" s="49">
        <f>'Field data and Alaw'!O10</f>
        <v>0</v>
      </c>
      <c r="P10" s="49">
        <f>'Field data and Alaw'!P10</f>
        <v>0</v>
      </c>
      <c r="Q10" s="49">
        <f>'Field data and Alaw'!Q10</f>
        <v>0</v>
      </c>
      <c r="R10" s="49">
        <f>'Field data and Alaw'!R10</f>
        <v>0</v>
      </c>
      <c r="S10" s="49">
        <f>'Field data and Alaw'!S10</f>
        <v>0</v>
      </c>
      <c r="T10" s="49">
        <f>'Field data and Alaw'!T10</f>
        <v>0</v>
      </c>
      <c r="U10" s="49">
        <f>'Field data and Alaw'!U10</f>
        <v>0</v>
      </c>
      <c r="V10" s="102">
        <f>'Field data and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Alaw'!C11</f>
        <v>2</v>
      </c>
      <c r="D11" s="49">
        <f>'Field data and Alaw'!D11</f>
        <v>2</v>
      </c>
      <c r="E11" s="49">
        <f>'Field data and Alaw'!E11</f>
        <v>3</v>
      </c>
      <c r="F11" s="49">
        <f>'Field data and Alaw'!F11</f>
        <v>1</v>
      </c>
      <c r="G11" s="49">
        <f>'Field data and Alaw'!G11</f>
        <v>0</v>
      </c>
      <c r="H11" s="49">
        <f>'Field data and Alaw'!H11</f>
        <v>3</v>
      </c>
      <c r="I11" s="49">
        <f>'Field data and Alaw'!I11</f>
        <v>2</v>
      </c>
      <c r="J11" s="49">
        <f>'Field data and Alaw'!J11</f>
        <v>2</v>
      </c>
      <c r="K11" s="49">
        <f>'Field data and Alaw'!K11</f>
        <v>0</v>
      </c>
      <c r="L11" s="49">
        <f>'Field data and Alaw'!L11</f>
        <v>0</v>
      </c>
      <c r="M11" s="49">
        <f>'Field data and Alaw'!M11</f>
        <v>0</v>
      </c>
      <c r="N11" s="49">
        <f>'Field data and Alaw'!N11</f>
        <v>0</v>
      </c>
      <c r="O11" s="49">
        <f>'Field data and Alaw'!O11</f>
        <v>0</v>
      </c>
      <c r="P11" s="49">
        <f>'Field data and Alaw'!P11</f>
        <v>0</v>
      </c>
      <c r="Q11" s="49">
        <f>'Field data and Alaw'!Q11</f>
        <v>0</v>
      </c>
      <c r="R11" s="49">
        <f>'Field data and Alaw'!R11</f>
        <v>0</v>
      </c>
      <c r="S11" s="49">
        <f>'Field data and Alaw'!S11</f>
        <v>0</v>
      </c>
      <c r="T11" s="49">
        <f>'Field data and Alaw'!T11</f>
        <v>0</v>
      </c>
      <c r="U11" s="49">
        <f>'Field data and Alaw'!U11</f>
        <v>0</v>
      </c>
      <c r="V11" s="102">
        <f>'Field data and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Alaw'!C12</f>
        <v>3</v>
      </c>
      <c r="D12" s="49">
        <f>'Field data and Alaw'!D12</f>
        <v>4</v>
      </c>
      <c r="E12" s="49">
        <f>'Field data and Alaw'!E12</f>
        <v>4</v>
      </c>
      <c r="F12" s="49">
        <f>'Field data and Alaw'!F12</f>
        <v>1</v>
      </c>
      <c r="G12" s="49">
        <f>'Field data and Alaw'!G12</f>
        <v>1</v>
      </c>
      <c r="H12" s="49">
        <f>'Field data and Alaw'!H12</f>
        <v>2</v>
      </c>
      <c r="I12" s="49">
        <f>'Field data and Alaw'!I12</f>
        <v>2</v>
      </c>
      <c r="J12" s="49">
        <f>'Field data and Alaw'!J12</f>
        <v>2</v>
      </c>
      <c r="K12" s="49">
        <f>'Field data and Alaw'!K12</f>
        <v>0</v>
      </c>
      <c r="L12" s="49">
        <f>'Field data and Alaw'!L12</f>
        <v>0</v>
      </c>
      <c r="M12" s="49">
        <f>'Field data and Alaw'!M12</f>
        <v>0</v>
      </c>
      <c r="N12" s="49">
        <f>'Field data and Alaw'!N12</f>
        <v>0</v>
      </c>
      <c r="O12" s="49">
        <f>'Field data and Alaw'!O12</f>
        <v>0</v>
      </c>
      <c r="P12" s="49">
        <f>'Field data and Alaw'!P12</f>
        <v>0</v>
      </c>
      <c r="Q12" s="49">
        <f>'Field data and Alaw'!Q12</f>
        <v>0</v>
      </c>
      <c r="R12" s="49">
        <f>'Field data and Alaw'!R12</f>
        <v>0</v>
      </c>
      <c r="S12" s="49">
        <f>'Field data and Alaw'!S12</f>
        <v>0</v>
      </c>
      <c r="T12" s="49">
        <f>'Field data and Alaw'!T12</f>
        <v>0</v>
      </c>
      <c r="U12" s="49">
        <f>'Field data and Alaw'!U12</f>
        <v>0</v>
      </c>
      <c r="V12" s="102">
        <f>'Field data and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Alaw'!C13</f>
        <v>4</v>
      </c>
      <c r="D13" s="49">
        <f>'Field data and Alaw'!D13</f>
        <v>3</v>
      </c>
      <c r="E13" s="49">
        <f>'Field data and Alaw'!E13</f>
        <v>3</v>
      </c>
      <c r="F13" s="49">
        <f>'Field data and Alaw'!F13</f>
        <v>3</v>
      </c>
      <c r="G13" s="49">
        <f>'Field data and Alaw'!G13</f>
        <v>3</v>
      </c>
      <c r="H13" s="49">
        <f>'Field data and Alaw'!H13</f>
        <v>3</v>
      </c>
      <c r="I13" s="49">
        <f>'Field data and Alaw'!I13</f>
        <v>3</v>
      </c>
      <c r="J13" s="49">
        <f>'Field data and Alaw'!J13</f>
        <v>3</v>
      </c>
      <c r="K13" s="49">
        <f>'Field data and Alaw'!K13</f>
        <v>0</v>
      </c>
      <c r="L13" s="49">
        <f>'Field data and Alaw'!L13</f>
        <v>0</v>
      </c>
      <c r="M13" s="49">
        <f>'Field data and Alaw'!M13</f>
        <v>0</v>
      </c>
      <c r="N13" s="49">
        <f>'Field data and Alaw'!N13</f>
        <v>0</v>
      </c>
      <c r="O13" s="49">
        <f>'Field data and Alaw'!O13</f>
        <v>0</v>
      </c>
      <c r="P13" s="49">
        <f>'Field data and Alaw'!P13</f>
        <v>0</v>
      </c>
      <c r="Q13" s="49">
        <f>'Field data and Alaw'!Q13</f>
        <v>0</v>
      </c>
      <c r="R13" s="49">
        <f>'Field data and Alaw'!R13</f>
        <v>0</v>
      </c>
      <c r="S13" s="49">
        <f>'Field data and Alaw'!S13</f>
        <v>0</v>
      </c>
      <c r="T13" s="49">
        <f>'Field data and Alaw'!T13</f>
        <v>0</v>
      </c>
      <c r="U13" s="49">
        <f>'Field data and Alaw'!U13</f>
        <v>0</v>
      </c>
      <c r="V13" s="102">
        <f>'Field data and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Alaw'!C14</f>
        <v xml:space="preserve">Grass Silage (25% DM) </v>
      </c>
      <c r="D14" s="83" t="str">
        <f>'Field data and Alaw'!D14</f>
        <v xml:space="preserve">Grass Silage (25% DM) </v>
      </c>
      <c r="E14" s="83" t="str">
        <f>'Field data and Alaw'!E14</f>
        <v xml:space="preserve">Grass Silage (25% DM) </v>
      </c>
      <c r="F14" s="83" t="str">
        <f>'Field data and Alaw'!F14</f>
        <v>Spring wheat/barley</v>
      </c>
      <c r="G14" s="83" t="str">
        <f>'Field data and Alaw'!G14</f>
        <v xml:space="preserve">Grass Silage (25% DM) </v>
      </c>
      <c r="H14" s="83" t="str">
        <f>'Field data and Alaw'!H14</f>
        <v>Spring wheat/barley</v>
      </c>
      <c r="I14" s="83" t="str">
        <f>'Field data and Alaw'!I14</f>
        <v xml:space="preserve">Grass Silage (25% DM) </v>
      </c>
      <c r="J14" s="83" t="str">
        <f>'Field data and Alaw'!J14</f>
        <v xml:space="preserve">Grass Silage (25% DM) </v>
      </c>
      <c r="K14" s="83">
        <f>'Field data and Alaw'!K14</f>
        <v>0</v>
      </c>
      <c r="L14" s="83">
        <f>'Field data and Alaw'!L14</f>
        <v>0</v>
      </c>
      <c r="M14" s="83">
        <f>'Field data and Alaw'!M14</f>
        <v>0</v>
      </c>
      <c r="N14" s="83">
        <f>'Field data and Alaw'!N14</f>
        <v>0</v>
      </c>
      <c r="O14" s="83">
        <f>'Field data and Alaw'!O14</f>
        <v>0</v>
      </c>
      <c r="P14" s="83">
        <f>'Field data and Alaw'!P14</f>
        <v>0</v>
      </c>
      <c r="Q14" s="83">
        <f>'Field data and Alaw'!Q14</f>
        <v>0</v>
      </c>
      <c r="R14" s="83">
        <f>'Field data and Alaw'!R14</f>
        <v>0</v>
      </c>
      <c r="S14" s="83">
        <f>'Field data and Alaw'!S14</f>
        <v>0</v>
      </c>
      <c r="T14" s="83">
        <f>'Field data and Alaw'!T14</f>
        <v>0</v>
      </c>
      <c r="U14" s="83">
        <f>'Field data and Alaw'!U14</f>
        <v>0</v>
      </c>
      <c r="V14" s="103">
        <f>'Field data and Alaw'!V14</f>
        <v>0</v>
      </c>
      <c r="AD14" s="22" t="s">
        <v>138</v>
      </c>
      <c r="AE14" s="22">
        <v>6</v>
      </c>
      <c r="AI14" s="43" t="s">
        <v>119</v>
      </c>
      <c r="AJ14" s="44">
        <v>0.8</v>
      </c>
      <c r="AK14" s="45">
        <v>1.7</v>
      </c>
      <c r="AL14" s="9">
        <v>12</v>
      </c>
      <c r="AM14" s="9">
        <v>6.7</v>
      </c>
      <c r="AN14" s="9" t="s">
        <v>135</v>
      </c>
    </row>
    <row r="15" spans="1:41" ht="13" x14ac:dyDescent="0.25">
      <c r="A15" s="152" t="s">
        <v>9</v>
      </c>
      <c r="B15" s="153"/>
      <c r="C15" s="49">
        <f>'Field data and Alaw'!C15</f>
        <v>38</v>
      </c>
      <c r="D15" s="49">
        <f>'Field data and Alaw'!D15</f>
        <v>38</v>
      </c>
      <c r="E15" s="49">
        <f>'Field data and Alaw'!E15</f>
        <v>38</v>
      </c>
      <c r="F15" s="49">
        <f>'Field data and Alaw'!F15</f>
        <v>5.5</v>
      </c>
      <c r="G15" s="49">
        <f>'Field data and Alaw'!G15</f>
        <v>38</v>
      </c>
      <c r="H15" s="49">
        <f>'Field data and Alaw'!H15</f>
        <v>5.5</v>
      </c>
      <c r="I15" s="49">
        <f>'Field data and Alaw'!I15</f>
        <v>38</v>
      </c>
      <c r="J15" s="49">
        <f>'Field data and Alaw'!J15</f>
        <v>38</v>
      </c>
      <c r="K15" s="49">
        <f>'Field data and Alaw'!K15</f>
        <v>0</v>
      </c>
      <c r="L15" s="49">
        <f>'Field data and Alaw'!L15</f>
        <v>0</v>
      </c>
      <c r="M15" s="49">
        <f>'Field data and Alaw'!M15</f>
        <v>0</v>
      </c>
      <c r="N15" s="49">
        <f>'Field data and Alaw'!N15</f>
        <v>0</v>
      </c>
      <c r="O15" s="49">
        <f>'Field data and Alaw'!O15</f>
        <v>0</v>
      </c>
      <c r="P15" s="49">
        <f>'Field data and Alaw'!P15</f>
        <v>0</v>
      </c>
      <c r="Q15" s="49">
        <f>'Field data and Alaw'!Q15</f>
        <v>0</v>
      </c>
      <c r="R15" s="49">
        <f>'Field data and Alaw'!R15</f>
        <v>0</v>
      </c>
      <c r="S15" s="49">
        <f>'Field data and Alaw'!S15</f>
        <v>0</v>
      </c>
      <c r="T15" s="49">
        <f>'Field data and Alaw'!T15</f>
        <v>0</v>
      </c>
      <c r="U15" s="49">
        <f>'Field data and Alaw'!U15</f>
        <v>0</v>
      </c>
      <c r="V15" s="102">
        <f>'Field data and Alaw'!V15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Alaw'!C16</f>
        <v>Medium/Clay</v>
      </c>
      <c r="D16" s="104" t="str">
        <f>'Field data and Alaw'!D16</f>
        <v>Medium/Clay</v>
      </c>
      <c r="E16" s="104" t="str">
        <f>'Field data and Alaw'!E16</f>
        <v>Medium/Clay</v>
      </c>
      <c r="F16" s="104" t="str">
        <f>'Field data and Alaw'!F16</f>
        <v>Medium/Clay</v>
      </c>
      <c r="G16" s="104" t="str">
        <f>'Field data and Alaw'!G16</f>
        <v>Medium/Clay</v>
      </c>
      <c r="H16" s="104" t="str">
        <f>'Field data and Alaw'!H16</f>
        <v>Medium/Clay</v>
      </c>
      <c r="I16" s="104" t="str">
        <f>'Field data and Alaw'!I16</f>
        <v>Medium/Clay</v>
      </c>
      <c r="J16" s="104" t="str">
        <f>'Field data and Alaw'!J16</f>
        <v>Medium/Clay</v>
      </c>
      <c r="K16" s="104">
        <f>'Field data and Alaw'!K16</f>
        <v>0</v>
      </c>
      <c r="L16" s="104">
        <f>'Field data and Alaw'!L16</f>
        <v>0</v>
      </c>
      <c r="M16" s="104">
        <f>'Field data and Alaw'!M16</f>
        <v>0</v>
      </c>
      <c r="N16" s="104">
        <f>'Field data and Alaw'!N16</f>
        <v>0</v>
      </c>
      <c r="O16" s="104">
        <f>'Field data and Alaw'!O16</f>
        <v>0</v>
      </c>
      <c r="P16" s="104">
        <f>'Field data and Alaw'!P16</f>
        <v>0</v>
      </c>
      <c r="Q16" s="104">
        <f>'Field data and Alaw'!Q16</f>
        <v>0</v>
      </c>
      <c r="R16" s="104">
        <f>'Field data and Alaw'!R16</f>
        <v>0</v>
      </c>
      <c r="S16" s="104">
        <f>'Field data and Alaw'!S16</f>
        <v>0</v>
      </c>
      <c r="T16" s="104">
        <f>'Field data and Alaw'!T16</f>
        <v>0</v>
      </c>
      <c r="U16" s="104">
        <f>'Field data and Alaw'!U16</f>
        <v>0</v>
      </c>
      <c r="V16" s="105">
        <f>'Field data and Alaw'!V16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46.75</v>
      </c>
      <c r="G17" s="20">
        <f t="shared" si="0"/>
        <v>64.599999999999994</v>
      </c>
      <c r="H17" s="20">
        <f t="shared" si="0"/>
        <v>46.75</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61.610144750000011</v>
      </c>
      <c r="D18" s="12">
        <f>$D32</f>
        <v>61.610144750000011</v>
      </c>
      <c r="E18" s="12">
        <f>$D33</f>
        <v>36.966086850000003</v>
      </c>
      <c r="F18" s="12">
        <f>$D34</f>
        <v>61.610144750000011</v>
      </c>
      <c r="G18" s="12">
        <f>$D35</f>
        <v>61.610144750000011</v>
      </c>
      <c r="H18" s="12">
        <f>$D36</f>
        <v>23.411855005</v>
      </c>
      <c r="I18" s="12">
        <f>$D37</f>
        <v>61.610144750000011</v>
      </c>
      <c r="J18" s="12">
        <f>$D38</f>
        <v>61.610144750000011</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-2.9898552499999838</v>
      </c>
      <c r="D19" s="12">
        <f t="shared" ref="D19:V19" si="1">D18-D17</f>
        <v>-2.9898552499999838</v>
      </c>
      <c r="E19" s="12">
        <f t="shared" si="1"/>
        <v>-27.633913149999991</v>
      </c>
      <c r="F19" s="12">
        <f t="shared" si="1"/>
        <v>14.860144750000011</v>
      </c>
      <c r="G19" s="12">
        <f t="shared" si="1"/>
        <v>-2.9898552499999838</v>
      </c>
      <c r="H19" s="12">
        <f t="shared" si="1"/>
        <v>-23.338144995</v>
      </c>
      <c r="I19" s="12">
        <f t="shared" si="1"/>
        <v>-2.9898552499999838</v>
      </c>
      <c r="J19" s="12">
        <f t="shared" si="1"/>
        <v>-2.9898552499999838</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66</v>
      </c>
      <c r="G21" s="20">
        <f t="shared" si="2"/>
        <v>228</v>
      </c>
      <c r="H21" s="20">
        <f t="shared" si="2"/>
        <v>66</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2.3299578750000003</v>
      </c>
      <c r="D22" s="12">
        <f>$E32</f>
        <v>2.3299578750000003</v>
      </c>
      <c r="E22" s="12">
        <f>$E33</f>
        <v>1.3979747250000001</v>
      </c>
      <c r="F22" s="12">
        <f>$E34</f>
        <v>2.3299578750000003</v>
      </c>
      <c r="G22" s="12">
        <f>$E35</f>
        <v>2.3299578750000003</v>
      </c>
      <c r="H22" s="12">
        <f>$E36</f>
        <v>0.88538399249999999</v>
      </c>
      <c r="I22" s="12">
        <f>$E37</f>
        <v>2.3299578750000003</v>
      </c>
      <c r="J22" s="12">
        <f>$E38</f>
        <v>2.3299578750000003</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-225.67004212500001</v>
      </c>
      <c r="D23" s="12">
        <f t="shared" ref="D23:V23" si="3">D22-D21</f>
        <v>-225.67004212500001</v>
      </c>
      <c r="E23" s="12">
        <f t="shared" si="3"/>
        <v>-226.60202527499999</v>
      </c>
      <c r="F23" s="12">
        <f t="shared" si="3"/>
        <v>-63.670042125000002</v>
      </c>
      <c r="G23" s="12">
        <f t="shared" si="3"/>
        <v>-225.67004212500001</v>
      </c>
      <c r="H23" s="12">
        <f t="shared" si="3"/>
        <v>-65.114616007500004</v>
      </c>
      <c r="I23" s="12">
        <f t="shared" si="3"/>
        <v>-225.67004212500001</v>
      </c>
      <c r="J23" s="12">
        <f t="shared" si="3"/>
        <v>-225.67004212500001</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8.89</v>
      </c>
      <c r="C28" s="11">
        <v>0.63500000000000001</v>
      </c>
      <c r="D28" s="11">
        <v>0.121</v>
      </c>
      <c r="E28" s="11">
        <v>8.6999999999999994E-3</v>
      </c>
      <c r="F28" s="11">
        <v>342</v>
      </c>
      <c r="G28" s="11">
        <v>27</v>
      </c>
      <c r="H28" s="11">
        <v>413</v>
      </c>
      <c r="I28" s="11">
        <v>32.6</v>
      </c>
      <c r="J28" s="11">
        <v>1.1299999999999999</v>
      </c>
      <c r="K28" s="15">
        <v>0.45</v>
      </c>
      <c r="L28" s="11">
        <v>33.1</v>
      </c>
      <c r="M28" s="11">
        <v>14</v>
      </c>
      <c r="N28" s="11">
        <v>4270</v>
      </c>
      <c r="O28" s="11">
        <v>452000</v>
      </c>
      <c r="P28" s="11"/>
      <c r="Q28" s="11">
        <v>1990</v>
      </c>
      <c r="R28" s="11"/>
      <c r="S28" s="11">
        <v>12.5</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SJC1</v>
      </c>
      <c r="B31" s="11">
        <v>250</v>
      </c>
      <c r="C31" s="65">
        <f>IF(C$27="%w/w SAR",((C$28*10)*$B31),IF(C$27="%w/w DM",(((C$28*10)*($B$28/100))*$B31),IF(C$27="kg/t SAR",(C$28*$B31),IF(C$27="kg/t DM",((C$28*($B$28/100))*$B31),IF(C$27="mg/kg SAR",((C$28*0.001)*$B31),IF(C$27="mg/kg DM",(((C$28*0.001)*($B$28/100))*$B31),0))))))</f>
        <v>141.12875</v>
      </c>
      <c r="D31" s="65">
        <f>(IF(D$27="%w/w SAR",((D$28*10)*$B31),IF(D$27="%w/w DM",(((D$28*10)*($B$28/100))*$B31),IF(D$27="kg/t SAR",(D$28*$B31),IF(D$27="kg/t DM",((D$28*($B$28/100))*$B31),IF(D$27="mg/kg SAR",((D$28*0.001)*$B31),IF(D$27="mg/kg DM",(((D$28*0.001)*($B$28/100))*$B31),"0")))))))*2.291</f>
        <v>61.610144750000011</v>
      </c>
      <c r="E31" s="65">
        <f>(IF(E$27="%w/w SAR",((E$28*10)*$B31),IF(E$27="%w/w DM",(((E$28*10)*($B$28/100))*$B31),IF(E$27="kg/t SAR",(E$28*$B31),IF(E$27="kg/t DM",((E$28*($B$28/100))*$B31),IF(E$27="mg/kg SAR",((E$28*0.001)*$B31),IF(E$27="mg/kg DM",(((E$28*0.001)*($B$28/100))*$B31),"0")))))))*1.205</f>
        <v>2.3299578750000003</v>
      </c>
      <c r="F31" s="65">
        <f>(IF(F$27="%w/w SAR",((F$28*10)*$B31),IF(F$27="%w/w DM",(((F$28*10)*($B$28/100))*$B31),IF(F$27="kg/t SAR",(F$28*$B31),IF(F$27="kg/t DM",((F$28*($B$28/100))*$B31),IF(F$27="mg/kg SAR",((F$28*0.001)*$B31),IF(F$27="mg/kg DM",(((F$28*0.001)*($B$28/100))*$B31),"0")))))))*1.658</f>
        <v>12.602375100000001</v>
      </c>
      <c r="G31" s="65">
        <f t="shared" ref="G31:P46" si="5">IF(G$27="%w/w SAR",((G$28*10)*$B31),IF(G$27="%w/w DM",(((G$28*10)*($B$28/100))*$B31),IF(G$27="kg/t SAR",(G$28*$B31),IF(G$27="kg/t DM",((G$28*($B$28/100))*$B31),IF(G$27="mg/kg SAR",((G$28*0.001)*$B31),IF(G$27="mg/kg DM",(((G$28*0.001)*($B$28/100))*$B31),0))))))</f>
        <v>0.60007500000000003</v>
      </c>
      <c r="H31" s="65">
        <f t="shared" si="5"/>
        <v>9.1789250000000013</v>
      </c>
      <c r="I31" s="65">
        <f t="shared" si="5"/>
        <v>0.72453500000000015</v>
      </c>
      <c r="J31" s="65">
        <f t="shared" si="5"/>
        <v>2.5114250000000001E-2</v>
      </c>
      <c r="K31" s="65">
        <f t="shared" si="5"/>
        <v>1.0001250000000001E-2</v>
      </c>
      <c r="L31" s="65">
        <f t="shared" si="5"/>
        <v>0.73564750000000012</v>
      </c>
      <c r="M31" s="65">
        <f t="shared" si="5"/>
        <v>0.31115000000000004</v>
      </c>
      <c r="N31" s="65">
        <f t="shared" si="5"/>
        <v>94.900750000000016</v>
      </c>
      <c r="O31" s="65">
        <f t="shared" si="5"/>
        <v>10045.700000000001</v>
      </c>
      <c r="P31" s="65">
        <f t="shared" si="5"/>
        <v>0</v>
      </c>
      <c r="Q31" s="65">
        <f>(IF(Q$27="%w/w SAR",((Q$28*10)*$B31),IF(Q$27="%w/w DM",(((Q$28*10)*($B$28/100))*$B31),IF(Q$27="kg/t SAR",(Q$28*$B31),IF(Q$27="kg/t DM",((Q$28*($B$28/100))*$B31),IF(Q$27="mg/kg SAR",((Q$28*0.001)*$B31),IF(Q$27="mg/kg DM",(((Q$28*0.001)*($B$28/100))*$B31),0)))))))*2.5</f>
        <v>110.56937500000001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0.27781250000000002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SJC2</v>
      </c>
      <c r="B32" s="11">
        <v>250</v>
      </c>
      <c r="C32" s="65">
        <f t="shared" ref="C32:C50" si="6">IF(C$27="%w/w SAR",((C$28*10)*$B32),IF(C$27="%w/w DM",(((C$28*10)*($B$28/100))*$B32),IF(C$27="kg/t SAR",(C$28*$B32),IF(C$27="kg/t DM",((C$28*($B$28/100))*$B32),IF(C$27="mg/kg SAR",((C$28*0.001)*$B32),IF(C$27="mg/kg DM",(((C$28*0.001)*($B$28/100))*$B32),0))))))</f>
        <v>141.12875</v>
      </c>
      <c r="D32" s="65">
        <f t="shared" ref="D32:D50" si="7">(IF(D$27="%w/w SAR",((D$28*10)*$B32),IF(D$27="%w/w DM",(((D$28*10)*($B$28/100))*$B32),IF(D$27="kg/t SAR",(D$28*$B32),IF(D$27="kg/t DM",((D$28*($B$28/100))*$B32),IF(D$27="mg/kg SAR",((D$28*0.001)*$B32),IF(D$27="mg/kg DM",(((D$28*0.001)*($B$28/100))*$B32),"0")))))))*2.291</f>
        <v>61.610144750000011</v>
      </c>
      <c r="E32" s="65">
        <f t="shared" ref="E32:E50" si="8">(IF(E$27="%w/w SAR",((E$28*10)*$B32),IF(E$27="%w/w DM",(((E$28*10)*($B$28/100))*$B32),IF(E$27="kg/t SAR",(E$28*$B32),IF(E$27="kg/t DM",((E$28*($B$28/100))*$B32),IF(E$27="mg/kg SAR",((E$28*0.001)*$B32),IF(E$27="mg/kg DM",(((E$28*0.001)*($B$28/100))*$B32),"0")))))))*1.205</f>
        <v>2.3299578750000003</v>
      </c>
      <c r="F32" s="65">
        <f t="shared" ref="F32:F50" si="9">(IF(F$27="%w/w SAR",((F$28*10)*$B32),IF(F$27="%w/w DM",(((F$28*10)*($B$28/100))*$B32),IF(F$27="kg/t SAR",(F$28*$B32),IF(F$27="kg/t DM",((F$28*($B$28/100))*$B32),IF(F$27="mg/kg SAR",((F$28*0.001)*$B32),IF(F$27="mg/kg DM",(((F$28*0.001)*($B$28/100))*$B32),"0")))))))*1.658</f>
        <v>12.602375100000001</v>
      </c>
      <c r="G32" s="65">
        <f t="shared" si="5"/>
        <v>0.60007500000000003</v>
      </c>
      <c r="H32" s="65">
        <f t="shared" si="5"/>
        <v>9.1789250000000013</v>
      </c>
      <c r="I32" s="65">
        <f t="shared" si="5"/>
        <v>0.72453500000000015</v>
      </c>
      <c r="J32" s="65">
        <f t="shared" si="5"/>
        <v>2.5114250000000001E-2</v>
      </c>
      <c r="K32" s="65">
        <f t="shared" si="5"/>
        <v>1.0001250000000001E-2</v>
      </c>
      <c r="L32" s="65">
        <f t="shared" si="5"/>
        <v>0.73564750000000012</v>
      </c>
      <c r="M32" s="65">
        <f t="shared" si="5"/>
        <v>0.31115000000000004</v>
      </c>
      <c r="N32" s="65">
        <f t="shared" si="5"/>
        <v>94.900750000000016</v>
      </c>
      <c r="O32" s="65">
        <f t="shared" si="5"/>
        <v>10045.700000000001</v>
      </c>
      <c r="P32" s="65">
        <f t="shared" si="5"/>
        <v>0</v>
      </c>
      <c r="Q32" s="65">
        <f t="shared" ref="Q32:Q50" si="10">(IF(Q$27="%w/w SAR",((Q$28*10)*$B32),IF(Q$27="%w/w DM",(((Q$28*10)*($B$28/100))*$B32),IF(Q$27="kg/t SAR",(Q$28*$B32),IF(Q$27="kg/t DM",((Q$28*($B$28/100))*$B32),IF(Q$27="mg/kg SAR",((Q$28*0.001)*$B32),IF(Q$27="mg/kg DM",(((Q$28*0.001)*($B$28/100))*$B32),0)))))))*2.5</f>
        <v>110.56937500000001</v>
      </c>
      <c r="R32" s="65">
        <f t="shared" ref="R32:U50" si="11">IF(R$27="%w/w SAR",((R$28*10)*$B32),IF(R$27="%w/w DM",(((R$28*10)*($B$28/100))*$B32),IF(R$27="kg/t SAR",(R$28*$B32),IF(R$27="kg/t DM",((R$28*($B$28/100))*$B32),IF(R$27="mg/kg SAR",((R$28*0.001)*$B32),IF(R$27="mg/kg DM",(((R$28*0.001)*($B$28/100))*$B32),0))))))</f>
        <v>0</v>
      </c>
      <c r="S32" s="65">
        <f t="shared" si="11"/>
        <v>0.27781250000000002</v>
      </c>
      <c r="T32" s="65">
        <f t="shared" si="11"/>
        <v>0</v>
      </c>
      <c r="U32" s="126">
        <f t="shared" si="11"/>
        <v>0</v>
      </c>
    </row>
    <row r="33" spans="1:21" s="48" customFormat="1" ht="13" x14ac:dyDescent="0.35">
      <c r="A33" s="125" t="str">
        <f>E8</f>
        <v>SJC3</v>
      </c>
      <c r="B33" s="11">
        <v>150</v>
      </c>
      <c r="C33" s="65">
        <f t="shared" si="6"/>
        <v>84.677250000000001</v>
      </c>
      <c r="D33" s="65">
        <f t="shared" si="7"/>
        <v>36.966086850000003</v>
      </c>
      <c r="E33" s="65">
        <f t="shared" si="8"/>
        <v>1.3979747250000001</v>
      </c>
      <c r="F33" s="65">
        <f t="shared" si="9"/>
        <v>7.5614250600000013</v>
      </c>
      <c r="G33" s="65">
        <f t="shared" si="5"/>
        <v>0.360045</v>
      </c>
      <c r="H33" s="65">
        <f t="shared" si="5"/>
        <v>5.5073550000000004</v>
      </c>
      <c r="I33" s="65">
        <f t="shared" si="5"/>
        <v>0.43472100000000008</v>
      </c>
      <c r="J33" s="65">
        <f t="shared" si="5"/>
        <v>1.506855E-2</v>
      </c>
      <c r="K33" s="65">
        <f t="shared" si="5"/>
        <v>6.0007500000000009E-3</v>
      </c>
      <c r="L33" s="65">
        <f t="shared" si="5"/>
        <v>0.44138850000000007</v>
      </c>
      <c r="M33" s="65">
        <f t="shared" si="5"/>
        <v>0.18669000000000002</v>
      </c>
      <c r="N33" s="65">
        <f t="shared" si="5"/>
        <v>56.940450000000013</v>
      </c>
      <c r="O33" s="65">
        <f t="shared" si="5"/>
        <v>6027.42</v>
      </c>
      <c r="P33" s="65">
        <f t="shared" si="5"/>
        <v>0</v>
      </c>
      <c r="Q33" s="65">
        <f t="shared" si="10"/>
        <v>66.341625000000008</v>
      </c>
      <c r="R33" s="65">
        <f t="shared" si="11"/>
        <v>0</v>
      </c>
      <c r="S33" s="65">
        <f t="shared" si="11"/>
        <v>0.16668750000000002</v>
      </c>
      <c r="T33" s="65">
        <f t="shared" si="11"/>
        <v>0</v>
      </c>
      <c r="U33" s="126">
        <f t="shared" si="11"/>
        <v>0</v>
      </c>
    </row>
    <row r="34" spans="1:21" s="48" customFormat="1" ht="13" x14ac:dyDescent="0.35">
      <c r="A34" s="125" t="str">
        <f>F8</f>
        <v>SJC4</v>
      </c>
      <c r="B34" s="11">
        <v>250</v>
      </c>
      <c r="C34" s="65">
        <f t="shared" si="6"/>
        <v>141.12875</v>
      </c>
      <c r="D34" s="65">
        <f t="shared" si="7"/>
        <v>61.610144750000011</v>
      </c>
      <c r="E34" s="65">
        <f t="shared" si="8"/>
        <v>2.3299578750000003</v>
      </c>
      <c r="F34" s="65">
        <f t="shared" si="9"/>
        <v>12.602375100000001</v>
      </c>
      <c r="G34" s="65">
        <f t="shared" si="5"/>
        <v>0.60007500000000003</v>
      </c>
      <c r="H34" s="65">
        <f t="shared" si="5"/>
        <v>9.1789250000000013</v>
      </c>
      <c r="I34" s="65">
        <f t="shared" si="5"/>
        <v>0.72453500000000015</v>
      </c>
      <c r="J34" s="65">
        <f t="shared" si="5"/>
        <v>2.5114250000000001E-2</v>
      </c>
      <c r="K34" s="65">
        <f t="shared" si="5"/>
        <v>1.0001250000000001E-2</v>
      </c>
      <c r="L34" s="65">
        <f t="shared" si="5"/>
        <v>0.73564750000000012</v>
      </c>
      <c r="M34" s="65">
        <f t="shared" si="5"/>
        <v>0.31115000000000004</v>
      </c>
      <c r="N34" s="65">
        <f t="shared" si="5"/>
        <v>94.900750000000016</v>
      </c>
      <c r="O34" s="65">
        <f t="shared" si="5"/>
        <v>10045.700000000001</v>
      </c>
      <c r="P34" s="65">
        <f t="shared" si="5"/>
        <v>0</v>
      </c>
      <c r="Q34" s="65">
        <f t="shared" si="10"/>
        <v>110.56937500000001</v>
      </c>
      <c r="R34" s="65">
        <f t="shared" si="11"/>
        <v>0</v>
      </c>
      <c r="S34" s="65">
        <f t="shared" si="11"/>
        <v>0.27781250000000002</v>
      </c>
      <c r="T34" s="65">
        <f t="shared" si="11"/>
        <v>0</v>
      </c>
      <c r="U34" s="126">
        <f t="shared" si="11"/>
        <v>0</v>
      </c>
    </row>
    <row r="35" spans="1:21" s="48" customFormat="1" ht="13" x14ac:dyDescent="0.35">
      <c r="A35" s="125" t="str">
        <f>G8</f>
        <v>SJC5</v>
      </c>
      <c r="B35" s="11">
        <v>250</v>
      </c>
      <c r="C35" s="65">
        <f t="shared" si="6"/>
        <v>141.12875</v>
      </c>
      <c r="D35" s="65">
        <f t="shared" si="7"/>
        <v>61.610144750000011</v>
      </c>
      <c r="E35" s="65">
        <f t="shared" si="8"/>
        <v>2.3299578750000003</v>
      </c>
      <c r="F35" s="65">
        <f t="shared" si="9"/>
        <v>12.602375100000001</v>
      </c>
      <c r="G35" s="65">
        <f t="shared" si="5"/>
        <v>0.60007500000000003</v>
      </c>
      <c r="H35" s="65">
        <f t="shared" si="5"/>
        <v>9.1789250000000013</v>
      </c>
      <c r="I35" s="65">
        <f t="shared" si="5"/>
        <v>0.72453500000000015</v>
      </c>
      <c r="J35" s="65">
        <f t="shared" si="5"/>
        <v>2.5114250000000001E-2</v>
      </c>
      <c r="K35" s="65">
        <f t="shared" si="5"/>
        <v>1.0001250000000001E-2</v>
      </c>
      <c r="L35" s="65">
        <f t="shared" si="5"/>
        <v>0.73564750000000012</v>
      </c>
      <c r="M35" s="65">
        <f t="shared" si="5"/>
        <v>0.31115000000000004</v>
      </c>
      <c r="N35" s="65">
        <f t="shared" si="5"/>
        <v>94.900750000000016</v>
      </c>
      <c r="O35" s="65">
        <f t="shared" si="5"/>
        <v>10045.700000000001</v>
      </c>
      <c r="P35" s="65">
        <f t="shared" si="5"/>
        <v>0</v>
      </c>
      <c r="Q35" s="65">
        <f t="shared" si="10"/>
        <v>110.56937500000001</v>
      </c>
      <c r="R35" s="65">
        <f t="shared" si="11"/>
        <v>0</v>
      </c>
      <c r="S35" s="65">
        <f t="shared" si="11"/>
        <v>0.27781250000000002</v>
      </c>
      <c r="T35" s="65">
        <f t="shared" si="11"/>
        <v>0</v>
      </c>
      <c r="U35" s="126">
        <f t="shared" si="11"/>
        <v>0</v>
      </c>
    </row>
    <row r="36" spans="1:21" s="48" customFormat="1" ht="13" x14ac:dyDescent="0.35">
      <c r="A36" s="125" t="str">
        <f>H8</f>
        <v>SJC6</v>
      </c>
      <c r="B36" s="11">
        <v>95</v>
      </c>
      <c r="C36" s="65">
        <f t="shared" si="6"/>
        <v>53.628925000000002</v>
      </c>
      <c r="D36" s="65">
        <f t="shared" si="7"/>
        <v>23.411855005</v>
      </c>
      <c r="E36" s="65">
        <f t="shared" si="8"/>
        <v>0.88538399249999999</v>
      </c>
      <c r="F36" s="65">
        <f t="shared" si="9"/>
        <v>4.7889025380000012</v>
      </c>
      <c r="G36" s="65">
        <f t="shared" si="5"/>
        <v>0.22802850000000002</v>
      </c>
      <c r="H36" s="65">
        <f t="shared" si="5"/>
        <v>3.4879915000000006</v>
      </c>
      <c r="I36" s="65">
        <f t="shared" si="5"/>
        <v>0.27532330000000005</v>
      </c>
      <c r="J36" s="65">
        <f t="shared" si="5"/>
        <v>9.5434149999999995E-3</v>
      </c>
      <c r="K36" s="65">
        <f t="shared" si="5"/>
        <v>3.8004750000000006E-3</v>
      </c>
      <c r="L36" s="65">
        <f t="shared" si="5"/>
        <v>0.27954605000000005</v>
      </c>
      <c r="M36" s="65">
        <f t="shared" si="5"/>
        <v>0.11823700000000002</v>
      </c>
      <c r="N36" s="65">
        <f t="shared" si="5"/>
        <v>36.06228500000001</v>
      </c>
      <c r="O36" s="65">
        <f t="shared" si="5"/>
        <v>3817.366</v>
      </c>
      <c r="P36" s="65">
        <f t="shared" si="5"/>
        <v>0</v>
      </c>
      <c r="Q36" s="65">
        <f t="shared" si="10"/>
        <v>42.0163625</v>
      </c>
      <c r="R36" s="65">
        <f t="shared" si="11"/>
        <v>0</v>
      </c>
      <c r="S36" s="65">
        <f t="shared" si="11"/>
        <v>0.10556875</v>
      </c>
      <c r="T36" s="65">
        <f t="shared" si="11"/>
        <v>0</v>
      </c>
      <c r="U36" s="126">
        <f t="shared" si="11"/>
        <v>0</v>
      </c>
    </row>
    <row r="37" spans="1:21" s="48" customFormat="1" ht="13" x14ac:dyDescent="0.35">
      <c r="A37" s="125" t="str">
        <f>I8</f>
        <v>BODNOLWYN A</v>
      </c>
      <c r="B37" s="11">
        <v>250</v>
      </c>
      <c r="C37" s="65">
        <f t="shared" si="6"/>
        <v>141.12875</v>
      </c>
      <c r="D37" s="65">
        <f t="shared" si="7"/>
        <v>61.610144750000011</v>
      </c>
      <c r="E37" s="65">
        <f t="shared" si="8"/>
        <v>2.3299578750000003</v>
      </c>
      <c r="F37" s="65">
        <f t="shared" si="9"/>
        <v>12.602375100000001</v>
      </c>
      <c r="G37" s="65">
        <f t="shared" si="5"/>
        <v>0.60007500000000003</v>
      </c>
      <c r="H37" s="65">
        <f t="shared" si="5"/>
        <v>9.1789250000000013</v>
      </c>
      <c r="I37" s="65">
        <f t="shared" si="5"/>
        <v>0.72453500000000015</v>
      </c>
      <c r="J37" s="65">
        <f t="shared" si="5"/>
        <v>2.5114250000000001E-2</v>
      </c>
      <c r="K37" s="65">
        <f t="shared" si="5"/>
        <v>1.0001250000000001E-2</v>
      </c>
      <c r="L37" s="65">
        <f t="shared" si="5"/>
        <v>0.73564750000000012</v>
      </c>
      <c r="M37" s="65">
        <f t="shared" si="5"/>
        <v>0.31115000000000004</v>
      </c>
      <c r="N37" s="65">
        <f t="shared" si="5"/>
        <v>94.900750000000016</v>
      </c>
      <c r="O37" s="65">
        <f t="shared" si="5"/>
        <v>10045.700000000001</v>
      </c>
      <c r="P37" s="65">
        <f t="shared" si="5"/>
        <v>0</v>
      </c>
      <c r="Q37" s="65">
        <f t="shared" si="10"/>
        <v>110.56937500000001</v>
      </c>
      <c r="R37" s="65">
        <f t="shared" si="11"/>
        <v>0</v>
      </c>
      <c r="S37" s="65">
        <f t="shared" si="11"/>
        <v>0.27781250000000002</v>
      </c>
      <c r="T37" s="65">
        <f t="shared" si="11"/>
        <v>0</v>
      </c>
      <c r="U37" s="126">
        <f t="shared" si="11"/>
        <v>0</v>
      </c>
    </row>
    <row r="38" spans="1:21" s="48" customFormat="1" ht="13" x14ac:dyDescent="0.35">
      <c r="A38" s="125" t="str">
        <f>J8</f>
        <v>BODNOLWYN B</v>
      </c>
      <c r="B38" s="11">
        <v>250</v>
      </c>
      <c r="C38" s="65">
        <f t="shared" si="6"/>
        <v>141.12875</v>
      </c>
      <c r="D38" s="65">
        <f t="shared" si="7"/>
        <v>61.610144750000011</v>
      </c>
      <c r="E38" s="65">
        <f t="shared" si="8"/>
        <v>2.3299578750000003</v>
      </c>
      <c r="F38" s="65">
        <f t="shared" si="9"/>
        <v>12.602375100000001</v>
      </c>
      <c r="G38" s="65">
        <f t="shared" si="5"/>
        <v>0.60007500000000003</v>
      </c>
      <c r="H38" s="65">
        <f t="shared" si="5"/>
        <v>9.1789250000000013</v>
      </c>
      <c r="I38" s="65">
        <f t="shared" si="5"/>
        <v>0.72453500000000015</v>
      </c>
      <c r="J38" s="65">
        <f t="shared" si="5"/>
        <v>2.5114250000000001E-2</v>
      </c>
      <c r="K38" s="65">
        <f t="shared" si="5"/>
        <v>1.0001250000000001E-2</v>
      </c>
      <c r="L38" s="65">
        <f t="shared" si="5"/>
        <v>0.73564750000000012</v>
      </c>
      <c r="M38" s="65">
        <f t="shared" si="5"/>
        <v>0.31115000000000004</v>
      </c>
      <c r="N38" s="65">
        <f t="shared" si="5"/>
        <v>94.900750000000016</v>
      </c>
      <c r="O38" s="65">
        <f t="shared" si="5"/>
        <v>10045.700000000001</v>
      </c>
      <c r="P38" s="65">
        <f t="shared" si="5"/>
        <v>0</v>
      </c>
      <c r="Q38" s="65">
        <f t="shared" si="10"/>
        <v>110.56937500000001</v>
      </c>
      <c r="R38" s="65">
        <f t="shared" si="11"/>
        <v>0</v>
      </c>
      <c r="S38" s="65">
        <f t="shared" si="11"/>
        <v>0.27781250000000002</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SJC1</v>
      </c>
      <c r="C57" s="8" t="str">
        <f t="shared" ref="C57:U57" si="13">D8</f>
        <v>SJC2</v>
      </c>
      <c r="D57" s="8" t="str">
        <f t="shared" si="13"/>
        <v>SJC3</v>
      </c>
      <c r="E57" s="8" t="str">
        <f t="shared" si="13"/>
        <v>SJC4</v>
      </c>
      <c r="F57" s="8" t="str">
        <f t="shared" si="13"/>
        <v>SJC5</v>
      </c>
      <c r="G57" s="8" t="str">
        <f t="shared" si="13"/>
        <v>SJC6</v>
      </c>
      <c r="H57" s="8" t="str">
        <f t="shared" si="13"/>
        <v>BODNOLWYN A</v>
      </c>
      <c r="I57" s="8" t="str">
        <f t="shared" si="13"/>
        <v>BODNOLWYN 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Arable</v>
      </c>
      <c r="F58" s="10" t="str">
        <f>G16&amp;" I "&amp;(VLOOKUP(G14,Table2458[],6,FALSE))</f>
        <v>Medium/Clay I Grass</v>
      </c>
      <c r="G58" s="10" t="str">
        <f>H16&amp;" I "&amp;(VLOOKUP(H14,Table2458[],6,FALSE))</f>
        <v>Medium/Clay I Arable</v>
      </c>
      <c r="H58" s="10" t="str">
        <f>I16&amp;" I "&amp;(VLOOKUP(I14,Table2458[],6,FALSE))</f>
        <v>Medium/Clay I Grass</v>
      </c>
      <c r="I58" s="10" t="str">
        <f>J16&amp;" I "&amp;(VLOOKUP(J14,Table2458[],6,FALSE))</f>
        <v>Medium/Clay I Grass</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6.7</v>
      </c>
      <c r="F59" s="64">
        <f>VLOOKUP(G$14,Table2458[],5,FALSE)</f>
        <v>6.2</v>
      </c>
      <c r="G59" s="64">
        <f>VLOOKUP(H$14,Table2458[],5,FALSE)</f>
        <v>6.7</v>
      </c>
      <c r="H59" s="64">
        <f>VLOOKUP(I$14,Table2458[],5,FALSE)</f>
        <v>6.2</v>
      </c>
      <c r="I59" s="64">
        <f>VLOOKUP(J$14,Table2458[],5,FALSE)</f>
        <v>6.2</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5.8</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150</v>
      </c>
      <c r="E62" s="65">
        <f>B34</f>
        <v>250</v>
      </c>
      <c r="F62" s="65">
        <f>B35</f>
        <v>250</v>
      </c>
      <c r="G62" s="65">
        <f>B36</f>
        <v>95</v>
      </c>
      <c r="H62" s="65">
        <f>B37</f>
        <v>250</v>
      </c>
      <c r="I62" s="65">
        <f>B38</f>
        <v>250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1.7999999999999989</v>
      </c>
      <c r="G64" s="65">
        <f t="shared" si="17"/>
        <v>4.8000000000000043</v>
      </c>
      <c r="H64" s="65">
        <f t="shared" si="17"/>
        <v>2.4000000000000021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-1.7999999999999989</v>
      </c>
      <c r="G65" s="65">
        <f t="shared" si="18"/>
        <v>-4.8000000000000043</v>
      </c>
      <c r="H65" s="65">
        <f t="shared" si="18"/>
        <v>-2.4000000000000021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VMJHIc93PRA3x+6LbZdnnTzBiGpEDzgd7Idzs+CbU386eKKIt+RVfE+Qc8MLxiZuM2JrVB/9zxFiw+g4ny5MZA==" saltValue="mSAyv/MpoRDyG7S19PKys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1" priority="37" operator="greaterThan">
      <formula>$B$51</formula>
    </cfRule>
  </conditionalFormatting>
  <conditionalFormatting sqref="B66:U66">
    <cfRule type="cellIs" dxfId="110" priority="12" operator="equal">
      <formula>"UNDER"</formula>
    </cfRule>
    <cfRule type="cellIs" dxfId="109" priority="13" operator="equal">
      <formula>"OVER"</formula>
    </cfRule>
  </conditionalFormatting>
  <conditionalFormatting sqref="C31:C50">
    <cfRule type="cellIs" dxfId="108" priority="36" operator="greaterThan">
      <formula>$C$51</formula>
    </cfRule>
  </conditionalFormatting>
  <conditionalFormatting sqref="C17:V19">
    <cfRule type="cellIs" dxfId="107" priority="33" operator="equal">
      <formula>0</formula>
    </cfRule>
  </conditionalFormatting>
  <conditionalFormatting sqref="C20:V21">
    <cfRule type="cellIs" dxfId="106" priority="38" operator="equal">
      <formula>"DECREASE"</formula>
    </cfRule>
    <cfRule type="cellIs" dxfId="105" priority="39" operator="equal">
      <formula>"INCREASE"</formula>
    </cfRule>
  </conditionalFormatting>
  <conditionalFormatting sqref="C21:V21">
    <cfRule type="cellIs" dxfId="104" priority="14" operator="equal">
      <formula>0</formula>
    </cfRule>
  </conditionalFormatting>
  <conditionalFormatting sqref="C22:V23">
    <cfRule type="cellIs" dxfId="103" priority="18" operator="equal">
      <formula>0</formula>
    </cfRule>
  </conditionalFormatting>
  <conditionalFormatting sqref="C24:V24">
    <cfRule type="cellIs" dxfId="102" priority="19" operator="equal">
      <formula>"DECREASE"</formula>
    </cfRule>
    <cfRule type="cellIs" dxfId="101" priority="20" operator="equal">
      <formula>"INCREASE"</formula>
    </cfRule>
  </conditionalFormatting>
  <conditionalFormatting sqref="G31:G50">
    <cfRule type="cellIs" dxfId="100" priority="32" operator="greaterThan">
      <formula>$G$51</formula>
    </cfRule>
  </conditionalFormatting>
  <conditionalFormatting sqref="H31:H50">
    <cfRule type="cellIs" dxfId="99" priority="31" operator="greaterThan">
      <formula>$H$51</formula>
    </cfRule>
  </conditionalFormatting>
  <conditionalFormatting sqref="I1">
    <cfRule type="cellIs" dxfId="98" priority="4" operator="between">
      <formula>0.1</formula>
      <formula>5</formula>
    </cfRule>
  </conditionalFormatting>
  <conditionalFormatting sqref="I2">
    <cfRule type="cellIs" dxfId="97" priority="3" operator="greaterThan">
      <formula>5000.1</formula>
    </cfRule>
  </conditionalFormatting>
  <conditionalFormatting sqref="I3">
    <cfRule type="cellIs" dxfId="96" priority="2" operator="greaterThan">
      <formula>40000.01</formula>
    </cfRule>
  </conditionalFormatting>
  <conditionalFormatting sqref="I31:I50">
    <cfRule type="cellIs" dxfId="95" priority="30" operator="greaterThan">
      <formula>$I$51</formula>
    </cfRule>
  </conditionalFormatting>
  <conditionalFormatting sqref="J31:J50">
    <cfRule type="cellIs" dxfId="94" priority="9" operator="greaterThan">
      <formula>$J$51</formula>
    </cfRule>
  </conditionalFormatting>
  <conditionalFormatting sqref="K31:K50">
    <cfRule type="cellIs" dxfId="93" priority="29" operator="greaterThan">
      <formula>$K$51</formula>
    </cfRule>
  </conditionalFormatting>
  <conditionalFormatting sqref="L3">
    <cfRule type="cellIs" dxfId="92" priority="5" operator="lessThan">
      <formula>30</formula>
    </cfRule>
    <cfRule type="cellIs" dxfId="91" priority="6" operator="greaterThanOrEqual">
      <formula>30</formula>
    </cfRule>
  </conditionalFormatting>
  <conditionalFormatting sqref="L31:L50">
    <cfRule type="cellIs" dxfId="90" priority="28" operator="greaterThan">
      <formula>$L$51</formula>
    </cfRule>
  </conditionalFormatting>
  <conditionalFormatting sqref="M31:M50">
    <cfRule type="cellIs" dxfId="89" priority="27" operator="greaterThan">
      <formula>$M$51</formula>
    </cfRule>
  </conditionalFormatting>
  <conditionalFormatting sqref="P31:P50">
    <cfRule type="cellIs" dxfId="88" priority="26" operator="greaterThan">
      <formula>$P$51</formula>
    </cfRule>
  </conditionalFormatting>
  <conditionalFormatting sqref="R31:R50">
    <cfRule type="cellIs" dxfId="87" priority="25" operator="greaterThan">
      <formula>$R$51</formula>
    </cfRule>
  </conditionalFormatting>
  <conditionalFormatting sqref="S31:S50">
    <cfRule type="cellIs" dxfId="86" priority="24" operator="greaterThan">
      <formula>$S$51</formula>
    </cfRule>
  </conditionalFormatting>
  <conditionalFormatting sqref="T31:T50">
    <cfRule type="cellIs" dxfId="85" priority="23" operator="greaterThan">
      <formula>$T$51</formula>
    </cfRule>
  </conditionalFormatting>
  <conditionalFormatting sqref="U31:U50">
    <cfRule type="cellIs" dxfId="84" priority="22"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Alaw'!C1:D1</f>
        <v>PAN-027648</v>
      </c>
      <c r="D1" s="167"/>
      <c r="E1" s="106" t="s">
        <v>45</v>
      </c>
      <c r="F1" s="113">
        <f>'Field data and Alaw'!F1</f>
        <v>44.3</v>
      </c>
      <c r="G1" s="134" t="s">
        <v>43</v>
      </c>
      <c r="H1" s="135"/>
      <c r="I1" s="109">
        <v>7</v>
      </c>
      <c r="J1" s="158" t="s">
        <v>153</v>
      </c>
      <c r="K1" s="159"/>
      <c r="L1" s="109">
        <v>218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Alaw'!C2:D2</f>
        <v>GP3792SK</v>
      </c>
      <c r="D2" s="169"/>
      <c r="E2" s="96" t="s">
        <v>109</v>
      </c>
      <c r="F2" s="110">
        <v>190902</v>
      </c>
      <c r="G2" s="136" t="s">
        <v>110</v>
      </c>
      <c r="H2" s="137"/>
      <c r="I2" s="110"/>
      <c r="J2" s="138" t="s">
        <v>158</v>
      </c>
      <c r="K2" s="139"/>
      <c r="L2" s="110">
        <v>0.72199999999999998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Alaw'!C3:D3</f>
        <v>Byproduct Recovery Limited</v>
      </c>
      <c r="D3" s="169"/>
      <c r="E3" s="96" t="s">
        <v>108</v>
      </c>
      <c r="F3" s="111" t="s">
        <v>78</v>
      </c>
      <c r="G3" s="138" t="s">
        <v>159</v>
      </c>
      <c r="H3" s="139"/>
      <c r="I3" s="110"/>
      <c r="J3" s="160" t="s">
        <v>154</v>
      </c>
      <c r="K3" s="161"/>
      <c r="L3" s="110">
        <f>(L1/(L2*10000))*100</f>
        <v>3.0193905817174516</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Alaw'!C4:D4</f>
        <v>Plas Bach, Cerrigceinwen, Bodorgan.LL62 5NS</v>
      </c>
      <c r="D4" s="171"/>
      <c r="E4" s="99" t="s">
        <v>1</v>
      </c>
      <c r="F4" s="110" t="s">
        <v>182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Alaw'!C5:D5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Alaw'!C8</f>
        <v>SJC1</v>
      </c>
      <c r="D8" s="49" t="str">
        <f>'Field data and Alaw'!D8</f>
        <v>SJC2</v>
      </c>
      <c r="E8" s="49" t="str">
        <f>'Field data and Alaw'!E8</f>
        <v>SJC3</v>
      </c>
      <c r="F8" s="49" t="str">
        <f>'Field data and Alaw'!F8</f>
        <v>SJC4</v>
      </c>
      <c r="G8" s="49" t="str">
        <f>'Field data and Alaw'!G8</f>
        <v>SJC5</v>
      </c>
      <c r="H8" s="49" t="str">
        <f>'Field data and Alaw'!H8</f>
        <v>SJC6</v>
      </c>
      <c r="I8" s="49" t="str">
        <f>'Field data and Alaw'!I8</f>
        <v>BODNOLWYN A</v>
      </c>
      <c r="J8" s="49" t="str">
        <f>'Field data and Alaw'!J8</f>
        <v>BODNOLWYN B</v>
      </c>
      <c r="K8" s="49">
        <f>'Field data and Alaw'!K8</f>
        <v>0</v>
      </c>
      <c r="L8" s="49">
        <f>'Field data and Alaw'!L8</f>
        <v>0</v>
      </c>
      <c r="M8" s="49">
        <f>'Field data and Alaw'!M8</f>
        <v>0</v>
      </c>
      <c r="N8" s="49">
        <f>'Field data and Alaw'!N8</f>
        <v>0</v>
      </c>
      <c r="O8" s="49">
        <f>'Field data and Alaw'!O8</f>
        <v>0</v>
      </c>
      <c r="P8" s="49">
        <f>'Field data and Alaw'!P8</f>
        <v>0</v>
      </c>
      <c r="Q8" s="49">
        <f>'Field data and Alaw'!Q8</f>
        <v>0</v>
      </c>
      <c r="R8" s="49">
        <f>'Field data and Alaw'!R8</f>
        <v>0</v>
      </c>
      <c r="S8" s="49">
        <f>'Field data and Alaw'!S8</f>
        <v>0</v>
      </c>
      <c r="T8" s="49">
        <f>'Field data and Alaw'!T8</f>
        <v>0</v>
      </c>
      <c r="U8" s="49">
        <f>'Field data and Alaw'!U8</f>
        <v>0</v>
      </c>
      <c r="V8" s="102">
        <f>'Field data and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Alaw'!C9</f>
        <v>m</v>
      </c>
      <c r="D9" s="49" t="str">
        <f>'Field data and Alaw'!D9</f>
        <v>m</v>
      </c>
      <c r="E9" s="49" t="str">
        <f>'Field data and Alaw'!E9</f>
        <v>m</v>
      </c>
      <c r="F9" s="49">
        <f>'Field data and Alaw'!F9</f>
        <v>2</v>
      </c>
      <c r="G9" s="49" t="str">
        <f>'Field data and Alaw'!G9</f>
        <v>m</v>
      </c>
      <c r="H9" s="49">
        <f>'Field data and Alaw'!H9</f>
        <v>2</v>
      </c>
      <c r="I9" s="49" t="str">
        <f>'Field data and Alaw'!I9</f>
        <v xml:space="preserve">m </v>
      </c>
      <c r="J9" s="49" t="str">
        <f>'Field data and Alaw'!J9</f>
        <v xml:space="preserve">m </v>
      </c>
      <c r="K9" s="49">
        <f>'Field data and Alaw'!K9</f>
        <v>0</v>
      </c>
      <c r="L9" s="49">
        <f>'Field data and Alaw'!L9</f>
        <v>0</v>
      </c>
      <c r="M9" s="49">
        <f>'Field data and Alaw'!M9</f>
        <v>0</v>
      </c>
      <c r="N9" s="49">
        <f>'Field data and Alaw'!N9</f>
        <v>0</v>
      </c>
      <c r="O9" s="49">
        <f>'Field data and Alaw'!O9</f>
        <v>0</v>
      </c>
      <c r="P9" s="49">
        <f>'Field data and Alaw'!P9</f>
        <v>0</v>
      </c>
      <c r="Q9" s="49">
        <f>'Field data and Alaw'!Q9</f>
        <v>0</v>
      </c>
      <c r="R9" s="49">
        <f>'Field data and Alaw'!R9</f>
        <v>0</v>
      </c>
      <c r="S9" s="49">
        <f>'Field data and Alaw'!S9</f>
        <v>0</v>
      </c>
      <c r="T9" s="49">
        <f>'Field data and Alaw'!T9</f>
        <v>0</v>
      </c>
      <c r="U9" s="49">
        <f>'Field data and Alaw'!U9</f>
        <v>0</v>
      </c>
      <c r="V9" s="102">
        <f>'Field data and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Alaw'!C10</f>
        <v>6.4</v>
      </c>
      <c r="D10" s="49">
        <f>'Field data and Alaw'!D10</f>
        <v>5.8</v>
      </c>
      <c r="E10" s="49">
        <f>'Field data and Alaw'!E10</f>
        <v>6</v>
      </c>
      <c r="F10" s="49">
        <f>'Field data and Alaw'!F10</f>
        <v>6</v>
      </c>
      <c r="G10" s="49">
        <f>'Field data and Alaw'!G10</f>
        <v>5.9</v>
      </c>
      <c r="H10" s="49">
        <f>'Field data and Alaw'!H10</f>
        <v>6.1</v>
      </c>
      <c r="I10" s="49">
        <f>'Field data and Alaw'!I10</f>
        <v>5.8</v>
      </c>
      <c r="J10" s="49">
        <f>'Field data and Alaw'!J10</f>
        <v>5.7</v>
      </c>
      <c r="K10" s="49">
        <f>'Field data and Alaw'!K10</f>
        <v>0</v>
      </c>
      <c r="L10" s="49">
        <f>'Field data and Alaw'!L10</f>
        <v>0</v>
      </c>
      <c r="M10" s="49">
        <f>'Field data and Alaw'!M10</f>
        <v>0</v>
      </c>
      <c r="N10" s="49">
        <f>'Field data and Alaw'!N10</f>
        <v>0</v>
      </c>
      <c r="O10" s="49">
        <f>'Field data and Alaw'!O10</f>
        <v>0</v>
      </c>
      <c r="P10" s="49">
        <f>'Field data and Alaw'!P10</f>
        <v>0</v>
      </c>
      <c r="Q10" s="49">
        <f>'Field data and Alaw'!Q10</f>
        <v>0</v>
      </c>
      <c r="R10" s="49">
        <f>'Field data and Alaw'!R10</f>
        <v>0</v>
      </c>
      <c r="S10" s="49">
        <f>'Field data and Alaw'!S10</f>
        <v>0</v>
      </c>
      <c r="T10" s="49">
        <f>'Field data and Alaw'!T10</f>
        <v>0</v>
      </c>
      <c r="U10" s="49">
        <f>'Field data and Alaw'!U10</f>
        <v>0</v>
      </c>
      <c r="V10" s="102">
        <f>'Field data and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Alaw'!C11</f>
        <v>2</v>
      </c>
      <c r="D11" s="49">
        <f>'Field data and Alaw'!D11</f>
        <v>2</v>
      </c>
      <c r="E11" s="49">
        <f>'Field data and Alaw'!E11</f>
        <v>3</v>
      </c>
      <c r="F11" s="49">
        <f>'Field data and Alaw'!F11</f>
        <v>1</v>
      </c>
      <c r="G11" s="49">
        <f>'Field data and Alaw'!G11</f>
        <v>0</v>
      </c>
      <c r="H11" s="49">
        <f>'Field data and Alaw'!H11</f>
        <v>3</v>
      </c>
      <c r="I11" s="49">
        <f>'Field data and Alaw'!I11</f>
        <v>2</v>
      </c>
      <c r="J11" s="49">
        <f>'Field data and Alaw'!J11</f>
        <v>2</v>
      </c>
      <c r="K11" s="49">
        <f>'Field data and Alaw'!K11</f>
        <v>0</v>
      </c>
      <c r="L11" s="49">
        <f>'Field data and Alaw'!L11</f>
        <v>0</v>
      </c>
      <c r="M11" s="49">
        <f>'Field data and Alaw'!M11</f>
        <v>0</v>
      </c>
      <c r="N11" s="49">
        <f>'Field data and Alaw'!N11</f>
        <v>0</v>
      </c>
      <c r="O11" s="49">
        <f>'Field data and Alaw'!O11</f>
        <v>0</v>
      </c>
      <c r="P11" s="49">
        <f>'Field data and Alaw'!P11</f>
        <v>0</v>
      </c>
      <c r="Q11" s="49">
        <f>'Field data and Alaw'!Q11</f>
        <v>0</v>
      </c>
      <c r="R11" s="49">
        <f>'Field data and Alaw'!R11</f>
        <v>0</v>
      </c>
      <c r="S11" s="49">
        <f>'Field data and Alaw'!S11</f>
        <v>0</v>
      </c>
      <c r="T11" s="49">
        <f>'Field data and Alaw'!T11</f>
        <v>0</v>
      </c>
      <c r="U11" s="49">
        <f>'Field data and Alaw'!U11</f>
        <v>0</v>
      </c>
      <c r="V11" s="102">
        <f>'Field data and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Alaw'!C12</f>
        <v>3</v>
      </c>
      <c r="D12" s="49">
        <f>'Field data and Alaw'!D12</f>
        <v>4</v>
      </c>
      <c r="E12" s="49">
        <f>'Field data and Alaw'!E12</f>
        <v>4</v>
      </c>
      <c r="F12" s="49">
        <f>'Field data and Alaw'!F12</f>
        <v>1</v>
      </c>
      <c r="G12" s="49">
        <f>'Field data and Alaw'!G12</f>
        <v>1</v>
      </c>
      <c r="H12" s="49">
        <f>'Field data and Alaw'!H12</f>
        <v>2</v>
      </c>
      <c r="I12" s="49">
        <f>'Field data and Alaw'!I12</f>
        <v>2</v>
      </c>
      <c r="J12" s="49">
        <f>'Field data and Alaw'!J12</f>
        <v>2</v>
      </c>
      <c r="K12" s="49">
        <f>'Field data and Alaw'!K12</f>
        <v>0</v>
      </c>
      <c r="L12" s="49">
        <f>'Field data and Alaw'!L12</f>
        <v>0</v>
      </c>
      <c r="M12" s="49">
        <f>'Field data and Alaw'!M12</f>
        <v>0</v>
      </c>
      <c r="N12" s="49">
        <f>'Field data and Alaw'!N12</f>
        <v>0</v>
      </c>
      <c r="O12" s="49">
        <f>'Field data and Alaw'!O12</f>
        <v>0</v>
      </c>
      <c r="P12" s="49">
        <f>'Field data and Alaw'!P12</f>
        <v>0</v>
      </c>
      <c r="Q12" s="49">
        <f>'Field data and Alaw'!Q12</f>
        <v>0</v>
      </c>
      <c r="R12" s="49">
        <f>'Field data and Alaw'!R12</f>
        <v>0</v>
      </c>
      <c r="S12" s="49">
        <f>'Field data and Alaw'!S12</f>
        <v>0</v>
      </c>
      <c r="T12" s="49">
        <f>'Field data and Alaw'!T12</f>
        <v>0</v>
      </c>
      <c r="U12" s="49">
        <f>'Field data and Alaw'!U12</f>
        <v>0</v>
      </c>
      <c r="V12" s="102">
        <f>'Field data and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Alaw'!C13</f>
        <v>4</v>
      </c>
      <c r="D13" s="49">
        <f>'Field data and Alaw'!D13</f>
        <v>3</v>
      </c>
      <c r="E13" s="49">
        <f>'Field data and Alaw'!E13</f>
        <v>3</v>
      </c>
      <c r="F13" s="49">
        <f>'Field data and Alaw'!F13</f>
        <v>3</v>
      </c>
      <c r="G13" s="49">
        <f>'Field data and Alaw'!G13</f>
        <v>3</v>
      </c>
      <c r="H13" s="49">
        <f>'Field data and Alaw'!H13</f>
        <v>3</v>
      </c>
      <c r="I13" s="49">
        <f>'Field data and Alaw'!I13</f>
        <v>3</v>
      </c>
      <c r="J13" s="49">
        <f>'Field data and Alaw'!J13</f>
        <v>3</v>
      </c>
      <c r="K13" s="49">
        <f>'Field data and Alaw'!K13</f>
        <v>0</v>
      </c>
      <c r="L13" s="49">
        <f>'Field data and Alaw'!L13</f>
        <v>0</v>
      </c>
      <c r="M13" s="49">
        <f>'Field data and Alaw'!M13</f>
        <v>0</v>
      </c>
      <c r="N13" s="49">
        <f>'Field data and Alaw'!N13</f>
        <v>0</v>
      </c>
      <c r="O13" s="49">
        <f>'Field data and Alaw'!O13</f>
        <v>0</v>
      </c>
      <c r="P13" s="49">
        <f>'Field data and Alaw'!P13</f>
        <v>0</v>
      </c>
      <c r="Q13" s="49">
        <f>'Field data and Alaw'!Q13</f>
        <v>0</v>
      </c>
      <c r="R13" s="49">
        <f>'Field data and Alaw'!R13</f>
        <v>0</v>
      </c>
      <c r="S13" s="49">
        <f>'Field data and Alaw'!S13</f>
        <v>0</v>
      </c>
      <c r="T13" s="49">
        <f>'Field data and Alaw'!T13</f>
        <v>0</v>
      </c>
      <c r="U13" s="49">
        <f>'Field data and Alaw'!U13</f>
        <v>0</v>
      </c>
      <c r="V13" s="102">
        <f>'Field data and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Alaw'!C14</f>
        <v xml:space="preserve">Grass Silage (25% DM) </v>
      </c>
      <c r="D14" s="83" t="str">
        <f>'Field data and Alaw'!D14</f>
        <v xml:space="preserve">Grass Silage (25% DM) </v>
      </c>
      <c r="E14" s="83" t="str">
        <f>'Field data and Alaw'!E14</f>
        <v xml:space="preserve">Grass Silage (25% DM) </v>
      </c>
      <c r="F14" s="83" t="str">
        <f>'Field data and Alaw'!F14</f>
        <v>Spring wheat/barley</v>
      </c>
      <c r="G14" s="83" t="str">
        <f>'Field data and Alaw'!G14</f>
        <v xml:space="preserve">Grass Silage (25% DM) </v>
      </c>
      <c r="H14" s="83" t="str">
        <f>'Field data and Alaw'!H14</f>
        <v>Spring wheat/barley</v>
      </c>
      <c r="I14" s="83" t="str">
        <f>'Field data and Alaw'!I14</f>
        <v xml:space="preserve">Grass Silage (25% DM) </v>
      </c>
      <c r="J14" s="83" t="str">
        <f>'Field data and Alaw'!J14</f>
        <v xml:space="preserve">Grass Silage (25% DM) </v>
      </c>
      <c r="K14" s="83">
        <f>'Field data and Alaw'!K14</f>
        <v>0</v>
      </c>
      <c r="L14" s="83">
        <f>'Field data and Alaw'!L14</f>
        <v>0</v>
      </c>
      <c r="M14" s="83">
        <f>'Field data and Alaw'!M14</f>
        <v>0</v>
      </c>
      <c r="N14" s="83">
        <f>'Field data and Alaw'!N14</f>
        <v>0</v>
      </c>
      <c r="O14" s="83">
        <f>'Field data and Alaw'!O14</f>
        <v>0</v>
      </c>
      <c r="P14" s="83">
        <f>'Field data and Alaw'!P14</f>
        <v>0</v>
      </c>
      <c r="Q14" s="83">
        <f>'Field data and Alaw'!Q14</f>
        <v>0</v>
      </c>
      <c r="R14" s="83">
        <f>'Field data and Alaw'!R14</f>
        <v>0</v>
      </c>
      <c r="S14" s="83">
        <f>'Field data and Alaw'!S14</f>
        <v>0</v>
      </c>
      <c r="T14" s="83">
        <f>'Field data and Alaw'!T14</f>
        <v>0</v>
      </c>
      <c r="U14" s="83">
        <f>'Field data and Alaw'!U14</f>
        <v>0</v>
      </c>
      <c r="V14" s="103">
        <f>'Field data and Alaw'!V14</f>
        <v>0</v>
      </c>
      <c r="AD14" s="22" t="s">
        <v>138</v>
      </c>
      <c r="AE14" s="22">
        <v>6</v>
      </c>
      <c r="AI14" s="43" t="s">
        <v>119</v>
      </c>
      <c r="AJ14" s="44">
        <v>0.8</v>
      </c>
      <c r="AK14" s="45">
        <v>1.7</v>
      </c>
      <c r="AL14" s="9">
        <v>12</v>
      </c>
      <c r="AM14" s="9">
        <v>6.7</v>
      </c>
      <c r="AN14" s="9" t="s">
        <v>135</v>
      </c>
    </row>
    <row r="15" spans="1:41" ht="13" x14ac:dyDescent="0.25">
      <c r="A15" s="152" t="s">
        <v>9</v>
      </c>
      <c r="B15" s="153"/>
      <c r="C15" s="49">
        <f>'Field data and Alaw'!C15</f>
        <v>38</v>
      </c>
      <c r="D15" s="49">
        <f>'Field data and Alaw'!D15</f>
        <v>38</v>
      </c>
      <c r="E15" s="49">
        <f>'Field data and Alaw'!E15</f>
        <v>38</v>
      </c>
      <c r="F15" s="49">
        <f>'Field data and Alaw'!F15</f>
        <v>5.5</v>
      </c>
      <c r="G15" s="49">
        <f>'Field data and Alaw'!G15</f>
        <v>38</v>
      </c>
      <c r="H15" s="49">
        <f>'Field data and Alaw'!H15</f>
        <v>5.5</v>
      </c>
      <c r="I15" s="49">
        <f>'Field data and Alaw'!I15</f>
        <v>38</v>
      </c>
      <c r="J15" s="49">
        <f>'Field data and Alaw'!J15</f>
        <v>38</v>
      </c>
      <c r="K15" s="49">
        <f>'Field data and Alaw'!K15</f>
        <v>0</v>
      </c>
      <c r="L15" s="49">
        <f>'Field data and Alaw'!L15</f>
        <v>0</v>
      </c>
      <c r="M15" s="49">
        <f>'Field data and Alaw'!M15</f>
        <v>0</v>
      </c>
      <c r="N15" s="49">
        <f>'Field data and Alaw'!N15</f>
        <v>0</v>
      </c>
      <c r="O15" s="49">
        <f>'Field data and Alaw'!O15</f>
        <v>0</v>
      </c>
      <c r="P15" s="49">
        <f>'Field data and Alaw'!P15</f>
        <v>0</v>
      </c>
      <c r="Q15" s="49">
        <f>'Field data and Alaw'!Q15</f>
        <v>0</v>
      </c>
      <c r="R15" s="49">
        <f>'Field data and Alaw'!R15</f>
        <v>0</v>
      </c>
      <c r="S15" s="49">
        <f>'Field data and Alaw'!S15</f>
        <v>0</v>
      </c>
      <c r="T15" s="49">
        <f>'Field data and Alaw'!T15</f>
        <v>0</v>
      </c>
      <c r="U15" s="49">
        <f>'Field data and Alaw'!U15</f>
        <v>0</v>
      </c>
      <c r="V15" s="102">
        <f>'Field data and Alaw'!V15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Alaw'!C16</f>
        <v>Medium/Clay</v>
      </c>
      <c r="D16" s="104" t="str">
        <f>'Field data and Alaw'!D16</f>
        <v>Medium/Clay</v>
      </c>
      <c r="E16" s="104" t="str">
        <f>'Field data and Alaw'!E16</f>
        <v>Medium/Clay</v>
      </c>
      <c r="F16" s="104" t="str">
        <f>'Field data and Alaw'!F16</f>
        <v>Medium/Clay</v>
      </c>
      <c r="G16" s="104" t="str">
        <f>'Field data and Alaw'!G16</f>
        <v>Medium/Clay</v>
      </c>
      <c r="H16" s="104" t="str">
        <f>'Field data and Alaw'!H16</f>
        <v>Medium/Clay</v>
      </c>
      <c r="I16" s="104" t="str">
        <f>'Field data and Alaw'!I16</f>
        <v>Medium/Clay</v>
      </c>
      <c r="J16" s="104" t="str">
        <f>'Field data and Alaw'!J16</f>
        <v>Medium/Clay</v>
      </c>
      <c r="K16" s="104">
        <f>'Field data and Alaw'!K16</f>
        <v>0</v>
      </c>
      <c r="L16" s="104">
        <f>'Field data and Alaw'!L16</f>
        <v>0</v>
      </c>
      <c r="M16" s="104">
        <f>'Field data and Alaw'!M16</f>
        <v>0</v>
      </c>
      <c r="N16" s="104">
        <f>'Field data and Alaw'!N16</f>
        <v>0</v>
      </c>
      <c r="O16" s="104">
        <f>'Field data and Alaw'!O16</f>
        <v>0</v>
      </c>
      <c r="P16" s="104">
        <f>'Field data and Alaw'!P16</f>
        <v>0</v>
      </c>
      <c r="Q16" s="104">
        <f>'Field data and Alaw'!Q16</f>
        <v>0</v>
      </c>
      <c r="R16" s="104">
        <f>'Field data and Alaw'!R16</f>
        <v>0</v>
      </c>
      <c r="S16" s="104">
        <f>'Field data and Alaw'!S16</f>
        <v>0</v>
      </c>
      <c r="T16" s="104">
        <f>'Field data and Alaw'!T16</f>
        <v>0</v>
      </c>
      <c r="U16" s="104">
        <f>'Field data and Alaw'!U16</f>
        <v>0</v>
      </c>
      <c r="V16" s="105">
        <f>'Field data and Alaw'!V16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46.75</v>
      </c>
      <c r="G17" s="20">
        <f t="shared" si="0"/>
        <v>64.599999999999994</v>
      </c>
      <c r="H17" s="20">
        <f t="shared" si="0"/>
        <v>46.75</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13.767764499999998</v>
      </c>
      <c r="D18" s="12">
        <f>$D32</f>
        <v>13.767764499999998</v>
      </c>
      <c r="E18" s="12">
        <f>$D33</f>
        <v>13.767764499999998</v>
      </c>
      <c r="F18" s="12">
        <f>$D34</f>
        <v>13.767764499999998</v>
      </c>
      <c r="G18" s="12">
        <f>$D35</f>
        <v>13.767764499999998</v>
      </c>
      <c r="H18" s="12">
        <f>$D36</f>
        <v>13.767764499999998</v>
      </c>
      <c r="I18" s="12">
        <f>$D37</f>
        <v>13.767764499999998</v>
      </c>
      <c r="J18" s="12">
        <f>$D38</f>
        <v>13.767764499999998</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-50.832235499999996</v>
      </c>
      <c r="D19" s="12">
        <f t="shared" ref="D19:V19" si="1">D18-D17</f>
        <v>-50.832235499999996</v>
      </c>
      <c r="E19" s="12">
        <f t="shared" si="1"/>
        <v>-50.832235499999996</v>
      </c>
      <c r="F19" s="12">
        <f t="shared" si="1"/>
        <v>-32.982235500000002</v>
      </c>
      <c r="G19" s="12">
        <f t="shared" si="1"/>
        <v>-50.832235499999996</v>
      </c>
      <c r="H19" s="12">
        <f t="shared" si="1"/>
        <v>-32.982235500000002</v>
      </c>
      <c r="I19" s="12">
        <f t="shared" si="1"/>
        <v>-50.832235499999996</v>
      </c>
      <c r="J19" s="12">
        <f t="shared" si="1"/>
        <v>-50.832235499999996</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66</v>
      </c>
      <c r="G21" s="20">
        <f t="shared" si="2"/>
        <v>228</v>
      </c>
      <c r="H21" s="20">
        <f t="shared" si="2"/>
        <v>66</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2.2028605000000003</v>
      </c>
      <c r="D22" s="12">
        <f>$E32</f>
        <v>2.2028605000000003</v>
      </c>
      <c r="E22" s="12">
        <f>$E33</f>
        <v>2.2028605000000003</v>
      </c>
      <c r="F22" s="12">
        <f>$E34</f>
        <v>2.2028605000000003</v>
      </c>
      <c r="G22" s="12">
        <f>$E35</f>
        <v>2.2028605000000003</v>
      </c>
      <c r="H22" s="12">
        <f>$E36</f>
        <v>2.2028605000000003</v>
      </c>
      <c r="I22" s="12">
        <f>$E37</f>
        <v>2.2028605000000003</v>
      </c>
      <c r="J22" s="12">
        <f>$E38</f>
        <v>2.2028605000000003</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-225.79713949999999</v>
      </c>
      <c r="D23" s="12">
        <f t="shared" ref="D23:V23" si="3">D22-D21</f>
        <v>-225.79713949999999</v>
      </c>
      <c r="E23" s="12">
        <f t="shared" si="3"/>
        <v>-225.79713949999999</v>
      </c>
      <c r="F23" s="12">
        <f t="shared" si="3"/>
        <v>-63.7971395</v>
      </c>
      <c r="G23" s="12">
        <f t="shared" si="3"/>
        <v>-225.79713949999999</v>
      </c>
      <c r="H23" s="12">
        <f t="shared" si="3"/>
        <v>-63.7971395</v>
      </c>
      <c r="I23" s="12">
        <f t="shared" si="3"/>
        <v>-225.79713949999999</v>
      </c>
      <c r="J23" s="12">
        <f t="shared" si="3"/>
        <v>-225.79713949999999</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4.04</v>
      </c>
      <c r="C28" s="11">
        <v>0.72199999999999998</v>
      </c>
      <c r="D28" s="11">
        <v>5.9499999999999997E-2</v>
      </c>
      <c r="E28" s="11">
        <v>1.8100000000000002E-2</v>
      </c>
      <c r="F28" s="11">
        <v>521</v>
      </c>
      <c r="G28" s="11">
        <v>10.1</v>
      </c>
      <c r="H28" s="11">
        <v>168</v>
      </c>
      <c r="I28" s="11">
        <v>24.6</v>
      </c>
      <c r="J28" s="11">
        <v>0.49</v>
      </c>
      <c r="K28" s="15">
        <v>0.99</v>
      </c>
      <c r="L28" s="11">
        <v>18.600000000000001</v>
      </c>
      <c r="M28" s="11">
        <v>15.8</v>
      </c>
      <c r="N28" s="11">
        <v>2580</v>
      </c>
      <c r="O28" s="11">
        <v>423000</v>
      </c>
      <c r="P28" s="11"/>
      <c r="Q28" s="11">
        <v>3230</v>
      </c>
      <c r="R28" s="11"/>
      <c r="S28" s="11">
        <v>42.5</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SJC1</v>
      </c>
      <c r="B31" s="11">
        <v>250</v>
      </c>
      <c r="C31" s="65">
        <f>IF(C$27="%w/w SAR",((C$28*10)*$B31),IF(C$27="%w/w DM",(((C$28*10)*($B$28/100))*$B31),IF(C$27="kg/t SAR",(C$28*$B31),IF(C$27="kg/t DM",((C$28*($B$28/100))*$B31),IF(C$27="mg/kg SAR",((C$28*0.001)*$B31),IF(C$27="mg/kg DM",(((C$28*0.001)*($B$28/100))*$B31),0))))))</f>
        <v>72.921999999999997</v>
      </c>
      <c r="D31" s="65">
        <f>(IF(D$27="%w/w SAR",((D$28*10)*$B31),IF(D$27="%w/w DM",(((D$28*10)*($B$28/100))*$B31),IF(D$27="kg/t SAR",(D$28*$B31),IF(D$27="kg/t DM",((D$28*($B$28/100))*$B31),IF(D$27="mg/kg SAR",((D$28*0.001)*$B31),IF(D$27="mg/kg DM",(((D$28*0.001)*($B$28/100))*$B31),"0")))))))*2.291</f>
        <v>13.767764499999998</v>
      </c>
      <c r="E31" s="65">
        <f>(IF(E$27="%w/w SAR",((E$28*10)*$B31),IF(E$27="%w/w DM",(((E$28*10)*($B$28/100))*$B31),IF(E$27="kg/t SAR",(E$28*$B31),IF(E$27="kg/t DM",((E$28*($B$28/100))*$B31),IF(E$27="mg/kg SAR",((E$28*0.001)*$B31),IF(E$27="mg/kg DM",(((E$28*0.001)*($B$28/100))*$B31),"0")))))))*1.205</f>
        <v>2.2028605000000003</v>
      </c>
      <c r="F31" s="65">
        <f>(IF(F$27="%w/w SAR",((F$28*10)*$B31),IF(F$27="%w/w DM",(((F$28*10)*($B$28/100))*$B31),IF(F$27="kg/t SAR",(F$28*$B31),IF(F$27="kg/t DM",((F$28*($B$28/100))*$B31),IF(F$27="mg/kg SAR",((F$28*0.001)*$B31),IF(F$27="mg/kg DM",(((F$28*0.001)*($B$28/100))*$B31),"0")))))))*1.658</f>
        <v>8.7245617999999983</v>
      </c>
      <c r="G31" s="65">
        <f t="shared" ref="G31:P46" si="5">IF(G$27="%w/w SAR",((G$28*10)*$B31),IF(G$27="%w/w DM",(((G$28*10)*($B$28/100))*$B31),IF(G$27="kg/t SAR",(G$28*$B31),IF(G$27="kg/t DM",((G$28*($B$28/100))*$B31),IF(G$27="mg/kg SAR",((G$28*0.001)*$B31),IF(G$27="mg/kg DM",(((G$28*0.001)*($B$28/100))*$B31),0))))))</f>
        <v>0.10200999999999999</v>
      </c>
      <c r="H31" s="65">
        <f t="shared" si="5"/>
        <v>1.6968000000000001</v>
      </c>
      <c r="I31" s="65">
        <f t="shared" si="5"/>
        <v>0.24845999999999999</v>
      </c>
      <c r="J31" s="65">
        <f t="shared" si="5"/>
        <v>4.9489999999999994E-3</v>
      </c>
      <c r="K31" s="65">
        <f t="shared" si="5"/>
        <v>9.9990000000000009E-3</v>
      </c>
      <c r="L31" s="65">
        <f t="shared" si="5"/>
        <v>0.18786</v>
      </c>
      <c r="M31" s="65">
        <f t="shared" si="5"/>
        <v>0.15958000000000003</v>
      </c>
      <c r="N31" s="65">
        <f t="shared" si="5"/>
        <v>26.058</v>
      </c>
      <c r="O31" s="65">
        <f t="shared" si="5"/>
        <v>4272.2999999999993</v>
      </c>
      <c r="P31" s="65">
        <f t="shared" si="5"/>
        <v>0</v>
      </c>
      <c r="Q31" s="65">
        <f>(IF(Q$27="%w/w SAR",((Q$28*10)*$B31),IF(Q$27="%w/w DM",(((Q$28*10)*($B$28/100))*$B31),IF(Q$27="kg/t SAR",(Q$28*$B31),IF(Q$27="kg/t DM",((Q$28*($B$28/100))*$B31),IF(Q$27="mg/kg SAR",((Q$28*0.001)*$B31),IF(Q$27="mg/kg DM",(((Q$28*0.001)*($B$28/100))*$B31),0)))))))*2.5</f>
        <v>81.55749999999999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0.42925000000000002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SJC2</v>
      </c>
      <c r="B32" s="11">
        <v>250</v>
      </c>
      <c r="C32" s="65">
        <f t="shared" ref="C32:C50" si="6">IF(C$27="%w/w SAR",((C$28*10)*$B32),IF(C$27="%w/w DM",(((C$28*10)*($B$28/100))*$B32),IF(C$27="kg/t SAR",(C$28*$B32),IF(C$27="kg/t DM",((C$28*($B$28/100))*$B32),IF(C$27="mg/kg SAR",((C$28*0.001)*$B32),IF(C$27="mg/kg DM",(((C$28*0.001)*($B$28/100))*$B32),0))))))</f>
        <v>72.921999999999997</v>
      </c>
      <c r="D32" s="65">
        <f t="shared" ref="D32:D50" si="7">(IF(D$27="%w/w SAR",((D$28*10)*$B32),IF(D$27="%w/w DM",(((D$28*10)*($B$28/100))*$B32),IF(D$27="kg/t SAR",(D$28*$B32),IF(D$27="kg/t DM",((D$28*($B$28/100))*$B32),IF(D$27="mg/kg SAR",((D$28*0.001)*$B32),IF(D$27="mg/kg DM",(((D$28*0.001)*($B$28/100))*$B32),"0")))))))*2.291</f>
        <v>13.767764499999998</v>
      </c>
      <c r="E32" s="65">
        <f t="shared" ref="E32:E50" si="8">(IF(E$27="%w/w SAR",((E$28*10)*$B32),IF(E$27="%w/w DM",(((E$28*10)*($B$28/100))*$B32),IF(E$27="kg/t SAR",(E$28*$B32),IF(E$27="kg/t DM",((E$28*($B$28/100))*$B32),IF(E$27="mg/kg SAR",((E$28*0.001)*$B32),IF(E$27="mg/kg DM",(((E$28*0.001)*($B$28/100))*$B32),"0")))))))*1.205</f>
        <v>2.2028605000000003</v>
      </c>
      <c r="F32" s="65">
        <f t="shared" ref="F32:F50" si="9">(IF(F$27="%w/w SAR",((F$28*10)*$B32),IF(F$27="%w/w DM",(((F$28*10)*($B$28/100))*$B32),IF(F$27="kg/t SAR",(F$28*$B32),IF(F$27="kg/t DM",((F$28*($B$28/100))*$B32),IF(F$27="mg/kg SAR",((F$28*0.001)*$B32),IF(F$27="mg/kg DM",(((F$28*0.001)*($B$28/100))*$B32),"0")))))))*1.658</f>
        <v>8.7245617999999983</v>
      </c>
      <c r="G32" s="65">
        <f t="shared" si="5"/>
        <v>0.10200999999999999</v>
      </c>
      <c r="H32" s="65">
        <f t="shared" si="5"/>
        <v>1.6968000000000001</v>
      </c>
      <c r="I32" s="65">
        <f t="shared" si="5"/>
        <v>0.24845999999999999</v>
      </c>
      <c r="J32" s="65">
        <f t="shared" si="5"/>
        <v>4.9489999999999994E-3</v>
      </c>
      <c r="K32" s="65">
        <f t="shared" si="5"/>
        <v>9.9990000000000009E-3</v>
      </c>
      <c r="L32" s="65">
        <f t="shared" si="5"/>
        <v>0.18786</v>
      </c>
      <c r="M32" s="65">
        <f t="shared" si="5"/>
        <v>0.15958000000000003</v>
      </c>
      <c r="N32" s="65">
        <f t="shared" si="5"/>
        <v>26.058</v>
      </c>
      <c r="O32" s="65">
        <f t="shared" si="5"/>
        <v>4272.2999999999993</v>
      </c>
      <c r="P32" s="65">
        <f t="shared" si="5"/>
        <v>0</v>
      </c>
      <c r="Q32" s="65">
        <f t="shared" ref="Q32:Q50" si="10">(IF(Q$27="%w/w SAR",((Q$28*10)*$B32),IF(Q$27="%w/w DM",(((Q$28*10)*($B$28/100))*$B32),IF(Q$27="kg/t SAR",(Q$28*$B32),IF(Q$27="kg/t DM",((Q$28*($B$28/100))*$B32),IF(Q$27="mg/kg SAR",((Q$28*0.001)*$B32),IF(Q$27="mg/kg DM",(((Q$28*0.001)*($B$28/100))*$B32),0)))))))*2.5</f>
        <v>81.55749999999999</v>
      </c>
      <c r="R32" s="65">
        <f t="shared" ref="R32:U50" si="11">IF(R$27="%w/w SAR",((R$28*10)*$B32),IF(R$27="%w/w DM",(((R$28*10)*($B$28/100))*$B32),IF(R$27="kg/t SAR",(R$28*$B32),IF(R$27="kg/t DM",((R$28*($B$28/100))*$B32),IF(R$27="mg/kg SAR",((R$28*0.001)*$B32),IF(R$27="mg/kg DM",(((R$28*0.001)*($B$28/100))*$B32),0))))))</f>
        <v>0</v>
      </c>
      <c r="S32" s="65">
        <f t="shared" si="11"/>
        <v>0.42925000000000002</v>
      </c>
      <c r="T32" s="65">
        <f t="shared" si="11"/>
        <v>0</v>
      </c>
      <c r="U32" s="126">
        <f t="shared" si="11"/>
        <v>0</v>
      </c>
    </row>
    <row r="33" spans="1:21" s="48" customFormat="1" ht="13" x14ac:dyDescent="0.35">
      <c r="A33" s="125" t="str">
        <f>E8</f>
        <v>SJC3</v>
      </c>
      <c r="B33" s="11">
        <v>250</v>
      </c>
      <c r="C33" s="65">
        <f t="shared" si="6"/>
        <v>72.921999999999997</v>
      </c>
      <c r="D33" s="65">
        <f t="shared" si="7"/>
        <v>13.767764499999998</v>
      </c>
      <c r="E33" s="65">
        <f t="shared" si="8"/>
        <v>2.2028605000000003</v>
      </c>
      <c r="F33" s="65">
        <f t="shared" si="9"/>
        <v>8.7245617999999983</v>
      </c>
      <c r="G33" s="65">
        <f t="shared" si="5"/>
        <v>0.10200999999999999</v>
      </c>
      <c r="H33" s="65">
        <f t="shared" si="5"/>
        <v>1.6968000000000001</v>
      </c>
      <c r="I33" s="65">
        <f t="shared" si="5"/>
        <v>0.24845999999999999</v>
      </c>
      <c r="J33" s="65">
        <f t="shared" si="5"/>
        <v>4.9489999999999994E-3</v>
      </c>
      <c r="K33" s="65">
        <f t="shared" si="5"/>
        <v>9.9990000000000009E-3</v>
      </c>
      <c r="L33" s="65">
        <f t="shared" si="5"/>
        <v>0.18786</v>
      </c>
      <c r="M33" s="65">
        <f t="shared" si="5"/>
        <v>0.15958000000000003</v>
      </c>
      <c r="N33" s="65">
        <f t="shared" si="5"/>
        <v>26.058</v>
      </c>
      <c r="O33" s="65">
        <f t="shared" si="5"/>
        <v>4272.2999999999993</v>
      </c>
      <c r="P33" s="65">
        <f t="shared" si="5"/>
        <v>0</v>
      </c>
      <c r="Q33" s="65">
        <f t="shared" si="10"/>
        <v>81.55749999999999</v>
      </c>
      <c r="R33" s="65">
        <f t="shared" si="11"/>
        <v>0</v>
      </c>
      <c r="S33" s="65">
        <f t="shared" si="11"/>
        <v>0.42925000000000002</v>
      </c>
      <c r="T33" s="65">
        <f t="shared" si="11"/>
        <v>0</v>
      </c>
      <c r="U33" s="126">
        <f t="shared" si="11"/>
        <v>0</v>
      </c>
    </row>
    <row r="34" spans="1:21" s="48" customFormat="1" ht="13" x14ac:dyDescent="0.35">
      <c r="A34" s="125" t="str">
        <f>F8</f>
        <v>SJC4</v>
      </c>
      <c r="B34" s="11">
        <v>250</v>
      </c>
      <c r="C34" s="65">
        <f t="shared" si="6"/>
        <v>72.921999999999997</v>
      </c>
      <c r="D34" s="65">
        <f t="shared" si="7"/>
        <v>13.767764499999998</v>
      </c>
      <c r="E34" s="65">
        <f t="shared" si="8"/>
        <v>2.2028605000000003</v>
      </c>
      <c r="F34" s="65">
        <f t="shared" si="9"/>
        <v>8.7245617999999983</v>
      </c>
      <c r="G34" s="65">
        <f t="shared" si="5"/>
        <v>0.10200999999999999</v>
      </c>
      <c r="H34" s="65">
        <f t="shared" si="5"/>
        <v>1.6968000000000001</v>
      </c>
      <c r="I34" s="65">
        <f t="shared" si="5"/>
        <v>0.24845999999999999</v>
      </c>
      <c r="J34" s="65">
        <f t="shared" si="5"/>
        <v>4.9489999999999994E-3</v>
      </c>
      <c r="K34" s="65">
        <f t="shared" si="5"/>
        <v>9.9990000000000009E-3</v>
      </c>
      <c r="L34" s="65">
        <f t="shared" si="5"/>
        <v>0.18786</v>
      </c>
      <c r="M34" s="65">
        <f t="shared" si="5"/>
        <v>0.15958000000000003</v>
      </c>
      <c r="N34" s="65">
        <f t="shared" si="5"/>
        <v>26.058</v>
      </c>
      <c r="O34" s="65">
        <f t="shared" si="5"/>
        <v>4272.2999999999993</v>
      </c>
      <c r="P34" s="65">
        <f t="shared" si="5"/>
        <v>0</v>
      </c>
      <c r="Q34" s="65">
        <f t="shared" si="10"/>
        <v>81.55749999999999</v>
      </c>
      <c r="R34" s="65">
        <f t="shared" si="11"/>
        <v>0</v>
      </c>
      <c r="S34" s="65">
        <f t="shared" si="11"/>
        <v>0.42925000000000002</v>
      </c>
      <c r="T34" s="65">
        <f t="shared" si="11"/>
        <v>0</v>
      </c>
      <c r="U34" s="126">
        <f t="shared" si="11"/>
        <v>0</v>
      </c>
    </row>
    <row r="35" spans="1:21" s="48" customFormat="1" ht="13" x14ac:dyDescent="0.35">
      <c r="A35" s="125" t="str">
        <f>G8</f>
        <v>SJC5</v>
      </c>
      <c r="B35" s="11">
        <v>250</v>
      </c>
      <c r="C35" s="65">
        <f t="shared" si="6"/>
        <v>72.921999999999997</v>
      </c>
      <c r="D35" s="65">
        <f t="shared" si="7"/>
        <v>13.767764499999998</v>
      </c>
      <c r="E35" s="65">
        <f t="shared" si="8"/>
        <v>2.2028605000000003</v>
      </c>
      <c r="F35" s="65">
        <f t="shared" si="9"/>
        <v>8.7245617999999983</v>
      </c>
      <c r="G35" s="65">
        <f t="shared" si="5"/>
        <v>0.10200999999999999</v>
      </c>
      <c r="H35" s="65">
        <f t="shared" si="5"/>
        <v>1.6968000000000001</v>
      </c>
      <c r="I35" s="65">
        <f t="shared" si="5"/>
        <v>0.24845999999999999</v>
      </c>
      <c r="J35" s="65">
        <f t="shared" si="5"/>
        <v>4.9489999999999994E-3</v>
      </c>
      <c r="K35" s="65">
        <f t="shared" si="5"/>
        <v>9.9990000000000009E-3</v>
      </c>
      <c r="L35" s="65">
        <f t="shared" si="5"/>
        <v>0.18786</v>
      </c>
      <c r="M35" s="65">
        <f t="shared" si="5"/>
        <v>0.15958000000000003</v>
      </c>
      <c r="N35" s="65">
        <f t="shared" si="5"/>
        <v>26.058</v>
      </c>
      <c r="O35" s="65">
        <f t="shared" si="5"/>
        <v>4272.2999999999993</v>
      </c>
      <c r="P35" s="65">
        <f t="shared" si="5"/>
        <v>0</v>
      </c>
      <c r="Q35" s="65">
        <f t="shared" si="10"/>
        <v>81.55749999999999</v>
      </c>
      <c r="R35" s="65">
        <f t="shared" si="11"/>
        <v>0</v>
      </c>
      <c r="S35" s="65">
        <f t="shared" si="11"/>
        <v>0.42925000000000002</v>
      </c>
      <c r="T35" s="65">
        <f t="shared" si="11"/>
        <v>0</v>
      </c>
      <c r="U35" s="126">
        <f t="shared" si="11"/>
        <v>0</v>
      </c>
    </row>
    <row r="36" spans="1:21" s="48" customFormat="1" ht="13" x14ac:dyDescent="0.35">
      <c r="A36" s="125" t="str">
        <f>H8</f>
        <v>SJC6</v>
      </c>
      <c r="B36" s="11">
        <v>250</v>
      </c>
      <c r="C36" s="65">
        <f t="shared" si="6"/>
        <v>72.921999999999997</v>
      </c>
      <c r="D36" s="65">
        <f t="shared" si="7"/>
        <v>13.767764499999998</v>
      </c>
      <c r="E36" s="65">
        <f t="shared" si="8"/>
        <v>2.2028605000000003</v>
      </c>
      <c r="F36" s="65">
        <f t="shared" si="9"/>
        <v>8.7245617999999983</v>
      </c>
      <c r="G36" s="65">
        <f t="shared" si="5"/>
        <v>0.10200999999999999</v>
      </c>
      <c r="H36" s="65">
        <f t="shared" si="5"/>
        <v>1.6968000000000001</v>
      </c>
      <c r="I36" s="65">
        <f t="shared" si="5"/>
        <v>0.24845999999999999</v>
      </c>
      <c r="J36" s="65">
        <f t="shared" si="5"/>
        <v>4.9489999999999994E-3</v>
      </c>
      <c r="K36" s="65">
        <f t="shared" si="5"/>
        <v>9.9990000000000009E-3</v>
      </c>
      <c r="L36" s="65">
        <f t="shared" si="5"/>
        <v>0.18786</v>
      </c>
      <c r="M36" s="65">
        <f t="shared" si="5"/>
        <v>0.15958000000000003</v>
      </c>
      <c r="N36" s="65">
        <f t="shared" si="5"/>
        <v>26.058</v>
      </c>
      <c r="O36" s="65">
        <f t="shared" si="5"/>
        <v>4272.2999999999993</v>
      </c>
      <c r="P36" s="65">
        <f t="shared" si="5"/>
        <v>0</v>
      </c>
      <c r="Q36" s="65">
        <f t="shared" si="10"/>
        <v>81.55749999999999</v>
      </c>
      <c r="R36" s="65">
        <f t="shared" si="11"/>
        <v>0</v>
      </c>
      <c r="S36" s="65">
        <f t="shared" si="11"/>
        <v>0.42925000000000002</v>
      </c>
      <c r="T36" s="65">
        <f t="shared" si="11"/>
        <v>0</v>
      </c>
      <c r="U36" s="126">
        <f t="shared" si="11"/>
        <v>0</v>
      </c>
    </row>
    <row r="37" spans="1:21" s="48" customFormat="1" ht="13" x14ac:dyDescent="0.35">
      <c r="A37" s="125" t="str">
        <f>I8</f>
        <v>BODNOLWYN A</v>
      </c>
      <c r="B37" s="11">
        <v>250</v>
      </c>
      <c r="C37" s="65">
        <f t="shared" si="6"/>
        <v>72.921999999999997</v>
      </c>
      <c r="D37" s="65">
        <f t="shared" si="7"/>
        <v>13.767764499999998</v>
      </c>
      <c r="E37" s="65">
        <f t="shared" si="8"/>
        <v>2.2028605000000003</v>
      </c>
      <c r="F37" s="65">
        <f t="shared" si="9"/>
        <v>8.7245617999999983</v>
      </c>
      <c r="G37" s="65">
        <f t="shared" si="5"/>
        <v>0.10200999999999999</v>
      </c>
      <c r="H37" s="65">
        <f t="shared" si="5"/>
        <v>1.6968000000000001</v>
      </c>
      <c r="I37" s="65">
        <f t="shared" si="5"/>
        <v>0.24845999999999999</v>
      </c>
      <c r="J37" s="65">
        <f t="shared" si="5"/>
        <v>4.9489999999999994E-3</v>
      </c>
      <c r="K37" s="65">
        <f t="shared" si="5"/>
        <v>9.9990000000000009E-3</v>
      </c>
      <c r="L37" s="65">
        <f t="shared" si="5"/>
        <v>0.18786</v>
      </c>
      <c r="M37" s="65">
        <f t="shared" si="5"/>
        <v>0.15958000000000003</v>
      </c>
      <c r="N37" s="65">
        <f t="shared" si="5"/>
        <v>26.058</v>
      </c>
      <c r="O37" s="65">
        <f t="shared" si="5"/>
        <v>4272.2999999999993</v>
      </c>
      <c r="P37" s="65">
        <f t="shared" si="5"/>
        <v>0</v>
      </c>
      <c r="Q37" s="65">
        <f t="shared" si="10"/>
        <v>81.55749999999999</v>
      </c>
      <c r="R37" s="65">
        <f t="shared" si="11"/>
        <v>0</v>
      </c>
      <c r="S37" s="65">
        <f t="shared" si="11"/>
        <v>0.42925000000000002</v>
      </c>
      <c r="T37" s="65">
        <f t="shared" si="11"/>
        <v>0</v>
      </c>
      <c r="U37" s="126">
        <f t="shared" si="11"/>
        <v>0</v>
      </c>
    </row>
    <row r="38" spans="1:21" s="48" customFormat="1" ht="13" x14ac:dyDescent="0.35">
      <c r="A38" s="125" t="str">
        <f>J8</f>
        <v>BODNOLWYN B</v>
      </c>
      <c r="B38" s="11">
        <v>250</v>
      </c>
      <c r="C38" s="65">
        <f t="shared" si="6"/>
        <v>72.921999999999997</v>
      </c>
      <c r="D38" s="65">
        <f t="shared" si="7"/>
        <v>13.767764499999998</v>
      </c>
      <c r="E38" s="65">
        <f t="shared" si="8"/>
        <v>2.2028605000000003</v>
      </c>
      <c r="F38" s="65">
        <f t="shared" si="9"/>
        <v>8.7245617999999983</v>
      </c>
      <c r="G38" s="65">
        <f t="shared" si="5"/>
        <v>0.10200999999999999</v>
      </c>
      <c r="H38" s="65">
        <f t="shared" si="5"/>
        <v>1.6968000000000001</v>
      </c>
      <c r="I38" s="65">
        <f t="shared" si="5"/>
        <v>0.24845999999999999</v>
      </c>
      <c r="J38" s="65">
        <f t="shared" si="5"/>
        <v>4.9489999999999994E-3</v>
      </c>
      <c r="K38" s="65">
        <f t="shared" si="5"/>
        <v>9.9990000000000009E-3</v>
      </c>
      <c r="L38" s="65">
        <f t="shared" si="5"/>
        <v>0.18786</v>
      </c>
      <c r="M38" s="65">
        <f t="shared" si="5"/>
        <v>0.15958000000000003</v>
      </c>
      <c r="N38" s="65">
        <f t="shared" si="5"/>
        <v>26.058</v>
      </c>
      <c r="O38" s="65">
        <f t="shared" si="5"/>
        <v>4272.2999999999993</v>
      </c>
      <c r="P38" s="65">
        <f t="shared" si="5"/>
        <v>0</v>
      </c>
      <c r="Q38" s="65">
        <f t="shared" si="10"/>
        <v>81.55749999999999</v>
      </c>
      <c r="R38" s="65">
        <f t="shared" si="11"/>
        <v>0</v>
      </c>
      <c r="S38" s="65">
        <f t="shared" si="11"/>
        <v>0.42925000000000002</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SJC1</v>
      </c>
      <c r="C57" s="8" t="str">
        <f t="shared" ref="C57:U57" si="13">D8</f>
        <v>SJC2</v>
      </c>
      <c r="D57" s="8" t="str">
        <f t="shared" si="13"/>
        <v>SJC3</v>
      </c>
      <c r="E57" s="8" t="str">
        <f t="shared" si="13"/>
        <v>SJC4</v>
      </c>
      <c r="F57" s="8" t="str">
        <f t="shared" si="13"/>
        <v>SJC5</v>
      </c>
      <c r="G57" s="8" t="str">
        <f t="shared" si="13"/>
        <v>SJC6</v>
      </c>
      <c r="H57" s="8" t="str">
        <f t="shared" si="13"/>
        <v>BODNOLWYN A</v>
      </c>
      <c r="I57" s="8" t="str">
        <f t="shared" si="13"/>
        <v>BODNOLWYN 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Arable</v>
      </c>
      <c r="F58" s="10" t="str">
        <f>G16&amp;" I "&amp;(VLOOKUP(G14,Table24581113[],6,FALSE))</f>
        <v>Medium/Clay I Grass</v>
      </c>
      <c r="G58" s="10" t="str">
        <f>H16&amp;" I "&amp;(VLOOKUP(H14,Table24581113[],6,FALSE))</f>
        <v>Medium/Clay I Arable</v>
      </c>
      <c r="H58" s="10" t="str">
        <f>I16&amp;" I "&amp;(VLOOKUP(I14,Table24581113[],6,FALSE))</f>
        <v>Medium/Clay I Grass</v>
      </c>
      <c r="I58" s="10" t="str">
        <f>J16&amp;" I "&amp;(VLOOKUP(J14,Table24581113[],6,FALSE))</f>
        <v>Medium/Clay I Grass</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6.7</v>
      </c>
      <c r="F59" s="64">
        <f>VLOOKUP(G$14,Table24581113[],5,FALSE)</f>
        <v>6.2</v>
      </c>
      <c r="G59" s="64">
        <f>VLOOKUP(H$14,Table24581113[],5,FALSE)</f>
        <v>6.7</v>
      </c>
      <c r="H59" s="64">
        <f>VLOOKUP(I$14,Table24581113[],5,FALSE)</f>
        <v>6.2</v>
      </c>
      <c r="I59" s="64">
        <f>VLOOKUP(J$14,Table24581113[],5,FALSE)</f>
        <v>6.2</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5.8</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1.7999999999999989</v>
      </c>
      <c r="G64" s="65">
        <f t="shared" si="17"/>
        <v>4.8000000000000043</v>
      </c>
      <c r="H64" s="65">
        <f t="shared" si="17"/>
        <v>2.4000000000000021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-1.7999999999999989</v>
      </c>
      <c r="G65" s="65">
        <f t="shared" si="18"/>
        <v>-4.8000000000000043</v>
      </c>
      <c r="H65" s="65">
        <f t="shared" si="18"/>
        <v>-2.4000000000000021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Odf+zTzyC9mQ4C5F91cZN/gyN4O/KIsmjd/iMwwQownZHjBdHve8I9uc/yHro0IuuISfG7xGIV421thUQRms+Q==" saltValue="5vtltCbZck6ZXR2NYdtiX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3" priority="37" operator="greaterThan">
      <formula>$B$51</formula>
    </cfRule>
  </conditionalFormatting>
  <conditionalFormatting sqref="B66:U66">
    <cfRule type="cellIs" dxfId="82" priority="12" operator="equal">
      <formula>"UNDER"</formula>
    </cfRule>
    <cfRule type="cellIs" dxfId="81" priority="13" operator="equal">
      <formula>"OVER"</formula>
    </cfRule>
  </conditionalFormatting>
  <conditionalFormatting sqref="C31:C50">
    <cfRule type="cellIs" dxfId="80" priority="36" operator="greaterThan">
      <formula>$C$51</formula>
    </cfRule>
  </conditionalFormatting>
  <conditionalFormatting sqref="C17:V19">
    <cfRule type="cellIs" dxfId="79" priority="33" operator="equal">
      <formula>0</formula>
    </cfRule>
  </conditionalFormatting>
  <conditionalFormatting sqref="C20:V21">
    <cfRule type="cellIs" dxfId="78" priority="38" operator="equal">
      <formula>"DECREASE"</formula>
    </cfRule>
    <cfRule type="cellIs" dxfId="77" priority="39" operator="equal">
      <formula>"INCREASE"</formula>
    </cfRule>
  </conditionalFormatting>
  <conditionalFormatting sqref="C21:V21">
    <cfRule type="cellIs" dxfId="76" priority="14" operator="equal">
      <formula>0</formula>
    </cfRule>
  </conditionalFormatting>
  <conditionalFormatting sqref="C22:V23">
    <cfRule type="cellIs" dxfId="75" priority="18" operator="equal">
      <formula>0</formula>
    </cfRule>
  </conditionalFormatting>
  <conditionalFormatting sqref="C24:V24">
    <cfRule type="cellIs" dxfId="74" priority="19" operator="equal">
      <formula>"DECREASE"</formula>
    </cfRule>
    <cfRule type="cellIs" dxfId="73" priority="20" operator="equal">
      <formula>"INCREASE"</formula>
    </cfRule>
  </conditionalFormatting>
  <conditionalFormatting sqref="G31:G50">
    <cfRule type="cellIs" dxfId="72" priority="32" operator="greaterThan">
      <formula>$G$51</formula>
    </cfRule>
  </conditionalFormatting>
  <conditionalFormatting sqref="H31:H50">
    <cfRule type="cellIs" dxfId="71" priority="31" operator="greaterThan">
      <formula>$H$51</formula>
    </cfRule>
  </conditionalFormatting>
  <conditionalFormatting sqref="I1">
    <cfRule type="cellIs" dxfId="70" priority="4" operator="between">
      <formula>0.1</formula>
      <formula>5</formula>
    </cfRule>
  </conditionalFormatting>
  <conditionalFormatting sqref="I2">
    <cfRule type="cellIs" dxfId="69" priority="3" operator="greaterThan">
      <formula>5000.1</formula>
    </cfRule>
  </conditionalFormatting>
  <conditionalFormatting sqref="I3">
    <cfRule type="cellIs" dxfId="68" priority="2" operator="greaterThan">
      <formula>40000.01</formula>
    </cfRule>
  </conditionalFormatting>
  <conditionalFormatting sqref="I31:I50">
    <cfRule type="cellIs" dxfId="67" priority="30" operator="greaterThan">
      <formula>$I$51</formula>
    </cfRule>
  </conditionalFormatting>
  <conditionalFormatting sqref="J31:J50">
    <cfRule type="cellIs" dxfId="66" priority="9" operator="greaterThan">
      <formula>$J$51</formula>
    </cfRule>
  </conditionalFormatting>
  <conditionalFormatting sqref="K31:K50">
    <cfRule type="cellIs" dxfId="65" priority="29" operator="greaterThan">
      <formula>$K$51</formula>
    </cfRule>
  </conditionalFormatting>
  <conditionalFormatting sqref="L3">
    <cfRule type="cellIs" dxfId="64" priority="5" operator="lessThan">
      <formula>30</formula>
    </cfRule>
    <cfRule type="cellIs" dxfId="63" priority="6" operator="greaterThanOrEqual">
      <formula>30</formula>
    </cfRule>
  </conditionalFormatting>
  <conditionalFormatting sqref="L31:L50">
    <cfRule type="cellIs" dxfId="62" priority="28" operator="greaterThan">
      <formula>$L$51</formula>
    </cfRule>
  </conditionalFormatting>
  <conditionalFormatting sqref="M31:M50">
    <cfRule type="cellIs" dxfId="61" priority="27" operator="greaterThan">
      <formula>$M$51</formula>
    </cfRule>
  </conditionalFormatting>
  <conditionalFormatting sqref="P31:P50">
    <cfRule type="cellIs" dxfId="60" priority="26" operator="greaterThan">
      <formula>$P$51</formula>
    </cfRule>
  </conditionalFormatting>
  <conditionalFormatting sqref="R31:R50">
    <cfRule type="cellIs" dxfId="59" priority="25" operator="greaterThan">
      <formula>$R$51</formula>
    </cfRule>
  </conditionalFormatting>
  <conditionalFormatting sqref="S31:S50">
    <cfRule type="cellIs" dxfId="58" priority="24" operator="greaterThan">
      <formula>$S$51</formula>
    </cfRule>
  </conditionalFormatting>
  <conditionalFormatting sqref="T31:T50">
    <cfRule type="cellIs" dxfId="57" priority="23" operator="greaterThan">
      <formula>$T$51</formula>
    </cfRule>
  </conditionalFormatting>
  <conditionalFormatting sqref="U31:U50">
    <cfRule type="cellIs" dxfId="56" priority="22"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D41" sqref="D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Alaw'!C1:D1</f>
        <v>PAN-027648</v>
      </c>
      <c r="D1" s="167"/>
      <c r="E1" s="106" t="s">
        <v>45</v>
      </c>
      <c r="F1" s="113">
        <f>'Field data and Alaw'!F1</f>
        <v>44.3</v>
      </c>
      <c r="G1" s="134" t="s">
        <v>43</v>
      </c>
      <c r="H1" s="135"/>
      <c r="I1" s="109">
        <v>6.7</v>
      </c>
      <c r="J1" s="158" t="s">
        <v>153</v>
      </c>
      <c r="K1" s="159"/>
      <c r="L1" s="109">
        <v>193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Alaw'!C2:D2</f>
        <v>GP3792SK</v>
      </c>
      <c r="D2" s="169"/>
      <c r="E2" s="96" t="s">
        <v>109</v>
      </c>
      <c r="F2" s="110">
        <v>190902</v>
      </c>
      <c r="G2" s="136" t="s">
        <v>110</v>
      </c>
      <c r="H2" s="137"/>
      <c r="I2" s="110"/>
      <c r="J2" s="138" t="s">
        <v>158</v>
      </c>
      <c r="K2" s="139"/>
      <c r="L2" s="110">
        <v>0.90900000000000003</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Alaw'!C3:D3</f>
        <v>Byproduct Recovery Limited</v>
      </c>
      <c r="D3" s="169"/>
      <c r="E3" s="96" t="s">
        <v>108</v>
      </c>
      <c r="F3" s="111" t="s">
        <v>78</v>
      </c>
      <c r="G3" s="138" t="s">
        <v>159</v>
      </c>
      <c r="H3" s="139"/>
      <c r="I3" s="110"/>
      <c r="J3" s="160" t="s">
        <v>154</v>
      </c>
      <c r="K3" s="161"/>
      <c r="L3" s="110">
        <f>(L1/(L2*10000))*100</f>
        <v>2.1232123212321232</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Alaw'!C4:D4</f>
        <v>Plas Bach, Cerrigceinwen, Bodorgan.LL62 5NS</v>
      </c>
      <c r="D4" s="171"/>
      <c r="E4" s="99" t="s">
        <v>1</v>
      </c>
      <c r="F4" s="110" t="s">
        <v>183</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Alaw'!C5:D5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Alaw'!C8</f>
        <v>SJC1</v>
      </c>
      <c r="D8" s="49" t="str">
        <f>'Field data and Alaw'!D8</f>
        <v>SJC2</v>
      </c>
      <c r="E8" s="49" t="str">
        <f>'Field data and Alaw'!E8</f>
        <v>SJC3</v>
      </c>
      <c r="F8" s="49" t="str">
        <f>'Field data and Alaw'!F8</f>
        <v>SJC4</v>
      </c>
      <c r="G8" s="49" t="str">
        <f>'Field data and Alaw'!G8</f>
        <v>SJC5</v>
      </c>
      <c r="H8" s="49" t="str">
        <f>'Field data and Alaw'!H8</f>
        <v>SJC6</v>
      </c>
      <c r="I8" s="49" t="str">
        <f>'Field data and Alaw'!I8</f>
        <v>BODNOLWYN A</v>
      </c>
      <c r="J8" s="49" t="str">
        <f>'Field data and Alaw'!J8</f>
        <v>BODNOLWYN B</v>
      </c>
      <c r="K8" s="49">
        <f>'Field data and Alaw'!K8</f>
        <v>0</v>
      </c>
      <c r="L8" s="49">
        <f>'Field data and Alaw'!L8</f>
        <v>0</v>
      </c>
      <c r="M8" s="49">
        <f>'Field data and Alaw'!M8</f>
        <v>0</v>
      </c>
      <c r="N8" s="49">
        <f>'Field data and Alaw'!N8</f>
        <v>0</v>
      </c>
      <c r="O8" s="49">
        <f>'Field data and Alaw'!O8</f>
        <v>0</v>
      </c>
      <c r="P8" s="49">
        <f>'Field data and Alaw'!P8</f>
        <v>0</v>
      </c>
      <c r="Q8" s="49">
        <f>'Field data and Alaw'!Q8</f>
        <v>0</v>
      </c>
      <c r="R8" s="49">
        <f>'Field data and Alaw'!R8</f>
        <v>0</v>
      </c>
      <c r="S8" s="49">
        <f>'Field data and Alaw'!S8</f>
        <v>0</v>
      </c>
      <c r="T8" s="49">
        <f>'Field data and Alaw'!T8</f>
        <v>0</v>
      </c>
      <c r="U8" s="49">
        <f>'Field data and Alaw'!U8</f>
        <v>0</v>
      </c>
      <c r="V8" s="102">
        <f>'Field data and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Alaw'!C9</f>
        <v>m</v>
      </c>
      <c r="D9" s="49" t="str">
        <f>'Field data and Alaw'!D9</f>
        <v>m</v>
      </c>
      <c r="E9" s="49" t="str">
        <f>'Field data and Alaw'!E9</f>
        <v>m</v>
      </c>
      <c r="F9" s="49">
        <f>'Field data and Alaw'!F9</f>
        <v>2</v>
      </c>
      <c r="G9" s="49" t="str">
        <f>'Field data and Alaw'!G9</f>
        <v>m</v>
      </c>
      <c r="H9" s="49">
        <f>'Field data and Alaw'!H9</f>
        <v>2</v>
      </c>
      <c r="I9" s="49" t="str">
        <f>'Field data and Alaw'!I9</f>
        <v xml:space="preserve">m </v>
      </c>
      <c r="J9" s="49" t="str">
        <f>'Field data and Alaw'!J9</f>
        <v xml:space="preserve">m </v>
      </c>
      <c r="K9" s="49">
        <f>'Field data and Alaw'!K9</f>
        <v>0</v>
      </c>
      <c r="L9" s="49">
        <f>'Field data and Alaw'!L9</f>
        <v>0</v>
      </c>
      <c r="M9" s="49">
        <f>'Field data and Alaw'!M9</f>
        <v>0</v>
      </c>
      <c r="N9" s="49">
        <f>'Field data and Alaw'!N9</f>
        <v>0</v>
      </c>
      <c r="O9" s="49">
        <f>'Field data and Alaw'!O9</f>
        <v>0</v>
      </c>
      <c r="P9" s="49">
        <f>'Field data and Alaw'!P9</f>
        <v>0</v>
      </c>
      <c r="Q9" s="49">
        <f>'Field data and Alaw'!Q9</f>
        <v>0</v>
      </c>
      <c r="R9" s="49">
        <f>'Field data and Alaw'!R9</f>
        <v>0</v>
      </c>
      <c r="S9" s="49">
        <f>'Field data and Alaw'!S9</f>
        <v>0</v>
      </c>
      <c r="T9" s="49">
        <f>'Field data and Alaw'!T9</f>
        <v>0</v>
      </c>
      <c r="U9" s="49">
        <f>'Field data and Alaw'!U9</f>
        <v>0</v>
      </c>
      <c r="V9" s="102">
        <f>'Field data and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Alaw'!C10</f>
        <v>6.4</v>
      </c>
      <c r="D10" s="49">
        <f>'Field data and Alaw'!D10</f>
        <v>5.8</v>
      </c>
      <c r="E10" s="49">
        <f>'Field data and Alaw'!E10</f>
        <v>6</v>
      </c>
      <c r="F10" s="49">
        <f>'Field data and Alaw'!F10</f>
        <v>6</v>
      </c>
      <c r="G10" s="49">
        <f>'Field data and Alaw'!G10</f>
        <v>5.9</v>
      </c>
      <c r="H10" s="49">
        <f>'Field data and Alaw'!H10</f>
        <v>6.1</v>
      </c>
      <c r="I10" s="49">
        <f>'Field data and Alaw'!I10</f>
        <v>5.8</v>
      </c>
      <c r="J10" s="49">
        <f>'Field data and Alaw'!J10</f>
        <v>5.7</v>
      </c>
      <c r="K10" s="49">
        <f>'Field data and Alaw'!K10</f>
        <v>0</v>
      </c>
      <c r="L10" s="49">
        <f>'Field data and Alaw'!L10</f>
        <v>0</v>
      </c>
      <c r="M10" s="49">
        <f>'Field data and Alaw'!M10</f>
        <v>0</v>
      </c>
      <c r="N10" s="49">
        <f>'Field data and Alaw'!N10</f>
        <v>0</v>
      </c>
      <c r="O10" s="49">
        <f>'Field data and Alaw'!O10</f>
        <v>0</v>
      </c>
      <c r="P10" s="49">
        <f>'Field data and Alaw'!P10</f>
        <v>0</v>
      </c>
      <c r="Q10" s="49">
        <f>'Field data and Alaw'!Q10</f>
        <v>0</v>
      </c>
      <c r="R10" s="49">
        <f>'Field data and Alaw'!R10</f>
        <v>0</v>
      </c>
      <c r="S10" s="49">
        <f>'Field data and Alaw'!S10</f>
        <v>0</v>
      </c>
      <c r="T10" s="49">
        <f>'Field data and Alaw'!T10</f>
        <v>0</v>
      </c>
      <c r="U10" s="49">
        <f>'Field data and Alaw'!U10</f>
        <v>0</v>
      </c>
      <c r="V10" s="102">
        <f>'Field data and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Alaw'!C11</f>
        <v>2</v>
      </c>
      <c r="D11" s="49">
        <f>'Field data and Alaw'!D11</f>
        <v>2</v>
      </c>
      <c r="E11" s="49">
        <f>'Field data and Alaw'!E11</f>
        <v>3</v>
      </c>
      <c r="F11" s="49">
        <f>'Field data and Alaw'!F11</f>
        <v>1</v>
      </c>
      <c r="G11" s="49">
        <f>'Field data and Alaw'!G11</f>
        <v>0</v>
      </c>
      <c r="H11" s="49">
        <f>'Field data and Alaw'!H11</f>
        <v>3</v>
      </c>
      <c r="I11" s="49">
        <f>'Field data and Alaw'!I11</f>
        <v>2</v>
      </c>
      <c r="J11" s="49">
        <f>'Field data and Alaw'!J11</f>
        <v>2</v>
      </c>
      <c r="K11" s="49">
        <f>'Field data and Alaw'!K11</f>
        <v>0</v>
      </c>
      <c r="L11" s="49">
        <f>'Field data and Alaw'!L11</f>
        <v>0</v>
      </c>
      <c r="M11" s="49">
        <f>'Field data and Alaw'!M11</f>
        <v>0</v>
      </c>
      <c r="N11" s="49">
        <f>'Field data and Alaw'!N11</f>
        <v>0</v>
      </c>
      <c r="O11" s="49">
        <f>'Field data and Alaw'!O11</f>
        <v>0</v>
      </c>
      <c r="P11" s="49">
        <f>'Field data and Alaw'!P11</f>
        <v>0</v>
      </c>
      <c r="Q11" s="49">
        <f>'Field data and Alaw'!Q11</f>
        <v>0</v>
      </c>
      <c r="R11" s="49">
        <f>'Field data and Alaw'!R11</f>
        <v>0</v>
      </c>
      <c r="S11" s="49">
        <f>'Field data and Alaw'!S11</f>
        <v>0</v>
      </c>
      <c r="T11" s="49">
        <f>'Field data and Alaw'!T11</f>
        <v>0</v>
      </c>
      <c r="U11" s="49">
        <f>'Field data and Alaw'!U11</f>
        <v>0</v>
      </c>
      <c r="V11" s="102">
        <f>'Field data and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Alaw'!C12</f>
        <v>3</v>
      </c>
      <c r="D12" s="49">
        <f>'Field data and Alaw'!D12</f>
        <v>4</v>
      </c>
      <c r="E12" s="49">
        <f>'Field data and Alaw'!E12</f>
        <v>4</v>
      </c>
      <c r="F12" s="49">
        <f>'Field data and Alaw'!F12</f>
        <v>1</v>
      </c>
      <c r="G12" s="49">
        <f>'Field data and Alaw'!G12</f>
        <v>1</v>
      </c>
      <c r="H12" s="49">
        <f>'Field data and Alaw'!H12</f>
        <v>2</v>
      </c>
      <c r="I12" s="49">
        <f>'Field data and Alaw'!I12</f>
        <v>2</v>
      </c>
      <c r="J12" s="49">
        <f>'Field data and Alaw'!J12</f>
        <v>2</v>
      </c>
      <c r="K12" s="49">
        <f>'Field data and Alaw'!K12</f>
        <v>0</v>
      </c>
      <c r="L12" s="49">
        <f>'Field data and Alaw'!L12</f>
        <v>0</v>
      </c>
      <c r="M12" s="49">
        <f>'Field data and Alaw'!M12</f>
        <v>0</v>
      </c>
      <c r="N12" s="49">
        <f>'Field data and Alaw'!N12</f>
        <v>0</v>
      </c>
      <c r="O12" s="49">
        <f>'Field data and Alaw'!O12</f>
        <v>0</v>
      </c>
      <c r="P12" s="49">
        <f>'Field data and Alaw'!P12</f>
        <v>0</v>
      </c>
      <c r="Q12" s="49">
        <f>'Field data and Alaw'!Q12</f>
        <v>0</v>
      </c>
      <c r="R12" s="49">
        <f>'Field data and Alaw'!R12</f>
        <v>0</v>
      </c>
      <c r="S12" s="49">
        <f>'Field data and Alaw'!S12</f>
        <v>0</v>
      </c>
      <c r="T12" s="49">
        <f>'Field data and Alaw'!T12</f>
        <v>0</v>
      </c>
      <c r="U12" s="49">
        <f>'Field data and Alaw'!U12</f>
        <v>0</v>
      </c>
      <c r="V12" s="102">
        <f>'Field data and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Alaw'!C13</f>
        <v>4</v>
      </c>
      <c r="D13" s="49">
        <f>'Field data and Alaw'!D13</f>
        <v>3</v>
      </c>
      <c r="E13" s="49">
        <f>'Field data and Alaw'!E13</f>
        <v>3</v>
      </c>
      <c r="F13" s="49">
        <f>'Field data and Alaw'!F13</f>
        <v>3</v>
      </c>
      <c r="G13" s="49">
        <f>'Field data and Alaw'!G13</f>
        <v>3</v>
      </c>
      <c r="H13" s="49">
        <f>'Field data and Alaw'!H13</f>
        <v>3</v>
      </c>
      <c r="I13" s="49">
        <f>'Field data and Alaw'!I13</f>
        <v>3</v>
      </c>
      <c r="J13" s="49">
        <f>'Field data and Alaw'!J13</f>
        <v>3</v>
      </c>
      <c r="K13" s="49">
        <f>'Field data and Alaw'!K13</f>
        <v>0</v>
      </c>
      <c r="L13" s="49">
        <f>'Field data and Alaw'!L13</f>
        <v>0</v>
      </c>
      <c r="M13" s="49">
        <f>'Field data and Alaw'!M13</f>
        <v>0</v>
      </c>
      <c r="N13" s="49">
        <f>'Field data and Alaw'!N13</f>
        <v>0</v>
      </c>
      <c r="O13" s="49">
        <f>'Field data and Alaw'!O13</f>
        <v>0</v>
      </c>
      <c r="P13" s="49">
        <f>'Field data and Alaw'!P13</f>
        <v>0</v>
      </c>
      <c r="Q13" s="49">
        <f>'Field data and Alaw'!Q13</f>
        <v>0</v>
      </c>
      <c r="R13" s="49">
        <f>'Field data and Alaw'!R13</f>
        <v>0</v>
      </c>
      <c r="S13" s="49">
        <f>'Field data and Alaw'!S13</f>
        <v>0</v>
      </c>
      <c r="T13" s="49">
        <f>'Field data and Alaw'!T13</f>
        <v>0</v>
      </c>
      <c r="U13" s="49">
        <f>'Field data and Alaw'!U13</f>
        <v>0</v>
      </c>
      <c r="V13" s="102">
        <f>'Field data and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Alaw'!C14</f>
        <v xml:space="preserve">Grass Silage (25% DM) </v>
      </c>
      <c r="D14" s="83" t="str">
        <f>'Field data and Alaw'!D14</f>
        <v xml:space="preserve">Grass Silage (25% DM) </v>
      </c>
      <c r="E14" s="83" t="str">
        <f>'Field data and Alaw'!E14</f>
        <v xml:space="preserve">Grass Silage (25% DM) </v>
      </c>
      <c r="F14" s="83" t="str">
        <f>'Field data and Alaw'!F14</f>
        <v>Spring wheat/barley</v>
      </c>
      <c r="G14" s="83" t="str">
        <f>'Field data and Alaw'!G14</f>
        <v xml:space="preserve">Grass Silage (25% DM) </v>
      </c>
      <c r="H14" s="83" t="str">
        <f>'Field data and Alaw'!H14</f>
        <v>Spring wheat/barley</v>
      </c>
      <c r="I14" s="83" t="str">
        <f>'Field data and Alaw'!I14</f>
        <v xml:space="preserve">Grass Silage (25% DM) </v>
      </c>
      <c r="J14" s="83" t="str">
        <f>'Field data and Alaw'!J14</f>
        <v xml:space="preserve">Grass Silage (25% DM) </v>
      </c>
      <c r="K14" s="83">
        <f>'Field data and Alaw'!K14</f>
        <v>0</v>
      </c>
      <c r="L14" s="83">
        <f>'Field data and Alaw'!L14</f>
        <v>0</v>
      </c>
      <c r="M14" s="83">
        <f>'Field data and Alaw'!M14</f>
        <v>0</v>
      </c>
      <c r="N14" s="83">
        <f>'Field data and Alaw'!N14</f>
        <v>0</v>
      </c>
      <c r="O14" s="83">
        <f>'Field data and Alaw'!O14</f>
        <v>0</v>
      </c>
      <c r="P14" s="83">
        <f>'Field data and Alaw'!P14</f>
        <v>0</v>
      </c>
      <c r="Q14" s="83">
        <f>'Field data and Alaw'!Q14</f>
        <v>0</v>
      </c>
      <c r="R14" s="83">
        <f>'Field data and Alaw'!R14</f>
        <v>0</v>
      </c>
      <c r="S14" s="83">
        <f>'Field data and Alaw'!S14</f>
        <v>0</v>
      </c>
      <c r="T14" s="83">
        <f>'Field data and Alaw'!T14</f>
        <v>0</v>
      </c>
      <c r="U14" s="83">
        <f>'Field data and Alaw'!U14</f>
        <v>0</v>
      </c>
      <c r="V14" s="103">
        <f>'Field data and Alaw'!V14</f>
        <v>0</v>
      </c>
      <c r="AD14" s="22" t="s">
        <v>138</v>
      </c>
      <c r="AE14" s="22">
        <v>6</v>
      </c>
      <c r="AI14" s="43" t="s">
        <v>119</v>
      </c>
      <c r="AJ14" s="44">
        <v>0.8</v>
      </c>
      <c r="AK14" s="45">
        <v>1.7</v>
      </c>
      <c r="AL14" s="9">
        <v>12</v>
      </c>
      <c r="AM14" s="9">
        <v>6.7</v>
      </c>
      <c r="AN14" s="9" t="s">
        <v>135</v>
      </c>
    </row>
    <row r="15" spans="1:41" ht="13" x14ac:dyDescent="0.25">
      <c r="A15" s="152" t="s">
        <v>9</v>
      </c>
      <c r="B15" s="153"/>
      <c r="C15" s="49">
        <f>'Field data and Alaw'!C15</f>
        <v>38</v>
      </c>
      <c r="D15" s="49">
        <f>'Field data and Alaw'!D15</f>
        <v>38</v>
      </c>
      <c r="E15" s="49">
        <f>'Field data and Alaw'!E15</f>
        <v>38</v>
      </c>
      <c r="F15" s="49">
        <f>'Field data and Alaw'!F15</f>
        <v>5.5</v>
      </c>
      <c r="G15" s="49">
        <f>'Field data and Alaw'!G15</f>
        <v>38</v>
      </c>
      <c r="H15" s="49">
        <f>'Field data and Alaw'!H15</f>
        <v>5.5</v>
      </c>
      <c r="I15" s="49">
        <f>'Field data and Alaw'!I15</f>
        <v>38</v>
      </c>
      <c r="J15" s="49">
        <f>'Field data and Alaw'!J15</f>
        <v>38</v>
      </c>
      <c r="K15" s="49">
        <f>'Field data and Alaw'!K15</f>
        <v>0</v>
      </c>
      <c r="L15" s="49">
        <f>'Field data and Alaw'!L15</f>
        <v>0</v>
      </c>
      <c r="M15" s="49">
        <f>'Field data and Alaw'!M15</f>
        <v>0</v>
      </c>
      <c r="N15" s="49">
        <f>'Field data and Alaw'!N15</f>
        <v>0</v>
      </c>
      <c r="O15" s="49">
        <f>'Field data and Alaw'!O15</f>
        <v>0</v>
      </c>
      <c r="P15" s="49">
        <f>'Field data and Alaw'!P15</f>
        <v>0</v>
      </c>
      <c r="Q15" s="49">
        <f>'Field data and Alaw'!Q15</f>
        <v>0</v>
      </c>
      <c r="R15" s="49">
        <f>'Field data and Alaw'!R15</f>
        <v>0</v>
      </c>
      <c r="S15" s="49">
        <f>'Field data and Alaw'!S15</f>
        <v>0</v>
      </c>
      <c r="T15" s="49">
        <f>'Field data and Alaw'!T15</f>
        <v>0</v>
      </c>
      <c r="U15" s="49">
        <f>'Field data and Alaw'!U15</f>
        <v>0</v>
      </c>
      <c r="V15" s="102">
        <f>'Field data and Alaw'!V15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Alaw'!C16</f>
        <v>Medium/Clay</v>
      </c>
      <c r="D16" s="104" t="str">
        <f>'Field data and Alaw'!D16</f>
        <v>Medium/Clay</v>
      </c>
      <c r="E16" s="104" t="str">
        <f>'Field data and Alaw'!E16</f>
        <v>Medium/Clay</v>
      </c>
      <c r="F16" s="104" t="str">
        <f>'Field data and Alaw'!F16</f>
        <v>Medium/Clay</v>
      </c>
      <c r="G16" s="104" t="str">
        <f>'Field data and Alaw'!G16</f>
        <v>Medium/Clay</v>
      </c>
      <c r="H16" s="104" t="str">
        <f>'Field data and Alaw'!H16</f>
        <v>Medium/Clay</v>
      </c>
      <c r="I16" s="104" t="str">
        <f>'Field data and Alaw'!I16</f>
        <v>Medium/Clay</v>
      </c>
      <c r="J16" s="104" t="str">
        <f>'Field data and Alaw'!J16</f>
        <v>Medium/Clay</v>
      </c>
      <c r="K16" s="104">
        <f>'Field data and Alaw'!K16</f>
        <v>0</v>
      </c>
      <c r="L16" s="104">
        <f>'Field data and Alaw'!L16</f>
        <v>0</v>
      </c>
      <c r="M16" s="104">
        <f>'Field data and Alaw'!M16</f>
        <v>0</v>
      </c>
      <c r="N16" s="104">
        <f>'Field data and Alaw'!N16</f>
        <v>0</v>
      </c>
      <c r="O16" s="104">
        <f>'Field data and Alaw'!O16</f>
        <v>0</v>
      </c>
      <c r="P16" s="104">
        <f>'Field data and Alaw'!P16</f>
        <v>0</v>
      </c>
      <c r="Q16" s="104">
        <f>'Field data and Alaw'!Q16</f>
        <v>0</v>
      </c>
      <c r="R16" s="104">
        <f>'Field data and Alaw'!R16</f>
        <v>0</v>
      </c>
      <c r="S16" s="104">
        <f>'Field data and Alaw'!S16</f>
        <v>0</v>
      </c>
      <c r="T16" s="104">
        <f>'Field data and Alaw'!T16</f>
        <v>0</v>
      </c>
      <c r="U16" s="104">
        <f>'Field data and Alaw'!U16</f>
        <v>0</v>
      </c>
      <c r="V16" s="105">
        <f>'Field data and Alaw'!V16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46.75</v>
      </c>
      <c r="G17" s="20">
        <f t="shared" si="0"/>
        <v>64.599999999999994</v>
      </c>
      <c r="H17" s="20">
        <f t="shared" si="0"/>
        <v>46.75</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65.205360647999996</v>
      </c>
      <c r="D18" s="12">
        <f>$D32</f>
        <v>0</v>
      </c>
      <c r="E18" s="12">
        <f>$D33</f>
        <v>32.321622734999998</v>
      </c>
      <c r="F18" s="12">
        <f>$D34</f>
        <v>70.264397250000002</v>
      </c>
      <c r="G18" s="12">
        <f>$D35</f>
        <v>0</v>
      </c>
      <c r="H18" s="12">
        <f>$D36</f>
        <v>23.608837475999998</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0.60536064800000133</v>
      </c>
      <c r="D19" s="12">
        <f t="shared" ref="D19:V19" si="1">D18-D17</f>
        <v>-64.599999999999994</v>
      </c>
      <c r="E19" s="12">
        <f t="shared" si="1"/>
        <v>-32.278377264999996</v>
      </c>
      <c r="F19" s="12">
        <f t="shared" si="1"/>
        <v>23.514397250000002</v>
      </c>
      <c r="G19" s="12">
        <f t="shared" si="1"/>
        <v>-64.599999999999994</v>
      </c>
      <c r="H19" s="12">
        <f t="shared" si="1"/>
        <v>-23.141162524000002</v>
      </c>
      <c r="I19" s="12">
        <f t="shared" si="1"/>
        <v>-64.599999999999994</v>
      </c>
      <c r="J19" s="12">
        <f t="shared" si="1"/>
        <v>-64.599999999999994</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INCREASE</v>
      </c>
      <c r="D20" s="18" t="str">
        <f>IF($B32="","",IF(D$19&gt;=0,"INCREASE","DECREASE"))</f>
        <v>DECREASE</v>
      </c>
      <c r="E20" s="18" t="str">
        <f>IF($B33="","",IF(E$19&gt;=0,"INCREASE","DECREASE"))</f>
        <v>DECREASE</v>
      </c>
      <c r="F20" s="18" t="str">
        <f>IF($B34="","",IF(F$19&gt;=0,"INCREASE","DECREASE"))</f>
        <v>INCREASE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66</v>
      </c>
      <c r="G21" s="20">
        <f t="shared" si="2"/>
        <v>228</v>
      </c>
      <c r="H21" s="20">
        <f t="shared" si="2"/>
        <v>66</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1.976237596</v>
      </c>
      <c r="D22" s="12">
        <f>$E32</f>
        <v>0</v>
      </c>
      <c r="E22" s="12">
        <f>$E33</f>
        <v>0.97960053250000012</v>
      </c>
      <c r="F22" s="12">
        <f>$E34</f>
        <v>2.129566375</v>
      </c>
      <c r="G22" s="12">
        <f>$E35</f>
        <v>0</v>
      </c>
      <c r="H22" s="12">
        <f>$E36</f>
        <v>0.71553430200000001</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-226.023762404</v>
      </c>
      <c r="D23" s="12">
        <f t="shared" ref="D23:V23" si="3">D22-D21</f>
        <v>-228</v>
      </c>
      <c r="E23" s="12">
        <f t="shared" si="3"/>
        <v>-227.0203994675</v>
      </c>
      <c r="F23" s="12">
        <f t="shared" si="3"/>
        <v>-63.870433624999997</v>
      </c>
      <c r="G23" s="12">
        <f t="shared" si="3"/>
        <v>-228</v>
      </c>
      <c r="H23" s="12">
        <f t="shared" si="3"/>
        <v>-65.284465698000005</v>
      </c>
      <c r="I23" s="12">
        <f t="shared" si="3"/>
        <v>-228</v>
      </c>
      <c r="J23" s="12">
        <f t="shared" si="3"/>
        <v>-228</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3.17</v>
      </c>
      <c r="C28" s="11">
        <v>0.90900000000000003</v>
      </c>
      <c r="D28" s="11">
        <v>0.38700000000000001</v>
      </c>
      <c r="E28" s="11">
        <v>2.23E-2</v>
      </c>
      <c r="F28" s="11">
        <v>554</v>
      </c>
      <c r="G28" s="11">
        <v>77.7</v>
      </c>
      <c r="H28" s="11">
        <v>105</v>
      </c>
      <c r="I28" s="11">
        <v>6.2</v>
      </c>
      <c r="J28" s="11">
        <v>0.5</v>
      </c>
      <c r="K28" s="15">
        <v>1.27</v>
      </c>
      <c r="L28" s="11">
        <v>5.4</v>
      </c>
      <c r="M28" s="11">
        <v>4.3</v>
      </c>
      <c r="N28" s="11">
        <v>185000</v>
      </c>
      <c r="O28" s="11">
        <v>4060</v>
      </c>
      <c r="P28" s="11"/>
      <c r="Q28" s="11">
        <v>8450</v>
      </c>
      <c r="R28" s="11"/>
      <c r="S28" s="11">
        <v>15.6</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SJC1</v>
      </c>
      <c r="B31" s="11">
        <v>232</v>
      </c>
      <c r="C31" s="65">
        <f>IF(C$27="%w/w SAR",((C$28*10)*$B31),IF(C$27="%w/w DM",(((C$28*10)*($B$28/100))*$B31),IF(C$27="kg/t SAR",(C$28*$B31),IF(C$27="kg/t DM",((C$28*($B$28/100))*$B31),IF(C$27="mg/kg SAR",((C$28*0.001)*$B31),IF(C$27="mg/kg DM",(((C$28*0.001)*($B$28/100))*$B31),0))))))</f>
        <v>66.851495999999997</v>
      </c>
      <c r="D31" s="65">
        <f>(IF(D$27="%w/w SAR",((D$28*10)*$B31),IF(D$27="%w/w DM",(((D$28*10)*($B$28/100))*$B31),IF(D$27="kg/t SAR",(D$28*$B31),IF(D$27="kg/t DM",((D$28*($B$28/100))*$B31),IF(D$27="mg/kg SAR",((D$28*0.001)*$B31),IF(D$27="mg/kg DM",(((D$28*0.001)*($B$28/100))*$B31),"0")))))))*2.291</f>
        <v>65.205360647999996</v>
      </c>
      <c r="E31" s="65">
        <f>(IF(E$27="%w/w SAR",((E$28*10)*$B31),IF(E$27="%w/w DM",(((E$28*10)*($B$28/100))*$B31),IF(E$27="kg/t SAR",(E$28*$B31),IF(E$27="kg/t DM",((E$28*($B$28/100))*$B31),IF(E$27="mg/kg SAR",((E$28*0.001)*$B31),IF(E$27="mg/kg DM",(((E$28*0.001)*($B$28/100))*$B31),"0")))))))*1.205</f>
        <v>1.976237596</v>
      </c>
      <c r="F31" s="65">
        <f>(IF(F$27="%w/w SAR",((F$28*10)*$B31),IF(F$27="%w/w DM",(((F$28*10)*($B$28/100))*$B31),IF(F$27="kg/t SAR",(F$28*$B31),IF(F$27="kg/t DM",((F$28*($B$28/100))*$B31),IF(F$27="mg/kg SAR",((F$28*0.001)*$B31),IF(F$27="mg/kg DM",(((F$28*0.001)*($B$28/100))*$B31),"0")))))))*1.658</f>
        <v>6.7552517408000003</v>
      </c>
      <c r="G31" s="65">
        <f t="shared" ref="G31:P46" si="5">IF(G$27="%w/w SAR",((G$28*10)*$B31),IF(G$27="%w/w DM",(((G$28*10)*($B$28/100))*$B31),IF(G$27="kg/t SAR",(G$28*$B31),IF(G$27="kg/t DM",((G$28*($B$28/100))*$B31),IF(G$27="mg/kg SAR",((G$28*0.001)*$B31),IF(G$27="mg/kg DM",(((G$28*0.001)*($B$28/100))*$B31),0))))))</f>
        <v>0.57143688000000004</v>
      </c>
      <c r="H31" s="65">
        <f t="shared" si="5"/>
        <v>0.77221200000000001</v>
      </c>
      <c r="I31" s="65">
        <f t="shared" si="5"/>
        <v>4.5597280000000004E-2</v>
      </c>
      <c r="J31" s="65">
        <f t="shared" si="5"/>
        <v>3.6771999999999998E-3</v>
      </c>
      <c r="K31" s="65">
        <f t="shared" si="5"/>
        <v>9.3400879999999999E-3</v>
      </c>
      <c r="L31" s="65">
        <f t="shared" si="5"/>
        <v>3.9713760000000001E-2</v>
      </c>
      <c r="M31" s="65">
        <f t="shared" si="5"/>
        <v>3.162392E-2</v>
      </c>
      <c r="N31" s="65">
        <f t="shared" si="5"/>
        <v>1360.5639999999999</v>
      </c>
      <c r="O31" s="65">
        <f t="shared" si="5"/>
        <v>29.858864000000004</v>
      </c>
      <c r="P31" s="65">
        <f t="shared" si="5"/>
        <v>0</v>
      </c>
      <c r="Q31" s="65">
        <f>(IF(Q$27="%w/w SAR",((Q$28*10)*$B31),IF(Q$27="%w/w DM",(((Q$28*10)*($B$28/100))*$B31),IF(Q$27="kg/t SAR",(Q$28*$B31),IF(Q$27="kg/t DM",((Q$28*($B$28/100))*$B31),IF(Q$27="mg/kg SAR",((Q$28*0.001)*$B31),IF(Q$27="mg/kg DM",(((Q$28*0.001)*($B$28/100))*$B31),0)))))))*2.5</f>
        <v>155.36169999999998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0.11472863999999998</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SJC2</v>
      </c>
      <c r="B32" s="11">
        <v>0</v>
      </c>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t="str">
        <f>E8</f>
        <v>SJC3</v>
      </c>
      <c r="B33" s="11">
        <v>115</v>
      </c>
      <c r="C33" s="65">
        <f t="shared" si="6"/>
        <v>33.137594999999997</v>
      </c>
      <c r="D33" s="65">
        <f t="shared" si="7"/>
        <v>32.321622734999998</v>
      </c>
      <c r="E33" s="65">
        <f t="shared" si="8"/>
        <v>0.97960053250000012</v>
      </c>
      <c r="F33" s="65">
        <f t="shared" si="9"/>
        <v>3.3485084060000001</v>
      </c>
      <c r="G33" s="65">
        <f t="shared" si="5"/>
        <v>0.28325535000000002</v>
      </c>
      <c r="H33" s="65">
        <f t="shared" si="5"/>
        <v>0.38277749999999999</v>
      </c>
      <c r="I33" s="65">
        <f t="shared" si="5"/>
        <v>2.26021E-2</v>
      </c>
      <c r="J33" s="65">
        <f t="shared" si="5"/>
        <v>1.8227499999999999E-3</v>
      </c>
      <c r="K33" s="65">
        <f t="shared" si="5"/>
        <v>4.629785E-3</v>
      </c>
      <c r="L33" s="65">
        <f t="shared" si="5"/>
        <v>1.96857E-2</v>
      </c>
      <c r="M33" s="65">
        <f t="shared" si="5"/>
        <v>1.5675649999999999E-2</v>
      </c>
      <c r="N33" s="65">
        <f t="shared" si="5"/>
        <v>674.4174999999999</v>
      </c>
      <c r="O33" s="65">
        <f t="shared" si="5"/>
        <v>14.800730000000001</v>
      </c>
      <c r="P33" s="65">
        <f t="shared" si="5"/>
        <v>0</v>
      </c>
      <c r="Q33" s="65">
        <f t="shared" si="10"/>
        <v>77.011187499999991</v>
      </c>
      <c r="R33" s="65">
        <f t="shared" si="11"/>
        <v>0</v>
      </c>
      <c r="S33" s="65">
        <f t="shared" si="11"/>
        <v>5.6869799999999991E-2</v>
      </c>
      <c r="T33" s="65">
        <f t="shared" si="11"/>
        <v>0</v>
      </c>
      <c r="U33" s="126">
        <f t="shared" si="11"/>
        <v>0</v>
      </c>
    </row>
    <row r="34" spans="1:21" s="48" customFormat="1" ht="13" x14ac:dyDescent="0.35">
      <c r="A34" s="125" t="str">
        <f>F8</f>
        <v>SJC4</v>
      </c>
      <c r="B34" s="11">
        <v>250</v>
      </c>
      <c r="C34" s="65">
        <f t="shared" si="6"/>
        <v>72.038250000000005</v>
      </c>
      <c r="D34" s="65">
        <f t="shared" si="7"/>
        <v>70.264397250000002</v>
      </c>
      <c r="E34" s="65">
        <f t="shared" si="8"/>
        <v>2.129566375</v>
      </c>
      <c r="F34" s="65">
        <f t="shared" si="9"/>
        <v>7.2793661000000007</v>
      </c>
      <c r="G34" s="65">
        <f t="shared" si="5"/>
        <v>0.61577250000000006</v>
      </c>
      <c r="H34" s="65">
        <f t="shared" si="5"/>
        <v>0.832125</v>
      </c>
      <c r="I34" s="65">
        <f t="shared" si="5"/>
        <v>4.9135000000000005E-2</v>
      </c>
      <c r="J34" s="65">
        <f t="shared" si="5"/>
        <v>3.9624999999999999E-3</v>
      </c>
      <c r="K34" s="65">
        <f t="shared" si="5"/>
        <v>1.0064750000000001E-2</v>
      </c>
      <c r="L34" s="65">
        <f t="shared" si="5"/>
        <v>4.2795E-2</v>
      </c>
      <c r="M34" s="65">
        <f t="shared" si="5"/>
        <v>3.4077500000000004E-2</v>
      </c>
      <c r="N34" s="65">
        <f t="shared" si="5"/>
        <v>1466.125</v>
      </c>
      <c r="O34" s="65">
        <f t="shared" si="5"/>
        <v>32.1755</v>
      </c>
      <c r="P34" s="65">
        <f t="shared" si="5"/>
        <v>0</v>
      </c>
      <c r="Q34" s="65">
        <f t="shared" si="10"/>
        <v>167.41562499999998</v>
      </c>
      <c r="R34" s="65">
        <f t="shared" si="11"/>
        <v>0</v>
      </c>
      <c r="S34" s="65">
        <f t="shared" si="11"/>
        <v>0.12362999999999998</v>
      </c>
      <c r="T34" s="65">
        <f t="shared" si="11"/>
        <v>0</v>
      </c>
      <c r="U34" s="126">
        <f t="shared" si="11"/>
        <v>0</v>
      </c>
    </row>
    <row r="35" spans="1:21" s="48" customFormat="1" ht="13" x14ac:dyDescent="0.35">
      <c r="A35" s="125" t="str">
        <f>G8</f>
        <v>SJC5</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t="str">
        <f>H8</f>
        <v>SJC6</v>
      </c>
      <c r="B36" s="11">
        <v>84</v>
      </c>
      <c r="C36" s="65">
        <f t="shared" si="6"/>
        <v>24.204851999999999</v>
      </c>
      <c r="D36" s="65">
        <f t="shared" si="7"/>
        <v>23.608837475999998</v>
      </c>
      <c r="E36" s="65">
        <f t="shared" si="8"/>
        <v>0.71553430200000001</v>
      </c>
      <c r="F36" s="65">
        <f t="shared" si="9"/>
        <v>2.4458670096000001</v>
      </c>
      <c r="G36" s="65">
        <f t="shared" si="5"/>
        <v>0.20689956000000001</v>
      </c>
      <c r="H36" s="65">
        <f t="shared" si="5"/>
        <v>0.27959400000000001</v>
      </c>
      <c r="I36" s="65">
        <f t="shared" si="5"/>
        <v>1.6509360000000001E-2</v>
      </c>
      <c r="J36" s="65">
        <f t="shared" si="5"/>
        <v>1.3313999999999999E-3</v>
      </c>
      <c r="K36" s="65">
        <f t="shared" si="5"/>
        <v>3.3817560000000001E-3</v>
      </c>
      <c r="L36" s="65">
        <f t="shared" si="5"/>
        <v>1.437912E-2</v>
      </c>
      <c r="M36" s="65">
        <f t="shared" si="5"/>
        <v>1.145004E-2</v>
      </c>
      <c r="N36" s="65">
        <f t="shared" si="5"/>
        <v>492.61799999999994</v>
      </c>
      <c r="O36" s="65">
        <f t="shared" si="5"/>
        <v>10.810968000000001</v>
      </c>
      <c r="P36" s="65">
        <f t="shared" si="5"/>
        <v>0</v>
      </c>
      <c r="Q36" s="65">
        <f t="shared" si="10"/>
        <v>56.251649999999991</v>
      </c>
      <c r="R36" s="65">
        <f t="shared" si="11"/>
        <v>0</v>
      </c>
      <c r="S36" s="65">
        <f t="shared" si="11"/>
        <v>4.1539679999999995E-2</v>
      </c>
      <c r="T36" s="65">
        <f t="shared" si="11"/>
        <v>0</v>
      </c>
      <c r="U36" s="126">
        <f t="shared" si="11"/>
        <v>0</v>
      </c>
    </row>
    <row r="37" spans="1:21" s="48" customFormat="1" ht="13" x14ac:dyDescent="0.35">
      <c r="A37" s="125" t="str">
        <f>I8</f>
        <v>BODNOLWYN A</v>
      </c>
      <c r="B37" s="11">
        <v>0</v>
      </c>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t="str">
        <f>J8</f>
        <v>BODNOLWYN B</v>
      </c>
      <c r="B38" s="11">
        <v>0</v>
      </c>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SJC1</v>
      </c>
      <c r="C57" s="8" t="str">
        <f t="shared" ref="C57:U57" si="13">D8</f>
        <v>SJC2</v>
      </c>
      <c r="D57" s="8" t="str">
        <f t="shared" si="13"/>
        <v>SJC3</v>
      </c>
      <c r="E57" s="8" t="str">
        <f t="shared" si="13"/>
        <v>SJC4</v>
      </c>
      <c r="F57" s="8" t="str">
        <f t="shared" si="13"/>
        <v>SJC5</v>
      </c>
      <c r="G57" s="8" t="str">
        <f t="shared" si="13"/>
        <v>SJC6</v>
      </c>
      <c r="H57" s="8" t="str">
        <f t="shared" si="13"/>
        <v>BODNOLWYN A</v>
      </c>
      <c r="I57" s="8" t="str">
        <f t="shared" si="13"/>
        <v>BODNOLWYN 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Arable</v>
      </c>
      <c r="F58" s="10" t="str">
        <f>G16&amp;" I "&amp;(VLOOKUP(G14,Table24567[],6,FALSE))</f>
        <v>Medium/Clay I Grass</v>
      </c>
      <c r="G58" s="10" t="str">
        <f>H16&amp;" I "&amp;(VLOOKUP(H14,Table24567[],6,FALSE))</f>
        <v>Medium/Clay I Arable</v>
      </c>
      <c r="H58" s="10" t="str">
        <f>I16&amp;" I "&amp;(VLOOKUP(I14,Table24567[],6,FALSE))</f>
        <v>Medium/Clay I Grass</v>
      </c>
      <c r="I58" s="10" t="str">
        <f>J16&amp;" I "&amp;(VLOOKUP(J14,Table24567[],6,FALSE))</f>
        <v>Medium/Clay I Grass</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6.7</v>
      </c>
      <c r="F59" s="64">
        <f>VLOOKUP(G$14,Table24567[],5,FALSE)</f>
        <v>6.2</v>
      </c>
      <c r="G59" s="64">
        <f>VLOOKUP(H$14,Table24567[],5,FALSE)</f>
        <v>6.7</v>
      </c>
      <c r="H59" s="64">
        <f>VLOOKUP(I$14,Table24567[],5,FALSE)</f>
        <v>6.2</v>
      </c>
      <c r="I59" s="64">
        <f>VLOOKUP(J$14,Table24567[],5,FALSE)</f>
        <v>6.2</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5.8</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232</v>
      </c>
      <c r="C62" s="65">
        <f>B32</f>
        <v>0</v>
      </c>
      <c r="D62" s="65">
        <f>B33</f>
        <v>115</v>
      </c>
      <c r="E62" s="65">
        <f>B34</f>
        <v>250</v>
      </c>
      <c r="F62" s="65">
        <f>B35</f>
        <v>0</v>
      </c>
      <c r="G62" s="65">
        <f>B36</f>
        <v>84</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1.7999999999999989</v>
      </c>
      <c r="G64" s="65">
        <f t="shared" si="17"/>
        <v>4.8000000000000043</v>
      </c>
      <c r="H64" s="65">
        <f t="shared" si="17"/>
        <v>2.4000000000000021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-1.7999999999999989</v>
      </c>
      <c r="G65" s="65">
        <f t="shared" si="18"/>
        <v>-4.8000000000000043</v>
      </c>
      <c r="H65" s="65">
        <f t="shared" si="18"/>
        <v>-2.4000000000000021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cP6enLxdc/F8/d0x9TalBlRdZxBFmUNcq0GGZg2oVaGtsvKREnNQtOLf5cbLLm+8bf3SI+g3wvhEsUHeWHFxQ==" saltValue="s3gbf0+nnAOnJNZhlfSCp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5" priority="37" operator="greaterThan">
      <formula>$B$51</formula>
    </cfRule>
  </conditionalFormatting>
  <conditionalFormatting sqref="B66:U66">
    <cfRule type="cellIs" dxfId="54" priority="12" operator="equal">
      <formula>"UNDER"</formula>
    </cfRule>
    <cfRule type="cellIs" dxfId="53" priority="13" operator="equal">
      <formula>"OVER"</formula>
    </cfRule>
  </conditionalFormatting>
  <conditionalFormatting sqref="C31:C50">
    <cfRule type="cellIs" dxfId="52" priority="36" operator="greaterThan">
      <formula>$C$51</formula>
    </cfRule>
  </conditionalFormatting>
  <conditionalFormatting sqref="C17:V19">
    <cfRule type="cellIs" dxfId="51" priority="33" operator="equal">
      <formula>0</formula>
    </cfRule>
  </conditionalFormatting>
  <conditionalFormatting sqref="C20:V21">
    <cfRule type="cellIs" dxfId="50" priority="38" operator="equal">
      <formula>"DECREASE"</formula>
    </cfRule>
    <cfRule type="cellIs" dxfId="49" priority="39" operator="equal">
      <formula>"INCREASE"</formula>
    </cfRule>
  </conditionalFormatting>
  <conditionalFormatting sqref="C21:V21">
    <cfRule type="cellIs" dxfId="48" priority="14" operator="equal">
      <formula>0</formula>
    </cfRule>
  </conditionalFormatting>
  <conditionalFormatting sqref="C22:V23">
    <cfRule type="cellIs" dxfId="47" priority="18" operator="equal">
      <formula>0</formula>
    </cfRule>
  </conditionalFormatting>
  <conditionalFormatting sqref="C24:V24">
    <cfRule type="cellIs" dxfId="46" priority="19" operator="equal">
      <formula>"DECREASE"</formula>
    </cfRule>
    <cfRule type="cellIs" dxfId="45" priority="20" operator="equal">
      <formula>"INCREASE"</formula>
    </cfRule>
  </conditionalFormatting>
  <conditionalFormatting sqref="G31:G50">
    <cfRule type="cellIs" dxfId="44" priority="32" operator="greaterThan">
      <formula>$G$51</formula>
    </cfRule>
  </conditionalFormatting>
  <conditionalFormatting sqref="H31:H50">
    <cfRule type="cellIs" dxfId="43" priority="31" operator="greaterThan">
      <formula>$H$51</formula>
    </cfRule>
  </conditionalFormatting>
  <conditionalFormatting sqref="I1">
    <cfRule type="cellIs" dxfId="42" priority="4" operator="between">
      <formula>0.1</formula>
      <formula>5</formula>
    </cfRule>
  </conditionalFormatting>
  <conditionalFormatting sqref="I2">
    <cfRule type="cellIs" dxfId="41" priority="3" operator="greaterThan">
      <formula>5000.1</formula>
    </cfRule>
  </conditionalFormatting>
  <conditionalFormatting sqref="I3">
    <cfRule type="cellIs" dxfId="40" priority="2" operator="greaterThan">
      <formula>40000.01</formula>
    </cfRule>
  </conditionalFormatting>
  <conditionalFormatting sqref="I31:I50">
    <cfRule type="cellIs" dxfId="39" priority="30" operator="greaterThan">
      <formula>$I$51</formula>
    </cfRule>
  </conditionalFormatting>
  <conditionalFormatting sqref="J31:J50">
    <cfRule type="cellIs" dxfId="38" priority="9" operator="greaterThan">
      <formula>$J$51</formula>
    </cfRule>
  </conditionalFormatting>
  <conditionalFormatting sqref="K31:K50">
    <cfRule type="cellIs" dxfId="37" priority="29" operator="greaterThan">
      <formula>$K$51</formula>
    </cfRule>
  </conditionalFormatting>
  <conditionalFormatting sqref="L3">
    <cfRule type="cellIs" dxfId="36" priority="5" operator="lessThan">
      <formula>30</formula>
    </cfRule>
    <cfRule type="cellIs" dxfId="35" priority="6" operator="greaterThanOrEqual">
      <formula>30</formula>
    </cfRule>
  </conditionalFormatting>
  <conditionalFormatting sqref="L31:L50">
    <cfRule type="cellIs" dxfId="34" priority="28" operator="greaterThan">
      <formula>$L$51</formula>
    </cfRule>
  </conditionalFormatting>
  <conditionalFormatting sqref="M31:M50">
    <cfRule type="cellIs" dxfId="33" priority="27" operator="greaterThan">
      <formula>$M$51</formula>
    </cfRule>
  </conditionalFormatting>
  <conditionalFormatting sqref="P31:P50">
    <cfRule type="cellIs" dxfId="32" priority="26" operator="greaterThan">
      <formula>$P$51</formula>
    </cfRule>
  </conditionalFormatting>
  <conditionalFormatting sqref="R31:R50">
    <cfRule type="cellIs" dxfId="31" priority="25" operator="greaterThan">
      <formula>$R$51</formula>
    </cfRule>
  </conditionalFormatting>
  <conditionalFormatting sqref="S31:S50">
    <cfRule type="cellIs" dxfId="30" priority="24" operator="greaterThan">
      <formula>$S$51</formula>
    </cfRule>
  </conditionalFormatting>
  <conditionalFormatting sqref="T31:T50">
    <cfRule type="cellIs" dxfId="29" priority="23" operator="greaterThan">
      <formula>$T$51</formula>
    </cfRule>
  </conditionalFormatting>
  <conditionalFormatting sqref="U31:U50">
    <cfRule type="cellIs" dxfId="28" priority="22"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C15" sqref="C1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Alaw'!C1:D1</f>
        <v>PAN-027648</v>
      </c>
      <c r="D1" s="167"/>
      <c r="E1" s="106" t="s">
        <v>45</v>
      </c>
      <c r="F1" s="113">
        <f>'Field data and Alaw'!F1</f>
        <v>44.3</v>
      </c>
      <c r="G1" s="134" t="s">
        <v>43</v>
      </c>
      <c r="H1" s="135"/>
      <c r="I1" s="109">
        <v>6.7</v>
      </c>
      <c r="J1" s="158" t="s">
        <v>153</v>
      </c>
      <c r="K1" s="159"/>
      <c r="L1" s="109">
        <v>193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Alaw'!C2:D2</f>
        <v>GP3792SK</v>
      </c>
      <c r="D2" s="169"/>
      <c r="E2" s="96" t="s">
        <v>109</v>
      </c>
      <c r="F2" s="110">
        <v>190902</v>
      </c>
      <c r="G2" s="136" t="s">
        <v>110</v>
      </c>
      <c r="H2" s="137"/>
      <c r="I2" s="110"/>
      <c r="J2" s="138" t="s">
        <v>158</v>
      </c>
      <c r="K2" s="139"/>
      <c r="L2" s="110">
        <v>0.90900000000000003</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Alaw'!C3:D3</f>
        <v>Byproduct Recovery Limited</v>
      </c>
      <c r="D3" s="169"/>
      <c r="E3" s="96" t="s">
        <v>108</v>
      </c>
      <c r="F3" s="111" t="s">
        <v>78</v>
      </c>
      <c r="G3" s="138" t="s">
        <v>159</v>
      </c>
      <c r="H3" s="139"/>
      <c r="I3" s="110"/>
      <c r="J3" s="160" t="s">
        <v>154</v>
      </c>
      <c r="K3" s="161"/>
      <c r="L3" s="110">
        <f>(L1/(L2*10000))*100</f>
        <v>2.1232123212321232</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Alaw'!C4:D4</f>
        <v>Plas Bach, Cerrigceinwen, Bodorgan.LL62 5NS</v>
      </c>
      <c r="D4" s="171"/>
      <c r="E4" s="99" t="s">
        <v>1</v>
      </c>
      <c r="F4" s="110" t="s">
        <v>184</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Alaw'!C5:D5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t="str">
        <f>'Field data and Alaw'!C8</f>
        <v>SJC1</v>
      </c>
      <c r="D8" s="49" t="str">
        <f>'Field data and Alaw'!D8</f>
        <v>SJC2</v>
      </c>
      <c r="E8" s="49" t="str">
        <f>'Field data and Alaw'!E8</f>
        <v>SJC3</v>
      </c>
      <c r="F8" s="49" t="str">
        <f>'Field data and Alaw'!F8</f>
        <v>SJC4</v>
      </c>
      <c r="G8" s="49" t="str">
        <f>'Field data and Alaw'!G8</f>
        <v>SJC5</v>
      </c>
      <c r="H8" s="49" t="str">
        <f>'Field data and Alaw'!H8</f>
        <v>SJC6</v>
      </c>
      <c r="I8" s="49" t="str">
        <f>'Field data and Alaw'!I8</f>
        <v>BODNOLWYN A</v>
      </c>
      <c r="J8" s="49" t="str">
        <f>'Field data and Alaw'!J8</f>
        <v>BODNOLWYN B</v>
      </c>
      <c r="K8" s="49">
        <f>'Field data and Alaw'!K8</f>
        <v>0</v>
      </c>
      <c r="L8" s="49">
        <f>'Field data and Alaw'!L8</f>
        <v>0</v>
      </c>
      <c r="M8" s="49">
        <f>'Field data and Alaw'!M8</f>
        <v>0</v>
      </c>
      <c r="N8" s="49">
        <f>'Field data and Alaw'!N8</f>
        <v>0</v>
      </c>
      <c r="O8" s="49">
        <f>'Field data and Alaw'!O8</f>
        <v>0</v>
      </c>
      <c r="P8" s="49">
        <f>'Field data and Alaw'!P8</f>
        <v>0</v>
      </c>
      <c r="Q8" s="49">
        <f>'Field data and Alaw'!Q8</f>
        <v>0</v>
      </c>
      <c r="R8" s="49">
        <f>'Field data and Alaw'!R8</f>
        <v>0</v>
      </c>
      <c r="S8" s="49">
        <f>'Field data and Alaw'!S8</f>
        <v>0</v>
      </c>
      <c r="T8" s="49">
        <f>'Field data and Alaw'!T8</f>
        <v>0</v>
      </c>
      <c r="U8" s="49">
        <f>'Field data and Alaw'!U8</f>
        <v>0</v>
      </c>
      <c r="V8" s="102">
        <f>'Field data and Alaw'!V8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Alaw'!C9</f>
        <v>m</v>
      </c>
      <c r="D9" s="49" t="str">
        <f>'Field data and Alaw'!D9</f>
        <v>m</v>
      </c>
      <c r="E9" s="49" t="str">
        <f>'Field data and Alaw'!E9</f>
        <v>m</v>
      </c>
      <c r="F9" s="49">
        <f>'Field data and Alaw'!F9</f>
        <v>2</v>
      </c>
      <c r="G9" s="49" t="str">
        <f>'Field data and Alaw'!G9</f>
        <v>m</v>
      </c>
      <c r="H9" s="49">
        <f>'Field data and Alaw'!H9</f>
        <v>2</v>
      </c>
      <c r="I9" s="49" t="str">
        <f>'Field data and Alaw'!I9</f>
        <v xml:space="preserve">m </v>
      </c>
      <c r="J9" s="49" t="str">
        <f>'Field data and Alaw'!J9</f>
        <v xml:space="preserve">m </v>
      </c>
      <c r="K9" s="49">
        <f>'Field data and Alaw'!K9</f>
        <v>0</v>
      </c>
      <c r="L9" s="49">
        <f>'Field data and Alaw'!L9</f>
        <v>0</v>
      </c>
      <c r="M9" s="49">
        <f>'Field data and Alaw'!M9</f>
        <v>0</v>
      </c>
      <c r="N9" s="49">
        <f>'Field data and Alaw'!N9</f>
        <v>0</v>
      </c>
      <c r="O9" s="49">
        <f>'Field data and Alaw'!O9</f>
        <v>0</v>
      </c>
      <c r="P9" s="49">
        <f>'Field data and Alaw'!P9</f>
        <v>0</v>
      </c>
      <c r="Q9" s="49">
        <f>'Field data and Alaw'!Q9</f>
        <v>0</v>
      </c>
      <c r="R9" s="49">
        <f>'Field data and Alaw'!R9</f>
        <v>0</v>
      </c>
      <c r="S9" s="49">
        <f>'Field data and Alaw'!S9</f>
        <v>0</v>
      </c>
      <c r="T9" s="49">
        <f>'Field data and Alaw'!T9</f>
        <v>0</v>
      </c>
      <c r="U9" s="49">
        <f>'Field data and Alaw'!U9</f>
        <v>0</v>
      </c>
      <c r="V9" s="102">
        <f>'Field data and Alaw'!V9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Alaw'!C10</f>
        <v>6.4</v>
      </c>
      <c r="D10" s="49">
        <f>'Field data and Alaw'!D10</f>
        <v>5.8</v>
      </c>
      <c r="E10" s="49">
        <f>'Field data and Alaw'!E10</f>
        <v>6</v>
      </c>
      <c r="F10" s="49">
        <f>'Field data and Alaw'!F10</f>
        <v>6</v>
      </c>
      <c r="G10" s="49">
        <f>'Field data and Alaw'!G10</f>
        <v>5.9</v>
      </c>
      <c r="H10" s="49">
        <f>'Field data and Alaw'!H10</f>
        <v>6.1</v>
      </c>
      <c r="I10" s="49">
        <f>'Field data and Alaw'!I10</f>
        <v>5.8</v>
      </c>
      <c r="J10" s="49">
        <f>'Field data and Alaw'!J10</f>
        <v>5.7</v>
      </c>
      <c r="K10" s="49">
        <f>'Field data and Alaw'!K10</f>
        <v>0</v>
      </c>
      <c r="L10" s="49">
        <f>'Field data and Alaw'!L10</f>
        <v>0</v>
      </c>
      <c r="M10" s="49">
        <f>'Field data and Alaw'!M10</f>
        <v>0</v>
      </c>
      <c r="N10" s="49">
        <f>'Field data and Alaw'!N10</f>
        <v>0</v>
      </c>
      <c r="O10" s="49">
        <f>'Field data and Alaw'!O10</f>
        <v>0</v>
      </c>
      <c r="P10" s="49">
        <f>'Field data and Alaw'!P10</f>
        <v>0</v>
      </c>
      <c r="Q10" s="49">
        <f>'Field data and Alaw'!Q10</f>
        <v>0</v>
      </c>
      <c r="R10" s="49">
        <f>'Field data and Alaw'!R10</f>
        <v>0</v>
      </c>
      <c r="S10" s="49">
        <f>'Field data and Alaw'!S10</f>
        <v>0</v>
      </c>
      <c r="T10" s="49">
        <f>'Field data and Alaw'!T10</f>
        <v>0</v>
      </c>
      <c r="U10" s="49">
        <f>'Field data and Alaw'!U10</f>
        <v>0</v>
      </c>
      <c r="V10" s="102">
        <f>'Field data and Alaw'!V10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Alaw'!C11</f>
        <v>2</v>
      </c>
      <c r="D11" s="49">
        <f>'Field data and Alaw'!D11</f>
        <v>2</v>
      </c>
      <c r="E11" s="49">
        <f>'Field data and Alaw'!E11</f>
        <v>3</v>
      </c>
      <c r="F11" s="49">
        <f>'Field data and Alaw'!F11</f>
        <v>1</v>
      </c>
      <c r="G11" s="49">
        <f>'Field data and Alaw'!G11</f>
        <v>0</v>
      </c>
      <c r="H11" s="49">
        <f>'Field data and Alaw'!H11</f>
        <v>3</v>
      </c>
      <c r="I11" s="49">
        <f>'Field data and Alaw'!I11</f>
        <v>2</v>
      </c>
      <c r="J11" s="49">
        <f>'Field data and Alaw'!J11</f>
        <v>2</v>
      </c>
      <c r="K11" s="49">
        <f>'Field data and Alaw'!K11</f>
        <v>0</v>
      </c>
      <c r="L11" s="49">
        <f>'Field data and Alaw'!L11</f>
        <v>0</v>
      </c>
      <c r="M11" s="49">
        <f>'Field data and Alaw'!M11</f>
        <v>0</v>
      </c>
      <c r="N11" s="49">
        <f>'Field data and Alaw'!N11</f>
        <v>0</v>
      </c>
      <c r="O11" s="49">
        <f>'Field data and Alaw'!O11</f>
        <v>0</v>
      </c>
      <c r="P11" s="49">
        <f>'Field data and Alaw'!P11</f>
        <v>0</v>
      </c>
      <c r="Q11" s="49">
        <f>'Field data and Alaw'!Q11</f>
        <v>0</v>
      </c>
      <c r="R11" s="49">
        <f>'Field data and Alaw'!R11</f>
        <v>0</v>
      </c>
      <c r="S11" s="49">
        <f>'Field data and Alaw'!S11</f>
        <v>0</v>
      </c>
      <c r="T11" s="49">
        <f>'Field data and Alaw'!T11</f>
        <v>0</v>
      </c>
      <c r="U11" s="49">
        <f>'Field data and Alaw'!U11</f>
        <v>0</v>
      </c>
      <c r="V11" s="102">
        <f>'Field data and Alaw'!V11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Alaw'!C12</f>
        <v>3</v>
      </c>
      <c r="D12" s="49">
        <f>'Field data and Alaw'!D12</f>
        <v>4</v>
      </c>
      <c r="E12" s="49">
        <f>'Field data and Alaw'!E12</f>
        <v>4</v>
      </c>
      <c r="F12" s="49">
        <f>'Field data and Alaw'!F12</f>
        <v>1</v>
      </c>
      <c r="G12" s="49">
        <f>'Field data and Alaw'!G12</f>
        <v>1</v>
      </c>
      <c r="H12" s="49">
        <f>'Field data and Alaw'!H12</f>
        <v>2</v>
      </c>
      <c r="I12" s="49">
        <f>'Field data and Alaw'!I12</f>
        <v>2</v>
      </c>
      <c r="J12" s="49">
        <f>'Field data and Alaw'!J12</f>
        <v>2</v>
      </c>
      <c r="K12" s="49">
        <f>'Field data and Alaw'!K12</f>
        <v>0</v>
      </c>
      <c r="L12" s="49">
        <f>'Field data and Alaw'!L12</f>
        <v>0</v>
      </c>
      <c r="M12" s="49">
        <f>'Field data and Alaw'!M12</f>
        <v>0</v>
      </c>
      <c r="N12" s="49">
        <f>'Field data and Alaw'!N12</f>
        <v>0</v>
      </c>
      <c r="O12" s="49">
        <f>'Field data and Alaw'!O12</f>
        <v>0</v>
      </c>
      <c r="P12" s="49">
        <f>'Field data and Alaw'!P12</f>
        <v>0</v>
      </c>
      <c r="Q12" s="49">
        <f>'Field data and Alaw'!Q12</f>
        <v>0</v>
      </c>
      <c r="R12" s="49">
        <f>'Field data and Alaw'!R12</f>
        <v>0</v>
      </c>
      <c r="S12" s="49">
        <f>'Field data and Alaw'!S12</f>
        <v>0</v>
      </c>
      <c r="T12" s="49">
        <f>'Field data and Alaw'!T12</f>
        <v>0</v>
      </c>
      <c r="U12" s="49">
        <f>'Field data and Alaw'!U12</f>
        <v>0</v>
      </c>
      <c r="V12" s="102">
        <f>'Field data and Alaw'!V12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Alaw'!C13</f>
        <v>4</v>
      </c>
      <c r="D13" s="49">
        <f>'Field data and Alaw'!D13</f>
        <v>3</v>
      </c>
      <c r="E13" s="49">
        <f>'Field data and Alaw'!E13</f>
        <v>3</v>
      </c>
      <c r="F13" s="49">
        <f>'Field data and Alaw'!F13</f>
        <v>3</v>
      </c>
      <c r="G13" s="49">
        <f>'Field data and Alaw'!G13</f>
        <v>3</v>
      </c>
      <c r="H13" s="49">
        <f>'Field data and Alaw'!H13</f>
        <v>3</v>
      </c>
      <c r="I13" s="49">
        <f>'Field data and Alaw'!I13</f>
        <v>3</v>
      </c>
      <c r="J13" s="49">
        <f>'Field data and Alaw'!J13</f>
        <v>3</v>
      </c>
      <c r="K13" s="49">
        <f>'Field data and Alaw'!K13</f>
        <v>0</v>
      </c>
      <c r="L13" s="49">
        <f>'Field data and Alaw'!L13</f>
        <v>0</v>
      </c>
      <c r="M13" s="49">
        <f>'Field data and Alaw'!M13</f>
        <v>0</v>
      </c>
      <c r="N13" s="49">
        <f>'Field data and Alaw'!N13</f>
        <v>0</v>
      </c>
      <c r="O13" s="49">
        <f>'Field data and Alaw'!O13</f>
        <v>0</v>
      </c>
      <c r="P13" s="49">
        <f>'Field data and Alaw'!P13</f>
        <v>0</v>
      </c>
      <c r="Q13" s="49">
        <f>'Field data and Alaw'!Q13</f>
        <v>0</v>
      </c>
      <c r="R13" s="49">
        <f>'Field data and Alaw'!R13</f>
        <v>0</v>
      </c>
      <c r="S13" s="49">
        <f>'Field data and Alaw'!S13</f>
        <v>0</v>
      </c>
      <c r="T13" s="49">
        <f>'Field data and Alaw'!T13</f>
        <v>0</v>
      </c>
      <c r="U13" s="49">
        <f>'Field data and Alaw'!U13</f>
        <v>0</v>
      </c>
      <c r="V13" s="102">
        <f>'Field data and Alaw'!V13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Alaw'!C14</f>
        <v xml:space="preserve">Grass Silage (25% DM) </v>
      </c>
      <c r="D14" s="83" t="str">
        <f>'Field data and Alaw'!D14</f>
        <v xml:space="preserve">Grass Silage (25% DM) </v>
      </c>
      <c r="E14" s="83" t="str">
        <f>'Field data and Alaw'!E14</f>
        <v xml:space="preserve">Grass Silage (25% DM) </v>
      </c>
      <c r="F14" s="83" t="str">
        <f>'Field data and Alaw'!F14</f>
        <v>Spring wheat/barley</v>
      </c>
      <c r="G14" s="83" t="str">
        <f>'Field data and Alaw'!G14</f>
        <v xml:space="preserve">Grass Silage (25% DM) </v>
      </c>
      <c r="H14" s="83" t="str">
        <f>'Field data and Alaw'!H14</f>
        <v>Spring wheat/barley</v>
      </c>
      <c r="I14" s="83" t="str">
        <f>'Field data and Alaw'!I14</f>
        <v xml:space="preserve">Grass Silage (25% DM) </v>
      </c>
      <c r="J14" s="83" t="str">
        <f>'Field data and Alaw'!J14</f>
        <v xml:space="preserve">Grass Silage (25% DM) </v>
      </c>
      <c r="K14" s="83">
        <f>'Field data and Alaw'!K14</f>
        <v>0</v>
      </c>
      <c r="L14" s="83">
        <f>'Field data and Alaw'!L14</f>
        <v>0</v>
      </c>
      <c r="M14" s="83">
        <f>'Field data and Alaw'!M14</f>
        <v>0</v>
      </c>
      <c r="N14" s="83">
        <f>'Field data and Alaw'!N14</f>
        <v>0</v>
      </c>
      <c r="O14" s="83">
        <f>'Field data and Alaw'!O14</f>
        <v>0</v>
      </c>
      <c r="P14" s="83">
        <f>'Field data and Alaw'!P14</f>
        <v>0</v>
      </c>
      <c r="Q14" s="83">
        <f>'Field data and Alaw'!Q14</f>
        <v>0</v>
      </c>
      <c r="R14" s="83">
        <f>'Field data and Alaw'!R14</f>
        <v>0</v>
      </c>
      <c r="S14" s="83">
        <f>'Field data and Alaw'!S14</f>
        <v>0</v>
      </c>
      <c r="T14" s="83">
        <f>'Field data and Alaw'!T14</f>
        <v>0</v>
      </c>
      <c r="U14" s="83">
        <f>'Field data and Alaw'!U14</f>
        <v>0</v>
      </c>
      <c r="V14" s="103">
        <f>'Field data and Alaw'!V14</f>
        <v>0</v>
      </c>
      <c r="AD14" s="22" t="s">
        <v>138</v>
      </c>
      <c r="AE14" s="22">
        <v>6</v>
      </c>
      <c r="AI14" s="43" t="s">
        <v>119</v>
      </c>
      <c r="AJ14" s="44">
        <v>0.8</v>
      </c>
      <c r="AK14" s="45">
        <v>1.7</v>
      </c>
      <c r="AL14" s="9">
        <v>12</v>
      </c>
      <c r="AM14" s="9">
        <v>6.7</v>
      </c>
      <c r="AN14" s="9" t="s">
        <v>135</v>
      </c>
    </row>
    <row r="15" spans="1:41" ht="13" x14ac:dyDescent="0.25">
      <c r="A15" s="152" t="s">
        <v>9</v>
      </c>
      <c r="B15" s="153"/>
      <c r="C15" s="49">
        <f>'Field data and Alaw'!C15</f>
        <v>38</v>
      </c>
      <c r="D15" s="49">
        <f>'Field data and Alaw'!D15</f>
        <v>38</v>
      </c>
      <c r="E15" s="49">
        <f>'Field data and Alaw'!E15</f>
        <v>38</v>
      </c>
      <c r="F15" s="49">
        <f>'Field data and Alaw'!F15</f>
        <v>5.5</v>
      </c>
      <c r="G15" s="49">
        <f>'Field data and Alaw'!G15</f>
        <v>38</v>
      </c>
      <c r="H15" s="49">
        <f>'Field data and Alaw'!H15</f>
        <v>5.5</v>
      </c>
      <c r="I15" s="49">
        <f>'Field data and Alaw'!I15</f>
        <v>38</v>
      </c>
      <c r="J15" s="49">
        <f>'Field data and Alaw'!J15</f>
        <v>38</v>
      </c>
      <c r="K15" s="49">
        <f>'Field data and Alaw'!K15</f>
        <v>0</v>
      </c>
      <c r="L15" s="49">
        <f>'Field data and Alaw'!L15</f>
        <v>0</v>
      </c>
      <c r="M15" s="49">
        <f>'Field data and Alaw'!M15</f>
        <v>0</v>
      </c>
      <c r="N15" s="49">
        <f>'Field data and Alaw'!N15</f>
        <v>0</v>
      </c>
      <c r="O15" s="49">
        <f>'Field data and Alaw'!O15</f>
        <v>0</v>
      </c>
      <c r="P15" s="49">
        <f>'Field data and Alaw'!P15</f>
        <v>0</v>
      </c>
      <c r="Q15" s="49">
        <f>'Field data and Alaw'!Q15</f>
        <v>0</v>
      </c>
      <c r="R15" s="49">
        <f>'Field data and Alaw'!R15</f>
        <v>0</v>
      </c>
      <c r="S15" s="49">
        <f>'Field data and Alaw'!S15</f>
        <v>0</v>
      </c>
      <c r="T15" s="49">
        <f>'Field data and Alaw'!T15</f>
        <v>0</v>
      </c>
      <c r="U15" s="49">
        <f>'Field data and Alaw'!U15</f>
        <v>0</v>
      </c>
      <c r="V15" s="102">
        <f>'Field data and Alaw'!V15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Alaw'!C16</f>
        <v>Medium/Clay</v>
      </c>
      <c r="D16" s="104" t="str">
        <f>'Field data and Alaw'!D16</f>
        <v>Medium/Clay</v>
      </c>
      <c r="E16" s="104" t="str">
        <f>'Field data and Alaw'!E16</f>
        <v>Medium/Clay</v>
      </c>
      <c r="F16" s="104" t="str">
        <f>'Field data and Alaw'!F16</f>
        <v>Medium/Clay</v>
      </c>
      <c r="G16" s="104" t="str">
        <f>'Field data and Alaw'!G16</f>
        <v>Medium/Clay</v>
      </c>
      <c r="H16" s="104" t="str">
        <f>'Field data and Alaw'!H16</f>
        <v>Medium/Clay</v>
      </c>
      <c r="I16" s="104" t="str">
        <f>'Field data and Alaw'!I16</f>
        <v>Medium/Clay</v>
      </c>
      <c r="J16" s="104" t="str">
        <f>'Field data and Alaw'!J16</f>
        <v>Medium/Clay</v>
      </c>
      <c r="K16" s="104">
        <f>'Field data and Alaw'!K16</f>
        <v>0</v>
      </c>
      <c r="L16" s="104">
        <f>'Field data and Alaw'!L16</f>
        <v>0</v>
      </c>
      <c r="M16" s="104">
        <f>'Field data and Alaw'!M16</f>
        <v>0</v>
      </c>
      <c r="N16" s="104">
        <f>'Field data and Alaw'!N16</f>
        <v>0</v>
      </c>
      <c r="O16" s="104">
        <f>'Field data and Alaw'!O16</f>
        <v>0</v>
      </c>
      <c r="P16" s="104">
        <f>'Field data and Alaw'!P16</f>
        <v>0</v>
      </c>
      <c r="Q16" s="104">
        <f>'Field data and Alaw'!Q16</f>
        <v>0</v>
      </c>
      <c r="R16" s="104">
        <f>'Field data and Alaw'!R16</f>
        <v>0</v>
      </c>
      <c r="S16" s="104">
        <f>'Field data and Alaw'!S16</f>
        <v>0</v>
      </c>
      <c r="T16" s="104">
        <f>'Field data and Alaw'!T16</f>
        <v>0</v>
      </c>
      <c r="U16" s="104">
        <f>'Field data and Alaw'!U16</f>
        <v>0</v>
      </c>
      <c r="V16" s="105">
        <f>'Field data and Alaw'!V16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64.599999999999994</v>
      </c>
      <c r="D17" s="20">
        <f t="shared" ref="D17:V17" si="0">(VLOOKUP(D$14,$AI2:$AK26,2,FALSE))*D$15</f>
        <v>64.599999999999994</v>
      </c>
      <c r="E17" s="20">
        <f t="shared" si="0"/>
        <v>64.599999999999994</v>
      </c>
      <c r="F17" s="20">
        <f t="shared" si="0"/>
        <v>46.75</v>
      </c>
      <c r="G17" s="20">
        <f t="shared" si="0"/>
        <v>64.599999999999994</v>
      </c>
      <c r="H17" s="20">
        <f t="shared" si="0"/>
        <v>46.75</v>
      </c>
      <c r="I17" s="20">
        <f t="shared" si="0"/>
        <v>64.599999999999994</v>
      </c>
      <c r="J17" s="20">
        <f t="shared" si="0"/>
        <v>64.599999999999994</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23.608837475999998</v>
      </c>
      <c r="D18" s="12">
        <f>$D32</f>
        <v>23.608837475999998</v>
      </c>
      <c r="E18" s="12">
        <f>$D33</f>
        <v>11.804418737999999</v>
      </c>
      <c r="F18" s="12">
        <f>$D34</f>
        <v>54.806229854999991</v>
      </c>
      <c r="G18" s="12">
        <f>$D35</f>
        <v>70.264397250000002</v>
      </c>
      <c r="H18" s="12">
        <f>$D36</f>
        <v>8.431727669999999</v>
      </c>
      <c r="I18" s="12">
        <f>$D37</f>
        <v>23.608837475999998</v>
      </c>
      <c r="J18" s="12">
        <f>$D38</f>
        <v>23.608837475999998</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-40.991162523999996</v>
      </c>
      <c r="D19" s="12">
        <f t="shared" ref="D19:V19" si="1">D18-D17</f>
        <v>-40.991162523999996</v>
      </c>
      <c r="E19" s="12">
        <f t="shared" si="1"/>
        <v>-52.795581261999999</v>
      </c>
      <c r="F19" s="12">
        <f t="shared" si="1"/>
        <v>8.0562298549999909</v>
      </c>
      <c r="G19" s="12">
        <f t="shared" si="1"/>
        <v>5.6643972500000075</v>
      </c>
      <c r="H19" s="12">
        <f t="shared" si="1"/>
        <v>-38.318272329999999</v>
      </c>
      <c r="I19" s="12">
        <f t="shared" si="1"/>
        <v>-40.991162523999996</v>
      </c>
      <c r="J19" s="12">
        <f t="shared" si="1"/>
        <v>-40.991162523999996</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INCREASE</v>
      </c>
      <c r="G20" s="18" t="str">
        <f>IF($B35="","",IF(G$19&gt;=0,"INCREASE","DECREASE"))</f>
        <v>INCREASE</v>
      </c>
      <c r="H20" s="18" t="str">
        <f>IF($B36="","",IF(H$19&gt;=0,"INCREASE","DECREASE"))</f>
        <v>DECREASE</v>
      </c>
      <c r="I20" s="18" t="str">
        <f>IF($B37="","",IF(I$19&gt;=0,"INCREASE","DECREASE"))</f>
        <v>DECREASE</v>
      </c>
      <c r="J20" s="18" t="str">
        <f>IF($B38="","",IF(J$19&gt;=0,"INCREASE","DECREASE"))</f>
        <v>DECREASE</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228</v>
      </c>
      <c r="D21" s="20">
        <f t="shared" ref="D21:V21" si="2">(VLOOKUP(D$14,$AI2:$AK26,3,FALSE))*D$15</f>
        <v>228</v>
      </c>
      <c r="E21" s="20">
        <f t="shared" si="2"/>
        <v>228</v>
      </c>
      <c r="F21" s="20">
        <f t="shared" si="2"/>
        <v>66</v>
      </c>
      <c r="G21" s="20">
        <f t="shared" si="2"/>
        <v>228</v>
      </c>
      <c r="H21" s="20">
        <f t="shared" si="2"/>
        <v>66</v>
      </c>
      <c r="I21" s="20">
        <f t="shared" si="2"/>
        <v>228</v>
      </c>
      <c r="J21" s="20">
        <f t="shared" si="2"/>
        <v>228</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0.71553430200000001</v>
      </c>
      <c r="D22" s="12">
        <f>$E32</f>
        <v>0.71553430200000001</v>
      </c>
      <c r="E22" s="12">
        <f>$E33</f>
        <v>0.35776715100000001</v>
      </c>
      <c r="F22" s="12">
        <f>$E34</f>
        <v>1.6610617725000001</v>
      </c>
      <c r="G22" s="12">
        <f>$E35</f>
        <v>2.129566375</v>
      </c>
      <c r="H22" s="12">
        <f>$E36</f>
        <v>0.25554796500000004</v>
      </c>
      <c r="I22" s="12">
        <f>$E37</f>
        <v>0.71553430200000001</v>
      </c>
      <c r="J22" s="12">
        <f>$E38</f>
        <v>0.71553430200000001</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-227.28446569799999</v>
      </c>
      <c r="D23" s="12">
        <f t="shared" ref="D23:V23" si="3">D22-D21</f>
        <v>-227.28446569799999</v>
      </c>
      <c r="E23" s="12">
        <f t="shared" si="3"/>
        <v>-227.64223284900001</v>
      </c>
      <c r="F23" s="12">
        <f t="shared" si="3"/>
        <v>-64.338938227499995</v>
      </c>
      <c r="G23" s="12">
        <f t="shared" si="3"/>
        <v>-225.870433625</v>
      </c>
      <c r="H23" s="12">
        <f t="shared" si="3"/>
        <v>-65.744452034999995</v>
      </c>
      <c r="I23" s="12">
        <f t="shared" si="3"/>
        <v>-227.28446569799999</v>
      </c>
      <c r="J23" s="12">
        <f t="shared" si="3"/>
        <v>-227.28446569799999</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3.17</v>
      </c>
      <c r="C28" s="11">
        <v>0.90900000000000003</v>
      </c>
      <c r="D28" s="11">
        <v>0.38700000000000001</v>
      </c>
      <c r="E28" s="11">
        <v>2.23E-2</v>
      </c>
      <c r="F28" s="11">
        <v>554</v>
      </c>
      <c r="G28" s="11">
        <v>77.7</v>
      </c>
      <c r="H28" s="11">
        <v>105</v>
      </c>
      <c r="I28" s="11">
        <v>6.2</v>
      </c>
      <c r="J28" s="11">
        <v>0.5</v>
      </c>
      <c r="K28" s="15">
        <v>1.27</v>
      </c>
      <c r="L28" s="11">
        <v>5.4</v>
      </c>
      <c r="M28" s="11">
        <v>4.3</v>
      </c>
      <c r="N28" s="11">
        <v>185000</v>
      </c>
      <c r="O28" s="11">
        <v>4060</v>
      </c>
      <c r="P28" s="11"/>
      <c r="Q28" s="11">
        <v>8450</v>
      </c>
      <c r="R28" s="11"/>
      <c r="S28" s="11">
        <v>15.6</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t="str">
        <f>C8</f>
        <v>SJC1</v>
      </c>
      <c r="B31" s="11">
        <v>84</v>
      </c>
      <c r="C31" s="65">
        <f>IF(C$27="%w/w SAR",((C$28*10)*$B31),IF(C$27="%w/w DM",(((C$28*10)*($B$28/100))*$B31),IF(C$27="kg/t SAR",(C$28*$B31),IF(C$27="kg/t DM",((C$28*($B$28/100))*$B31),IF(C$27="mg/kg SAR",((C$28*0.001)*$B31),IF(C$27="mg/kg DM",(((C$28*0.001)*($B$28/100))*$B31),0))))))</f>
        <v>24.204851999999999</v>
      </c>
      <c r="D31" s="65">
        <f>(IF(D$27="%w/w SAR",((D$28*10)*$B31),IF(D$27="%w/w DM",(((D$28*10)*($B$28/100))*$B31),IF(D$27="kg/t SAR",(D$28*$B31),IF(D$27="kg/t DM",((D$28*($B$28/100))*$B31),IF(D$27="mg/kg SAR",((D$28*0.001)*$B31),IF(D$27="mg/kg DM",(((D$28*0.001)*($B$28/100))*$B31),"0")))))))*2.291</f>
        <v>23.608837475999998</v>
      </c>
      <c r="E31" s="65">
        <f>(IF(E$27="%w/w SAR",((E$28*10)*$B31),IF(E$27="%w/w DM",(((E$28*10)*($B$28/100))*$B31),IF(E$27="kg/t SAR",(E$28*$B31),IF(E$27="kg/t DM",((E$28*($B$28/100))*$B31),IF(E$27="mg/kg SAR",((E$28*0.001)*$B31),IF(E$27="mg/kg DM",(((E$28*0.001)*($B$28/100))*$B31),"0")))))))*1.205</f>
        <v>0.71553430200000001</v>
      </c>
      <c r="F31" s="65">
        <f>(IF(F$27="%w/w SAR",((F$28*10)*$B31),IF(F$27="%w/w DM",(((F$28*10)*($B$28/100))*$B31),IF(F$27="kg/t SAR",(F$28*$B31),IF(F$27="kg/t DM",((F$28*($B$28/100))*$B31),IF(F$27="mg/kg SAR",((F$28*0.001)*$B31),IF(F$27="mg/kg DM",(((F$28*0.001)*($B$28/100))*$B31),"0")))))))*1.658</f>
        <v>2.4458670096000001</v>
      </c>
      <c r="G31" s="65">
        <f t="shared" ref="G31:P46" si="5">IF(G$27="%w/w SAR",((G$28*10)*$B31),IF(G$27="%w/w DM",(((G$28*10)*($B$28/100))*$B31),IF(G$27="kg/t SAR",(G$28*$B31),IF(G$27="kg/t DM",((G$28*($B$28/100))*$B31),IF(G$27="mg/kg SAR",((G$28*0.001)*$B31),IF(G$27="mg/kg DM",(((G$28*0.001)*($B$28/100))*$B31),0))))))</f>
        <v>0.20689956000000001</v>
      </c>
      <c r="H31" s="65">
        <f t="shared" si="5"/>
        <v>0.27959400000000001</v>
      </c>
      <c r="I31" s="65">
        <f t="shared" si="5"/>
        <v>1.6509360000000001E-2</v>
      </c>
      <c r="J31" s="65">
        <f t="shared" si="5"/>
        <v>1.3313999999999999E-3</v>
      </c>
      <c r="K31" s="65">
        <f t="shared" si="5"/>
        <v>3.3817560000000001E-3</v>
      </c>
      <c r="L31" s="65">
        <f t="shared" si="5"/>
        <v>1.437912E-2</v>
      </c>
      <c r="M31" s="65">
        <f t="shared" si="5"/>
        <v>1.145004E-2</v>
      </c>
      <c r="N31" s="65">
        <f t="shared" si="5"/>
        <v>492.61799999999994</v>
      </c>
      <c r="O31" s="65">
        <f t="shared" si="5"/>
        <v>10.810968000000001</v>
      </c>
      <c r="P31" s="65">
        <f t="shared" si="5"/>
        <v>0</v>
      </c>
      <c r="Q31" s="65">
        <f>(IF(Q$27="%w/w SAR",((Q$28*10)*$B31),IF(Q$27="%w/w DM",(((Q$28*10)*($B$28/100))*$B31),IF(Q$27="kg/t SAR",(Q$28*$B31),IF(Q$27="kg/t DM",((Q$28*($B$28/100))*$B31),IF(Q$27="mg/kg SAR",((Q$28*0.001)*$B31),IF(Q$27="mg/kg DM",(((Q$28*0.001)*($B$28/100))*$B31),0)))))))*2.5</f>
        <v>56.251649999999991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4.1539679999999995E-2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t="str">
        <f>D8</f>
        <v>SJC2</v>
      </c>
      <c r="B32" s="11">
        <v>84</v>
      </c>
      <c r="C32" s="65">
        <f t="shared" ref="C32:C50" si="6">IF(C$27="%w/w SAR",((C$28*10)*$B32),IF(C$27="%w/w DM",(((C$28*10)*($B$28/100))*$B32),IF(C$27="kg/t SAR",(C$28*$B32),IF(C$27="kg/t DM",((C$28*($B$28/100))*$B32),IF(C$27="mg/kg SAR",((C$28*0.001)*$B32),IF(C$27="mg/kg DM",(((C$28*0.001)*($B$28/100))*$B32),0))))))</f>
        <v>24.204851999999999</v>
      </c>
      <c r="D32" s="65">
        <f t="shared" ref="D32:D50" si="7">(IF(D$27="%w/w SAR",((D$28*10)*$B32),IF(D$27="%w/w DM",(((D$28*10)*($B$28/100))*$B32),IF(D$27="kg/t SAR",(D$28*$B32),IF(D$27="kg/t DM",((D$28*($B$28/100))*$B32),IF(D$27="mg/kg SAR",((D$28*0.001)*$B32),IF(D$27="mg/kg DM",(((D$28*0.001)*($B$28/100))*$B32),"0")))))))*2.291</f>
        <v>23.608837475999998</v>
      </c>
      <c r="E32" s="65">
        <f t="shared" ref="E32:E50" si="8">(IF(E$27="%w/w SAR",((E$28*10)*$B32),IF(E$27="%w/w DM",(((E$28*10)*($B$28/100))*$B32),IF(E$27="kg/t SAR",(E$28*$B32),IF(E$27="kg/t DM",((E$28*($B$28/100))*$B32),IF(E$27="mg/kg SAR",((E$28*0.001)*$B32),IF(E$27="mg/kg DM",(((E$28*0.001)*($B$28/100))*$B32),"0")))))))*1.205</f>
        <v>0.71553430200000001</v>
      </c>
      <c r="F32" s="65">
        <f t="shared" ref="F32:F50" si="9">(IF(F$27="%w/w SAR",((F$28*10)*$B32),IF(F$27="%w/w DM",(((F$28*10)*($B$28/100))*$B32),IF(F$27="kg/t SAR",(F$28*$B32),IF(F$27="kg/t DM",((F$28*($B$28/100))*$B32),IF(F$27="mg/kg SAR",((F$28*0.001)*$B32),IF(F$27="mg/kg DM",(((F$28*0.001)*($B$28/100))*$B32),"0")))))))*1.658</f>
        <v>2.4458670096000001</v>
      </c>
      <c r="G32" s="65">
        <f t="shared" si="5"/>
        <v>0.20689956000000001</v>
      </c>
      <c r="H32" s="65">
        <f t="shared" si="5"/>
        <v>0.27959400000000001</v>
      </c>
      <c r="I32" s="65">
        <f t="shared" si="5"/>
        <v>1.6509360000000001E-2</v>
      </c>
      <c r="J32" s="65">
        <f t="shared" si="5"/>
        <v>1.3313999999999999E-3</v>
      </c>
      <c r="K32" s="65">
        <f t="shared" si="5"/>
        <v>3.3817560000000001E-3</v>
      </c>
      <c r="L32" s="65">
        <f t="shared" si="5"/>
        <v>1.437912E-2</v>
      </c>
      <c r="M32" s="65">
        <f t="shared" si="5"/>
        <v>1.145004E-2</v>
      </c>
      <c r="N32" s="65">
        <f t="shared" si="5"/>
        <v>492.61799999999994</v>
      </c>
      <c r="O32" s="65">
        <f t="shared" si="5"/>
        <v>10.810968000000001</v>
      </c>
      <c r="P32" s="65">
        <f t="shared" si="5"/>
        <v>0</v>
      </c>
      <c r="Q32" s="65">
        <f t="shared" ref="Q32:Q50" si="10">(IF(Q$27="%w/w SAR",((Q$28*10)*$B32),IF(Q$27="%w/w DM",(((Q$28*10)*($B$28/100))*$B32),IF(Q$27="kg/t SAR",(Q$28*$B32),IF(Q$27="kg/t DM",((Q$28*($B$28/100))*$B32),IF(Q$27="mg/kg SAR",((Q$28*0.001)*$B32),IF(Q$27="mg/kg DM",(((Q$28*0.001)*($B$28/100))*$B32),0)))))))*2.5</f>
        <v>56.251649999999991</v>
      </c>
      <c r="R32" s="65">
        <f t="shared" ref="R32:U50" si="11">IF(R$27="%w/w SAR",((R$28*10)*$B32),IF(R$27="%w/w DM",(((R$28*10)*($B$28/100))*$B32),IF(R$27="kg/t SAR",(R$28*$B32),IF(R$27="kg/t DM",((R$28*($B$28/100))*$B32),IF(R$27="mg/kg SAR",((R$28*0.001)*$B32),IF(R$27="mg/kg DM",(((R$28*0.001)*($B$28/100))*$B32),0))))))</f>
        <v>0</v>
      </c>
      <c r="S32" s="65">
        <f t="shared" si="11"/>
        <v>4.1539679999999995E-2</v>
      </c>
      <c r="T32" s="65">
        <f t="shared" si="11"/>
        <v>0</v>
      </c>
      <c r="U32" s="126">
        <f t="shared" si="11"/>
        <v>0</v>
      </c>
    </row>
    <row r="33" spans="1:21" s="48" customFormat="1" ht="13" x14ac:dyDescent="0.35">
      <c r="A33" s="125" t="str">
        <f>E8</f>
        <v>SJC3</v>
      </c>
      <c r="B33" s="11">
        <v>42</v>
      </c>
      <c r="C33" s="65">
        <f t="shared" si="6"/>
        <v>12.102425999999999</v>
      </c>
      <c r="D33" s="65">
        <f t="shared" si="7"/>
        <v>11.804418737999999</v>
      </c>
      <c r="E33" s="65">
        <f t="shared" si="8"/>
        <v>0.35776715100000001</v>
      </c>
      <c r="F33" s="65">
        <f t="shared" si="9"/>
        <v>1.2229335048000001</v>
      </c>
      <c r="G33" s="65">
        <f t="shared" si="5"/>
        <v>0.10344978000000001</v>
      </c>
      <c r="H33" s="65">
        <f t="shared" si="5"/>
        <v>0.139797</v>
      </c>
      <c r="I33" s="65">
        <f t="shared" si="5"/>
        <v>8.2546800000000004E-3</v>
      </c>
      <c r="J33" s="65">
        <f t="shared" si="5"/>
        <v>6.6569999999999997E-4</v>
      </c>
      <c r="K33" s="65">
        <f t="shared" si="5"/>
        <v>1.690878E-3</v>
      </c>
      <c r="L33" s="65">
        <f t="shared" si="5"/>
        <v>7.1895600000000002E-3</v>
      </c>
      <c r="M33" s="65">
        <f t="shared" si="5"/>
        <v>5.7250199999999999E-3</v>
      </c>
      <c r="N33" s="65">
        <f t="shared" si="5"/>
        <v>246.30899999999997</v>
      </c>
      <c r="O33" s="65">
        <f t="shared" si="5"/>
        <v>5.4054840000000004</v>
      </c>
      <c r="P33" s="65">
        <f t="shared" si="5"/>
        <v>0</v>
      </c>
      <c r="Q33" s="65">
        <f t="shared" si="10"/>
        <v>28.125824999999995</v>
      </c>
      <c r="R33" s="65">
        <f t="shared" si="11"/>
        <v>0</v>
      </c>
      <c r="S33" s="65">
        <f t="shared" si="11"/>
        <v>2.0769839999999998E-2</v>
      </c>
      <c r="T33" s="65">
        <f t="shared" si="11"/>
        <v>0</v>
      </c>
      <c r="U33" s="126">
        <f t="shared" si="11"/>
        <v>0</v>
      </c>
    </row>
    <row r="34" spans="1:21" s="48" customFormat="1" ht="13" x14ac:dyDescent="0.35">
      <c r="A34" s="125" t="str">
        <f>F8</f>
        <v>SJC4</v>
      </c>
      <c r="B34" s="11">
        <v>195</v>
      </c>
      <c r="C34" s="65">
        <f t="shared" si="6"/>
        <v>56.189834999999995</v>
      </c>
      <c r="D34" s="65">
        <f t="shared" si="7"/>
        <v>54.806229854999991</v>
      </c>
      <c r="E34" s="65">
        <f t="shared" si="8"/>
        <v>1.6610617725000001</v>
      </c>
      <c r="F34" s="65">
        <f t="shared" si="9"/>
        <v>5.6779055580000009</v>
      </c>
      <c r="G34" s="65">
        <f t="shared" si="5"/>
        <v>0.48030255000000005</v>
      </c>
      <c r="H34" s="65">
        <f t="shared" si="5"/>
        <v>0.64905749999999995</v>
      </c>
      <c r="I34" s="65">
        <f t="shared" si="5"/>
        <v>3.83253E-2</v>
      </c>
      <c r="J34" s="65">
        <f t="shared" si="5"/>
        <v>3.0907499999999997E-3</v>
      </c>
      <c r="K34" s="65">
        <f t="shared" si="5"/>
        <v>7.8505050000000007E-3</v>
      </c>
      <c r="L34" s="65">
        <f t="shared" si="5"/>
        <v>3.3380100000000003E-2</v>
      </c>
      <c r="M34" s="65">
        <f t="shared" si="5"/>
        <v>2.6580449999999999E-2</v>
      </c>
      <c r="N34" s="65">
        <f t="shared" si="5"/>
        <v>1143.5774999999999</v>
      </c>
      <c r="O34" s="65">
        <f t="shared" si="5"/>
        <v>25.096890000000002</v>
      </c>
      <c r="P34" s="65">
        <f t="shared" si="5"/>
        <v>0</v>
      </c>
      <c r="Q34" s="65">
        <f t="shared" si="10"/>
        <v>130.58418749999998</v>
      </c>
      <c r="R34" s="65">
        <f t="shared" si="11"/>
        <v>0</v>
      </c>
      <c r="S34" s="65">
        <f t="shared" si="11"/>
        <v>9.6431399999999987E-2</v>
      </c>
      <c r="T34" s="65">
        <f t="shared" si="11"/>
        <v>0</v>
      </c>
      <c r="U34" s="126">
        <f t="shared" si="11"/>
        <v>0</v>
      </c>
    </row>
    <row r="35" spans="1:21" s="48" customFormat="1" ht="13" x14ac:dyDescent="0.35">
      <c r="A35" s="125" t="str">
        <f>G8</f>
        <v>SJC5</v>
      </c>
      <c r="B35" s="11">
        <v>250</v>
      </c>
      <c r="C35" s="65">
        <f t="shared" si="6"/>
        <v>72.038250000000005</v>
      </c>
      <c r="D35" s="65">
        <f t="shared" si="7"/>
        <v>70.264397250000002</v>
      </c>
      <c r="E35" s="65">
        <f t="shared" si="8"/>
        <v>2.129566375</v>
      </c>
      <c r="F35" s="65">
        <f t="shared" si="9"/>
        <v>7.2793661000000007</v>
      </c>
      <c r="G35" s="65">
        <f t="shared" si="5"/>
        <v>0.61577250000000006</v>
      </c>
      <c r="H35" s="65">
        <f t="shared" si="5"/>
        <v>0.832125</v>
      </c>
      <c r="I35" s="65">
        <f t="shared" si="5"/>
        <v>4.9135000000000005E-2</v>
      </c>
      <c r="J35" s="65">
        <f t="shared" si="5"/>
        <v>3.9624999999999999E-3</v>
      </c>
      <c r="K35" s="65">
        <f t="shared" si="5"/>
        <v>1.0064750000000001E-2</v>
      </c>
      <c r="L35" s="65">
        <f t="shared" si="5"/>
        <v>4.2795E-2</v>
      </c>
      <c r="M35" s="65">
        <f t="shared" si="5"/>
        <v>3.4077500000000004E-2</v>
      </c>
      <c r="N35" s="65">
        <f t="shared" si="5"/>
        <v>1466.125</v>
      </c>
      <c r="O35" s="65">
        <f t="shared" si="5"/>
        <v>32.1755</v>
      </c>
      <c r="P35" s="65">
        <f t="shared" si="5"/>
        <v>0</v>
      </c>
      <c r="Q35" s="65">
        <f t="shared" si="10"/>
        <v>167.41562499999998</v>
      </c>
      <c r="R35" s="65">
        <f t="shared" si="11"/>
        <v>0</v>
      </c>
      <c r="S35" s="65">
        <f t="shared" si="11"/>
        <v>0.12362999999999998</v>
      </c>
      <c r="T35" s="65">
        <f t="shared" si="11"/>
        <v>0</v>
      </c>
      <c r="U35" s="126">
        <f t="shared" si="11"/>
        <v>0</v>
      </c>
    </row>
    <row r="36" spans="1:21" s="48" customFormat="1" ht="13" x14ac:dyDescent="0.35">
      <c r="A36" s="125" t="str">
        <f>H8</f>
        <v>SJC6</v>
      </c>
      <c r="B36" s="11">
        <v>30</v>
      </c>
      <c r="C36" s="65">
        <f t="shared" si="6"/>
        <v>8.6445899999999991</v>
      </c>
      <c r="D36" s="65">
        <f t="shared" si="7"/>
        <v>8.431727669999999</v>
      </c>
      <c r="E36" s="65">
        <f t="shared" si="8"/>
        <v>0.25554796500000004</v>
      </c>
      <c r="F36" s="65">
        <f t="shared" si="9"/>
        <v>0.873523932</v>
      </c>
      <c r="G36" s="65">
        <f t="shared" si="5"/>
        <v>7.3892700000000006E-2</v>
      </c>
      <c r="H36" s="65">
        <f t="shared" si="5"/>
        <v>9.9854999999999999E-2</v>
      </c>
      <c r="I36" s="65">
        <f t="shared" si="5"/>
        <v>5.8962000000000007E-3</v>
      </c>
      <c r="J36" s="65">
        <f t="shared" si="5"/>
        <v>4.7549999999999996E-4</v>
      </c>
      <c r="K36" s="65">
        <f t="shared" si="5"/>
        <v>1.2077700000000002E-3</v>
      </c>
      <c r="L36" s="65">
        <f t="shared" si="5"/>
        <v>5.1354E-3</v>
      </c>
      <c r="M36" s="65">
        <f t="shared" si="5"/>
        <v>4.0892999999999997E-3</v>
      </c>
      <c r="N36" s="65">
        <f t="shared" si="5"/>
        <v>175.935</v>
      </c>
      <c r="O36" s="65">
        <f t="shared" si="5"/>
        <v>3.8610600000000002</v>
      </c>
      <c r="P36" s="65">
        <f t="shared" si="5"/>
        <v>0</v>
      </c>
      <c r="Q36" s="65">
        <f t="shared" si="10"/>
        <v>20.089874999999999</v>
      </c>
      <c r="R36" s="65">
        <f t="shared" si="11"/>
        <v>0</v>
      </c>
      <c r="S36" s="65">
        <f t="shared" si="11"/>
        <v>1.4835599999999997E-2</v>
      </c>
      <c r="T36" s="65">
        <f t="shared" si="11"/>
        <v>0</v>
      </c>
      <c r="U36" s="126">
        <f t="shared" si="11"/>
        <v>0</v>
      </c>
    </row>
    <row r="37" spans="1:21" s="48" customFormat="1" ht="13" x14ac:dyDescent="0.35">
      <c r="A37" s="125" t="str">
        <f>I8</f>
        <v>BODNOLWYN A</v>
      </c>
      <c r="B37" s="11">
        <v>84</v>
      </c>
      <c r="C37" s="65">
        <f t="shared" si="6"/>
        <v>24.204851999999999</v>
      </c>
      <c r="D37" s="65">
        <f t="shared" si="7"/>
        <v>23.608837475999998</v>
      </c>
      <c r="E37" s="65">
        <f t="shared" si="8"/>
        <v>0.71553430200000001</v>
      </c>
      <c r="F37" s="65">
        <f t="shared" si="9"/>
        <v>2.4458670096000001</v>
      </c>
      <c r="G37" s="65">
        <f t="shared" si="5"/>
        <v>0.20689956000000001</v>
      </c>
      <c r="H37" s="65">
        <f t="shared" si="5"/>
        <v>0.27959400000000001</v>
      </c>
      <c r="I37" s="65">
        <f t="shared" si="5"/>
        <v>1.6509360000000001E-2</v>
      </c>
      <c r="J37" s="65">
        <f t="shared" si="5"/>
        <v>1.3313999999999999E-3</v>
      </c>
      <c r="K37" s="65">
        <f t="shared" si="5"/>
        <v>3.3817560000000001E-3</v>
      </c>
      <c r="L37" s="65">
        <f t="shared" si="5"/>
        <v>1.437912E-2</v>
      </c>
      <c r="M37" s="65">
        <f t="shared" si="5"/>
        <v>1.145004E-2</v>
      </c>
      <c r="N37" s="65">
        <f t="shared" si="5"/>
        <v>492.61799999999994</v>
      </c>
      <c r="O37" s="65">
        <f t="shared" si="5"/>
        <v>10.810968000000001</v>
      </c>
      <c r="P37" s="65">
        <f t="shared" si="5"/>
        <v>0</v>
      </c>
      <c r="Q37" s="65">
        <f t="shared" si="10"/>
        <v>56.251649999999991</v>
      </c>
      <c r="R37" s="65">
        <f t="shared" si="11"/>
        <v>0</v>
      </c>
      <c r="S37" s="65">
        <f t="shared" si="11"/>
        <v>4.1539679999999995E-2</v>
      </c>
      <c r="T37" s="65">
        <f t="shared" si="11"/>
        <v>0</v>
      </c>
      <c r="U37" s="126">
        <f t="shared" si="11"/>
        <v>0</v>
      </c>
    </row>
    <row r="38" spans="1:21" s="48" customFormat="1" ht="13" x14ac:dyDescent="0.35">
      <c r="A38" s="125" t="str">
        <f>J8</f>
        <v>BODNOLWYN B</v>
      </c>
      <c r="B38" s="11">
        <v>84</v>
      </c>
      <c r="C38" s="65">
        <f t="shared" si="6"/>
        <v>24.204851999999999</v>
      </c>
      <c r="D38" s="65">
        <f t="shared" si="7"/>
        <v>23.608837475999998</v>
      </c>
      <c r="E38" s="65">
        <f t="shared" si="8"/>
        <v>0.71553430200000001</v>
      </c>
      <c r="F38" s="65">
        <f t="shared" si="9"/>
        <v>2.4458670096000001</v>
      </c>
      <c r="G38" s="65">
        <f t="shared" si="5"/>
        <v>0.20689956000000001</v>
      </c>
      <c r="H38" s="65">
        <f t="shared" si="5"/>
        <v>0.27959400000000001</v>
      </c>
      <c r="I38" s="65">
        <f t="shared" si="5"/>
        <v>1.6509360000000001E-2</v>
      </c>
      <c r="J38" s="65">
        <f t="shared" si="5"/>
        <v>1.3313999999999999E-3</v>
      </c>
      <c r="K38" s="65">
        <f t="shared" si="5"/>
        <v>3.3817560000000001E-3</v>
      </c>
      <c r="L38" s="65">
        <f t="shared" si="5"/>
        <v>1.437912E-2</v>
      </c>
      <c r="M38" s="65">
        <f t="shared" si="5"/>
        <v>1.145004E-2</v>
      </c>
      <c r="N38" s="65">
        <f t="shared" si="5"/>
        <v>492.61799999999994</v>
      </c>
      <c r="O38" s="65">
        <f t="shared" si="5"/>
        <v>10.810968000000001</v>
      </c>
      <c r="P38" s="65">
        <f t="shared" si="5"/>
        <v>0</v>
      </c>
      <c r="Q38" s="65">
        <f t="shared" si="10"/>
        <v>56.251649999999991</v>
      </c>
      <c r="R38" s="65">
        <f t="shared" si="11"/>
        <v>0</v>
      </c>
      <c r="S38" s="65">
        <f t="shared" si="11"/>
        <v>4.1539679999999995E-2</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t="str">
        <f>C8</f>
        <v>SJC1</v>
      </c>
      <c r="C57" s="8" t="str">
        <f t="shared" ref="C57:U57" si="13">D8</f>
        <v>SJC2</v>
      </c>
      <c r="D57" s="8" t="str">
        <f t="shared" si="13"/>
        <v>SJC3</v>
      </c>
      <c r="E57" s="8" t="str">
        <f t="shared" si="13"/>
        <v>SJC4</v>
      </c>
      <c r="F57" s="8" t="str">
        <f t="shared" si="13"/>
        <v>SJC5</v>
      </c>
      <c r="G57" s="8" t="str">
        <f t="shared" si="13"/>
        <v>SJC6</v>
      </c>
      <c r="H57" s="8" t="str">
        <f t="shared" si="13"/>
        <v>BODNOLWYN A</v>
      </c>
      <c r="I57" s="8" t="str">
        <f t="shared" si="13"/>
        <v>BODNOLWYN B</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Arable</v>
      </c>
      <c r="F58" s="10" t="str">
        <f>G16&amp;" I "&amp;(VLOOKUP(G14,Table2456[],6,FALSE))</f>
        <v>Medium/Clay I Grass</v>
      </c>
      <c r="G58" s="10" t="str">
        <f>H16&amp;" I "&amp;(VLOOKUP(H14,Table2456[],6,FALSE))</f>
        <v>Medium/Clay I Arable</v>
      </c>
      <c r="H58" s="10" t="str">
        <f>I16&amp;" I "&amp;(VLOOKUP(I14,Table2456[],6,FALSE))</f>
        <v>Medium/Clay I Grass</v>
      </c>
      <c r="I58" s="10" t="str">
        <f>J16&amp;" I "&amp;(VLOOKUP(J14,Table2456[],6,FALSE))</f>
        <v>Medium/Clay I Grass</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6.7</v>
      </c>
      <c r="F59" s="64">
        <f>VLOOKUP(G$14,Table2456[],5,FALSE)</f>
        <v>6.2</v>
      </c>
      <c r="G59" s="64">
        <f>VLOOKUP(H$14,Table2456[],5,FALSE)</f>
        <v>6.7</v>
      </c>
      <c r="H59" s="64">
        <f>VLOOKUP(I$14,Table2456[],5,FALSE)</f>
        <v>6.2</v>
      </c>
      <c r="I59" s="64">
        <f>VLOOKUP(J$14,Table2456[],5,FALSE)</f>
        <v>6.2</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6.4</v>
      </c>
      <c r="C60" s="64">
        <f t="shared" ref="C60:U60" si="14">D10</f>
        <v>5.8</v>
      </c>
      <c r="D60" s="64">
        <f t="shared" si="14"/>
        <v>6</v>
      </c>
      <c r="E60" s="64">
        <f t="shared" si="14"/>
        <v>6</v>
      </c>
      <c r="F60" s="64">
        <f t="shared" si="14"/>
        <v>5.9</v>
      </c>
      <c r="G60" s="64">
        <f t="shared" si="14"/>
        <v>6.1</v>
      </c>
      <c r="H60" s="64">
        <f t="shared" si="14"/>
        <v>5.8</v>
      </c>
      <c r="I60" s="64">
        <f t="shared" si="14"/>
        <v>5.7</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8</v>
      </c>
      <c r="F61" s="64">
        <f t="shared" si="15"/>
        <v>6</v>
      </c>
      <c r="G61" s="64">
        <f t="shared" si="15"/>
        <v>8</v>
      </c>
      <c r="H61" s="64">
        <f t="shared" si="15"/>
        <v>6</v>
      </c>
      <c r="I61" s="64">
        <f t="shared" si="15"/>
        <v>6</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84</v>
      </c>
      <c r="C62" s="65">
        <f>B32</f>
        <v>84</v>
      </c>
      <c r="D62" s="65">
        <f>B33</f>
        <v>42</v>
      </c>
      <c r="E62" s="65">
        <f>B34</f>
        <v>195</v>
      </c>
      <c r="F62" s="65">
        <f>B35</f>
        <v>250</v>
      </c>
      <c r="G62" s="65">
        <f>B36</f>
        <v>30</v>
      </c>
      <c r="H62" s="65">
        <f>B37</f>
        <v>84</v>
      </c>
      <c r="I62" s="65">
        <f>B38</f>
        <v>84</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-1.2000000000000011</v>
      </c>
      <c r="C64" s="65">
        <f t="shared" ref="C64:U64" si="17">(C59-C60)*C61</f>
        <v>2.4000000000000021</v>
      </c>
      <c r="D64" s="65">
        <f t="shared" si="17"/>
        <v>1.2000000000000011</v>
      </c>
      <c r="E64" s="65">
        <f t="shared" si="17"/>
        <v>5.6000000000000014</v>
      </c>
      <c r="F64" s="65">
        <f t="shared" si="17"/>
        <v>1.7999999999999989</v>
      </c>
      <c r="G64" s="65">
        <f t="shared" si="17"/>
        <v>4.8000000000000043</v>
      </c>
      <c r="H64" s="65">
        <f t="shared" si="17"/>
        <v>2.4000000000000021</v>
      </c>
      <c r="I64" s="65">
        <f t="shared" si="17"/>
        <v>3</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1.2000000000000011</v>
      </c>
      <c r="C65" s="65">
        <f t="shared" ref="C65:U65" si="18">C63-C64</f>
        <v>-2.4000000000000021</v>
      </c>
      <c r="D65" s="65">
        <f t="shared" si="18"/>
        <v>-1.2000000000000011</v>
      </c>
      <c r="E65" s="65">
        <f t="shared" si="18"/>
        <v>-5.6000000000000014</v>
      </c>
      <c r="F65" s="65">
        <f t="shared" si="18"/>
        <v>-1.7999999999999989</v>
      </c>
      <c r="G65" s="65">
        <f t="shared" si="18"/>
        <v>-4.8000000000000043</v>
      </c>
      <c r="H65" s="65">
        <f t="shared" si="18"/>
        <v>-2.4000000000000021</v>
      </c>
      <c r="I65" s="65">
        <f t="shared" si="18"/>
        <v>-3</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26" x14ac:dyDescent="0.3">
      <c r="A66" s="88" t="s">
        <v>148</v>
      </c>
      <c r="B66" s="66" t="str">
        <f>IF(B64&lt;=B63,"OVER","UNDER")</f>
        <v>OVER</v>
      </c>
      <c r="C66" s="66" t="str">
        <f t="shared" ref="C66:U66" si="19">IF(C64&lt;=C63,"OVER","UNDER")</f>
        <v>UNDER</v>
      </c>
      <c r="D66" s="66" t="str">
        <f t="shared" si="19"/>
        <v>UNDER</v>
      </c>
      <c r="E66" s="66" t="str">
        <f t="shared" si="19"/>
        <v>UNDER</v>
      </c>
      <c r="F66" s="66" t="str">
        <f t="shared" si="19"/>
        <v>UNDER</v>
      </c>
      <c r="G66" s="66" t="str">
        <f t="shared" si="19"/>
        <v>UNDER</v>
      </c>
      <c r="H66" s="66" t="str">
        <f t="shared" si="19"/>
        <v>UNDER</v>
      </c>
      <c r="I66" s="66" t="str">
        <f t="shared" si="19"/>
        <v>UNDER</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psex/ncFMZYOzDntnPDQOkNc3I/jPLJOAUC7/yn0k9r8qHtU4DktKzj/jn0gljmQRO4GFBMKuOneksJmrgRGsA==" saltValue="EjUI8ZMqMPlhuDPAZIOXz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7" operator="greaterThan">
      <formula>$B$51</formula>
    </cfRule>
  </conditionalFormatting>
  <conditionalFormatting sqref="B66:U66">
    <cfRule type="cellIs" dxfId="26" priority="12" operator="equal">
      <formula>"UNDER"</formula>
    </cfRule>
    <cfRule type="cellIs" dxfId="25" priority="13" operator="equal">
      <formula>"OVER"</formula>
    </cfRule>
  </conditionalFormatting>
  <conditionalFormatting sqref="C31:C50">
    <cfRule type="cellIs" dxfId="24" priority="36" operator="greaterThan">
      <formula>$C$51</formula>
    </cfRule>
  </conditionalFormatting>
  <conditionalFormatting sqref="C17:V19">
    <cfRule type="cellIs" dxfId="23" priority="33" operator="equal">
      <formula>0</formula>
    </cfRule>
  </conditionalFormatting>
  <conditionalFormatting sqref="C20:V21">
    <cfRule type="cellIs" dxfId="22" priority="38" operator="equal">
      <formula>"DECREASE"</formula>
    </cfRule>
    <cfRule type="cellIs" dxfId="21" priority="39" operator="equal">
      <formula>"INCREASE"</formula>
    </cfRule>
  </conditionalFormatting>
  <conditionalFormatting sqref="C21:V21">
    <cfRule type="cellIs" dxfId="20" priority="14" operator="equal">
      <formula>0</formula>
    </cfRule>
  </conditionalFormatting>
  <conditionalFormatting sqref="C22:V23">
    <cfRule type="cellIs" dxfId="19" priority="18" operator="equal">
      <formula>0</formula>
    </cfRule>
  </conditionalFormatting>
  <conditionalFormatting sqref="C24:V24">
    <cfRule type="cellIs" dxfId="18" priority="19" operator="equal">
      <formula>"DECREASE"</formula>
    </cfRule>
    <cfRule type="cellIs" dxfId="17" priority="20" operator="equal">
      <formula>"INCREASE"</formula>
    </cfRule>
  </conditionalFormatting>
  <conditionalFormatting sqref="G31:G50">
    <cfRule type="cellIs" dxfId="16" priority="32" operator="greaterThan">
      <formula>$G$51</formula>
    </cfRule>
  </conditionalFormatting>
  <conditionalFormatting sqref="H31:H50">
    <cfRule type="cellIs" dxfId="15" priority="31" operator="greaterThan">
      <formula>$H$51</formula>
    </cfRule>
  </conditionalFormatting>
  <conditionalFormatting sqref="I1">
    <cfRule type="cellIs" dxfId="14" priority="4" operator="between">
      <formula>0.1</formula>
      <formula>5</formula>
    </cfRule>
  </conditionalFormatting>
  <conditionalFormatting sqref="I2">
    <cfRule type="cellIs" dxfId="13" priority="3" operator="greaterThan">
      <formula>5000.1</formula>
    </cfRule>
  </conditionalFormatting>
  <conditionalFormatting sqref="I3">
    <cfRule type="cellIs" dxfId="12" priority="2" operator="greaterThan">
      <formula>40000.01</formula>
    </cfRule>
  </conditionalFormatting>
  <conditionalFormatting sqref="I31:I50">
    <cfRule type="cellIs" dxfId="11" priority="30" operator="greaterThan">
      <formula>$I$51</formula>
    </cfRule>
  </conditionalFormatting>
  <conditionalFormatting sqref="J31:J50">
    <cfRule type="cellIs" dxfId="10" priority="9" operator="greaterThan">
      <formula>$J$51</formula>
    </cfRule>
  </conditionalFormatting>
  <conditionalFormatting sqref="K31:K50">
    <cfRule type="cellIs" dxfId="9" priority="29" operator="greaterThan">
      <formula>$K$51</formula>
    </cfRule>
  </conditionalFormatting>
  <conditionalFormatting sqref="L3">
    <cfRule type="cellIs" dxfId="8" priority="5" operator="lessThan">
      <formula>30</formula>
    </cfRule>
    <cfRule type="cellIs" dxfId="7" priority="6" operator="greaterThanOrEqual">
      <formula>30</formula>
    </cfRule>
  </conditionalFormatting>
  <conditionalFormatting sqref="L31:L50">
    <cfRule type="cellIs" dxfId="6" priority="28" operator="greaterThan">
      <formula>$L$51</formula>
    </cfRule>
  </conditionalFormatting>
  <conditionalFormatting sqref="M31:M50">
    <cfRule type="cellIs" dxfId="5" priority="27" operator="greaterThan">
      <formula>$M$51</formula>
    </cfRule>
  </conditionalFormatting>
  <conditionalFormatting sqref="P31:P50">
    <cfRule type="cellIs" dxfId="4" priority="26" operator="greaterThan">
      <formula>$P$51</formula>
    </cfRule>
  </conditionalFormatting>
  <conditionalFormatting sqref="R31:R50">
    <cfRule type="cellIs" dxfId="3" priority="25" operator="greaterThan">
      <formula>$R$51</formula>
    </cfRule>
  </conditionalFormatting>
  <conditionalFormatting sqref="S31:S50">
    <cfRule type="cellIs" dxfId="2" priority="24" operator="greaterThan">
      <formula>$S$51</formula>
    </cfRule>
  </conditionalFormatting>
  <conditionalFormatting sqref="T31:T50">
    <cfRule type="cellIs" dxfId="1" priority="23" operator="greaterThan">
      <formula>$T$51</formula>
    </cfRule>
  </conditionalFormatting>
  <conditionalFormatting sqref="U31:U50">
    <cfRule type="cellIs" dxfId="0" priority="22"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Alaw'!B29</f>
        <v>Application Rate</v>
      </c>
      <c r="C1" s="29" t="str">
        <f>'Field data and Alaw'!C29</f>
        <v>Nitrogen Addition</v>
      </c>
      <c r="D1" s="29" t="str">
        <f>'Field data and Alaw'!D29</f>
        <v>Phosphate Addition</v>
      </c>
      <c r="E1" s="29" t="str">
        <f>'Field data and Alaw'!E29</f>
        <v>Potash  Addition</v>
      </c>
      <c r="F1" s="29" t="str">
        <f>'Field data and Alaw'!F29</f>
        <v>Mg Oxide Addition</v>
      </c>
      <c r="G1" s="29" t="str">
        <f>'Field data and Alaw'!G29</f>
        <v>Copper Addition</v>
      </c>
      <c r="H1" s="29" t="str">
        <f>'Field data and Alaw'!H29</f>
        <v>Zinc Addition</v>
      </c>
      <c r="I1" s="29" t="str">
        <f>'Field data and Alaw'!I29</f>
        <v>Lead Addition</v>
      </c>
      <c r="J1" s="29" t="str">
        <f>'Field data and Alaw'!J29</f>
        <v>Cadmium Addition</v>
      </c>
      <c r="K1" s="29" t="str">
        <f>'Field data and Alaw'!K29</f>
        <v>Mercury Addition</v>
      </c>
      <c r="L1" s="29" t="str">
        <f>'Field data and Alaw'!L29</f>
        <v>Nickel Addition</v>
      </c>
      <c r="M1" s="29" t="str">
        <f>'Field data and Alaw'!M29</f>
        <v>Chromium Addition</v>
      </c>
      <c r="N1" s="29" t="str">
        <f>'Field data and Alaw'!N29</f>
        <v>Aluminium Addition</v>
      </c>
      <c r="O1" s="29" t="str">
        <f>'Field data and Alaw'!O29</f>
        <v>Iron Addition</v>
      </c>
      <c r="P1" s="29" t="str">
        <f>'Field data and Alaw'!P29</f>
        <v xml:space="preserve">Sodium Addition                 </v>
      </c>
      <c r="Q1" s="29" t="str">
        <f>'Field data and Alaw'!Q29</f>
        <v>SO3  Addition                             kg/ha</v>
      </c>
      <c r="R1" s="29" t="str">
        <f>'Field data and Alaw'!R29</f>
        <v xml:space="preserve">Selenium Addition </v>
      </c>
      <c r="S1" s="29" t="str">
        <f>'Field data and Alaw'!S29</f>
        <v xml:space="preserve">Arsenic  Addition  </v>
      </c>
      <c r="T1" s="29" t="str">
        <f>'Field data and Alaw'!T29</f>
        <v xml:space="preserve">Molybdenum Addition  </v>
      </c>
      <c r="U1" s="29" t="str">
        <f>'Field data and Alaw'!U29</f>
        <v xml:space="preserve">Fluoride Addition </v>
      </c>
    </row>
    <row r="2" spans="1:21" ht="25" x14ac:dyDescent="0.25">
      <c r="A2" s="174"/>
      <c r="B2" s="29" t="str">
        <f>'Field data and Alaw'!B30</f>
        <v>tonnes/ha</v>
      </c>
      <c r="C2" s="29" t="str">
        <f>'Field data and Alaw'!C30</f>
        <v>kg/ha</v>
      </c>
      <c r="D2" s="29" t="str">
        <f>'Field data and Alaw'!D30</f>
        <v>P2O5 
kg/ha</v>
      </c>
      <c r="E2" s="29" t="str">
        <f>'Field data and Alaw'!E30</f>
        <v>K2O 
kg/ha</v>
      </c>
      <c r="F2" s="29" t="str">
        <f>'Field data and Alaw'!F30</f>
        <v>MgO 
kg/ha</v>
      </c>
      <c r="G2" s="29" t="str">
        <f>'Field data and Alaw'!G30</f>
        <v>kg/ha</v>
      </c>
      <c r="H2" s="29" t="str">
        <f>'Field data and Alaw'!H30</f>
        <v>kg/ha</v>
      </c>
      <c r="I2" s="29" t="str">
        <f>'Field data and Alaw'!I30</f>
        <v>kg/ha</v>
      </c>
      <c r="J2" s="29" t="str">
        <f>'Field data and Alaw'!J30</f>
        <v>kg/ha</v>
      </c>
      <c r="K2" s="29" t="str">
        <f>'Field data and Alaw'!K30</f>
        <v>kg/ha</v>
      </c>
      <c r="L2" s="29" t="str">
        <f>'Field data and Alaw'!L30</f>
        <v>kg/ha</v>
      </c>
      <c r="M2" s="29" t="str">
        <f>'Field data and Alaw'!M30</f>
        <v>kg/ha</v>
      </c>
      <c r="N2" s="29" t="str">
        <f>'Field data and Alaw'!N30</f>
        <v>kg/ha</v>
      </c>
      <c r="O2" s="29" t="str">
        <f>'Field data and Alaw'!O30</f>
        <v>kg/ha</v>
      </c>
      <c r="P2" s="29" t="str">
        <f>'Field data and Alaw'!P30</f>
        <v>kg/ha</v>
      </c>
      <c r="Q2" s="29" t="str">
        <f>'Field data and Alaw'!Q30</f>
        <v>kg/ha</v>
      </c>
      <c r="R2" s="29" t="str">
        <f>'Field data and Alaw'!R30</f>
        <v>kg/ha</v>
      </c>
      <c r="S2" s="29" t="str">
        <f>'Field data and Alaw'!S30</f>
        <v>kg/ha</v>
      </c>
      <c r="T2" s="29" t="str">
        <f>'Field data and Alaw'!T30</f>
        <v>kg/ha</v>
      </c>
      <c r="U2" s="29" t="str">
        <f>'Field data and Alaw'!U30</f>
        <v>kg/ha</v>
      </c>
    </row>
    <row r="3" spans="1:21" x14ac:dyDescent="0.25">
      <c r="A3" s="27">
        <v>1</v>
      </c>
      <c r="B3" s="24">
        <f>'Field data and Alaw'!B31</f>
        <v>94</v>
      </c>
      <c r="C3" s="24">
        <f>'Field data and Alaw'!C31</f>
        <v>165.393</v>
      </c>
      <c r="D3" s="24">
        <f>'Field data and Alaw'!D31</f>
        <v>65.23934075999999</v>
      </c>
      <c r="E3" s="24">
        <f>'Field data and Alaw'!E31</f>
        <v>5.6670113700000007E-4</v>
      </c>
      <c r="F3" s="24">
        <f>'Field data and Alaw'!F31</f>
        <v>14.092605395999998</v>
      </c>
      <c r="G3" s="24">
        <f>'Field data and Alaw'!G31</f>
        <v>0.67451579999999989</v>
      </c>
      <c r="H3" s="24">
        <f>'Field data and Alaw'!H31</f>
        <v>1.5388740000000001</v>
      </c>
      <c r="I3" s="24">
        <f>'Field data and Alaw'!I31</f>
        <v>8.9168400000000009E-2</v>
      </c>
      <c r="J3" s="24">
        <f>'Field data and Alaw'!J31</f>
        <v>7.1910000000000003E-3</v>
      </c>
      <c r="K3" s="24">
        <f>'Field data and Alaw'!K31</f>
        <v>9.3483000000000004E-3</v>
      </c>
      <c r="L3" s="24">
        <f>'Field data and Alaw'!L31</f>
        <v>0.25024679999999999</v>
      </c>
      <c r="M3" s="24">
        <f>'Field data and Alaw'!M31</f>
        <v>9.4489740000000003E-2</v>
      </c>
      <c r="N3" s="24">
        <f>'Field data and Alaw'!N31</f>
        <v>3235.95</v>
      </c>
      <c r="O3" s="24">
        <f>'Field data and Alaw'!O31</f>
        <v>122.67845999999999</v>
      </c>
      <c r="P3" s="24">
        <f>'Field data and Alaw'!P31</f>
        <v>0</v>
      </c>
      <c r="Q3" s="24">
        <f>'Field data and Alaw'!Q31</f>
        <v>325.03320000000002</v>
      </c>
      <c r="R3" s="24">
        <f>'Field data and Alaw'!R31</f>
        <v>0</v>
      </c>
      <c r="S3" s="24">
        <f>'Field data and Alaw'!S31</f>
        <v>0.1955952</v>
      </c>
      <c r="T3" s="24">
        <f>'Field data and Alaw'!T31</f>
        <v>0</v>
      </c>
      <c r="U3" s="24">
        <f>'Field data and Alaw'!U31</f>
        <v>0</v>
      </c>
    </row>
    <row r="4" spans="1:21" x14ac:dyDescent="0.25">
      <c r="A4" s="27">
        <v>2</v>
      </c>
      <c r="B4" s="24">
        <f>'Bryn Cowlyd'!B31</f>
        <v>250</v>
      </c>
      <c r="C4" s="24">
        <f>'Bryn Cowlyd'!C31</f>
        <v>64.619500000000002</v>
      </c>
      <c r="D4" s="24">
        <f>'Bryn Cowlyd'!D31</f>
        <v>6.7771789249999994</v>
      </c>
      <c r="E4" s="24">
        <f>'Bryn Cowlyd'!E31</f>
        <v>1.7566188750000003E-4</v>
      </c>
      <c r="F4" s="24">
        <f>'Bryn Cowlyd'!F31</f>
        <v>7.0106871999999996</v>
      </c>
      <c r="G4" s="24">
        <f>'Bryn Cowlyd'!G31</f>
        <v>6.6494999999999999E-2</v>
      </c>
      <c r="H4" s="24">
        <f>'Bryn Cowlyd'!H31</f>
        <v>1.0826750000000001</v>
      </c>
      <c r="I4" s="24">
        <f>'Bryn Cowlyd'!I31</f>
        <v>0.14407249999999999</v>
      </c>
      <c r="J4" s="24">
        <f>'Bryn Cowlyd'!J31</f>
        <v>2.4722500000000001E-3</v>
      </c>
      <c r="K4" s="24">
        <f>'Bryn Cowlyd'!K31</f>
        <v>9.9742500000000005E-3</v>
      </c>
      <c r="L4" s="24">
        <f>'Bryn Cowlyd'!L31</f>
        <v>0.1338425</v>
      </c>
      <c r="M4" s="24">
        <f>'Bryn Cowlyd'!M31</f>
        <v>0.15856499999999998</v>
      </c>
      <c r="N4" s="24">
        <f>'Bryn Cowlyd'!N31</f>
        <v>21.73875</v>
      </c>
      <c r="O4" s="24">
        <f>'Bryn Cowlyd'!O31</f>
        <v>3571.9749999999995</v>
      </c>
      <c r="P4" s="24">
        <f>'Bryn Cowlyd'!P31</f>
        <v>0</v>
      </c>
      <c r="Q4" s="24">
        <f>'Bryn Cowlyd'!Q31</f>
        <v>62.871875000000003</v>
      </c>
      <c r="R4" s="24">
        <f>'Bryn Cowlyd'!R31</f>
        <v>0</v>
      </c>
      <c r="S4" s="24">
        <f>'Bryn Cowlyd'!S31</f>
        <v>0.26086500000000001</v>
      </c>
      <c r="T4" s="24">
        <f>'Bryn Cowlyd'!T31</f>
        <v>0</v>
      </c>
      <c r="U4" s="24">
        <f>'Bryn Cowlyd'!U31</f>
        <v>0</v>
      </c>
    </row>
    <row r="5" spans="1:21" x14ac:dyDescent="0.25">
      <c r="A5" s="27">
        <v>3</v>
      </c>
      <c r="B5" s="24">
        <f>Cefni!B31</f>
        <v>220</v>
      </c>
      <c r="C5" s="24">
        <f>Cefni!C31</f>
        <v>142.19919999999999</v>
      </c>
      <c r="D5" s="24">
        <f>Cefni!D31</f>
        <v>64.867374000000012</v>
      </c>
      <c r="E5" s="24">
        <f>Cefni!E31</f>
        <v>6.4294172800000019E-4</v>
      </c>
      <c r="F5" s="24">
        <f>Cefni!F31</f>
        <v>21.490200160000001</v>
      </c>
      <c r="G5" s="24">
        <f>Cefni!G31</f>
        <v>0.52475280000000002</v>
      </c>
      <c r="H5" s="24">
        <f>Cefni!H31</f>
        <v>0.74497279999999999</v>
      </c>
      <c r="I5" s="24">
        <f>Cefni!I31</f>
        <v>7.8020800000000001E-2</v>
      </c>
      <c r="J5" s="24">
        <f>Cefni!J31</f>
        <v>4.2785599999999998E-3</v>
      </c>
      <c r="K5" s="24">
        <f>Cefni!K31</f>
        <v>8.9346400000000006E-3</v>
      </c>
      <c r="L5" s="24">
        <f>Cefni!L31</f>
        <v>0.34102640000000001</v>
      </c>
      <c r="M5" s="24">
        <f>Cefni!M31</f>
        <v>0.15981679999999998</v>
      </c>
      <c r="N5" s="24">
        <f>Cefni!N31</f>
        <v>2315.4560000000001</v>
      </c>
      <c r="O5" s="24">
        <f>Cefni!O31</f>
        <v>156.04160000000002</v>
      </c>
      <c r="P5" s="24">
        <f>Cefni!P31</f>
        <v>0</v>
      </c>
      <c r="Q5" s="24">
        <f>Cefni!Q31</f>
        <v>259.54500000000002</v>
      </c>
      <c r="R5" s="24">
        <f>Cefni!R31</f>
        <v>0</v>
      </c>
      <c r="S5" s="24">
        <f>Cefni!S31</f>
        <v>0.17869279999999998</v>
      </c>
      <c r="T5" s="24">
        <f>Cefni!T31</f>
        <v>0</v>
      </c>
      <c r="U5" s="24">
        <f>Cefni!U31</f>
        <v>0</v>
      </c>
    </row>
    <row r="6" spans="1:21" x14ac:dyDescent="0.25">
      <c r="A6" s="27">
        <v>4</v>
      </c>
      <c r="B6" s="24">
        <f>Cilfor!B31</f>
        <v>150</v>
      </c>
      <c r="C6" s="24">
        <f>Cilfor!C31</f>
        <v>65.099999999999994</v>
      </c>
      <c r="D6" s="24">
        <f>Cilfor!D31</f>
        <v>64.664620499999998</v>
      </c>
      <c r="E6" s="24">
        <f>Cilfor!E31</f>
        <v>1.1038402499999999E-4</v>
      </c>
      <c r="F6" s="24">
        <f>Cilfor!F31</f>
        <v>7.8638940000000002</v>
      </c>
      <c r="G6" s="24">
        <f>Cilfor!G31</f>
        <v>0.17111999999999999</v>
      </c>
      <c r="H6" s="24">
        <f>Cilfor!H31</f>
        <v>0.68820000000000003</v>
      </c>
      <c r="I6" s="24">
        <f>Cilfor!I31</f>
        <v>2.8830000000000001E-2</v>
      </c>
      <c r="J6" s="24">
        <f>Cilfor!J31</f>
        <v>2.7434999999999998E-3</v>
      </c>
      <c r="K6" s="24">
        <f>Cilfor!K31</f>
        <v>6.0450000000000009E-3</v>
      </c>
      <c r="L6" s="24">
        <f>Cilfor!L31</f>
        <v>0.183675</v>
      </c>
      <c r="M6" s="24">
        <f>Cilfor!M31</f>
        <v>2.0087999999999998E-2</v>
      </c>
      <c r="N6" s="24">
        <f>Cilfor!N31</f>
        <v>943.95</v>
      </c>
      <c r="O6" s="24">
        <f>Cilfor!O31</f>
        <v>24.970500000000001</v>
      </c>
      <c r="P6" s="24">
        <f>Cilfor!P31</f>
        <v>0</v>
      </c>
      <c r="Q6" s="24">
        <f>Cilfor!Q31</f>
        <v>133.6875</v>
      </c>
      <c r="R6" s="24">
        <f>Cilfor!R31</f>
        <v>0</v>
      </c>
      <c r="S6" s="24">
        <f>Cilfor!S31</f>
        <v>4.5104999999999999E-2</v>
      </c>
      <c r="T6" s="24">
        <f>Cilfor!T31</f>
        <v>0</v>
      </c>
      <c r="U6" s="24">
        <f>Cilfor!U31</f>
        <v>0</v>
      </c>
    </row>
    <row r="7" spans="1:21" x14ac:dyDescent="0.25">
      <c r="A7" s="27">
        <v>5</v>
      </c>
      <c r="B7" s="24">
        <f>Cwellyn!B31</f>
        <v>175</v>
      </c>
      <c r="C7" s="24">
        <f>Cwellyn!C31</f>
        <v>95.353999999999985</v>
      </c>
      <c r="D7" s="24">
        <f>Cwellyn!D31</f>
        <v>65.222478999999979</v>
      </c>
      <c r="E7" s="24">
        <f>Cwellyn!E31</f>
        <v>3.0254658000000001</v>
      </c>
      <c r="F7" s="24">
        <f>Cwellyn!F31</f>
        <v>5.7893049200000002</v>
      </c>
      <c r="G7" s="24">
        <f>Cwellyn!G31</f>
        <v>0.52478999999999998</v>
      </c>
      <c r="H7" s="24">
        <f>Cwellyn!H31</f>
        <v>2.1677599999999999</v>
      </c>
      <c r="I7" s="24">
        <f>Cwellyn!I31</f>
        <v>4.2532E-2</v>
      </c>
      <c r="J7" s="24">
        <f>Cwellyn!J31</f>
        <v>6.8599999999999998E-3</v>
      </c>
      <c r="K7" s="24">
        <f>Cwellyn!K31</f>
        <v>7.0658000000000006E-3</v>
      </c>
      <c r="L7" s="24">
        <f>Cwellyn!L31</f>
        <v>0.20031199999999999</v>
      </c>
      <c r="M7" s="24">
        <f>Cwellyn!M31</f>
        <v>3.4780200000000004E-2</v>
      </c>
      <c r="N7" s="24">
        <f>Cwellyn!N31</f>
        <v>1303.3999999999999</v>
      </c>
      <c r="O7" s="24">
        <f>Cwellyn!O31</f>
        <v>43.8354</v>
      </c>
      <c r="P7" s="24">
        <f>Cwellyn!P31</f>
        <v>0</v>
      </c>
      <c r="Q7" s="24">
        <f>Cwellyn!Q31</f>
        <v>117.64899999999999</v>
      </c>
      <c r="R7" s="24">
        <f>Cwellyn!R31</f>
        <v>0</v>
      </c>
      <c r="S7" s="24">
        <f>Cwellyn!S31</f>
        <v>0.131712</v>
      </c>
      <c r="T7" s="24">
        <f>Cwellyn!T31</f>
        <v>0</v>
      </c>
      <c r="U7" s="24">
        <f>Cwellyn!U31</f>
        <v>0</v>
      </c>
    </row>
    <row r="8" spans="1:21" x14ac:dyDescent="0.25">
      <c r="A8" s="27">
        <v>6</v>
      </c>
      <c r="B8" s="24">
        <f>Dolbenmaen!B31</f>
        <v>250</v>
      </c>
      <c r="C8" s="24">
        <f>Dolbenmaen!C31</f>
        <v>181.125</v>
      </c>
      <c r="D8" s="24">
        <f>Dolbenmaen!D31</f>
        <v>96.823387500000024</v>
      </c>
      <c r="E8" s="24">
        <f>Dolbenmaen!E31</f>
        <v>4.1572500000000003</v>
      </c>
      <c r="F8" s="24">
        <f>Dolbenmaen!F31</f>
        <v>8.0367405000000005</v>
      </c>
      <c r="G8" s="24">
        <f>Dolbenmaen!G31</f>
        <v>0.63824999999999998</v>
      </c>
      <c r="H8" s="24">
        <f>Dolbenmaen!H31</f>
        <v>4.6920000000000011</v>
      </c>
      <c r="I8" s="24">
        <f>Dolbenmaen!I31</f>
        <v>0.10695000000000003</v>
      </c>
      <c r="J8" s="24">
        <f>Dolbenmaen!J31</f>
        <v>1.6905000000000003E-2</v>
      </c>
      <c r="K8" s="24">
        <f>Dolbenmaen!K31</f>
        <v>2.0010000000000003E-2</v>
      </c>
      <c r="L8" s="24">
        <f>Dolbenmaen!L31</f>
        <v>0.14317500000000002</v>
      </c>
      <c r="M8" s="24">
        <f>Dolbenmaen!M31</f>
        <v>7.4175000000000005E-2</v>
      </c>
      <c r="N8" s="24">
        <f>Dolbenmaen!N31</f>
        <v>5313.0000000000009</v>
      </c>
      <c r="O8" s="24">
        <f>Dolbenmaen!O31</f>
        <v>75.037500000000023</v>
      </c>
      <c r="P8" s="24">
        <f>Dolbenmaen!P31</f>
        <v>0</v>
      </c>
      <c r="Q8" s="24">
        <f>Dolbenmaen!Q31</f>
        <v>495.93750000000006</v>
      </c>
      <c r="R8" s="24">
        <f>Dolbenmaen!R31</f>
        <v>0</v>
      </c>
      <c r="S8" s="24">
        <f>Dolbenmaen!S31</f>
        <v>0.28980000000000006</v>
      </c>
      <c r="T8" s="24">
        <f>Dolbenmaen!T31</f>
        <v>0</v>
      </c>
      <c r="U8" s="24">
        <f>Dolbenmaen!U31</f>
        <v>0</v>
      </c>
    </row>
    <row r="9" spans="1:21" x14ac:dyDescent="0.25">
      <c r="A9" s="27">
        <v>7</v>
      </c>
      <c r="B9" s="24">
        <f>Garreglwyd!B31</f>
        <v>250</v>
      </c>
      <c r="C9" s="24">
        <f>Garreglwyd!C31</f>
        <v>141.12875</v>
      </c>
      <c r="D9" s="24">
        <f>Garreglwyd!D31</f>
        <v>61.610144750000011</v>
      </c>
      <c r="E9" s="24">
        <f>Garreglwyd!E31</f>
        <v>2.3299578750000003</v>
      </c>
      <c r="F9" s="24">
        <f>Garreglwyd!F31</f>
        <v>12.602375100000001</v>
      </c>
      <c r="G9" s="24">
        <f>Garreglwyd!G31</f>
        <v>0.60007500000000003</v>
      </c>
      <c r="H9" s="24">
        <f>Garreglwyd!H31</f>
        <v>9.1789250000000013</v>
      </c>
      <c r="I9" s="24">
        <f>Garreglwyd!I31</f>
        <v>0.72453500000000015</v>
      </c>
      <c r="J9" s="24">
        <f>Garreglwyd!J31</f>
        <v>2.5114250000000001E-2</v>
      </c>
      <c r="K9" s="24">
        <f>Garreglwyd!K31</f>
        <v>1.0001250000000001E-2</v>
      </c>
      <c r="L9" s="24">
        <f>Garreglwyd!L31</f>
        <v>0.73564750000000012</v>
      </c>
      <c r="M9" s="24">
        <f>Garreglwyd!M31</f>
        <v>0.31115000000000004</v>
      </c>
      <c r="N9" s="24">
        <f>Garreglwyd!N31</f>
        <v>94.900750000000016</v>
      </c>
      <c r="O9" s="24">
        <f>Garreglwyd!O31</f>
        <v>10045.700000000001</v>
      </c>
      <c r="P9" s="24">
        <f>Garreglwyd!P31</f>
        <v>0</v>
      </c>
      <c r="Q9" s="24">
        <f>Garreglwyd!Q31</f>
        <v>110.56937500000001</v>
      </c>
      <c r="R9" s="24">
        <f>Garreglwyd!R31</f>
        <v>0</v>
      </c>
      <c r="S9" s="24">
        <f>Garreglwyd!S31</f>
        <v>0.27781250000000002</v>
      </c>
      <c r="T9" s="24">
        <f>Garreglwyd!T31</f>
        <v>0</v>
      </c>
      <c r="U9" s="24">
        <f>Garreglwyd!U31</f>
        <v>0</v>
      </c>
    </row>
    <row r="10" spans="1:21" x14ac:dyDescent="0.25">
      <c r="A10" s="27">
        <v>8</v>
      </c>
      <c r="B10" s="24">
        <f>'LLyn Conwy'!B31</f>
        <v>250</v>
      </c>
      <c r="C10" s="24">
        <f>'LLyn Conwy'!C31</f>
        <v>72.921999999999997</v>
      </c>
      <c r="D10" s="24">
        <f>'LLyn Conwy'!D31</f>
        <v>13.767764499999998</v>
      </c>
      <c r="E10" s="24">
        <f>'LLyn Conwy'!E31</f>
        <v>2.2028605000000003</v>
      </c>
      <c r="F10" s="24">
        <f>'LLyn Conwy'!F31</f>
        <v>8.7245617999999983</v>
      </c>
      <c r="G10" s="24">
        <f>'LLyn Conwy'!G31</f>
        <v>0.10200999999999999</v>
      </c>
      <c r="H10" s="24">
        <f>'LLyn Conwy'!H31</f>
        <v>1.6968000000000001</v>
      </c>
      <c r="I10" s="24">
        <f>'LLyn Conwy'!I31</f>
        <v>0.24845999999999999</v>
      </c>
      <c r="J10" s="24">
        <f>'LLyn Conwy'!J31</f>
        <v>4.9489999999999994E-3</v>
      </c>
      <c r="K10" s="24">
        <f>'LLyn Conwy'!K31</f>
        <v>9.9990000000000009E-3</v>
      </c>
      <c r="L10" s="24">
        <f>'LLyn Conwy'!L31</f>
        <v>0.18786</v>
      </c>
      <c r="M10" s="24">
        <f>'LLyn Conwy'!M31</f>
        <v>0.15958000000000003</v>
      </c>
      <c r="N10" s="24">
        <f>'LLyn Conwy'!N31</f>
        <v>26.058</v>
      </c>
      <c r="O10" s="24">
        <f>'LLyn Conwy'!O31</f>
        <v>4272.2999999999993</v>
      </c>
      <c r="P10" s="24">
        <f>'LLyn Conwy'!P31</f>
        <v>0</v>
      </c>
      <c r="Q10" s="24">
        <f>'LLyn Conwy'!Q31</f>
        <v>81.55749999999999</v>
      </c>
      <c r="R10" s="24">
        <f>'LLyn Conwy'!R31</f>
        <v>0</v>
      </c>
      <c r="S10" s="24">
        <f>'LLyn Conwy'!S31</f>
        <v>0.42925000000000002</v>
      </c>
      <c r="T10" s="24">
        <f>'LLyn Conwy'!T31</f>
        <v>0</v>
      </c>
      <c r="U10" s="24">
        <f>'LLyn Conwy'!U31</f>
        <v>0</v>
      </c>
    </row>
    <row r="11" spans="1:21" x14ac:dyDescent="0.25">
      <c r="A11" s="27">
        <v>9</v>
      </c>
      <c r="B11" s="24">
        <f>Mynydd!B31</f>
        <v>232</v>
      </c>
      <c r="C11" s="24">
        <f>Mynydd!C31</f>
        <v>66.851495999999997</v>
      </c>
      <c r="D11" s="24">
        <f>Mynydd!D31</f>
        <v>65.205360647999996</v>
      </c>
      <c r="E11" s="24">
        <f>Mynydd!E31</f>
        <v>1.976237596</v>
      </c>
      <c r="F11" s="24">
        <f>Mynydd!F31</f>
        <v>6.7552517408000003</v>
      </c>
      <c r="G11" s="24">
        <f>Mynydd!G31</f>
        <v>0.57143688000000004</v>
      </c>
      <c r="H11" s="24">
        <f>Mynydd!H31</f>
        <v>0.77221200000000001</v>
      </c>
      <c r="I11" s="24">
        <f>Mynydd!I31</f>
        <v>4.5597280000000004E-2</v>
      </c>
      <c r="J11" s="24">
        <f>Mynydd!J31</f>
        <v>3.6771999999999998E-3</v>
      </c>
      <c r="K11" s="24">
        <f>Mynydd!K31</f>
        <v>9.3400879999999999E-3</v>
      </c>
      <c r="L11" s="24">
        <f>Mynydd!L31</f>
        <v>3.9713760000000001E-2</v>
      </c>
      <c r="M11" s="24">
        <f>Mynydd!M31</f>
        <v>3.162392E-2</v>
      </c>
      <c r="N11" s="24">
        <f>Mynydd!N31</f>
        <v>1360.5639999999999</v>
      </c>
      <c r="O11" s="24">
        <f>Mynydd!O31</f>
        <v>29.858864000000004</v>
      </c>
      <c r="P11" s="24">
        <f>Mynydd!P31</f>
        <v>0</v>
      </c>
      <c r="Q11" s="24">
        <f>Mynydd!Q31</f>
        <v>155.36169999999998</v>
      </c>
      <c r="R11" s="24">
        <f>Mynydd!R31</f>
        <v>0</v>
      </c>
      <c r="S11" s="24">
        <f>Mynydd!S31</f>
        <v>0.11472863999999998</v>
      </c>
      <c r="T11" s="24">
        <f>Mynydd!T31</f>
        <v>0</v>
      </c>
      <c r="U11" s="24">
        <f>Mynydd!U31</f>
        <v>0</v>
      </c>
    </row>
    <row r="12" spans="1:21" x14ac:dyDescent="0.25">
      <c r="A12" s="27">
        <v>10</v>
      </c>
      <c r="B12" s="24">
        <f>Rhiwgoch!B31</f>
        <v>84</v>
      </c>
      <c r="C12" s="24">
        <f>Rhiwgoch!C31</f>
        <v>24.204851999999999</v>
      </c>
      <c r="D12" s="24">
        <f>Rhiwgoch!D31</f>
        <v>23.608837475999998</v>
      </c>
      <c r="E12" s="24">
        <f>Rhiwgoch!E31</f>
        <v>0.71553430200000001</v>
      </c>
      <c r="F12" s="24">
        <f>Rhiwgoch!F31</f>
        <v>2.4458670096000001</v>
      </c>
      <c r="G12" s="24">
        <f>Rhiwgoch!G31</f>
        <v>0.20689956000000001</v>
      </c>
      <c r="H12" s="24">
        <f>Rhiwgoch!H31</f>
        <v>0.27959400000000001</v>
      </c>
      <c r="I12" s="24">
        <f>Rhiwgoch!I31</f>
        <v>1.6509360000000001E-2</v>
      </c>
      <c r="J12" s="24">
        <f>Rhiwgoch!J31</f>
        <v>1.3313999999999999E-3</v>
      </c>
      <c r="K12" s="24">
        <f>Rhiwgoch!K31</f>
        <v>3.3817560000000001E-3</v>
      </c>
      <c r="L12" s="24">
        <f>Rhiwgoch!L31</f>
        <v>1.437912E-2</v>
      </c>
      <c r="M12" s="24">
        <f>Rhiwgoch!M31</f>
        <v>1.145004E-2</v>
      </c>
      <c r="N12" s="24">
        <f>Rhiwgoch!N31</f>
        <v>492.61799999999994</v>
      </c>
      <c r="O12" s="24">
        <f>Rhiwgoch!O31</f>
        <v>10.810968000000001</v>
      </c>
      <c r="P12" s="24">
        <f>Rhiwgoch!P31</f>
        <v>0</v>
      </c>
      <c r="Q12" s="24">
        <f>Rhiwgoch!Q31</f>
        <v>56.251649999999991</v>
      </c>
      <c r="R12" s="24">
        <f>Rhiwgoch!R31</f>
        <v>0</v>
      </c>
      <c r="S12" s="24">
        <f>Rhiwgoch!S31</f>
        <v>4.1539679999999995E-2</v>
      </c>
      <c r="T12" s="24">
        <f>Rhiwgoch!T31</f>
        <v>0</v>
      </c>
      <c r="U12" s="24">
        <f>Rhiwgoch!U31</f>
        <v>0</v>
      </c>
    </row>
    <row r="13" spans="1:21" s="69" customFormat="1" ht="15.5" x14ac:dyDescent="0.35">
      <c r="A13" s="67" t="s">
        <v>85</v>
      </c>
      <c r="B13" s="68">
        <f>SUM(B3:B12)</f>
        <v>1955</v>
      </c>
      <c r="C13" s="68">
        <f t="shared" ref="C13:U13" si="0">SUM(C3:C12)</f>
        <v>1018.897798</v>
      </c>
      <c r="D13" s="68">
        <f t="shared" si="0"/>
        <v>527.78648805900002</v>
      </c>
      <c r="E13" s="68">
        <f t="shared" si="0"/>
        <v>14.408801761777502</v>
      </c>
      <c r="F13" s="68">
        <f t="shared" si="0"/>
        <v>94.811487826399997</v>
      </c>
      <c r="G13" s="68">
        <f t="shared" si="0"/>
        <v>4.0803450399999992</v>
      </c>
      <c r="H13" s="68">
        <f t="shared" si="0"/>
        <v>22.842012800000003</v>
      </c>
      <c r="I13" s="68">
        <f t="shared" si="0"/>
        <v>1.5246753399999999</v>
      </c>
      <c r="J13" s="68">
        <f t="shared" si="0"/>
        <v>7.5522160000000005E-2</v>
      </c>
      <c r="K13" s="68">
        <f t="shared" si="0"/>
        <v>9.4100084000000014E-2</v>
      </c>
      <c r="L13" s="68">
        <f t="shared" si="0"/>
        <v>2.2298780800000007</v>
      </c>
      <c r="M13" s="68">
        <f t="shared" si="0"/>
        <v>1.0557186999999999</v>
      </c>
      <c r="N13" s="68">
        <f t="shared" si="0"/>
        <v>15107.635500000002</v>
      </c>
      <c r="O13" s="68">
        <f t="shared" si="0"/>
        <v>18353.208292000003</v>
      </c>
      <c r="P13" s="68">
        <f t="shared" si="0"/>
        <v>0</v>
      </c>
      <c r="Q13" s="68">
        <f t="shared" si="0"/>
        <v>1798.4642999999999</v>
      </c>
      <c r="R13" s="68">
        <f t="shared" si="0"/>
        <v>0</v>
      </c>
      <c r="S13" s="68">
        <f t="shared" si="0"/>
        <v>1.96510082</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Alaw'!B29</f>
        <v>Application Rate</v>
      </c>
      <c r="D1" s="26" t="str">
        <f>'Field data and Alaw'!C29</f>
        <v>Nitrogen Addition</v>
      </c>
      <c r="E1" s="26" t="str">
        <f>'Field data and Alaw'!D29</f>
        <v>Phosphate Addition</v>
      </c>
      <c r="F1" s="26" t="str">
        <f>'Field data and Alaw'!E29</f>
        <v>Potash  Addition</v>
      </c>
      <c r="G1" s="26" t="str">
        <f>'Field data and Alaw'!F29</f>
        <v>Mg Oxide Addition</v>
      </c>
      <c r="H1" s="26" t="str">
        <f>'Field data and Alaw'!G29</f>
        <v>Copper Addition</v>
      </c>
      <c r="I1" s="26" t="str">
        <f>'Field data and Alaw'!H29</f>
        <v>Zinc Addition</v>
      </c>
      <c r="J1" s="26" t="str">
        <f>'Field data and Alaw'!I29</f>
        <v>Lead Addition</v>
      </c>
      <c r="K1" s="26" t="str">
        <f>'Field data and Alaw'!J29</f>
        <v>Cadmium Addition</v>
      </c>
      <c r="L1" s="26" t="str">
        <f>'Field data and Alaw'!K29</f>
        <v>Mercury Addition</v>
      </c>
      <c r="M1" s="26" t="str">
        <f>'Field data and Alaw'!L29</f>
        <v>Nickel Addition</v>
      </c>
      <c r="N1" s="26" t="str">
        <f>'Field data and Alaw'!M29</f>
        <v>Chromium Addition</v>
      </c>
      <c r="O1" s="26" t="str">
        <f>'Field data and Alaw'!N29</f>
        <v>Aluminium Addition</v>
      </c>
      <c r="P1" s="26" t="str">
        <f>'Field data and Alaw'!O29</f>
        <v>Iron Addition</v>
      </c>
      <c r="Q1" s="26" t="str">
        <f>'Field data and Alaw'!P29</f>
        <v xml:space="preserve">Sodium Addition                 </v>
      </c>
      <c r="R1" s="26" t="str">
        <f>'Field data and Alaw'!Q29</f>
        <v>SO3  Addition                             kg/ha</v>
      </c>
      <c r="S1" s="26" t="str">
        <f>'Field data and Alaw'!R29</f>
        <v xml:space="preserve">Selenium Addition </v>
      </c>
      <c r="T1" s="26" t="str">
        <f>'Field data and Alaw'!S29</f>
        <v xml:space="preserve">Arsenic  Addition  </v>
      </c>
      <c r="U1" s="26" t="str">
        <f>'Field data and Alaw'!T29</f>
        <v xml:space="preserve">Molybdenum Addition  </v>
      </c>
      <c r="V1" s="26" t="str">
        <f>'Field data and Alaw'!U29</f>
        <v xml:space="preserve">Fluoride Addition </v>
      </c>
    </row>
    <row r="2" spans="1:22" s="70" customFormat="1" ht="25" x14ac:dyDescent="0.35">
      <c r="A2" s="175"/>
      <c r="B2" s="23" t="s">
        <v>46</v>
      </c>
      <c r="C2" s="26" t="str">
        <f>'Field data and Alaw'!B30</f>
        <v>tonnes/ha</v>
      </c>
      <c r="D2" s="26" t="str">
        <f>'Field data and Alaw'!C30</f>
        <v>kg/ha</v>
      </c>
      <c r="E2" s="26" t="str">
        <f>'Field data and Alaw'!D30</f>
        <v>P2O5 
kg/ha</v>
      </c>
      <c r="F2" s="26" t="str">
        <f>'Field data and Alaw'!E30</f>
        <v>K2O 
kg/ha</v>
      </c>
      <c r="G2" s="26" t="str">
        <f>'Field data and Alaw'!F30</f>
        <v>MgO 
kg/ha</v>
      </c>
      <c r="H2" s="26" t="str">
        <f>'Field data and Alaw'!G30</f>
        <v>kg/ha</v>
      </c>
      <c r="I2" s="26" t="str">
        <f>'Field data and Alaw'!H30</f>
        <v>kg/ha</v>
      </c>
      <c r="J2" s="26" t="str">
        <f>'Field data and Alaw'!I30</f>
        <v>kg/ha</v>
      </c>
      <c r="K2" s="26" t="str">
        <f>'Field data and Alaw'!J30</f>
        <v>kg/ha</v>
      </c>
      <c r="L2" s="26" t="str">
        <f>'Field data and Alaw'!K30</f>
        <v>kg/ha</v>
      </c>
      <c r="M2" s="26" t="str">
        <f>'Field data and Alaw'!L30</f>
        <v>kg/ha</v>
      </c>
      <c r="N2" s="26" t="str">
        <f>'Field data and Alaw'!M30</f>
        <v>kg/ha</v>
      </c>
      <c r="O2" s="26" t="str">
        <f>'Field data and Alaw'!N30</f>
        <v>kg/ha</v>
      </c>
      <c r="P2" s="26" t="str">
        <f>'Field data and Alaw'!O30</f>
        <v>kg/ha</v>
      </c>
      <c r="Q2" s="26" t="str">
        <f>'Field data and Alaw'!P30</f>
        <v>kg/ha</v>
      </c>
      <c r="R2" s="26" t="str">
        <f>'Field data and Alaw'!Q30</f>
        <v>kg/ha</v>
      </c>
      <c r="S2" s="26" t="str">
        <f>'Field data and Alaw'!R30</f>
        <v>kg/ha</v>
      </c>
      <c r="T2" s="26" t="str">
        <f>'Field data and Alaw'!S30</f>
        <v>kg/ha</v>
      </c>
      <c r="U2" s="26" t="str">
        <f>'Field data and Alaw'!T30</f>
        <v>kg/ha</v>
      </c>
      <c r="V2" s="26" t="str">
        <f>'Field data and Alaw'!U30</f>
        <v>kg/ha</v>
      </c>
    </row>
    <row r="3" spans="1:22" x14ac:dyDescent="0.25">
      <c r="A3" s="27">
        <v>1</v>
      </c>
      <c r="B3" s="78"/>
      <c r="C3" s="24">
        <f>'Field data and Alaw'!B31</f>
        <v>94</v>
      </c>
      <c r="D3" s="24">
        <f>'Field data and Alaw'!C31</f>
        <v>165.393</v>
      </c>
      <c r="E3" s="24">
        <f>'Field data and Alaw'!D31</f>
        <v>65.23934075999999</v>
      </c>
      <c r="F3" s="24">
        <f>'Field data and Alaw'!E31</f>
        <v>5.6670113700000007E-4</v>
      </c>
      <c r="G3" s="24">
        <f>'Field data and Alaw'!F31</f>
        <v>14.092605395999998</v>
      </c>
      <c r="H3" s="24">
        <f>'Field data and Alaw'!G31</f>
        <v>0.67451579999999989</v>
      </c>
      <c r="I3" s="24">
        <f>'Field data and Alaw'!H31</f>
        <v>1.5388740000000001</v>
      </c>
      <c r="J3" s="24">
        <f>'Field data and Alaw'!I31</f>
        <v>8.9168400000000009E-2</v>
      </c>
      <c r="K3" s="24">
        <f>'Field data and Alaw'!J31</f>
        <v>7.1910000000000003E-3</v>
      </c>
      <c r="L3" s="24">
        <f>'Field data and Alaw'!K31</f>
        <v>9.3483000000000004E-3</v>
      </c>
      <c r="M3" s="24">
        <f>'Field data and Alaw'!L31</f>
        <v>0.25024679999999999</v>
      </c>
      <c r="N3" s="24">
        <f>'Field data and Alaw'!M31</f>
        <v>9.4489740000000003E-2</v>
      </c>
      <c r="O3" s="24">
        <f>'Field data and Alaw'!N31</f>
        <v>3235.95</v>
      </c>
      <c r="P3" s="24">
        <f>'Field data and Alaw'!O31</f>
        <v>122.67845999999999</v>
      </c>
      <c r="Q3" s="24">
        <f>'Field data and Alaw'!P31</f>
        <v>0</v>
      </c>
      <c r="R3" s="24">
        <f>'Field data and Alaw'!Q31</f>
        <v>325.03320000000002</v>
      </c>
      <c r="S3" s="24">
        <f>'Field data and Alaw'!R31</f>
        <v>0</v>
      </c>
      <c r="T3" s="24">
        <f>'Field data and Alaw'!S31</f>
        <v>0.1955952</v>
      </c>
      <c r="U3" s="24">
        <f>'Field data and Alaw'!T31</f>
        <v>0</v>
      </c>
      <c r="V3" s="24">
        <f>'Field data and Alaw'!U31</f>
        <v>0</v>
      </c>
    </row>
    <row r="4" spans="1:22" x14ac:dyDescent="0.25">
      <c r="A4" s="27">
        <v>2</v>
      </c>
      <c r="B4" s="78"/>
      <c r="C4" s="24">
        <f>'Bryn Cowlyd'!B31</f>
        <v>250</v>
      </c>
      <c r="D4" s="24">
        <f>'Bryn Cowlyd'!C31</f>
        <v>64.619500000000002</v>
      </c>
      <c r="E4" s="24">
        <f>'Bryn Cowlyd'!D31</f>
        <v>6.7771789249999994</v>
      </c>
      <c r="F4" s="24">
        <f>'Bryn Cowlyd'!E31</f>
        <v>1.7566188750000003E-4</v>
      </c>
      <c r="G4" s="24">
        <f>'Bryn Cowlyd'!F31</f>
        <v>7.0106871999999996</v>
      </c>
      <c r="H4" s="24">
        <f>'Bryn Cowlyd'!G31</f>
        <v>6.6494999999999999E-2</v>
      </c>
      <c r="I4" s="24">
        <f>'Bryn Cowlyd'!H31</f>
        <v>1.0826750000000001</v>
      </c>
      <c r="J4" s="24">
        <f>'Bryn Cowlyd'!I31</f>
        <v>0.14407249999999999</v>
      </c>
      <c r="K4" s="24">
        <f>'Bryn Cowlyd'!J31</f>
        <v>2.4722500000000001E-3</v>
      </c>
      <c r="L4" s="24">
        <f>'Bryn Cowlyd'!K31</f>
        <v>9.9742500000000005E-3</v>
      </c>
      <c r="M4" s="24">
        <f>'Bryn Cowlyd'!L31</f>
        <v>0.1338425</v>
      </c>
      <c r="N4" s="24">
        <f>'Bryn Cowlyd'!M31</f>
        <v>0.15856499999999998</v>
      </c>
      <c r="O4" s="24">
        <f>'Bryn Cowlyd'!N31</f>
        <v>21.73875</v>
      </c>
      <c r="P4" s="24">
        <f>'Bryn Cowlyd'!O31</f>
        <v>3571.9749999999995</v>
      </c>
      <c r="Q4" s="24">
        <f>'Bryn Cowlyd'!P31</f>
        <v>0</v>
      </c>
      <c r="R4" s="24">
        <f>'Bryn Cowlyd'!Q31</f>
        <v>62.871875000000003</v>
      </c>
      <c r="S4" s="24">
        <f>'Bryn Cowlyd'!R31</f>
        <v>0</v>
      </c>
      <c r="T4" s="24">
        <f>'Bryn Cowlyd'!S31</f>
        <v>0.26086500000000001</v>
      </c>
      <c r="U4" s="24">
        <f>'Bryn Cowlyd'!T31</f>
        <v>0</v>
      </c>
      <c r="V4" s="24">
        <f>'Bryn Cowlyd'!U31</f>
        <v>0</v>
      </c>
    </row>
    <row r="5" spans="1:22" x14ac:dyDescent="0.25">
      <c r="A5" s="27">
        <v>3</v>
      </c>
      <c r="B5" s="78"/>
      <c r="C5" s="24">
        <f>Cefni!B31</f>
        <v>220</v>
      </c>
      <c r="D5" s="24">
        <f>Cefni!C31</f>
        <v>142.19919999999999</v>
      </c>
      <c r="E5" s="24">
        <f>Cefni!D31</f>
        <v>64.867374000000012</v>
      </c>
      <c r="F5" s="24">
        <f>Cefni!E31</f>
        <v>6.4294172800000019E-4</v>
      </c>
      <c r="G5" s="24">
        <f>Cefni!F31</f>
        <v>21.490200160000001</v>
      </c>
      <c r="H5" s="24">
        <f>Cefni!G31</f>
        <v>0.52475280000000002</v>
      </c>
      <c r="I5" s="24">
        <f>Cefni!H31</f>
        <v>0.74497279999999999</v>
      </c>
      <c r="J5" s="24">
        <f>Cefni!I31</f>
        <v>7.8020800000000001E-2</v>
      </c>
      <c r="K5" s="24">
        <f>Cefni!J31</f>
        <v>4.2785599999999998E-3</v>
      </c>
      <c r="L5" s="24">
        <f>Cefni!K31</f>
        <v>8.9346400000000006E-3</v>
      </c>
      <c r="M5" s="24">
        <f>Cefni!L31</f>
        <v>0.34102640000000001</v>
      </c>
      <c r="N5" s="24">
        <f>Cefni!M31</f>
        <v>0.15981679999999998</v>
      </c>
      <c r="O5" s="24">
        <f>Cefni!N31</f>
        <v>2315.4560000000001</v>
      </c>
      <c r="P5" s="24">
        <f>Cefni!O31</f>
        <v>156.04160000000002</v>
      </c>
      <c r="Q5" s="24">
        <f>Cefni!P31</f>
        <v>0</v>
      </c>
      <c r="R5" s="24">
        <f>Cefni!Q31</f>
        <v>259.54500000000002</v>
      </c>
      <c r="S5" s="24">
        <f>Cefni!R31</f>
        <v>0</v>
      </c>
      <c r="T5" s="24">
        <f>Cefni!S31</f>
        <v>0.17869279999999998</v>
      </c>
      <c r="U5" s="24">
        <f>Cefni!T31</f>
        <v>0</v>
      </c>
      <c r="V5" s="24">
        <f>Cefni!U31</f>
        <v>0</v>
      </c>
    </row>
    <row r="6" spans="1:22" x14ac:dyDescent="0.25">
      <c r="A6" s="27">
        <v>4</v>
      </c>
      <c r="B6" s="78"/>
      <c r="C6" s="24">
        <f>Cilfor!B31</f>
        <v>150</v>
      </c>
      <c r="D6" s="24">
        <f>Cilfor!C31</f>
        <v>65.099999999999994</v>
      </c>
      <c r="E6" s="24">
        <f>Cilfor!D31</f>
        <v>64.664620499999998</v>
      </c>
      <c r="F6" s="24">
        <f>Cilfor!E31</f>
        <v>1.1038402499999999E-4</v>
      </c>
      <c r="G6" s="24">
        <f>Cilfor!F31</f>
        <v>7.8638940000000002</v>
      </c>
      <c r="H6" s="24">
        <f>Cilfor!G31</f>
        <v>0.17111999999999999</v>
      </c>
      <c r="I6" s="24">
        <f>Cilfor!H31</f>
        <v>0.68820000000000003</v>
      </c>
      <c r="J6" s="24">
        <f>Cilfor!I31</f>
        <v>2.8830000000000001E-2</v>
      </c>
      <c r="K6" s="24">
        <f>Cilfor!J31</f>
        <v>2.7434999999999998E-3</v>
      </c>
      <c r="L6" s="24">
        <f>Cilfor!K31</f>
        <v>6.0450000000000009E-3</v>
      </c>
      <c r="M6" s="24">
        <f>Cilfor!L31</f>
        <v>0.183675</v>
      </c>
      <c r="N6" s="24">
        <f>Cilfor!M31</f>
        <v>2.0087999999999998E-2</v>
      </c>
      <c r="O6" s="24">
        <f>Cilfor!N31</f>
        <v>943.95</v>
      </c>
      <c r="P6" s="24">
        <f>Cilfor!O31</f>
        <v>24.970500000000001</v>
      </c>
      <c r="Q6" s="24">
        <f>Cilfor!P31</f>
        <v>0</v>
      </c>
      <c r="R6" s="24">
        <f>Cilfor!Q31</f>
        <v>133.6875</v>
      </c>
      <c r="S6" s="24">
        <f>Cilfor!R31</f>
        <v>0</v>
      </c>
      <c r="T6" s="24">
        <f>Cilfor!S31</f>
        <v>4.5104999999999999E-2</v>
      </c>
      <c r="U6" s="24">
        <f>Cilfor!T31</f>
        <v>0</v>
      </c>
      <c r="V6" s="24">
        <f>Cilfor!U31</f>
        <v>0</v>
      </c>
    </row>
    <row r="7" spans="1:22" x14ac:dyDescent="0.25">
      <c r="A7" s="27">
        <v>5</v>
      </c>
      <c r="B7" s="78"/>
      <c r="C7" s="24">
        <f>Cwellyn!B31</f>
        <v>175</v>
      </c>
      <c r="D7" s="24">
        <f>Cwellyn!C31</f>
        <v>95.353999999999985</v>
      </c>
      <c r="E7" s="24">
        <f>Cwellyn!D31</f>
        <v>65.222478999999979</v>
      </c>
      <c r="F7" s="24">
        <f>Cwellyn!E31</f>
        <v>3.0254658000000001</v>
      </c>
      <c r="G7" s="24">
        <f>Cwellyn!F31</f>
        <v>5.7893049200000002</v>
      </c>
      <c r="H7" s="24">
        <f>Cwellyn!G31</f>
        <v>0.52478999999999998</v>
      </c>
      <c r="I7" s="24">
        <f>Cwellyn!H31</f>
        <v>2.1677599999999999</v>
      </c>
      <c r="J7" s="24">
        <f>Cwellyn!I31</f>
        <v>4.2532E-2</v>
      </c>
      <c r="K7" s="24">
        <f>Cwellyn!J31</f>
        <v>6.8599999999999998E-3</v>
      </c>
      <c r="L7" s="24">
        <f>Cwellyn!K31</f>
        <v>7.0658000000000006E-3</v>
      </c>
      <c r="M7" s="24">
        <f>Cwellyn!L31</f>
        <v>0.20031199999999999</v>
      </c>
      <c r="N7" s="24">
        <f>Cwellyn!M31</f>
        <v>3.4780200000000004E-2</v>
      </c>
      <c r="O7" s="24">
        <f>Cwellyn!N31</f>
        <v>1303.3999999999999</v>
      </c>
      <c r="P7" s="24">
        <f>Cwellyn!O31</f>
        <v>43.8354</v>
      </c>
      <c r="Q7" s="24">
        <f>Cwellyn!P31</f>
        <v>0</v>
      </c>
      <c r="R7" s="24">
        <f>Cwellyn!Q31</f>
        <v>117.64899999999999</v>
      </c>
      <c r="S7" s="24">
        <f>Cwellyn!R31</f>
        <v>0</v>
      </c>
      <c r="T7" s="24">
        <f>Cwellyn!S31</f>
        <v>0.131712</v>
      </c>
      <c r="U7" s="24">
        <f>Cwellyn!T31</f>
        <v>0</v>
      </c>
      <c r="V7" s="24">
        <f>Cwellyn!U31</f>
        <v>0</v>
      </c>
    </row>
    <row r="8" spans="1:22" x14ac:dyDescent="0.25">
      <c r="A8" s="27">
        <v>6</v>
      </c>
      <c r="B8" s="78"/>
      <c r="C8" s="24">
        <f>Dolbenmaen!B31</f>
        <v>250</v>
      </c>
      <c r="D8" s="24">
        <f>Dolbenmaen!C31</f>
        <v>181.125</v>
      </c>
      <c r="E8" s="24">
        <f>Dolbenmaen!D31</f>
        <v>96.823387500000024</v>
      </c>
      <c r="F8" s="24">
        <f>Dolbenmaen!E31</f>
        <v>4.1572500000000003</v>
      </c>
      <c r="G8" s="24">
        <f>Dolbenmaen!F31</f>
        <v>8.0367405000000005</v>
      </c>
      <c r="H8" s="24">
        <f>Dolbenmaen!G31</f>
        <v>0.63824999999999998</v>
      </c>
      <c r="I8" s="24">
        <f>Dolbenmaen!H31</f>
        <v>4.6920000000000011</v>
      </c>
      <c r="J8" s="24">
        <f>Dolbenmaen!I31</f>
        <v>0.10695000000000003</v>
      </c>
      <c r="K8" s="24">
        <f>Dolbenmaen!J31</f>
        <v>1.6905000000000003E-2</v>
      </c>
      <c r="L8" s="24">
        <f>Dolbenmaen!K31</f>
        <v>2.0010000000000003E-2</v>
      </c>
      <c r="M8" s="24">
        <f>Dolbenmaen!L31</f>
        <v>0.14317500000000002</v>
      </c>
      <c r="N8" s="24">
        <f>Dolbenmaen!M31</f>
        <v>7.4175000000000005E-2</v>
      </c>
      <c r="O8" s="24">
        <f>Dolbenmaen!N31</f>
        <v>5313.0000000000009</v>
      </c>
      <c r="P8" s="24">
        <f>Dolbenmaen!O31</f>
        <v>75.037500000000023</v>
      </c>
      <c r="Q8" s="24">
        <f>Dolbenmaen!P31</f>
        <v>0</v>
      </c>
      <c r="R8" s="24">
        <f>Dolbenmaen!Q31</f>
        <v>495.93750000000006</v>
      </c>
      <c r="S8" s="24">
        <f>Dolbenmaen!R31</f>
        <v>0</v>
      </c>
      <c r="T8" s="24">
        <f>Dolbenmaen!S31</f>
        <v>0.28980000000000006</v>
      </c>
      <c r="U8" s="24">
        <f>Dolbenmaen!T31</f>
        <v>0</v>
      </c>
      <c r="V8" s="24">
        <f>Dolbenmaen!U31</f>
        <v>0</v>
      </c>
    </row>
    <row r="9" spans="1:22" x14ac:dyDescent="0.25">
      <c r="A9" s="27">
        <v>7</v>
      </c>
      <c r="B9" s="78"/>
      <c r="C9" s="24">
        <f>Garreglwyd!B31</f>
        <v>250</v>
      </c>
      <c r="D9" s="24">
        <f>Garreglwyd!C31</f>
        <v>141.12875</v>
      </c>
      <c r="E9" s="24">
        <f>Garreglwyd!D31</f>
        <v>61.610144750000011</v>
      </c>
      <c r="F9" s="24">
        <f>Garreglwyd!E31</f>
        <v>2.3299578750000003</v>
      </c>
      <c r="G9" s="24">
        <f>Garreglwyd!F31</f>
        <v>12.602375100000001</v>
      </c>
      <c r="H9" s="24">
        <f>Garreglwyd!G31</f>
        <v>0.60007500000000003</v>
      </c>
      <c r="I9" s="24">
        <f>Garreglwyd!H31</f>
        <v>9.1789250000000013</v>
      </c>
      <c r="J9" s="24">
        <f>Garreglwyd!I31</f>
        <v>0.72453500000000015</v>
      </c>
      <c r="K9" s="24">
        <f>Garreglwyd!J31</f>
        <v>2.5114250000000001E-2</v>
      </c>
      <c r="L9" s="24">
        <f>Garreglwyd!K31</f>
        <v>1.0001250000000001E-2</v>
      </c>
      <c r="M9" s="24">
        <f>Garreglwyd!L31</f>
        <v>0.73564750000000012</v>
      </c>
      <c r="N9" s="24">
        <f>Garreglwyd!M31</f>
        <v>0.31115000000000004</v>
      </c>
      <c r="O9" s="24">
        <f>Garreglwyd!N31</f>
        <v>94.900750000000016</v>
      </c>
      <c r="P9" s="24">
        <f>Garreglwyd!O31</f>
        <v>10045.700000000001</v>
      </c>
      <c r="Q9" s="24">
        <f>Garreglwyd!P31</f>
        <v>0</v>
      </c>
      <c r="R9" s="24">
        <f>Garreglwyd!Q31</f>
        <v>110.56937500000001</v>
      </c>
      <c r="S9" s="24">
        <f>Garreglwyd!R31</f>
        <v>0</v>
      </c>
      <c r="T9" s="24">
        <f>Garreglwyd!S31</f>
        <v>0.27781250000000002</v>
      </c>
      <c r="U9" s="24">
        <f>Garreglwyd!T31</f>
        <v>0</v>
      </c>
      <c r="V9" s="24">
        <f>Garreglwyd!U31</f>
        <v>0</v>
      </c>
    </row>
    <row r="10" spans="1:22" x14ac:dyDescent="0.25">
      <c r="A10" s="27">
        <v>8</v>
      </c>
      <c r="B10" s="78"/>
      <c r="C10" s="24">
        <f>'LLyn Conwy'!B31</f>
        <v>250</v>
      </c>
      <c r="D10" s="24">
        <f>'LLyn Conwy'!C31</f>
        <v>72.921999999999997</v>
      </c>
      <c r="E10" s="24">
        <f>'LLyn Conwy'!D31</f>
        <v>13.767764499999998</v>
      </c>
      <c r="F10" s="24">
        <f>'LLyn Conwy'!E31</f>
        <v>2.2028605000000003</v>
      </c>
      <c r="G10" s="24">
        <f>'LLyn Conwy'!F31</f>
        <v>8.7245617999999983</v>
      </c>
      <c r="H10" s="24">
        <f>'LLyn Conwy'!G31</f>
        <v>0.10200999999999999</v>
      </c>
      <c r="I10" s="24">
        <f>'LLyn Conwy'!H31</f>
        <v>1.6968000000000001</v>
      </c>
      <c r="J10" s="24">
        <f>'LLyn Conwy'!I31</f>
        <v>0.24845999999999999</v>
      </c>
      <c r="K10" s="24">
        <f>'LLyn Conwy'!J31</f>
        <v>4.9489999999999994E-3</v>
      </c>
      <c r="L10" s="24">
        <f>'LLyn Conwy'!K31</f>
        <v>9.9990000000000009E-3</v>
      </c>
      <c r="M10" s="24">
        <f>'LLyn Conwy'!L31</f>
        <v>0.18786</v>
      </c>
      <c r="N10" s="24">
        <f>'LLyn Conwy'!M31</f>
        <v>0.15958000000000003</v>
      </c>
      <c r="O10" s="24">
        <f>'LLyn Conwy'!N31</f>
        <v>26.058</v>
      </c>
      <c r="P10" s="24">
        <f>'LLyn Conwy'!O31</f>
        <v>4272.2999999999993</v>
      </c>
      <c r="Q10" s="24">
        <f>'LLyn Conwy'!P31</f>
        <v>0</v>
      </c>
      <c r="R10" s="24">
        <f>'LLyn Conwy'!Q31</f>
        <v>81.55749999999999</v>
      </c>
      <c r="S10" s="24">
        <f>'LLyn Conwy'!R31</f>
        <v>0</v>
      </c>
      <c r="T10" s="24">
        <f>'LLyn Conwy'!S31</f>
        <v>0.42925000000000002</v>
      </c>
      <c r="U10" s="24">
        <f>'LLyn Conwy'!T31</f>
        <v>0</v>
      </c>
      <c r="V10" s="24">
        <f>'LLyn Conwy'!U31</f>
        <v>0</v>
      </c>
    </row>
    <row r="11" spans="1:22" x14ac:dyDescent="0.25">
      <c r="A11" s="27">
        <v>9</v>
      </c>
      <c r="B11" s="78"/>
      <c r="C11" s="24">
        <f>Mynydd!B31</f>
        <v>232</v>
      </c>
      <c r="D11" s="24">
        <f>Mynydd!C31</f>
        <v>66.851495999999997</v>
      </c>
      <c r="E11" s="24">
        <f>Mynydd!D31</f>
        <v>65.205360647999996</v>
      </c>
      <c r="F11" s="24">
        <f>Mynydd!E31</f>
        <v>1.976237596</v>
      </c>
      <c r="G11" s="24">
        <f>Mynydd!F31</f>
        <v>6.7552517408000003</v>
      </c>
      <c r="H11" s="24">
        <f>Mynydd!G31</f>
        <v>0.57143688000000004</v>
      </c>
      <c r="I11" s="24">
        <f>Mynydd!H31</f>
        <v>0.77221200000000001</v>
      </c>
      <c r="J11" s="24">
        <f>Mynydd!I31</f>
        <v>4.5597280000000004E-2</v>
      </c>
      <c r="K11" s="24">
        <f>Mynydd!J31</f>
        <v>3.6771999999999998E-3</v>
      </c>
      <c r="L11" s="24">
        <f>Mynydd!K31</f>
        <v>9.3400879999999999E-3</v>
      </c>
      <c r="M11" s="24">
        <f>Mynydd!L31</f>
        <v>3.9713760000000001E-2</v>
      </c>
      <c r="N11" s="24">
        <f>Mynydd!M31</f>
        <v>3.162392E-2</v>
      </c>
      <c r="O11" s="24">
        <f>Mynydd!N31</f>
        <v>1360.5639999999999</v>
      </c>
      <c r="P11" s="24">
        <f>Mynydd!O31</f>
        <v>29.858864000000004</v>
      </c>
      <c r="Q11" s="24">
        <f>Mynydd!P31</f>
        <v>0</v>
      </c>
      <c r="R11" s="24">
        <f>Mynydd!Q31</f>
        <v>155.36169999999998</v>
      </c>
      <c r="S11" s="24">
        <f>Mynydd!R31</f>
        <v>0</v>
      </c>
      <c r="T11" s="24">
        <f>Mynydd!S31</f>
        <v>0.11472863999999998</v>
      </c>
      <c r="U11" s="24">
        <f>Mynydd!T31</f>
        <v>0</v>
      </c>
      <c r="V11" s="24">
        <f>Mynydd!U31</f>
        <v>0</v>
      </c>
    </row>
    <row r="12" spans="1:22" x14ac:dyDescent="0.25">
      <c r="A12" s="27">
        <v>10</v>
      </c>
      <c r="B12" s="78"/>
      <c r="C12" s="24">
        <f>Rhiwgoch!B31</f>
        <v>84</v>
      </c>
      <c r="D12" s="24">
        <f>Rhiwgoch!C31</f>
        <v>24.204851999999999</v>
      </c>
      <c r="E12" s="24">
        <f>Rhiwgoch!D31</f>
        <v>23.608837475999998</v>
      </c>
      <c r="F12" s="24">
        <f>Rhiwgoch!E31</f>
        <v>0.71553430200000001</v>
      </c>
      <c r="G12" s="24">
        <f>Rhiwgoch!F31</f>
        <v>2.4458670096000001</v>
      </c>
      <c r="H12" s="24">
        <f>Rhiwgoch!G31</f>
        <v>0.20689956000000001</v>
      </c>
      <c r="I12" s="24">
        <f>Rhiwgoch!H31</f>
        <v>0.27959400000000001</v>
      </c>
      <c r="J12" s="24">
        <f>Rhiwgoch!I31</f>
        <v>1.6509360000000001E-2</v>
      </c>
      <c r="K12" s="24">
        <f>Rhiwgoch!J31</f>
        <v>1.3313999999999999E-3</v>
      </c>
      <c r="L12" s="24">
        <f>Rhiwgoch!K31</f>
        <v>3.3817560000000001E-3</v>
      </c>
      <c r="M12" s="24">
        <f>Rhiwgoch!L31</f>
        <v>1.437912E-2</v>
      </c>
      <c r="N12" s="24">
        <f>Rhiwgoch!M31</f>
        <v>1.145004E-2</v>
      </c>
      <c r="O12" s="24">
        <f>Rhiwgoch!N31</f>
        <v>492.61799999999994</v>
      </c>
      <c r="P12" s="24">
        <f>Rhiwgoch!O31</f>
        <v>10.810968000000001</v>
      </c>
      <c r="Q12" s="24">
        <f>Rhiwgoch!P31</f>
        <v>0</v>
      </c>
      <c r="R12" s="24">
        <f>Rhiwgoch!Q31</f>
        <v>56.251649999999991</v>
      </c>
      <c r="S12" s="24">
        <f>Rhiwgoch!R31</f>
        <v>0</v>
      </c>
      <c r="T12" s="24">
        <f>Rhiwgoch!S31</f>
        <v>4.1539679999999995E-2</v>
      </c>
      <c r="U12" s="24">
        <f>Rhiwgoch!T31</f>
        <v>0</v>
      </c>
      <c r="V12" s="24">
        <f>Rhiwgoch!U31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Alaw'!B43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Alaw'!B44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94</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220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150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175</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250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250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250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232</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84</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REGU-415-1632271</_dlc_DocId>
    <_dlc_DocIdUrl xmlns="9be56660-2c31-41ef-bc00-23e72f632f2a">
      <Url>https://cyfoethnaturiolcymru.sharepoint.com/teams/Regulatory/Permitting/_layouts/15/DocIdRedir.aspx?ID=REGU-415-1632271</Url>
      <Description>REGU-415-1632271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2025-01-27T00:00:00+00:00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1" ma:contentTypeDescription="Permitting &amp; Compliance Excel Document" ma:contentTypeScope="" ma:versionID="ba3d3f646c51d9da4950b9a6e7b784ce">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6de5245ddb57d651dd1da83624696544"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purl.org/dc/elements/1.1/"/>
    <ds:schemaRef ds:uri="http://schemas.microsoft.com/office/2006/documentManagement/types"/>
    <ds:schemaRef ds:uri="http://purl.org/dc/dcmitype/"/>
    <ds:schemaRef ds:uri="http://www.w3.org/XML/1998/namespace"/>
    <ds:schemaRef ds:uri="http://schemas.openxmlformats.org/package/2006/metadata/core-properties"/>
    <ds:schemaRef ds:uri="http://schemas.microsoft.com/office/infopath/2007/PartnerControls"/>
    <ds:schemaRef ds:uri="9be56660-2c31-41ef-bc00-23e72f632f2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CB18244A-F107-402C-A738-73E4A6BE9290}"/>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F35B9A02-2F5D-41F7-9D23-45062B44FEBE}"/>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Alaw</vt:lpstr>
      <vt:lpstr>Bryn Cowlyd</vt:lpstr>
      <vt:lpstr>Cefni</vt:lpstr>
      <vt:lpstr>Cilfor</vt:lpstr>
      <vt:lpstr>Cwellyn</vt:lpstr>
      <vt:lpstr>Dolbenmaen</vt:lpstr>
      <vt:lpstr>Garreglwyd</vt:lpstr>
      <vt:lpstr>LLyn Conwy</vt:lpstr>
      <vt:lpstr>Mynydd</vt:lpstr>
      <vt:lpstr>Rhiwgoch</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bryan burn</dc:creator>
  <cp:keywords>NRW Nutrient Calculator</cp:keywords>
  <cp:lastModifiedBy>Burn, Bryan</cp:lastModifiedBy>
  <dcterms:created xsi:type="dcterms:W3CDTF">2016-09-26T10:07:59Z</dcterms:created>
  <dcterms:modified xsi:type="dcterms:W3CDTF">2025-01-27T14:36:57Z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5ebd3143-8c0d-424c-8113-8c85332672c7</vt:lpwstr>
  </property>
  <property fmtid="{D5CDD505-2E9C-101B-9397-08002B2CF9AE}" pid="4" name="MediaServiceImageTags">
    <vt:lpwstr/>
  </property>
</Properties>
</file>