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863/"/>
    </mc:Choice>
  </mc:AlternateContent>
  <xr:revisionPtr revIDLastSave="0" documentId="13_ncr:1_{3FDB6151-FA59-4DA8-B93B-763524A10330}" xr6:coauthVersionLast="47" xr6:coauthVersionMax="47" xr10:uidLastSave="{00000000-0000-0000-0000-000000000000}"/>
  <bookViews>
    <workbookView xWindow="-110" yWindow="-110" windowWidth="22780" windowHeight="14540" tabRatio="870" activeTab="2" xr2:uid="{00000000-000D-0000-FFFF-FFFF00000000}"/>
  </bookViews>
  <sheets>
    <sheet name="Elan" sheetId="1" r:id="rId1"/>
    <sheet name="Talybont" sheetId="21" r:id="rId2"/>
    <sheet name="Llyswen " sheetId="27" r:id="rId3"/>
    <sheet name="Andigestion " sheetId="28" r:id="rId4"/>
    <sheet name="Additions" sheetId="20" r:id="rId5"/>
    <sheet name="Ratios" sheetId="19" r:id="rId6"/>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R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D65"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M17" i="28"/>
  <c r="M21" i="28"/>
  <c r="T59" i="28"/>
  <c r="U17" i="28"/>
  <c r="U19" i="28" s="1"/>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U19" i="27" s="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S20" i="21" s="1"/>
  <c r="J59" i="21"/>
  <c r="K21" i="21"/>
  <c r="K23" i="21" s="1"/>
  <c r="K24" i="21" s="1"/>
  <c r="K17" i="21"/>
  <c r="K19" i="21" s="1"/>
  <c r="K20" i="21" s="1"/>
  <c r="J59" i="27"/>
  <c r="K17" i="27"/>
  <c r="K19" i="27" s="1"/>
  <c r="K20" i="27" s="1"/>
  <c r="R59" i="27"/>
  <c r="S17" i="27"/>
  <c r="S19" i="27" s="1"/>
  <c r="S20" i="27" s="1"/>
  <c r="J59" i="28"/>
  <c r="K17" i="28"/>
  <c r="K19" i="28" s="1"/>
  <c r="K20" i="28" s="1"/>
  <c r="K21" i="28"/>
  <c r="K23" i="28" s="1"/>
  <c r="K24" i="28" s="1"/>
  <c r="R59" i="28"/>
  <c r="S17" i="28"/>
  <c r="S19" i="28" s="1"/>
  <c r="S20" i="28" s="1"/>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T20" i="27" s="1"/>
  <c r="C59" i="28"/>
  <c r="D21" i="28"/>
  <c r="D23" i="28" s="1"/>
  <c r="D24" i="28" s="1"/>
  <c r="D17" i="28"/>
  <c r="D19" i="28" s="1"/>
  <c r="D20" i="28" s="1"/>
  <c r="K59" i="28"/>
  <c r="L21" i="28"/>
  <c r="L23" i="28" s="1"/>
  <c r="L24" i="28" s="1"/>
  <c r="L17" i="28"/>
  <c r="L19" i="28" s="1"/>
  <c r="L20" i="28" s="1"/>
  <c r="S59" i="28"/>
  <c r="T21" i="28"/>
  <c r="T23" i="28" s="1"/>
  <c r="T24" i="28" s="1"/>
  <c r="T17" i="28"/>
  <c r="T19" i="28" s="1"/>
  <c r="T20"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V19" i="27" s="1"/>
  <c r="E59" i="28"/>
  <c r="F17" i="28"/>
  <c r="F19" i="28" s="1"/>
  <c r="F20" i="28" s="1"/>
  <c r="F21" i="28"/>
  <c r="F23" i="28" s="1"/>
  <c r="F24" i="28" s="1"/>
  <c r="M59" i="28"/>
  <c r="N17" i="28"/>
  <c r="N19" i="28" s="1"/>
  <c r="N20" i="28" s="1"/>
  <c r="N21" i="28"/>
  <c r="N23" i="28" s="1"/>
  <c r="N24" i="28" s="1"/>
  <c r="U59" i="28"/>
  <c r="V17" i="28"/>
  <c r="V21" i="28"/>
  <c r="V23" i="28" s="1"/>
  <c r="V24" i="28"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O23" i="28" s="1"/>
  <c r="O24" i="28"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P20" i="27" s="1"/>
  <c r="H21" i="28"/>
  <c r="H23" i="28" s="1"/>
  <c r="H24" i="28" s="1"/>
  <c r="H17" i="28"/>
  <c r="H19" i="28" s="1"/>
  <c r="H20" i="28" s="1"/>
  <c r="P21" i="28"/>
  <c r="P23" i="28" s="1"/>
  <c r="P24" i="28" s="1"/>
  <c r="P17" i="28"/>
  <c r="P19" i="28" s="1"/>
  <c r="P20"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U17" i="21"/>
  <c r="U19" i="21" s="1"/>
  <c r="U21" i="21"/>
  <c r="U23" i="21" s="1"/>
  <c r="U24" i="21" s="1"/>
  <c r="M17" i="21"/>
  <c r="M19" i="21" s="1"/>
  <c r="M20" i="21" s="1"/>
  <c r="M21" i="21"/>
  <c r="M23" i="21" s="1"/>
  <c r="M24" i="21" s="1"/>
  <c r="E17" i="21"/>
  <c r="E19" i="21" s="1"/>
  <c r="E20" i="21" s="1"/>
  <c r="E21" i="21"/>
  <c r="E23" i="21" s="1"/>
  <c r="E24" i="21" s="1"/>
  <c r="I17" i="27"/>
  <c r="I19" i="27" s="1"/>
  <c r="I20" i="27" s="1"/>
  <c r="Q17" i="27"/>
  <c r="Q19" i="27" s="1"/>
  <c r="Q20" i="27" s="1"/>
  <c r="I21" i="28"/>
  <c r="I23" i="28" s="1"/>
  <c r="I24" i="28" s="1"/>
  <c r="I17" i="28"/>
  <c r="I19" i="28" s="1"/>
  <c r="I20" i="28" s="1"/>
  <c r="Q21" i="28"/>
  <c r="Q23" i="28" s="1"/>
  <c r="Q24" i="28" s="1"/>
  <c r="Q17" i="28"/>
  <c r="Q19" i="28" s="1"/>
  <c r="Q20"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I59" i="27"/>
  <c r="J17" i="27"/>
  <c r="J19" i="27" s="1"/>
  <c r="J20" i="27" s="1"/>
  <c r="Q59" i="27"/>
  <c r="R17" i="27"/>
  <c r="R19" i="27" s="1"/>
  <c r="R20" i="27" s="1"/>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D23" i="21"/>
  <c r="D24" i="21" s="1"/>
  <c r="S58" i="21"/>
  <c r="S61" i="21" s="1"/>
  <c r="C58" i="21"/>
  <c r="C61" i="21" s="1"/>
  <c r="K58" i="21"/>
  <c r="K61" i="21" s="1"/>
  <c r="K64" i="21" s="1"/>
  <c r="K65" i="21" s="1"/>
  <c r="I21" i="27"/>
  <c r="I23" i="27" s="1"/>
  <c r="I24" i="27" s="1"/>
  <c r="Q21" i="27"/>
  <c r="Q23" i="27" s="1"/>
  <c r="Q24" i="27" s="1"/>
  <c r="R58" i="21"/>
  <c r="R61" i="21" s="1"/>
  <c r="O57" i="21"/>
  <c r="A43" i="21"/>
  <c r="J58" i="21"/>
  <c r="J61" i="21" s="1"/>
  <c r="G21" i="27"/>
  <c r="G23" i="27" s="1"/>
  <c r="G24" i="27" s="1"/>
  <c r="O21" i="27"/>
  <c r="O23" i="27" s="1"/>
  <c r="O24" i="27" s="1"/>
  <c r="H21" i="27"/>
  <c r="H23" i="27" s="1"/>
  <c r="H24" i="27" s="1"/>
  <c r="P21" i="27"/>
  <c r="P23" i="27" s="1"/>
  <c r="P24" i="27" s="1"/>
  <c r="J58" i="27"/>
  <c r="J61" i="27" s="1"/>
  <c r="R58" i="27"/>
  <c r="R61" i="27" s="1"/>
  <c r="R58" i="28"/>
  <c r="R61" i="28" s="1"/>
  <c r="L21" i="27"/>
  <c r="L23" i="27" s="1"/>
  <c r="L24" i="27" s="1"/>
  <c r="T21" i="27"/>
  <c r="T23" i="27" s="1"/>
  <c r="T24" i="27" s="1"/>
  <c r="P58" i="21"/>
  <c r="P61" i="21" s="1"/>
  <c r="H58" i="21"/>
  <c r="H61" i="21" s="1"/>
  <c r="R57" i="21"/>
  <c r="J58" i="28"/>
  <c r="J61" i="28" s="1"/>
  <c r="D58" i="27"/>
  <c r="D61" i="27" s="1"/>
  <c r="L58" i="27"/>
  <c r="L61" i="27" s="1"/>
  <c r="T58" i="27"/>
  <c r="T61" i="27" s="1"/>
  <c r="J57" i="21"/>
  <c r="H59" i="21"/>
  <c r="R21" i="27"/>
  <c r="R23" i="27" s="1"/>
  <c r="R24" i="27" s="1"/>
  <c r="E58" i="27"/>
  <c r="E61" i="27" s="1"/>
  <c r="M58" i="27"/>
  <c r="M61" i="27" s="1"/>
  <c r="U58" i="27"/>
  <c r="U61" i="27" s="1"/>
  <c r="G59" i="21"/>
  <c r="F58" i="27"/>
  <c r="F61" i="27" s="1"/>
  <c r="N58" i="27"/>
  <c r="N61" i="27" s="1"/>
  <c r="C58" i="28"/>
  <c r="C61" i="28" s="1"/>
  <c r="K58" i="28"/>
  <c r="K61" i="28" s="1"/>
  <c r="K64" i="28" s="1"/>
  <c r="S58" i="28"/>
  <c r="S61" i="28" s="1"/>
  <c r="G58" i="27"/>
  <c r="G61" i="27" s="1"/>
  <c r="T58" i="28"/>
  <c r="T61" i="28" s="1"/>
  <c r="T64" i="28" s="1"/>
  <c r="T65" i="28" s="1"/>
  <c r="Q57" i="21"/>
  <c r="B58" i="21"/>
  <c r="B61" i="21" s="1"/>
  <c r="H58" i="27"/>
  <c r="H61" i="27" s="1"/>
  <c r="P58" i="27"/>
  <c r="P61" i="27" s="1"/>
  <c r="F57" i="27"/>
  <c r="E58" i="28"/>
  <c r="E61" i="28" s="1"/>
  <c r="M58" i="28"/>
  <c r="M61" i="28" s="1"/>
  <c r="U58" i="28"/>
  <c r="U61" i="28" s="1"/>
  <c r="O58" i="27"/>
  <c r="O61" i="27" s="1"/>
  <c r="A38" i="21"/>
  <c r="I58" i="27"/>
  <c r="I61" i="27" s="1"/>
  <c r="Q58" i="27"/>
  <c r="Q61" i="27" s="1"/>
  <c r="H57" i="27"/>
  <c r="F59" i="27"/>
  <c r="F58" i="28"/>
  <c r="F61" i="28" s="1"/>
  <c r="N58" i="28"/>
  <c r="N61" i="28" s="1"/>
  <c r="L58" i="28"/>
  <c r="L61" i="28" s="1"/>
  <c r="N57" i="27"/>
  <c r="H59" i="27"/>
  <c r="G58" i="28"/>
  <c r="G61" i="28" s="1"/>
  <c r="O58" i="28"/>
  <c r="O61" i="28" s="1"/>
  <c r="F57" i="28"/>
  <c r="D58" i="28"/>
  <c r="D61" i="28" s="1"/>
  <c r="Q58" i="21"/>
  <c r="Q61" i="21" s="1"/>
  <c r="I58" i="21"/>
  <c r="I61" i="21" s="1"/>
  <c r="C58" i="27"/>
  <c r="C61" i="27" s="1"/>
  <c r="K58" i="27"/>
  <c r="K61" i="27" s="1"/>
  <c r="S58" i="27"/>
  <c r="S61" i="27" s="1"/>
  <c r="S64" i="27" s="1"/>
  <c r="P57" i="27"/>
  <c r="N59" i="27"/>
  <c r="H58" i="28"/>
  <c r="H61" i="28" s="1"/>
  <c r="P58" i="28"/>
  <c r="P61" i="28" s="1"/>
  <c r="N57" i="28"/>
  <c r="G57" i="21"/>
  <c r="P59" i="27"/>
  <c r="I58" i="28"/>
  <c r="I61" i="28" s="1"/>
  <c r="Q58" i="28"/>
  <c r="Q61" i="28" s="1"/>
  <c r="Q64" i="28" s="1"/>
  <c r="B58" i="27"/>
  <c r="B61" i="27" s="1"/>
  <c r="B58" i="28"/>
  <c r="B61" i="28" s="1"/>
  <c r="D5" i="20"/>
  <c r="D6" i="20"/>
  <c r="D4" i="20"/>
  <c r="E9" i="20"/>
  <c r="D9" i="20"/>
  <c r="E11" i="20"/>
  <c r="D11" i="20"/>
  <c r="E8" i="20"/>
  <c r="D8" i="20"/>
  <c r="E10" i="20"/>
  <c r="D10" i="20"/>
  <c r="E7" i="20"/>
  <c r="D7" i="20"/>
  <c r="E6" i="20"/>
  <c r="E5" i="20"/>
  <c r="E4" i="20"/>
  <c r="A31" i="28"/>
  <c r="A33" i="28"/>
  <c r="A37" i="28"/>
  <c r="A39" i="28"/>
  <c r="A41" i="28"/>
  <c r="A45" i="28"/>
  <c r="A47" i="28"/>
  <c r="A49" i="28"/>
  <c r="G57" i="28"/>
  <c r="O57" i="28"/>
  <c r="G59" i="28"/>
  <c r="O59" i="28"/>
  <c r="G63" i="28"/>
  <c r="O63" i="28"/>
  <c r="H59" i="28"/>
  <c r="P59" i="28"/>
  <c r="H63" i="28"/>
  <c r="P63" i="28"/>
  <c r="M19" i="28"/>
  <c r="M20" i="28" s="1"/>
  <c r="M23" i="28"/>
  <c r="M24" i="28" s="1"/>
  <c r="I57" i="28"/>
  <c r="Q57" i="28"/>
  <c r="I63" i="28"/>
  <c r="Q63" i="28"/>
  <c r="R19" i="28"/>
  <c r="R20" i="28" s="1"/>
  <c r="V19" i="28"/>
  <c r="B63" i="28"/>
  <c r="J63" i="28"/>
  <c r="R63" i="28"/>
  <c r="A32" i="28"/>
  <c r="A34" i="28"/>
  <c r="A40" i="28"/>
  <c r="A42" i="28"/>
  <c r="A48" i="28"/>
  <c r="A50" i="28"/>
  <c r="C63" i="28"/>
  <c r="K63" i="28"/>
  <c r="S63" i="28"/>
  <c r="D63" i="28"/>
  <c r="L63" i="28"/>
  <c r="T63" i="28"/>
  <c r="E63" i="28"/>
  <c r="M63" i="28"/>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E63" i="27"/>
  <c r="M63" i="27"/>
  <c r="F23" i="21"/>
  <c r="F24" i="21" s="1"/>
  <c r="A33" i="21"/>
  <c r="A37" i="21"/>
  <c r="A41" i="21"/>
  <c r="A45" i="21"/>
  <c r="A49" i="21"/>
  <c r="E58" i="21"/>
  <c r="E61" i="21" s="1"/>
  <c r="M58" i="21"/>
  <c r="M61" i="21" s="1"/>
  <c r="U58" i="21"/>
  <c r="U61" i="21" s="1"/>
  <c r="C57" i="21"/>
  <c r="K57" i="21"/>
  <c r="S57" i="21"/>
  <c r="Q19" i="21"/>
  <c r="Q20" i="21" s="1"/>
  <c r="R23" i="21"/>
  <c r="R24" i="21" s="1"/>
  <c r="R19" i="21"/>
  <c r="R20" i="21" s="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8" l="1"/>
  <c r="Q65" i="28"/>
  <c r="S65" i="27"/>
  <c r="C23" i="21"/>
  <c r="C24" i="21" s="1"/>
  <c r="D64" i="27"/>
  <c r="D65" i="27" s="1"/>
  <c r="U64" i="21"/>
  <c r="U66" i="21" s="1"/>
  <c r="E64" i="27"/>
  <c r="E65" i="27" s="1"/>
  <c r="P64" i="21"/>
  <c r="P65" i="21" s="1"/>
  <c r="R64" i="21"/>
  <c r="R65" i="21" s="1"/>
  <c r="L64" i="28"/>
  <c r="L65" i="28" s="1"/>
  <c r="Q64" i="21"/>
  <c r="Q65" i="21" s="1"/>
  <c r="Q64" i="27"/>
  <c r="Q65" i="27" s="1"/>
  <c r="U65" i="21"/>
  <c r="I64" i="27"/>
  <c r="I65" i="27" s="1"/>
  <c r="J64" i="28"/>
  <c r="J65" i="28" s="1"/>
  <c r="T64" i="21"/>
  <c r="T65" i="21" s="1"/>
  <c r="K64" i="27"/>
  <c r="K65" i="27" s="1"/>
  <c r="T64" i="27"/>
  <c r="T65" i="27" s="1"/>
  <c r="I64" i="28"/>
  <c r="I65" i="28" s="1"/>
  <c r="R64" i="27"/>
  <c r="R65" i="27" s="1"/>
  <c r="R64" i="28"/>
  <c r="R65" i="28" s="1"/>
  <c r="O64" i="21"/>
  <c r="O65" i="21" s="1"/>
  <c r="J64" i="27"/>
  <c r="J65" i="27" s="1"/>
  <c r="D64" i="28"/>
  <c r="D65" i="28" s="1"/>
  <c r="C64" i="21"/>
  <c r="C65" i="21" s="1"/>
  <c r="C64" i="27"/>
  <c r="C65" i="27" s="1"/>
  <c r="N66" i="21"/>
  <c r="N65" i="21"/>
  <c r="M64" i="28"/>
  <c r="M65" i="28" s="1"/>
  <c r="S64" i="28"/>
  <c r="S65" i="28" s="1"/>
  <c r="P64" i="27"/>
  <c r="P65" i="27" s="1"/>
  <c r="G64" i="21"/>
  <c r="S64" i="21"/>
  <c r="E64" i="21"/>
  <c r="F64" i="21"/>
  <c r="N64" i="28"/>
  <c r="J64" i="21"/>
  <c r="F64" i="28"/>
  <c r="H64" i="21"/>
  <c r="H65" i="21" s="1"/>
  <c r="H64" i="28"/>
  <c r="G64" i="28"/>
  <c r="E64" i="28"/>
  <c r="M64" i="27"/>
  <c r="H64" i="27"/>
  <c r="C64" i="28"/>
  <c r="L64" i="27"/>
  <c r="M64" i="21"/>
  <c r="M65" i="21" s="1"/>
  <c r="P64" i="28"/>
  <c r="I64" i="21"/>
  <c r="U64" i="28"/>
  <c r="U64" i="27"/>
  <c r="S66" i="27"/>
  <c r="B64" i="28"/>
  <c r="B64" i="27"/>
  <c r="B64" i="21"/>
  <c r="O64" i="27"/>
  <c r="O64" i="28"/>
  <c r="N64" i="27"/>
  <c r="J66" i="28"/>
  <c r="P66" i="21"/>
  <c r="G64" i="27"/>
  <c r="F64" i="27"/>
  <c r="T66" i="21"/>
  <c r="L66" i="21"/>
  <c r="L66" i="28"/>
  <c r="S64" i="1"/>
  <c r="D66" i="27"/>
  <c r="R64" i="1"/>
  <c r="Q64" i="1"/>
  <c r="U64" i="1"/>
  <c r="P64" i="1"/>
  <c r="E66" i="27"/>
  <c r="T66" i="28"/>
  <c r="Q66" i="28"/>
  <c r="K66" i="28"/>
  <c r="Q66" i="27"/>
  <c r="K66" i="21"/>
  <c r="D66" i="21"/>
  <c r="N64" i="1"/>
  <c r="M64" i="1"/>
  <c r="T64" i="1"/>
  <c r="L64" i="1"/>
  <c r="J64" i="1"/>
  <c r="K64" i="1"/>
  <c r="O64" i="1"/>
  <c r="C64" i="1"/>
  <c r="I64" i="1"/>
  <c r="H64" i="1"/>
  <c r="H65" i="1" s="1"/>
  <c r="G64" i="1"/>
  <c r="F64" i="1"/>
  <c r="E64" i="1"/>
  <c r="D64" i="1"/>
  <c r="B64" i="1"/>
  <c r="D63" i="1"/>
  <c r="L63" i="1"/>
  <c r="F63" i="1"/>
  <c r="R63" i="1"/>
  <c r="J63" i="1"/>
  <c r="Q63" i="1"/>
  <c r="I63" i="1"/>
  <c r="C63" i="1"/>
  <c r="K63" i="1"/>
  <c r="P63" i="1"/>
  <c r="H63" i="1"/>
  <c r="T63" i="1"/>
  <c r="S63" i="1"/>
  <c r="O63" i="1"/>
  <c r="G63" i="1"/>
  <c r="N63" i="1"/>
  <c r="E63" i="1"/>
  <c r="B63" i="1"/>
  <c r="U63" i="1"/>
  <c r="U65" i="1" s="1"/>
  <c r="M63" i="1"/>
  <c r="M65" i="1" l="1"/>
  <c r="Q65" i="1"/>
  <c r="C65" i="1"/>
  <c r="R65" i="1"/>
  <c r="J65" i="1"/>
  <c r="S65" i="1"/>
  <c r="F65" i="1"/>
  <c r="T66" i="1"/>
  <c r="T65" i="1"/>
  <c r="I66" i="27"/>
  <c r="Q66" i="21"/>
  <c r="L65" i="1"/>
  <c r="D65" i="1"/>
  <c r="E65" i="1"/>
  <c r="N65" i="1"/>
  <c r="R66" i="21"/>
  <c r="I66" i="28"/>
  <c r="G65" i="1"/>
  <c r="Q66" i="1"/>
  <c r="I65" i="1"/>
  <c r="O65" i="1"/>
  <c r="K65" i="1"/>
  <c r="D66" i="28"/>
  <c r="R66" i="27"/>
  <c r="U66" i="27"/>
  <c r="U65" i="27"/>
  <c r="C66" i="27"/>
  <c r="K66" i="27"/>
  <c r="P65" i="1"/>
  <c r="T66" i="27"/>
  <c r="U66" i="28"/>
  <c r="U65" i="28"/>
  <c r="B65" i="1"/>
  <c r="R66" i="28"/>
  <c r="O66" i="21"/>
  <c r="J66" i="27"/>
  <c r="H66" i="21"/>
  <c r="C66" i="21"/>
  <c r="B66" i="21"/>
  <c r="B65" i="21"/>
  <c r="B66" i="28"/>
  <c r="B65" i="28"/>
  <c r="B66" i="27"/>
  <c r="B65" i="27"/>
  <c r="C66" i="28"/>
  <c r="C65" i="28"/>
  <c r="L66" i="27"/>
  <c r="L65" i="27"/>
  <c r="P66" i="28"/>
  <c r="P65" i="28"/>
  <c r="P66" i="27"/>
  <c r="O66" i="28"/>
  <c r="O65" i="28"/>
  <c r="O66" i="27"/>
  <c r="O65" i="27"/>
  <c r="N66" i="27"/>
  <c r="N65" i="27"/>
  <c r="N66" i="28"/>
  <c r="N65" i="28"/>
  <c r="M66" i="28"/>
  <c r="M66" i="27"/>
  <c r="M65" i="27"/>
  <c r="M66" i="21"/>
  <c r="S66" i="21"/>
  <c r="S65" i="21"/>
  <c r="S66" i="28"/>
  <c r="J66" i="21"/>
  <c r="J65" i="21"/>
  <c r="I66" i="21"/>
  <c r="I65" i="21"/>
  <c r="H66" i="27"/>
  <c r="H65" i="27"/>
  <c r="H66" i="28"/>
  <c r="H65" i="28"/>
  <c r="G66" i="21"/>
  <c r="G65" i="21"/>
  <c r="G66" i="27"/>
  <c r="G65" i="27"/>
  <c r="G66" i="28"/>
  <c r="G65" i="28"/>
  <c r="F66" i="21"/>
  <c r="F65" i="21"/>
  <c r="F66" i="27"/>
  <c r="F65" i="27"/>
  <c r="F66" i="28"/>
  <c r="F65" i="28"/>
  <c r="E66" i="21"/>
  <c r="E65" i="21"/>
  <c r="E66" i="28"/>
  <c r="E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<sst xmlns="http://schemas.openxmlformats.org/spreadsheetml/2006/main" count="937" uniqueCount="184">
  <si>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</si>
  <si>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</si>
  <si>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</si>
  <si>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</si>
  <si>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</si>
  <si>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</si>
  <si>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</si>
  <si>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</si>
  <si>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</si>
  <si>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</si>
  <si>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</si>
  <si>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</si>
  <si>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</si>
  <si>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</si>
  <si>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</si>
  <si>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</si>
  <si>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</si>
  <si>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</si>
  <si>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</si>
  <si>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</si>
  <si>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</si>
  <si>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</si>
  <si>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</si>
  <si>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</si>
  <si>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</si>
  <si>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</si>
  <si>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</si>
  <si>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</si>
  <si>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</si>
  <si>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</si>
  <si>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</si>
  <si>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</si>
  <si>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</si>
  <si>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</si>
  <si>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</si>
  <si>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</si>
  <si>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</si>
  <si>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</si>
  <si>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</si>
  <si>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</si>
  <si>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</si>
  <si>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</si>
  <si>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</si>
  <si>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</si>
  <si>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</si>
  <si>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</si>
  <si>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</si>
  <si>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</si>
  <si>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</si>
  <si>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</si>
  <si>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</si>
  <si>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</si>
  <si>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</si>
  <si>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</si>
  <si>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</si>
  <si>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</si>
  <si>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</si>
  <si>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</si>
  <si>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</si>
  <si>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</si>
  <si>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</si>
  <si>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</si>
  <si>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</si>
  <si>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</si>
  <si>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</si>
  <si>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</si>
  <si>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</si>
  <si>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</si>
  <si>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</si>
  <si>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</si>
  <si>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</si>
  <si>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</si>
  <si>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</si>
  <si>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</si>
  <si>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</si>
  <si>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</si>
  <si>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</si>
  <si>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</si>
  <si>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</si>
  <si>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</si>
  <si>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</si>
  <si>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</si>
  <si>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</si>
  <si>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</si>
  <si>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</si>
  <si>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</si>
  <si>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</si>
  <si>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</si>
  <si>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</si>
  <si>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</si>
  <si>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</si>
  <si>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</si>
  <si>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</si>
  <si>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</si>
  <si>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</si>
  <si>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</si>
  <si>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</si>
  <si>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</si>
  <si>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</si>
  <si>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</si>
  <si>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</si>
  <si>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</si>
  <si>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</si>
  <si>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</si>
  <si>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</si>
  <si>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</si>
  <si>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</si>
  <si>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</si>
  <si>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</si>
  <si>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</si>
  <si>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</si>
  <si>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</si>
  <si>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</si>
  <si>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</si>
  <si>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</si>
  <si>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</si>
  <si>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</si>
  <si>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</si>
  <si>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</si>
  <si>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</si>
  <si>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</si>
  <si>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</si>
  <si>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</si>
  <si>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</si>
  <si>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</si>
  <si>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</si>
  <si>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</si>
  <si>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</si>
  <si>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</si>
  <si>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</si>
  <si>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</si>
  <si>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</si>
  <si>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</si>
  <si>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</si>
  <si>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</si>
  <si>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</si>
  <si>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</si>
  <si>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</si>
  <si>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</si>
  <si>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</si>
  <si>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</si>
  <si>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</si>
  <si>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</si>
  <si>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</si>
  <si>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</si>
  <si>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</si>
  <si>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</si>
  <si>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</si>
  <si>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</si>
  <si>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</si>
  <si>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</si>
  <si>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</si>
  <si>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</si>
  <si>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</si>
  <si>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</si>
  <si>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</si>
  <si>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</si>
  <si>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</si>
  <si>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</si>
  <si>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</si>
  <si>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PAN-027863</t>
  </si>
  <si>
    <t>EPR/GP3792SK</t>
  </si>
  <si>
    <t>ByProduct Recovery LTD</t>
  </si>
  <si>
    <t>Tylebrithos Farm, Cantref, Brecon</t>
  </si>
  <si>
    <t>Megan Tucker</t>
  </si>
  <si>
    <t>Cae Derwin</t>
  </si>
  <si>
    <t>Cae Gwar</t>
  </si>
  <si>
    <t>15A</t>
  </si>
  <si>
    <t>PB2 1</t>
  </si>
  <si>
    <t>PB2 2</t>
  </si>
  <si>
    <t>PB1 1</t>
  </si>
  <si>
    <t>PB1 2</t>
  </si>
  <si>
    <t>PB1 3</t>
  </si>
  <si>
    <t>PB1 4</t>
  </si>
  <si>
    <t>T2</t>
  </si>
  <si>
    <t>T3</t>
  </si>
  <si>
    <t>T4</t>
  </si>
  <si>
    <t>19 09 02</t>
  </si>
  <si>
    <t>Elan</t>
  </si>
  <si>
    <t>Talybont</t>
  </si>
  <si>
    <t>Llyswen</t>
  </si>
  <si>
    <t xml:space="preserve">19 06 06 </t>
  </si>
  <si>
    <t xml:space="preserve">Andigestion </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</si>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</sst>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56">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55" dataDxfId="153" headerRowBorderDxfId="154" tableBorderDxfId="152" totalsRowBorderDxfId="151">
  <autoFilter ref="AI1:AN26" xr:uid="{F8B5EC87-3095-445A-A980-2CFAA0A7B9A2}"/>
  <sortState xmlns:xlrd2="http://schemas.microsoft.com/office/spreadsheetml/2017/richdata2" ref="AI2:AL25">
    <sortCondition ref="AL1:AL25"/>
  </sortState>
  <tableColumns count="6">
    <tableColumn id="1" xr3:uid="{360F44E4-7249-415F-8D5E-41D249F9A162}" name="Crop" dataDxfId="150"/>
    <tableColumn id="2" xr3:uid="{55E07717-B4EC-4E8A-B9A9-34F3CF85E32D}" name="P Offtake" dataDxfId="149"/>
    <tableColumn id="3" xr3:uid="{7B25FA52-8104-4FE3-AED4-B53CBFDF89B2}" name="K Offtake" dataDxfId="148"/>
    <tableColumn id="4" xr3:uid="{0DBAE461-2D09-43C8-9342-3980D552AE4D}" name="Order" dataDxfId="147"/>
    <tableColumn id="5" xr3:uid="{52CACE7B-0CBA-46FC-9F24-02CBD6100239}" name="Lime pH requirement" dataDxfId="146"/>
    <tableColumn id="6" xr3:uid="{F1432630-9B16-4266-8147-CE754A715307}" name="Column1" dataDxfId="14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44" dataDxfId="142" headerRowBorderDxfId="143" tableBorderDxfId="141" totalsRowBorderDxfId="140">
  <autoFilter ref="AI1:AN26" xr:uid="{F8B5EC87-3095-445A-A980-2CFAA0A7B9A2}"/>
  <sortState xmlns:xlrd2="http://schemas.microsoft.com/office/spreadsheetml/2017/richdata2" ref="AI2:AL25">
    <sortCondition ref="AL1:AL25"/>
  </sortState>
  <tableColumns count="6">
    <tableColumn id="1" xr3:uid="{7E96A84B-948F-445F-BD6E-30CC8E6E6DD1}" name="Crop" dataDxfId="139"/>
    <tableColumn id="2" xr3:uid="{12657DDB-F680-47DE-ABB1-8675D5F91E41}" name="P Offtake" dataDxfId="138"/>
    <tableColumn id="3" xr3:uid="{DEB99109-D325-4F98-8A71-E70C03433437}" name="K Offtake" dataDxfId="137"/>
    <tableColumn id="4" xr3:uid="{E96A561F-7E7F-4FB3-97AA-0B35D8C8E93A}" name="Order" dataDxfId="136"/>
    <tableColumn id="5" xr3:uid="{181DD475-0A71-4C52-AF1A-8BFF46F5A827}" name="Lime pH requirement" dataDxfId="135"/>
    <tableColumn id="6" xr3:uid="{AC3FA7E8-D76B-43A3-B715-04446DFF63C6}" name="Column1" dataDxfId="13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3" dataDxfId="131" headerRowBorderDxfId="132" tableBorderDxfId="130" totalsRowBorderDxfId="129">
  <autoFilter ref="AI1:AN26" xr:uid="{F8B5EC87-3095-445A-A980-2CFAA0A7B9A2}"/>
  <sortState xmlns:xlrd2="http://schemas.microsoft.com/office/spreadsheetml/2017/richdata2" ref="AI2:AL25">
    <sortCondition ref="AL1:AL25"/>
  </sortState>
  <tableColumns count="6">
    <tableColumn id="1" xr3:uid="{06008BA1-A1E9-4286-B67A-352533C06A26}" name="Crop" dataDxfId="128"/>
    <tableColumn id="2" xr3:uid="{2AEB5EEB-C9D1-41DC-913E-953A33D1A4AF}" name="P Offtake" dataDxfId="127"/>
    <tableColumn id="3" xr3:uid="{8FA16A0B-1017-4CEE-862E-0A8CBD8EB3D3}" name="K Offtake" dataDxfId="126"/>
    <tableColumn id="4" xr3:uid="{E7A3B8CD-4036-47F4-B818-C3F22E80C749}" name="Order" dataDxfId="125"/>
    <tableColumn id="5" xr3:uid="{8F3EBD84-7904-4559-9B5C-63088B792C98}" name="Lime pH requirement" dataDxfId="124"/>
    <tableColumn id="6" xr3:uid="{A21DD95A-C955-4510-9114-E3F1CB645370}" name="Column1" dataDxfId="12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22" dataDxfId="120" headerRowBorderDxfId="121" tableBorderDxfId="119" totalsRowBorderDxfId="118">
  <autoFilter ref="AI1:AN26" xr:uid="{F8B5EC87-3095-445A-A980-2CFAA0A7B9A2}"/>
  <sortState xmlns:xlrd2="http://schemas.microsoft.com/office/spreadsheetml/2017/richdata2" ref="AI2:AL25">
    <sortCondition ref="AL1:AL25"/>
  </sortState>
  <tableColumns count="6">
    <tableColumn id="1" xr3:uid="{11579FCC-3D9F-49AD-888D-5D79B801F6AE}" name="Crop" dataDxfId="117"/>
    <tableColumn id="2" xr3:uid="{05C08116-56D5-4CC6-A649-B06AF891B931}" name="P Offtake" dataDxfId="116"/>
    <tableColumn id="3" xr3:uid="{59CDE959-192B-4757-9203-A0F691CF0F96}" name="K Offtake" dataDxfId="115"/>
    <tableColumn id="4" xr3:uid="{9FB8E4F7-B91F-4CE0-AF39-D4895D0ECF2F}" name="Order" dataDxfId="114"/>
    <tableColumn id="5" xr3:uid="{688FF2A4-D7C6-4425-A915-A9ADD700A9EE}" name="Lime pH requirement" dataDxfId="113"/>
    <tableColumn id="6" xr3:uid="{05FC5CFF-3D81-4B5F-87C7-2364076F2714}" name="Column1" dataDxfId="11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6" zoomScale="90" zoomScaleNormal="90" workbookViewId="0">
      <selection activeCell="E33" sqref="E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2" t="s">
        <v>160</v>
      </c>
      <c r="D1" s="123"/>
      <c r="E1" s="83" t="s">
        <v>45</v>
      </c>
      <c r="F1" s="86">
        <v>49.96</v>
      </c>
      <c r="G1" s="107" t="s">
        <v>43</v>
      </c>
      <c r="H1" s="108"/>
      <c r="I1" s="86">
        <v>7.6</v>
      </c>
      <c r="J1" s="106" t="s">
        <v>153</v>
      </c>
      <c r="K1" s="106"/>
      <c r="L1" s="86">
        <v>242</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161</v>
      </c>
      <c r="D2" s="121"/>
      <c r="E2" s="83" t="s">
        <v>109</v>
      </c>
      <c r="F2" s="86" t="s">
        <v>177</v>
      </c>
      <c r="G2" s="125" t="s">
        <v>110</v>
      </c>
      <c r="H2" s="126"/>
      <c r="I2" s="86"/>
      <c r="J2" s="106" t="s">
        <v>158</v>
      </c>
      <c r="K2" s="106"/>
      <c r="L2" s="86">
        <v>0.72</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162</v>
      </c>
      <c r="D3" s="121"/>
      <c r="E3" s="83" t="s">
        <v>108</v>
      </c>
      <c r="F3" s="24" t="s">
        <v>78</v>
      </c>
      <c r="G3" s="106" t="s">
        <v>159</v>
      </c>
      <c r="H3" s="106"/>
      <c r="I3" s="86"/>
      <c r="J3" s="107" t="s">
        <v>154</v>
      </c>
      <c r="K3" s="108"/>
      <c r="L3" s="86">
        <f>(L1/(L2*10000))*100</f>
        <v>3.3611111111111112</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163</v>
      </c>
      <c r="D4" s="123"/>
      <c r="E4" s="84" t="s">
        <v>1</v>
      </c>
      <c r="F4" s="85" t="s">
        <v>178</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164</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t="s">
        <v>165</v>
      </c>
      <c r="D8" s="12" t="s">
        <v>166</v>
      </c>
      <c r="E8" s="12">
        <v>7216</v>
      </c>
      <c r="F8" s="12">
        <v>11</v>
      </c>
      <c r="G8" s="12">
        <v>12</v>
      </c>
      <c r="H8" s="12">
        <v>14</v>
      </c>
      <c r="I8" s="12" t="s">
        <v>167</v>
      </c>
      <c r="J8" s="12">
        <v>17</v>
      </c>
      <c r="K8" s="12">
        <v>18</v>
      </c>
      <c r="L8" s="12" t="s">
        <v>168</v>
      </c>
      <c r="M8" s="12" t="s">
        <v>169</v>
      </c>
      <c r="N8" s="12" t="s">
        <v>170</v>
      </c>
      <c r="O8" s="12" t="s">
        <v>171</v>
      </c>
      <c r="P8" s="12" t="s">
        <v>172</v>
      </c>
      <c r="Q8" s="12" t="s">
        <v>173</v>
      </c>
      <c r="R8" s="12" t="s">
        <v>174</v>
      </c>
      <c r="S8" s="12" t="s">
        <v>175</v>
      </c>
      <c r="T8" s="12" t="s">
        <v>176</v>
      </c>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t="s">
        <v>183</v>
      </c>
      <c r="D9" s="12" t="s">
        <v>183</v>
      </c>
      <c r="E9" s="12" t="s">
        <v>183</v>
      </c>
      <c r="F9" s="12">
        <v>1</v>
      </c>
      <c r="G9" s="12" t="s">
        <v>183</v>
      </c>
      <c r="H9" s="12">
        <v>1</v>
      </c>
      <c r="I9" s="12" t="s">
        <v>183</v>
      </c>
      <c r="J9" s="12">
        <v>1</v>
      </c>
      <c r="K9" s="12" t="s">
        <v>183</v>
      </c>
      <c r="L9" s="12" t="s">
        <v>183</v>
      </c>
      <c r="M9" s="12" t="s">
        <v>183</v>
      </c>
      <c r="N9" s="12" t="s">
        <v>183</v>
      </c>
      <c r="O9" s="12" t="s">
        <v>183</v>
      </c>
      <c r="P9" s="12" t="s">
        <v>183</v>
      </c>
      <c r="Q9" s="12" t="s">
        <v>183</v>
      </c>
      <c r="R9" s="12" t="s">
        <v>183</v>
      </c>
      <c r="S9" s="12" t="s">
        <v>183</v>
      </c>
      <c r="T9" s="12" t="s">
        <v>183</v>
      </c>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6.1</v>
      </c>
      <c r="D10" s="12">
        <v>6.1</v>
      </c>
      <c r="E10" s="12">
        <v>6.4</v>
      </c>
      <c r="F10" s="12">
        <v>6.6</v>
      </c>
      <c r="G10" s="12">
        <v>6</v>
      </c>
      <c r="H10" s="12">
        <v>6</v>
      </c>
      <c r="I10" s="12">
        <v>6.2</v>
      </c>
      <c r="J10" s="12">
        <v>6.7</v>
      </c>
      <c r="K10" s="12">
        <v>7</v>
      </c>
      <c r="L10" s="12">
        <v>6.1</v>
      </c>
      <c r="M10" s="12">
        <v>6.1</v>
      </c>
      <c r="N10" s="12">
        <v>6.7</v>
      </c>
      <c r="O10" s="12">
        <v>6.7</v>
      </c>
      <c r="P10" s="12">
        <v>6.7</v>
      </c>
      <c r="Q10" s="12">
        <v>6.5</v>
      </c>
      <c r="R10" s="12">
        <v>6.1</v>
      </c>
      <c r="S10" s="12">
        <v>6.2</v>
      </c>
      <c r="T10" s="12">
        <v>6</v>
      </c>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3</v>
      </c>
      <c r="D11" s="12">
        <v>1</v>
      </c>
      <c r="E11" s="12">
        <v>3</v>
      </c>
      <c r="F11" s="12">
        <v>2</v>
      </c>
      <c r="G11" s="12">
        <v>3</v>
      </c>
      <c r="H11" s="12">
        <v>1</v>
      </c>
      <c r="I11" s="12">
        <v>2</v>
      </c>
      <c r="J11" s="12">
        <v>0</v>
      </c>
      <c r="K11" s="12">
        <v>2</v>
      </c>
      <c r="L11" s="12">
        <v>3</v>
      </c>
      <c r="M11" s="12">
        <v>2</v>
      </c>
      <c r="N11" s="12">
        <v>3</v>
      </c>
      <c r="O11" s="12">
        <v>3</v>
      </c>
      <c r="P11" s="12">
        <v>2</v>
      </c>
      <c r="Q11" s="12">
        <v>3</v>
      </c>
      <c r="R11" s="12">
        <v>1</v>
      </c>
      <c r="S11" s="12">
        <v>1</v>
      </c>
      <c r="T11" s="12">
        <v>1</v>
      </c>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2</v>
      </c>
      <c r="D12" s="12">
        <v>1</v>
      </c>
      <c r="E12" s="12">
        <v>1</v>
      </c>
      <c r="F12" s="12">
        <v>1</v>
      </c>
      <c r="G12" s="12">
        <v>0</v>
      </c>
      <c r="H12" s="12">
        <v>2</v>
      </c>
      <c r="I12" s="12">
        <v>1</v>
      </c>
      <c r="J12" s="12">
        <v>1</v>
      </c>
      <c r="K12" s="12">
        <v>1</v>
      </c>
      <c r="L12" s="12">
        <v>1</v>
      </c>
      <c r="M12" s="12">
        <v>2</v>
      </c>
      <c r="N12" s="12">
        <v>0</v>
      </c>
      <c r="O12" s="12">
        <v>0</v>
      </c>
      <c r="P12" s="12">
        <v>0</v>
      </c>
      <c r="Q12" s="12">
        <v>0</v>
      </c>
      <c r="R12" s="12">
        <v>1</v>
      </c>
      <c r="S12" s="12">
        <v>1</v>
      </c>
      <c r="T12" s="12">
        <v>1</v>
      </c>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2</v>
      </c>
      <c r="D13" s="12">
        <v>2</v>
      </c>
      <c r="E13" s="12">
        <v>3</v>
      </c>
      <c r="F13" s="12">
        <v>2</v>
      </c>
      <c r="G13" s="12">
        <v>2</v>
      </c>
      <c r="H13" s="12">
        <v>1</v>
      </c>
      <c r="I13" s="12">
        <v>2</v>
      </c>
      <c r="J13" s="12">
        <v>1</v>
      </c>
      <c r="K13" s="12">
        <v>2</v>
      </c>
      <c r="L13" s="12">
        <v>2</v>
      </c>
      <c r="M13" s="12">
        <v>3</v>
      </c>
      <c r="N13" s="12">
        <v>2</v>
      </c>
      <c r="O13" s="12">
        <v>3</v>
      </c>
      <c r="P13" s="12">
        <v>2</v>
      </c>
      <c r="Q13" s="12">
        <v>2</v>
      </c>
      <c r="R13" s="12">
        <v>3</v>
      </c>
      <c r="S13" s="12">
        <v>3</v>
      </c>
      <c r="T13" s="12">
        <v>3</v>
      </c>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t="s">
        <v>113</v>
      </c>
      <c r="U14" s="89"/>
      <c r="V14" s="89"/>
      <c r="AD14" s="23" t="s">
        <v>138</v>
      </c>
      <c r="AE14" s="23">
        <v>6</v>
      </c>
      <c r="AI14" s="46" t="s">
        <v>119</v>
      </c>
      <c r="AJ14" s="47">
        <v>0.8</v>
      </c>
      <c r="AK14" s="48">
        <v>1.7</v>
      </c>
      <c r="AL14" s="9">
        <v>12</v>
      </c>
      <c r="AM14" s="9">
        <v>6.7</v>
      </c>
      <c r="AN14" s="9" t="s">
        <v>135</v>
      </c>
    </row>
    <row r="15" spans="1:40" ht="13" x14ac:dyDescent="0.25">
      <c r="A15" s="117" t="s">
        <v>9</v>
      </c>
      <c r="B15" s="117"/>
      <c r="C15" s="12">
        <v>35</v>
      </c>
      <c r="D15" s="12">
        <v>35</v>
      </c>
      <c r="E15" s="12">
        <v>35</v>
      </c>
      <c r="F15" s="12">
        <v>20</v>
      </c>
      <c r="G15" s="12">
        <v>38</v>
      </c>
      <c r="H15" s="12">
        <v>38</v>
      </c>
      <c r="I15" s="12">
        <v>20</v>
      </c>
      <c r="J15" s="12">
        <v>38</v>
      </c>
      <c r="K15" s="12">
        <v>20</v>
      </c>
      <c r="L15" s="12">
        <v>35</v>
      </c>
      <c r="M15" s="12">
        <v>35</v>
      </c>
      <c r="N15" s="12">
        <v>35</v>
      </c>
      <c r="O15" s="12">
        <v>35</v>
      </c>
      <c r="P15" s="12">
        <v>35</v>
      </c>
      <c r="Q15" s="12">
        <v>35</v>
      </c>
      <c r="R15" s="12">
        <v>35</v>
      </c>
      <c r="S15" s="12">
        <v>35</v>
      </c>
      <c r="T15" s="12">
        <v>35</v>
      </c>
      <c r="U15" s="12"/>
      <c r="V15" s="12"/>
      <c r="AD15" s="23" t="s">
        <v>144</v>
      </c>
      <c r="AE15" s="23">
        <v>7</v>
      </c>
      <c r="AI15" s="46" t="s">
        <v>101</v>
      </c>
      <c r="AJ15" s="54">
        <v>1.8</v>
      </c>
      <c r="AK15" s="48">
        <v>5.4</v>
      </c>
      <c r="AL15" s="9">
        <v>13</v>
      </c>
      <c r="AM15" s="9">
        <v>6.7</v>
      </c>
      <c r="AN15" s="9" t="s">
        <v>135</v>
      </c>
    </row>
    <row r="16" spans="1:40" ht="13.5" thickBot="1" x14ac:dyDescent="0.3">
      <c r="A16" s="119" t="s">
        <v>44</v>
      </c>
      <c r="B16" s="119"/>
      <c r="C16" s="90"/>
      <c r="D16" s="90"/>
      <c r="E16" s="90"/>
      <c r="F16" s="90"/>
      <c r="G16" s="90"/>
      <c r="H16" s="90"/>
      <c r="I16" s="90"/>
      <c r="J16" s="90"/>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59.5</v>
      </c>
      <c r="D17" s="21">
        <f t="shared" ref="D17:V17" si="0">(VLOOKUP(D$14,$AI2:$AK26,2,FALSE))*D$15</f>
        <v>59.5</v>
      </c>
      <c r="E17" s="21">
        <f t="shared" si="0"/>
        <v>59.5</v>
      </c>
      <c r="F17" s="21">
        <f t="shared" si="0"/>
        <v>34</v>
      </c>
      <c r="G17" s="21">
        <f t="shared" si="0"/>
        <v>64.599999999999994</v>
      </c>
      <c r="H17" s="21">
        <f t="shared" si="0"/>
        <v>64.599999999999994</v>
      </c>
      <c r="I17" s="21">
        <f t="shared" si="0"/>
        <v>34</v>
      </c>
      <c r="J17" s="21">
        <f t="shared" si="0"/>
        <v>64.599999999999994</v>
      </c>
      <c r="K17" s="21">
        <f t="shared" si="0"/>
        <v>34</v>
      </c>
      <c r="L17" s="21">
        <f t="shared" si="0"/>
        <v>59.5</v>
      </c>
      <c r="M17" s="21">
        <f t="shared" si="0"/>
        <v>59.5</v>
      </c>
      <c r="N17" s="21">
        <f t="shared" si="0"/>
        <v>59.5</v>
      </c>
      <c r="O17" s="21">
        <f t="shared" si="0"/>
        <v>59.5</v>
      </c>
      <c r="P17" s="21">
        <f t="shared" si="0"/>
        <v>59.5</v>
      </c>
      <c r="Q17" s="21">
        <f t="shared" si="0"/>
        <v>59.5</v>
      </c>
      <c r="R17" s="21">
        <f t="shared" si="0"/>
        <v>59.5</v>
      </c>
      <c r="S17" s="21">
        <f t="shared" si="0"/>
        <v>59.5</v>
      </c>
      <c r="T17" s="21">
        <f t="shared" si="0"/>
        <v>59.5</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6.4048341500000001</v>
      </c>
      <c r="D18" s="13">
        <f>$D32</f>
        <v>6.4048341500000001</v>
      </c>
      <c r="E18" s="13">
        <f>$D33</f>
        <v>6.4048341500000001</v>
      </c>
      <c r="F18" s="13">
        <f>$D34</f>
        <v>6.4048341500000001</v>
      </c>
      <c r="G18" s="13">
        <f>$D35</f>
        <v>6.4048341500000001</v>
      </c>
      <c r="H18" s="13">
        <f>$D36</f>
        <v>6.4048341500000001</v>
      </c>
      <c r="I18" s="13">
        <f>$D37</f>
        <v>6.4048341500000001</v>
      </c>
      <c r="J18" s="13">
        <f>$D38</f>
        <v>6.4048341500000001</v>
      </c>
      <c r="K18" s="13">
        <f>$D39</f>
        <v>6.4048341500000001</v>
      </c>
      <c r="L18" s="13">
        <f>$D40</f>
        <v>6.4048341500000001</v>
      </c>
      <c r="M18" s="13">
        <f>$D41</f>
        <v>6.4048341500000001</v>
      </c>
      <c r="N18" s="13">
        <f>$D42</f>
        <v>6.4048341500000001</v>
      </c>
      <c r="O18" s="13">
        <f>$D43</f>
        <v>6.4048341500000001</v>
      </c>
      <c r="P18" s="13">
        <f>$D44</f>
        <v>6.4048341500000001</v>
      </c>
      <c r="Q18" s="13">
        <f>$D45</f>
        <v>6.4048341500000001</v>
      </c>
      <c r="R18" s="13">
        <f>$D46</f>
        <v>6.4048341500000001</v>
      </c>
      <c r="S18" s="13">
        <f>$D47</f>
        <v>6.4048341500000001</v>
      </c>
      <c r="T18" s="13">
        <f>$D48</f>
        <v>6.4048341500000001</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-53.095165850000001</v>
      </c>
      <c r="D19" s="13">
        <f t="shared" ref="D19:V19" si="1">D18-D17</f>
        <v>-53.095165850000001</v>
      </c>
      <c r="E19" s="13">
        <f t="shared" si="1"/>
        <v>-53.095165850000001</v>
      </c>
      <c r="F19" s="13">
        <f t="shared" si="1"/>
        <v>-27.595165850000001</v>
      </c>
      <c r="G19" s="13">
        <f t="shared" si="1"/>
        <v>-58.195165849999995</v>
      </c>
      <c r="H19" s="13">
        <f t="shared" si="1"/>
        <v>-58.195165849999995</v>
      </c>
      <c r="I19" s="13">
        <f t="shared" si="1"/>
        <v>-27.595165850000001</v>
      </c>
      <c r="J19" s="13">
        <f t="shared" si="1"/>
        <v>-58.195165849999995</v>
      </c>
      <c r="K19" s="13">
        <f t="shared" si="1"/>
        <v>-27.595165850000001</v>
      </c>
      <c r="L19" s="13">
        <f t="shared" si="1"/>
        <v>-53.095165850000001</v>
      </c>
      <c r="M19" s="13">
        <f t="shared" si="1"/>
        <v>-53.095165850000001</v>
      </c>
      <c r="N19" s="13">
        <f t="shared" si="1"/>
        <v>-53.095165850000001</v>
      </c>
      <c r="O19" s="13">
        <f t="shared" si="1"/>
        <v>-53.095165850000001</v>
      </c>
      <c r="P19" s="13">
        <f t="shared" si="1"/>
        <v>-53.095165850000001</v>
      </c>
      <c r="Q19" s="13">
        <f t="shared" si="1"/>
        <v>-53.095165850000001</v>
      </c>
      <c r="R19" s="13">
        <f t="shared" si="1"/>
        <v>-53.095165850000001</v>
      </c>
      <c r="S19" s="13">
        <f t="shared" si="1"/>
        <v>-53.095165850000001</v>
      </c>
      <c r="T19" s="13">
        <f t="shared" si="1"/>
        <v>-53.095165850000001</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210</v>
      </c>
      <c r="D21" s="21">
        <f t="shared" ref="D21:V21" si="2">(VLOOKUP(D$14,$AI2:$AK26,3,FALSE))*D$15</f>
        <v>210</v>
      </c>
      <c r="E21" s="21">
        <f t="shared" si="2"/>
        <v>210</v>
      </c>
      <c r="F21" s="21">
        <f t="shared" si="2"/>
        <v>120</v>
      </c>
      <c r="G21" s="21">
        <f t="shared" si="2"/>
        <v>228</v>
      </c>
      <c r="H21" s="21">
        <f t="shared" si="2"/>
        <v>228</v>
      </c>
      <c r="I21" s="21">
        <f t="shared" si="2"/>
        <v>120</v>
      </c>
      <c r="J21" s="21">
        <f t="shared" si="2"/>
        <v>228</v>
      </c>
      <c r="K21" s="21">
        <f t="shared" si="2"/>
        <v>120</v>
      </c>
      <c r="L21" s="21">
        <f t="shared" si="2"/>
        <v>210</v>
      </c>
      <c r="M21" s="21">
        <f t="shared" si="2"/>
        <v>210</v>
      </c>
      <c r="N21" s="21">
        <f t="shared" si="2"/>
        <v>210</v>
      </c>
      <c r="O21" s="21">
        <f t="shared" si="2"/>
        <v>210</v>
      </c>
      <c r="P21" s="21">
        <f t="shared" si="2"/>
        <v>210</v>
      </c>
      <c r="Q21" s="21">
        <f t="shared" si="2"/>
        <v>210</v>
      </c>
      <c r="R21" s="21">
        <f t="shared" si="2"/>
        <v>210</v>
      </c>
      <c r="S21" s="21">
        <f t="shared" si="2"/>
        <v>210</v>
      </c>
      <c r="T21" s="21">
        <f t="shared" si="2"/>
        <v>210</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0.75835168750000015</v>
      </c>
      <c r="D22" s="13">
        <f>$E32</f>
        <v>0.75835168750000015</v>
      </c>
      <c r="E22" s="13">
        <f>$E33</f>
        <v>0.75835168750000015</v>
      </c>
      <c r="F22" s="13">
        <f>$E34</f>
        <v>0.75835168750000015</v>
      </c>
      <c r="G22" s="13">
        <f>$E35</f>
        <v>0.75835168750000015</v>
      </c>
      <c r="H22" s="13">
        <f>$E36</f>
        <v>0.75835168750000015</v>
      </c>
      <c r="I22" s="13">
        <f>$E37</f>
        <v>0.75835168750000015</v>
      </c>
      <c r="J22" s="13">
        <f>$E38</f>
        <v>0.75835168750000015</v>
      </c>
      <c r="K22" s="13">
        <f>$E39</f>
        <v>0.75835168750000015</v>
      </c>
      <c r="L22" s="13">
        <f>$E40</f>
        <v>0.75835168750000015</v>
      </c>
      <c r="M22" s="13">
        <f>$E41</f>
        <v>0.75835168750000015</v>
      </c>
      <c r="N22" s="13">
        <f>$E42</f>
        <v>0.75835168750000015</v>
      </c>
      <c r="O22" s="13">
        <f>$E43</f>
        <v>0.75835168750000015</v>
      </c>
      <c r="P22" s="13">
        <f>$E44</f>
        <v>0.75835168750000015</v>
      </c>
      <c r="Q22" s="13">
        <f>$E45</f>
        <v>0.75835168750000015</v>
      </c>
      <c r="R22" s="13">
        <f>$E46</f>
        <v>0.75835168750000015</v>
      </c>
      <c r="S22" s="13">
        <f>$E47</f>
        <v>0.75835168750000015</v>
      </c>
      <c r="T22" s="13">
        <f>$E48</f>
        <v>0.75835168750000015</v>
      </c>
      <c r="U22" s="13">
        <f>$E49</f>
        <v>0</v>
      </c>
      <c r="V22" s="13">
        <f>$E50</f>
        <v>0</v>
      </c>
      <c r="AI22" s="55" t="s">
        <v>102</v>
      </c>
      <c r="AJ22" s="56">
        <v>1.2</v>
      </c>
      <c r="AK22" s="57">
        <v>5</v>
      </c>
      <c r="AL22" s="22">
        <v>20</v>
      </c>
      <c r="AM22" s="9">
        <v>6.7</v>
      </c>
      <c r="AN22" s="9" t="s">
        <v>135</v>
      </c>
    </row>
    <row r="23" spans="1:40" ht="13" x14ac:dyDescent="0.25">
      <c r="A23" s="111" t="s">
        <v>92</v>
      </c>
      <c r="B23" s="112"/>
      <c r="C23" s="13">
        <f>C22-C21</f>
        <v>-209.24164831249999</v>
      </c>
      <c r="D23" s="13">
        <f t="shared" ref="D23:V23" si="3">D22-D21</f>
        <v>-209.24164831249999</v>
      </c>
      <c r="E23" s="13">
        <f t="shared" si="3"/>
        <v>-209.24164831249999</v>
      </c>
      <c r="F23" s="13">
        <f t="shared" si="3"/>
        <v>-119.2416483125</v>
      </c>
      <c r="G23" s="13">
        <f t="shared" si="3"/>
        <v>-227.24164831249999</v>
      </c>
      <c r="H23" s="13">
        <f t="shared" si="3"/>
        <v>-227.24164831249999</v>
      </c>
      <c r="I23" s="13">
        <f t="shared" si="3"/>
        <v>-119.2416483125</v>
      </c>
      <c r="J23" s="13">
        <f t="shared" si="3"/>
        <v>-227.24164831249999</v>
      </c>
      <c r="K23" s="13">
        <f t="shared" si="3"/>
        <v>-119.2416483125</v>
      </c>
      <c r="L23" s="13">
        <f t="shared" si="3"/>
        <v>-209.24164831249999</v>
      </c>
      <c r="M23" s="13">
        <f t="shared" si="3"/>
        <v>-209.24164831249999</v>
      </c>
      <c r="N23" s="13">
        <f t="shared" si="3"/>
        <v>-209.24164831249999</v>
      </c>
      <c r="O23" s="13">
        <f t="shared" si="3"/>
        <v>-209.24164831249999</v>
      </c>
      <c r="P23" s="13">
        <f t="shared" si="3"/>
        <v>-209.24164831249999</v>
      </c>
      <c r="Q23" s="13">
        <f t="shared" si="3"/>
        <v>-209.24164831249999</v>
      </c>
      <c r="R23" s="13">
        <f t="shared" si="3"/>
        <v>-209.24164831249999</v>
      </c>
      <c r="S23" s="13">
        <f t="shared" si="3"/>
        <v>-209.24164831249999</v>
      </c>
      <c r="T23" s="13">
        <f t="shared" si="3"/>
        <v>-209.24164831249999</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 t="shared" ref="C24:V24" si="4">IF($B31="","",IF(C$23&gt;=0,"INCREASE","DECREASE"))</f>
        <v>DECREASE</v>
      </c>
      <c r="D24" s="19" t="str">
        <f t="shared" si="4"/>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2.5299999999999998</v>
      </c>
      <c r="C28" s="12">
        <v>0.72</v>
      </c>
      <c r="D28" s="12">
        <v>4.4200000000000003E-2</v>
      </c>
      <c r="E28" s="12">
        <v>9.9500000000000005E-3</v>
      </c>
      <c r="F28" s="12">
        <v>691</v>
      </c>
      <c r="G28" s="12">
        <v>11.1</v>
      </c>
      <c r="H28" s="12">
        <v>92.1</v>
      </c>
      <c r="I28" s="12">
        <v>6.2</v>
      </c>
      <c r="J28" s="12">
        <v>0.11</v>
      </c>
      <c r="K28" s="16">
        <v>1.58</v>
      </c>
      <c r="L28" s="12">
        <v>21.9</v>
      </c>
      <c r="M28" s="12">
        <v>17.600000000000001</v>
      </c>
      <c r="N28" s="12">
        <v>1840</v>
      </c>
      <c r="O28" s="12">
        <v>363000</v>
      </c>
      <c r="P28" s="12"/>
      <c r="Q28" s="12">
        <v>1880</v>
      </c>
      <c r="R28" s="12"/>
      <c r="S28" s="12">
        <v>40.1</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Cae Derwin</v>
      </c>
      <c r="B31" s="12">
        <v>250</v>
      </c>
      <c r="C31" s="68">
        <f>IF(C$27="%w/w SAR",((C$28*10)*$B31),IF(C$27="%w/w DM",(((C$28*10)*($B$28/100))*$B31),IF(C$27="kg/t SAR",(C$28*$B31),IF(C$27="kg/t DM",((C$28*($B$28/100))*$B31),IF(C$27="mg/kg SAR",((C$28*0.001)*$B31),IF(C$27="mg/kg DM",(((C$28*0.001)*($B$28/100))*$B31),0))))))</f>
        <v>45.54</v>
      </c>
      <c r="D31" s="68">
        <f>(IF(D$27="%w/w SAR",((D$28*10)*$B31),IF(D$27="%w/w DM",(((D$28*10)*($B$28/100))*$B31),IF(D$27="kg/t SAR",(D$28*$B31),IF(D$27="kg/t DM",((D$28*($B$28/100))*$B31),IF(D$27="mg/kg SAR",((D$28*0.001)*$B31),IF(D$27="mg/kg DM",(((D$28*0.001)*($B$28/100))*$B31),"0")))))))*2.291</f>
        <v>6.4048341500000001</v>
      </c>
      <c r="E31" s="68">
        <f>(IF(E$27="%w/w SAR",((E$28*10)*$B31),IF(E$27="%w/w DM",(((E$28*10)*($B$28/100))*$B31),IF(E$27="kg/t SAR",(E$28*$B31),IF(E$27="kg/t DM",((E$28*($B$28/100))*$B31),IF(E$27="mg/kg SAR",((E$28*0.001)*$B31),IF(E$27="mg/kg DM",(((E$28*0.001)*($B$28/100))*$B31),"0")))))))*1.205</f>
        <v>0.75835168750000015</v>
      </c>
      <c r="F31" s="68">
        <f>(IF(F$27="%w/w SAR",((F$28*10)*$B31),IF(F$27="%w/w DM",(((F$28*10)*($B$28/100))*$B31),IF(F$27="kg/t SAR",(F$28*$B31),IF(F$27="kg/t DM",((F$28*($B$28/100))*$B31),IF(F$27="mg/kg SAR",((F$28*0.001)*$B31),IF(F$27="mg/kg DM",(((F$28*0.001)*($B$28/100))*$B31),"0")))))))*1.658</f>
        <v>7.246413350000001</v>
      </c>
      <c r="G31" s="68">
        <f t="shared" ref="G31:P31" si="5">IF(G$27="%w/w SAR",((G$28*10)*$B31),IF(G$27="%w/w DM",(((G$28*10)*($B$28/100))*$B31),IF(G$27="kg/t SAR",(G$28*$B31),IF(G$27="kg/t DM",((G$28*($B$28/100))*$B31),IF(G$27="mg/kg SAR",((G$28*0.001)*$B31),IF(G$27="mg/kg DM",(((G$28*0.001)*($B$28/100))*$B31),0))))))</f>
        <v>7.0207500000000006E-2</v>
      </c>
      <c r="H31" s="68">
        <f t="shared" si="5"/>
        <v>0.58253250000000001</v>
      </c>
      <c r="I31" s="68">
        <f t="shared" si="5"/>
        <v>3.9215E-2</v>
      </c>
      <c r="J31" s="68">
        <f t="shared" si="5"/>
        <v>6.9574999999999997E-4</v>
      </c>
      <c r="K31" s="68">
        <f t="shared" si="5"/>
        <v>9.9935000000000006E-3</v>
      </c>
      <c r="L31" s="68">
        <f t="shared" si="5"/>
        <v>0.13851749999999999</v>
      </c>
      <c r="M31" s="68">
        <f t="shared" si="5"/>
        <v>0.11132</v>
      </c>
      <c r="N31" s="68">
        <f t="shared" si="5"/>
        <v>11.638</v>
      </c>
      <c r="O31" s="68">
        <f t="shared" si="5"/>
        <v>2295.9749999999999</v>
      </c>
      <c r="P31" s="68">
        <f t="shared" si="5"/>
        <v>0</v>
      </c>
      <c r="Q31" s="68">
        <f>(IF(Q$27="%w/w SAR",((Q$28*10)*$B31),IF(Q$27="%w/w DM",(((Q$28*10)*($B$28/100))*$B31),IF(Q$27="kg/t SAR",(Q$28*$B31),IF(Q$27="kg/t DM",((Q$28*($B$28/100))*$B31),IF(Q$27="mg/kg SAR",((Q$28*0.001)*$B31),IF(Q$27="mg/kg DM",(((Q$28*0.001)*($B$28/100))*$B31),0)))))))*2.5</f>
        <v>29.727499999999999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0.25363249999999998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Cae Gwar</v>
      </c>
      <c r="B32" s="12">
        <v>250</v>
      </c>
      <c r="C32" s="68">
        <f t="shared" ref="C32:C50" si="6">IF(C$27="%w/w SAR",((C$28*10)*$B32),IF(C$27="%w/w DM",(((C$28*10)*($B$28/100))*$B32),IF(C$27="kg/t SAR",(C$28*$B32),IF(C$27="kg/t DM",((C$28*($B$28/100))*$B32),IF(C$27="mg/kg SAR",((C$28*0.001)*$B32),IF(C$27="mg/kg DM",(((C$28*0.001)*($B$28/100))*$B32),0))))))</f>
        <v>45.54</v>
      </c>
      <c r="D32" s="68">
        <f t="shared" ref="D32:D50" si="7">(IF(D$27="%w/w SAR",((D$28*10)*$B32),IF(D$27="%w/w DM",(((D$28*10)*($B$28/100))*$B32),IF(D$27="kg/t SAR",(D$28*$B32),IF(D$27="kg/t DM",((D$28*($B$28/100))*$B32),IF(D$27="mg/kg SAR",((D$28*0.001)*$B32),IF(D$27="mg/kg DM",(((D$28*0.001)*($B$28/100))*$B32),"0")))))))*2.291</f>
        <v>6.4048341500000001</v>
      </c>
      <c r="E32" s="68">
        <f t="shared" ref="E32:E50" si="8">(IF(E$27="%w/w SAR",((E$28*10)*$B32),IF(E$27="%w/w DM",(((E$28*10)*($B$28/100))*$B32),IF(E$27="kg/t SAR",(E$28*$B32),IF(E$27="kg/t DM",((E$28*($B$28/100))*$B32),IF(E$27="mg/kg SAR",((E$28*0.001)*$B32),IF(E$27="mg/kg DM",(((E$28*0.001)*($B$28/100))*$B32),"0")))))))*1.205</f>
        <v>0.75835168750000015</v>
      </c>
      <c r="F32" s="68">
        <f t="shared" ref="F32:F50" si="9">(IF(F$27="%w/w SAR",((F$28*10)*$B32),IF(F$27="%w/w DM",(((F$28*10)*($B$28/100))*$B32),IF(F$27="kg/t SAR",(F$28*$B32),IF(F$27="kg/t DM",((F$28*($B$28/100))*$B32),IF(F$27="mg/kg SAR",((F$28*0.001)*$B32),IF(F$27="mg/kg DM",(((F$28*0.001)*($B$28/100))*$B32),"0")))))))*1.658</f>
        <v>7.246413350000001</v>
      </c>
      <c r="G32" s="68">
        <f t="shared" ref="G32:P50" si="10">IF(G$27="%w/w SAR",((G$28*10)*$B32),IF(G$27="%w/w DM",(((G$28*10)*($B$28/100))*$B32),IF(G$27="kg/t SAR",(G$28*$B32),IF(G$27="kg/t DM",((G$28*($B$28/100))*$B32),IF(G$27="mg/kg SAR",((G$28*0.001)*$B32),IF(G$27="mg/kg DM",(((G$28*0.001)*($B$28/100))*$B32),0))))))</f>
        <v>7.0207500000000006E-2</v>
      </c>
      <c r="H32" s="68">
        <f t="shared" si="10"/>
        <v>0.58253250000000001</v>
      </c>
      <c r="I32" s="68">
        <f t="shared" si="10"/>
        <v>3.9215E-2</v>
      </c>
      <c r="J32" s="68">
        <f t="shared" si="10"/>
        <v>6.9574999999999997E-4</v>
      </c>
      <c r="K32" s="68">
        <f t="shared" si="10"/>
        <v>9.9935000000000006E-3</v>
      </c>
      <c r="L32" s="68">
        <f t="shared" si="10"/>
        <v>0.13851749999999999</v>
      </c>
      <c r="M32" s="68">
        <f t="shared" si="10"/>
        <v>0.11132</v>
      </c>
      <c r="N32" s="68">
        <f t="shared" si="10"/>
        <v>11.638</v>
      </c>
      <c r="O32" s="68">
        <f t="shared" si="10"/>
        <v>2295.9749999999999</v>
      </c>
      <c r="P32" s="68">
        <f t="shared" si="10"/>
        <v>0</v>
      </c>
      <c r="Q32" s="68">
        <f t="shared" ref="Q32:Q50" si="11">(IF(Q$27="%w/w SAR",((Q$28*10)*$B32),IF(Q$27="%w/w DM",(((Q$28*10)*($B$28/100))*$B32),IF(Q$27="kg/t SAR",(Q$28*$B32),IF(Q$27="kg/t DM",((Q$28*($B$28/100))*$B32),IF(Q$27="mg/kg SAR",((Q$28*0.001)*$B32),IF(Q$27="mg/kg DM",(((Q$28*0.001)*($B$28/100))*$B32),0)))))))*2.5</f>
        <v>29.727499999999999</v>
      </c>
      <c r="R32" s="68">
        <f t="shared" ref="R32:U50" si="12">IF(R$27="%w/w SAR",((R$28*10)*$B32),IF(R$27="%w/w DM",(((R$28*10)*($B$28/100))*$B32),IF(R$27="kg/t SAR",(R$28*$B32),IF(R$27="kg/t DM",((R$28*($B$28/100))*$B32),IF(R$27="mg/kg SAR",((R$28*0.001)*$B32),IF(R$27="mg/kg DM",(((R$28*0.001)*($B$28/100))*$B32),0))))))</f>
        <v>0</v>
      </c>
      <c r="S32" s="68">
        <f t="shared" si="12"/>
        <v>0.25363249999999998</v>
      </c>
      <c r="T32" s="68">
        <f t="shared" si="12"/>
        <v>0</v>
      </c>
      <c r="U32" s="68">
        <f t="shared" si="12"/>
        <v>0</v>
      </c>
    </row>
    <row r="33" spans="1:21" s="51" customFormat="1" ht="13" x14ac:dyDescent="0.35">
      <c r="A33" s="10">
        <f>E8</f>
        <v>7216</v>
      </c>
      <c r="B33" s="12">
        <v>250</v>
      </c>
      <c r="C33" s="68">
        <f t="shared" si="6"/>
        <v>45.54</v>
      </c>
      <c r="D33" s="68">
        <f t="shared" si="7"/>
        <v>6.4048341500000001</v>
      </c>
      <c r="E33" s="68">
        <f t="shared" si="8"/>
        <v>0.75835168750000015</v>
      </c>
      <c r="F33" s="68">
        <f t="shared" si="9"/>
        <v>7.246413350000001</v>
      </c>
      <c r="G33" s="68">
        <f t="shared" si="10"/>
        <v>7.0207500000000006E-2</v>
      </c>
      <c r="H33" s="68">
        <f t="shared" si="10"/>
        <v>0.58253250000000001</v>
      </c>
      <c r="I33" s="68">
        <f t="shared" si="10"/>
        <v>3.9215E-2</v>
      </c>
      <c r="J33" s="68">
        <f t="shared" si="10"/>
        <v>6.9574999999999997E-4</v>
      </c>
      <c r="K33" s="68">
        <f t="shared" si="10"/>
        <v>9.9935000000000006E-3</v>
      </c>
      <c r="L33" s="68">
        <f t="shared" si="10"/>
        <v>0.13851749999999999</v>
      </c>
      <c r="M33" s="68">
        <f t="shared" si="10"/>
        <v>0.11132</v>
      </c>
      <c r="N33" s="68">
        <f t="shared" si="10"/>
        <v>11.638</v>
      </c>
      <c r="O33" s="68">
        <f t="shared" si="10"/>
        <v>2295.9749999999999</v>
      </c>
      <c r="P33" s="68">
        <f t="shared" si="10"/>
        <v>0</v>
      </c>
      <c r="Q33" s="68">
        <f t="shared" si="11"/>
        <v>29.727499999999999</v>
      </c>
      <c r="R33" s="68">
        <f t="shared" si="12"/>
        <v>0</v>
      </c>
      <c r="S33" s="68">
        <f t="shared" si="12"/>
        <v>0.25363249999999998</v>
      </c>
      <c r="T33" s="68">
        <f t="shared" si="12"/>
        <v>0</v>
      </c>
      <c r="U33" s="68">
        <f t="shared" si="12"/>
        <v>0</v>
      </c>
    </row>
    <row r="34" spans="1:21" s="51" customFormat="1" ht="13" x14ac:dyDescent="0.35">
      <c r="A34" s="10">
        <f>F8</f>
        <v>11</v>
      </c>
      <c r="B34" s="12">
        <v>250</v>
      </c>
      <c r="C34" s="68">
        <f t="shared" si="6"/>
        <v>45.54</v>
      </c>
      <c r="D34" s="68">
        <f t="shared" si="7"/>
        <v>6.4048341500000001</v>
      </c>
      <c r="E34" s="68">
        <f t="shared" si="8"/>
        <v>0.75835168750000015</v>
      </c>
      <c r="F34" s="68">
        <f t="shared" si="9"/>
        <v>7.246413350000001</v>
      </c>
      <c r="G34" s="68">
        <f t="shared" si="10"/>
        <v>7.0207500000000006E-2</v>
      </c>
      <c r="H34" s="68">
        <f t="shared" si="10"/>
        <v>0.58253250000000001</v>
      </c>
      <c r="I34" s="68">
        <f t="shared" si="10"/>
        <v>3.9215E-2</v>
      </c>
      <c r="J34" s="68">
        <f t="shared" si="10"/>
        <v>6.9574999999999997E-4</v>
      </c>
      <c r="K34" s="68">
        <f t="shared" si="10"/>
        <v>9.9935000000000006E-3</v>
      </c>
      <c r="L34" s="68">
        <f t="shared" si="10"/>
        <v>0.13851749999999999</v>
      </c>
      <c r="M34" s="68">
        <f t="shared" si="10"/>
        <v>0.11132</v>
      </c>
      <c r="N34" s="68">
        <f t="shared" si="10"/>
        <v>11.638</v>
      </c>
      <c r="O34" s="68">
        <f t="shared" si="10"/>
        <v>2295.9749999999999</v>
      </c>
      <c r="P34" s="68">
        <f t="shared" si="10"/>
        <v>0</v>
      </c>
      <c r="Q34" s="68">
        <f t="shared" si="11"/>
        <v>29.727499999999999</v>
      </c>
      <c r="R34" s="68">
        <f t="shared" si="12"/>
        <v>0</v>
      </c>
      <c r="S34" s="68">
        <f t="shared" si="12"/>
        <v>0.25363249999999998</v>
      </c>
      <c r="T34" s="68">
        <f t="shared" si="12"/>
        <v>0</v>
      </c>
      <c r="U34" s="68">
        <f t="shared" si="12"/>
        <v>0</v>
      </c>
    </row>
    <row r="35" spans="1:21" s="51" customFormat="1" ht="13" x14ac:dyDescent="0.35">
      <c r="A35" s="10">
        <f>G8</f>
        <v>12</v>
      </c>
      <c r="B35" s="12">
        <v>250</v>
      </c>
      <c r="C35" s="68">
        <f t="shared" si="6"/>
        <v>45.54</v>
      </c>
      <c r="D35" s="68">
        <f t="shared" si="7"/>
        <v>6.4048341500000001</v>
      </c>
      <c r="E35" s="68">
        <f t="shared" si="8"/>
        <v>0.75835168750000015</v>
      </c>
      <c r="F35" s="68">
        <f t="shared" si="9"/>
        <v>7.246413350000001</v>
      </c>
      <c r="G35" s="68">
        <f t="shared" si="10"/>
        <v>7.0207500000000006E-2</v>
      </c>
      <c r="H35" s="68">
        <f t="shared" si="10"/>
        <v>0.58253250000000001</v>
      </c>
      <c r="I35" s="68">
        <f t="shared" si="10"/>
        <v>3.9215E-2</v>
      </c>
      <c r="J35" s="68">
        <f t="shared" si="10"/>
        <v>6.9574999999999997E-4</v>
      </c>
      <c r="K35" s="68">
        <f t="shared" si="10"/>
        <v>9.9935000000000006E-3</v>
      </c>
      <c r="L35" s="68">
        <f t="shared" si="10"/>
        <v>0.13851749999999999</v>
      </c>
      <c r="M35" s="68">
        <f t="shared" si="10"/>
        <v>0.11132</v>
      </c>
      <c r="N35" s="68">
        <f t="shared" si="10"/>
        <v>11.638</v>
      </c>
      <c r="O35" s="68">
        <f t="shared" si="10"/>
        <v>2295.9749999999999</v>
      </c>
      <c r="P35" s="68">
        <f t="shared" si="10"/>
        <v>0</v>
      </c>
      <c r="Q35" s="68">
        <f t="shared" si="11"/>
        <v>29.727499999999999</v>
      </c>
      <c r="R35" s="68">
        <f t="shared" si="12"/>
        <v>0</v>
      </c>
      <c r="S35" s="68">
        <f t="shared" si="12"/>
        <v>0.25363249999999998</v>
      </c>
      <c r="T35" s="68">
        <f t="shared" si="12"/>
        <v>0</v>
      </c>
      <c r="U35" s="68">
        <f t="shared" si="12"/>
        <v>0</v>
      </c>
    </row>
    <row r="36" spans="1:21" s="51" customFormat="1" ht="13" x14ac:dyDescent="0.35">
      <c r="A36" s="10">
        <f>H8</f>
        <v>14</v>
      </c>
      <c r="B36" s="12">
        <v>250</v>
      </c>
      <c r="C36" s="68">
        <f t="shared" si="6"/>
        <v>45.54</v>
      </c>
      <c r="D36" s="68">
        <f t="shared" si="7"/>
        <v>6.4048341500000001</v>
      </c>
      <c r="E36" s="68">
        <f t="shared" si="8"/>
        <v>0.75835168750000015</v>
      </c>
      <c r="F36" s="68">
        <f t="shared" si="9"/>
        <v>7.246413350000001</v>
      </c>
      <c r="G36" s="68">
        <f t="shared" si="10"/>
        <v>7.0207500000000006E-2</v>
      </c>
      <c r="H36" s="68">
        <f t="shared" si="10"/>
        <v>0.58253250000000001</v>
      </c>
      <c r="I36" s="68">
        <f t="shared" si="10"/>
        <v>3.9215E-2</v>
      </c>
      <c r="J36" s="68">
        <f t="shared" si="10"/>
        <v>6.9574999999999997E-4</v>
      </c>
      <c r="K36" s="68">
        <f t="shared" si="10"/>
        <v>9.9935000000000006E-3</v>
      </c>
      <c r="L36" s="68">
        <f t="shared" si="10"/>
        <v>0.13851749999999999</v>
      </c>
      <c r="M36" s="68">
        <f t="shared" si="10"/>
        <v>0.11132</v>
      </c>
      <c r="N36" s="68">
        <f t="shared" si="10"/>
        <v>11.638</v>
      </c>
      <c r="O36" s="68">
        <f t="shared" si="10"/>
        <v>2295.9749999999999</v>
      </c>
      <c r="P36" s="68">
        <f t="shared" si="10"/>
        <v>0</v>
      </c>
      <c r="Q36" s="68">
        <f t="shared" si="11"/>
        <v>29.727499999999999</v>
      </c>
      <c r="R36" s="68">
        <f t="shared" si="12"/>
        <v>0</v>
      </c>
      <c r="S36" s="68">
        <f t="shared" si="12"/>
        <v>0.25363249999999998</v>
      </c>
      <c r="T36" s="68">
        <f t="shared" si="12"/>
        <v>0</v>
      </c>
      <c r="U36" s="68">
        <f t="shared" si="12"/>
        <v>0</v>
      </c>
    </row>
    <row r="37" spans="1:21" s="51" customFormat="1" ht="13" x14ac:dyDescent="0.35">
      <c r="A37" s="10" t="str">
        <f>I8</f>
        <v>15A</v>
      </c>
      <c r="B37" s="12">
        <v>250</v>
      </c>
      <c r="C37" s="68">
        <f t="shared" si="6"/>
        <v>45.54</v>
      </c>
      <c r="D37" s="68">
        <f t="shared" si="7"/>
        <v>6.4048341500000001</v>
      </c>
      <c r="E37" s="68">
        <f t="shared" si="8"/>
        <v>0.75835168750000015</v>
      </c>
      <c r="F37" s="68">
        <f t="shared" si="9"/>
        <v>7.246413350000001</v>
      </c>
      <c r="G37" s="68">
        <f t="shared" si="10"/>
        <v>7.0207500000000006E-2</v>
      </c>
      <c r="H37" s="68">
        <f t="shared" si="10"/>
        <v>0.58253250000000001</v>
      </c>
      <c r="I37" s="68">
        <f t="shared" si="10"/>
        <v>3.9215E-2</v>
      </c>
      <c r="J37" s="68">
        <f t="shared" si="10"/>
        <v>6.9574999999999997E-4</v>
      </c>
      <c r="K37" s="68">
        <f t="shared" si="10"/>
        <v>9.9935000000000006E-3</v>
      </c>
      <c r="L37" s="68">
        <f t="shared" si="10"/>
        <v>0.13851749999999999</v>
      </c>
      <c r="M37" s="68">
        <f t="shared" si="10"/>
        <v>0.11132</v>
      </c>
      <c r="N37" s="68">
        <f t="shared" si="10"/>
        <v>11.638</v>
      </c>
      <c r="O37" s="68">
        <f t="shared" si="10"/>
        <v>2295.9749999999999</v>
      </c>
      <c r="P37" s="68">
        <f t="shared" si="10"/>
        <v>0</v>
      </c>
      <c r="Q37" s="68">
        <f t="shared" si="11"/>
        <v>29.727499999999999</v>
      </c>
      <c r="R37" s="68">
        <f t="shared" si="12"/>
        <v>0</v>
      </c>
      <c r="S37" s="68">
        <f t="shared" si="12"/>
        <v>0.25363249999999998</v>
      </c>
      <c r="T37" s="68">
        <f t="shared" si="12"/>
        <v>0</v>
      </c>
      <c r="U37" s="68">
        <f t="shared" si="12"/>
        <v>0</v>
      </c>
    </row>
    <row r="38" spans="1:21" s="51" customFormat="1" ht="13" x14ac:dyDescent="0.35">
      <c r="A38" s="10">
        <f>J8</f>
        <v>17</v>
      </c>
      <c r="B38" s="12">
        <v>250</v>
      </c>
      <c r="C38" s="68">
        <f t="shared" si="6"/>
        <v>45.54</v>
      </c>
      <c r="D38" s="68">
        <f t="shared" si="7"/>
        <v>6.4048341500000001</v>
      </c>
      <c r="E38" s="68">
        <f t="shared" si="8"/>
        <v>0.75835168750000015</v>
      </c>
      <c r="F38" s="68">
        <f t="shared" si="9"/>
        <v>7.246413350000001</v>
      </c>
      <c r="G38" s="68">
        <f t="shared" si="10"/>
        <v>7.0207500000000006E-2</v>
      </c>
      <c r="H38" s="68">
        <f t="shared" si="10"/>
        <v>0.58253250000000001</v>
      </c>
      <c r="I38" s="68">
        <f t="shared" si="10"/>
        <v>3.9215E-2</v>
      </c>
      <c r="J38" s="68">
        <f t="shared" si="10"/>
        <v>6.9574999999999997E-4</v>
      </c>
      <c r="K38" s="68">
        <f t="shared" si="10"/>
        <v>9.9935000000000006E-3</v>
      </c>
      <c r="L38" s="68">
        <f t="shared" si="10"/>
        <v>0.13851749999999999</v>
      </c>
      <c r="M38" s="68">
        <f t="shared" si="10"/>
        <v>0.11132</v>
      </c>
      <c r="N38" s="68">
        <f t="shared" si="10"/>
        <v>11.638</v>
      </c>
      <c r="O38" s="68">
        <f t="shared" si="10"/>
        <v>2295.9749999999999</v>
      </c>
      <c r="P38" s="68">
        <f t="shared" si="10"/>
        <v>0</v>
      </c>
      <c r="Q38" s="68">
        <f t="shared" si="11"/>
        <v>29.727499999999999</v>
      </c>
      <c r="R38" s="68">
        <f t="shared" si="12"/>
        <v>0</v>
      </c>
      <c r="S38" s="68">
        <f t="shared" si="12"/>
        <v>0.25363249999999998</v>
      </c>
      <c r="T38" s="68">
        <f t="shared" si="12"/>
        <v>0</v>
      </c>
      <c r="U38" s="68">
        <f t="shared" si="12"/>
        <v>0</v>
      </c>
    </row>
    <row r="39" spans="1:21" s="51" customFormat="1" ht="13" x14ac:dyDescent="0.35">
      <c r="A39" s="10">
        <f>K8</f>
        <v>18</v>
      </c>
      <c r="B39" s="12">
        <v>250</v>
      </c>
      <c r="C39" s="68">
        <f t="shared" si="6"/>
        <v>45.54</v>
      </c>
      <c r="D39" s="68">
        <f t="shared" si="7"/>
        <v>6.4048341500000001</v>
      </c>
      <c r="E39" s="68">
        <f t="shared" si="8"/>
        <v>0.75835168750000015</v>
      </c>
      <c r="F39" s="68">
        <f t="shared" si="9"/>
        <v>7.246413350000001</v>
      </c>
      <c r="G39" s="68">
        <f t="shared" si="10"/>
        <v>7.0207500000000006E-2</v>
      </c>
      <c r="H39" s="68">
        <f t="shared" si="10"/>
        <v>0.58253250000000001</v>
      </c>
      <c r="I39" s="68">
        <f t="shared" si="10"/>
        <v>3.9215E-2</v>
      </c>
      <c r="J39" s="68">
        <f t="shared" si="10"/>
        <v>6.9574999999999997E-4</v>
      </c>
      <c r="K39" s="68">
        <f t="shared" si="10"/>
        <v>9.9935000000000006E-3</v>
      </c>
      <c r="L39" s="68">
        <f t="shared" si="10"/>
        <v>0.13851749999999999</v>
      </c>
      <c r="M39" s="68">
        <f t="shared" si="10"/>
        <v>0.11132</v>
      </c>
      <c r="N39" s="68">
        <f t="shared" si="10"/>
        <v>11.638</v>
      </c>
      <c r="O39" s="68">
        <f t="shared" si="10"/>
        <v>2295.9749999999999</v>
      </c>
      <c r="P39" s="68">
        <f t="shared" si="10"/>
        <v>0</v>
      </c>
      <c r="Q39" s="68">
        <f t="shared" si="11"/>
        <v>29.727499999999999</v>
      </c>
      <c r="R39" s="68">
        <f t="shared" si="12"/>
        <v>0</v>
      </c>
      <c r="S39" s="68">
        <f t="shared" si="12"/>
        <v>0.25363249999999998</v>
      </c>
      <c r="T39" s="68">
        <f t="shared" si="12"/>
        <v>0</v>
      </c>
      <c r="U39" s="68">
        <f t="shared" si="12"/>
        <v>0</v>
      </c>
    </row>
    <row r="40" spans="1:21" s="51" customFormat="1" ht="13" x14ac:dyDescent="0.35">
      <c r="A40" s="10" t="str">
        <f>L8</f>
        <v>PB2 1</v>
      </c>
      <c r="B40" s="12">
        <v>250</v>
      </c>
      <c r="C40" s="68">
        <f t="shared" si="6"/>
        <v>45.54</v>
      </c>
      <c r="D40" s="68">
        <f t="shared" si="7"/>
        <v>6.4048341500000001</v>
      </c>
      <c r="E40" s="68">
        <f t="shared" si="8"/>
        <v>0.75835168750000015</v>
      </c>
      <c r="F40" s="68">
        <f t="shared" si="9"/>
        <v>7.246413350000001</v>
      </c>
      <c r="G40" s="68">
        <f t="shared" si="10"/>
        <v>7.0207500000000006E-2</v>
      </c>
      <c r="H40" s="68">
        <f t="shared" si="10"/>
        <v>0.58253250000000001</v>
      </c>
      <c r="I40" s="68">
        <f t="shared" si="10"/>
        <v>3.9215E-2</v>
      </c>
      <c r="J40" s="68">
        <f t="shared" si="10"/>
        <v>6.9574999999999997E-4</v>
      </c>
      <c r="K40" s="68">
        <f t="shared" si="10"/>
        <v>9.9935000000000006E-3</v>
      </c>
      <c r="L40" s="68">
        <f t="shared" si="10"/>
        <v>0.13851749999999999</v>
      </c>
      <c r="M40" s="68">
        <f t="shared" si="10"/>
        <v>0.11132</v>
      </c>
      <c r="N40" s="68">
        <f t="shared" si="10"/>
        <v>11.638</v>
      </c>
      <c r="O40" s="68">
        <f t="shared" si="10"/>
        <v>2295.9749999999999</v>
      </c>
      <c r="P40" s="68">
        <f t="shared" si="10"/>
        <v>0</v>
      </c>
      <c r="Q40" s="68">
        <f t="shared" si="11"/>
        <v>29.727499999999999</v>
      </c>
      <c r="R40" s="68">
        <f t="shared" si="12"/>
        <v>0</v>
      </c>
      <c r="S40" s="68">
        <f t="shared" si="12"/>
        <v>0.25363249999999998</v>
      </c>
      <c r="T40" s="68">
        <f t="shared" si="12"/>
        <v>0</v>
      </c>
      <c r="U40" s="68">
        <f t="shared" si="12"/>
        <v>0</v>
      </c>
    </row>
    <row r="41" spans="1:21" s="51" customFormat="1" ht="13" x14ac:dyDescent="0.35">
      <c r="A41" s="10" t="str">
        <f>M8</f>
        <v>PB2 2</v>
      </c>
      <c r="B41" s="12">
        <v>250</v>
      </c>
      <c r="C41" s="68">
        <f t="shared" si="6"/>
        <v>45.54</v>
      </c>
      <c r="D41" s="68">
        <f t="shared" si="7"/>
        <v>6.4048341500000001</v>
      </c>
      <c r="E41" s="68">
        <f t="shared" si="8"/>
        <v>0.75835168750000015</v>
      </c>
      <c r="F41" s="68">
        <f t="shared" si="9"/>
        <v>7.246413350000001</v>
      </c>
      <c r="G41" s="68">
        <f t="shared" si="10"/>
        <v>7.0207500000000006E-2</v>
      </c>
      <c r="H41" s="68">
        <f t="shared" si="10"/>
        <v>0.58253250000000001</v>
      </c>
      <c r="I41" s="68">
        <f t="shared" si="10"/>
        <v>3.9215E-2</v>
      </c>
      <c r="J41" s="68">
        <f t="shared" si="10"/>
        <v>6.9574999999999997E-4</v>
      </c>
      <c r="K41" s="68">
        <f t="shared" si="10"/>
        <v>9.9935000000000006E-3</v>
      </c>
      <c r="L41" s="68">
        <f t="shared" si="10"/>
        <v>0.13851749999999999</v>
      </c>
      <c r="M41" s="68">
        <f t="shared" si="10"/>
        <v>0.11132</v>
      </c>
      <c r="N41" s="68">
        <f t="shared" si="10"/>
        <v>11.638</v>
      </c>
      <c r="O41" s="68">
        <f t="shared" si="10"/>
        <v>2295.9749999999999</v>
      </c>
      <c r="P41" s="68">
        <f t="shared" si="10"/>
        <v>0</v>
      </c>
      <c r="Q41" s="68">
        <f t="shared" si="11"/>
        <v>29.727499999999999</v>
      </c>
      <c r="R41" s="68">
        <f t="shared" si="12"/>
        <v>0</v>
      </c>
      <c r="S41" s="68">
        <f t="shared" si="12"/>
        <v>0.25363249999999998</v>
      </c>
      <c r="T41" s="68">
        <f t="shared" si="12"/>
        <v>0</v>
      </c>
      <c r="U41" s="68">
        <f t="shared" si="12"/>
        <v>0</v>
      </c>
    </row>
    <row r="42" spans="1:21" s="51" customFormat="1" ht="13" x14ac:dyDescent="0.35">
      <c r="A42" s="10" t="str">
        <f>N8</f>
        <v>PB1 1</v>
      </c>
      <c r="B42" s="12">
        <v>250</v>
      </c>
      <c r="C42" s="68">
        <f t="shared" si="6"/>
        <v>45.54</v>
      </c>
      <c r="D42" s="68">
        <f t="shared" si="7"/>
        <v>6.4048341500000001</v>
      </c>
      <c r="E42" s="68">
        <f t="shared" si="8"/>
        <v>0.75835168750000015</v>
      </c>
      <c r="F42" s="68">
        <f t="shared" si="9"/>
        <v>7.246413350000001</v>
      </c>
      <c r="G42" s="68">
        <f t="shared" si="10"/>
        <v>7.0207500000000006E-2</v>
      </c>
      <c r="H42" s="68">
        <f t="shared" si="10"/>
        <v>0.58253250000000001</v>
      </c>
      <c r="I42" s="68">
        <f t="shared" si="10"/>
        <v>3.9215E-2</v>
      </c>
      <c r="J42" s="68">
        <f t="shared" si="10"/>
        <v>6.9574999999999997E-4</v>
      </c>
      <c r="K42" s="68">
        <f t="shared" si="10"/>
        <v>9.9935000000000006E-3</v>
      </c>
      <c r="L42" s="68">
        <f t="shared" si="10"/>
        <v>0.13851749999999999</v>
      </c>
      <c r="M42" s="68">
        <f t="shared" si="10"/>
        <v>0.11132</v>
      </c>
      <c r="N42" s="68">
        <f t="shared" si="10"/>
        <v>11.638</v>
      </c>
      <c r="O42" s="68">
        <f t="shared" si="10"/>
        <v>2295.9749999999999</v>
      </c>
      <c r="P42" s="68">
        <f t="shared" si="10"/>
        <v>0</v>
      </c>
      <c r="Q42" s="68">
        <f t="shared" si="11"/>
        <v>29.727499999999999</v>
      </c>
      <c r="R42" s="68">
        <f t="shared" si="12"/>
        <v>0</v>
      </c>
      <c r="S42" s="68">
        <f t="shared" si="12"/>
        <v>0.25363249999999998</v>
      </c>
      <c r="T42" s="68">
        <f t="shared" si="12"/>
        <v>0</v>
      </c>
      <c r="U42" s="68">
        <f t="shared" si="12"/>
        <v>0</v>
      </c>
    </row>
    <row r="43" spans="1:21" s="51" customFormat="1" ht="13" x14ac:dyDescent="0.35">
      <c r="A43" s="10" t="str">
        <f>O8</f>
        <v>PB1 2</v>
      </c>
      <c r="B43" s="12">
        <v>250</v>
      </c>
      <c r="C43" s="68">
        <f t="shared" si="6"/>
        <v>45.54</v>
      </c>
      <c r="D43" s="68">
        <f t="shared" si="7"/>
        <v>6.4048341500000001</v>
      </c>
      <c r="E43" s="68">
        <f t="shared" si="8"/>
        <v>0.75835168750000015</v>
      </c>
      <c r="F43" s="68">
        <f t="shared" si="9"/>
        <v>7.246413350000001</v>
      </c>
      <c r="G43" s="68">
        <f t="shared" si="10"/>
        <v>7.0207500000000006E-2</v>
      </c>
      <c r="H43" s="68">
        <f t="shared" si="10"/>
        <v>0.58253250000000001</v>
      </c>
      <c r="I43" s="68">
        <f t="shared" si="10"/>
        <v>3.9215E-2</v>
      </c>
      <c r="J43" s="68">
        <f t="shared" si="10"/>
        <v>6.9574999999999997E-4</v>
      </c>
      <c r="K43" s="68">
        <f t="shared" si="10"/>
        <v>9.9935000000000006E-3</v>
      </c>
      <c r="L43" s="68">
        <f t="shared" si="10"/>
        <v>0.13851749999999999</v>
      </c>
      <c r="M43" s="68">
        <f t="shared" si="10"/>
        <v>0.11132</v>
      </c>
      <c r="N43" s="68">
        <f t="shared" si="10"/>
        <v>11.638</v>
      </c>
      <c r="O43" s="68">
        <f t="shared" si="10"/>
        <v>2295.9749999999999</v>
      </c>
      <c r="P43" s="68">
        <f t="shared" si="10"/>
        <v>0</v>
      </c>
      <c r="Q43" s="68">
        <f t="shared" si="11"/>
        <v>29.727499999999999</v>
      </c>
      <c r="R43" s="68">
        <f t="shared" si="12"/>
        <v>0</v>
      </c>
      <c r="S43" s="68">
        <f t="shared" si="12"/>
        <v>0.25363249999999998</v>
      </c>
      <c r="T43" s="68">
        <f t="shared" si="12"/>
        <v>0</v>
      </c>
      <c r="U43" s="68">
        <f t="shared" si="12"/>
        <v>0</v>
      </c>
    </row>
    <row r="44" spans="1:21" s="51" customFormat="1" ht="13" x14ac:dyDescent="0.35">
      <c r="A44" s="10" t="str">
        <f>P8</f>
        <v>PB1 3</v>
      </c>
      <c r="B44" s="12">
        <v>250</v>
      </c>
      <c r="C44" s="68">
        <f t="shared" si="6"/>
        <v>45.54</v>
      </c>
      <c r="D44" s="68">
        <f t="shared" si="7"/>
        <v>6.4048341500000001</v>
      </c>
      <c r="E44" s="68">
        <f t="shared" si="8"/>
        <v>0.75835168750000015</v>
      </c>
      <c r="F44" s="68">
        <f t="shared" si="9"/>
        <v>7.246413350000001</v>
      </c>
      <c r="G44" s="68">
        <f t="shared" si="10"/>
        <v>7.0207500000000006E-2</v>
      </c>
      <c r="H44" s="68">
        <f t="shared" si="10"/>
        <v>0.58253250000000001</v>
      </c>
      <c r="I44" s="68">
        <f t="shared" si="10"/>
        <v>3.9215E-2</v>
      </c>
      <c r="J44" s="68">
        <f t="shared" si="10"/>
        <v>6.9574999999999997E-4</v>
      </c>
      <c r="K44" s="68">
        <f t="shared" si="10"/>
        <v>9.9935000000000006E-3</v>
      </c>
      <c r="L44" s="68">
        <f t="shared" si="10"/>
        <v>0.13851749999999999</v>
      </c>
      <c r="M44" s="68">
        <f t="shared" si="10"/>
        <v>0.11132</v>
      </c>
      <c r="N44" s="68">
        <f t="shared" si="10"/>
        <v>11.638</v>
      </c>
      <c r="O44" s="68">
        <f t="shared" si="10"/>
        <v>2295.9749999999999</v>
      </c>
      <c r="P44" s="68">
        <f t="shared" si="10"/>
        <v>0</v>
      </c>
      <c r="Q44" s="68">
        <f t="shared" si="11"/>
        <v>29.727499999999999</v>
      </c>
      <c r="R44" s="68">
        <f t="shared" si="12"/>
        <v>0</v>
      </c>
      <c r="S44" s="68">
        <f t="shared" si="12"/>
        <v>0.25363249999999998</v>
      </c>
      <c r="T44" s="68">
        <f t="shared" si="12"/>
        <v>0</v>
      </c>
      <c r="U44" s="68">
        <f t="shared" si="12"/>
        <v>0</v>
      </c>
    </row>
    <row r="45" spans="1:21" s="51" customFormat="1" ht="13" x14ac:dyDescent="0.35">
      <c r="A45" s="10" t="str">
        <f>Q8</f>
        <v>PB1 4</v>
      </c>
      <c r="B45" s="12">
        <v>250</v>
      </c>
      <c r="C45" s="68">
        <f>IF(C$27="%w/w SAR",((C$28*10)*$B45),IF(C$27="%w/w DM",(((C$28*10)*($B$28/100))*$B45),IF(C$27="kg/t SAR",(C$28*$B45),IF(C$27="kg/t DM",((C$28*($B$28/100))*$B45),IF(C$27="mg/kg SAR",((C$28*0.001)*$B45),IF(C$27="mg/kg DM",(((C$28*0.001)*($B$28/100))*$B45),0))))))</f>
        <v>45.54</v>
      </c>
      <c r="D45" s="68">
        <f>(IF(D$27="%w/w SAR",((D$28*10)*$B45),IF(D$27="%w/w DM",(((D$28*10)*($B$28/100))*$B45),IF(D$27="kg/t SAR",(D$28*$B45),IF(D$27="kg/t DM",((D$28*($B$28/100))*$B45),IF(D$27="mg/kg SAR",((D$28*0.001)*$B45),IF(D$27="mg/kg DM",(((D$28*0.001)*($B$28/100))*$B45),"0")))))))*2.291</f>
        <v>6.4048341500000001</v>
      </c>
      <c r="E45" s="68">
        <f>(IF(E$27="%w/w SAR",((E$28*10)*$B45),IF(E$27="%w/w DM",(((E$28*10)*($B$28/100))*$B45),IF(E$27="kg/t SAR",(E$28*$B45),IF(E$27="kg/t DM",((E$28*($B$28/100))*$B45),IF(E$27="mg/kg SAR",((E$28*0.001)*$B45),IF(E$27="mg/kg DM",(((E$28*0.001)*($B$28/100))*$B45),"0")))))))*1.205</f>
        <v>0.75835168750000015</v>
      </c>
      <c r="F45" s="68">
        <f>(IF(F$27="%w/w SAR",((F$28*10)*$B45),IF(F$27="%w/w DM",(((F$28*10)*($B$28/100))*$B45),IF(F$27="kg/t SAR",(F$28*$B45),IF(F$27="kg/t DM",((F$28*($B$28/100))*$B45),IF(F$27="mg/kg SAR",((F$28*0.001)*$B45),IF(F$27="mg/kg DM",(((F$28*0.001)*($B$28/100))*$B45),"0")))))))*1.658</f>
        <v>7.246413350000001</v>
      </c>
      <c r="G45" s="68">
        <f t="shared" ref="G45:P45" si="13">IF(G$27="%w/w SAR",((G$28*10)*$B45),IF(G$27="%w/w DM",(((G$28*10)*($B$28/100))*$B45),IF(G$27="kg/t SAR",(G$28*$B45),IF(G$27="kg/t DM",((G$28*($B$28/100))*$B45),IF(G$27="mg/kg SAR",((G$28*0.001)*$B45),IF(G$27="mg/kg DM",(((G$28*0.001)*($B$28/100))*$B45),0))))))</f>
        <v>7.0207500000000006E-2</v>
      </c>
      <c r="H45" s="68">
        <f t="shared" si="13"/>
        <v>0.58253250000000001</v>
      </c>
      <c r="I45" s="68">
        <f t="shared" si="13"/>
        <v>3.9215E-2</v>
      </c>
      <c r="J45" s="68">
        <f t="shared" si="13"/>
        <v>6.9574999999999997E-4</v>
      </c>
      <c r="K45" s="68">
        <f t="shared" si="13"/>
        <v>9.9935000000000006E-3</v>
      </c>
      <c r="L45" s="68">
        <f t="shared" si="13"/>
        <v>0.13851749999999999</v>
      </c>
      <c r="M45" s="68">
        <f t="shared" si="13"/>
        <v>0.11132</v>
      </c>
      <c r="N45" s="68">
        <f t="shared" si="13"/>
        <v>11.638</v>
      </c>
      <c r="O45" s="68">
        <f t="shared" si="13"/>
        <v>2295.9749999999999</v>
      </c>
      <c r="P45" s="68">
        <f t="shared" si="13"/>
        <v>0</v>
      </c>
      <c r="Q45" s="68">
        <f>(IF(Q$27="%w/w SAR",((Q$28*10)*$B45),IF(Q$27="%w/w DM",(((Q$28*10)*($B$28/100))*$B45),IF(Q$27="kg/t SAR",(Q$28*$B45),IF(Q$27="kg/t DM",((Q$28*($B$28/100))*$B45),IF(Q$27="mg/kg SAR",((Q$28*0.001)*$B45),IF(Q$27="mg/kg DM",(((Q$28*0.001)*($B$28/100))*$B45),0)))))))*2.5</f>
        <v>29.727499999999999</v>
      </c>
      <c r="R45" s="68">
        <f>IF(R$27="%w/w SAR",((R$28*10)*$B45),IF(R$27="%w/w DM",(((R$28*10)*($B$28/100))*$B45),IF(R$27="kg/t SAR",(R$28*$B45),IF(R$27="kg/t DM",((R$28*($B$28/100))*$B45),IF(R$27="mg/kg SAR",((R$28*0.001)*$B45),IF(R$27="mg/kg DM",(((R$28*0.001)*($B$28/100))*$B45),0))))))</f>
        <v>0</v>
      </c>
      <c r="S45" s="68">
        <f>IF(S$27="%w/w SAR",((S$28*10)*$B45),IF(S$27="%w/w DM",(((S$28*10)*($B$28/100))*$B45),IF(S$27="kg/t SAR",(S$28*$B45),IF(S$27="kg/t DM",((S$28*($B$28/100))*$B45),IF(S$27="mg/kg SAR",((S$28*0.001)*$B45),IF(S$27="mg/kg DM",(((S$28*0.001)*($B$28/100))*$B45),0))))))</f>
        <v>0.25363249999999998</v>
      </c>
      <c r="T45" s="68">
        <f>IF(T$27="%w/w SAR",((T$28*10)*$B45),IF(T$27="%w/w DM",(((T$28*10)*($B$28/100))*$B45),IF(T$27="kg/t SAR",(T$28*$B45),IF(T$27="kg/t DM",((T$28*($B$28/100))*$B45),IF(T$27="mg/kg SAR",((T$28*0.001)*$B45),IF(T$27="mg/kg DM",(((T$28*0.001)*($B$28/100))*$B45),0))))))</f>
        <v>0</v>
      </c>
      <c r="U45" s="68">
        <f>IF(U$27="%w/w SAR",((U$28*10)*$B45),IF(U$27="%w/w DM",(((U$28*10)*($B$28/100))*$B45),IF(U$27="kg/t SAR",(U$28*$B45),IF(U$27="kg/t DM",((U$28*($B$28/100))*$B45),IF(U$27="mg/kg SAR",((U$28*0.001)*$B45),IF(U$27="mg/kg DM",(((U$28*0.001)*($B$28/100))*$B45),0))))))</f>
        <v>0</v>
      </c>
    </row>
    <row r="46" spans="1:21" s="51" customFormat="1" ht="13" x14ac:dyDescent="0.35">
      <c r="A46" s="10" t="str">
        <f>R8</f>
        <v>T2</v>
      </c>
      <c r="B46" s="12">
        <v>250</v>
      </c>
      <c r="C46" s="68">
        <f t="shared" si="6"/>
        <v>45.54</v>
      </c>
      <c r="D46" s="68">
        <f t="shared" si="7"/>
        <v>6.4048341500000001</v>
      </c>
      <c r="E46" s="68">
        <f t="shared" si="8"/>
        <v>0.75835168750000015</v>
      </c>
      <c r="F46" s="68">
        <f t="shared" si="9"/>
        <v>7.246413350000001</v>
      </c>
      <c r="G46" s="68">
        <f t="shared" si="10"/>
        <v>7.0207500000000006E-2</v>
      </c>
      <c r="H46" s="68">
        <f t="shared" si="10"/>
        <v>0.58253250000000001</v>
      </c>
      <c r="I46" s="68">
        <f t="shared" si="10"/>
        <v>3.9215E-2</v>
      </c>
      <c r="J46" s="68">
        <f t="shared" si="10"/>
        <v>6.9574999999999997E-4</v>
      </c>
      <c r="K46" s="68">
        <f t="shared" si="10"/>
        <v>9.9935000000000006E-3</v>
      </c>
      <c r="L46" s="68">
        <f t="shared" si="10"/>
        <v>0.13851749999999999</v>
      </c>
      <c r="M46" s="68">
        <f t="shared" si="10"/>
        <v>0.11132</v>
      </c>
      <c r="N46" s="68">
        <f t="shared" si="10"/>
        <v>11.638</v>
      </c>
      <c r="O46" s="68">
        <f t="shared" si="10"/>
        <v>2295.9749999999999</v>
      </c>
      <c r="P46" s="68">
        <f t="shared" si="10"/>
        <v>0</v>
      </c>
      <c r="Q46" s="68">
        <f t="shared" si="11"/>
        <v>29.727499999999999</v>
      </c>
      <c r="R46" s="68">
        <f t="shared" si="12"/>
        <v>0</v>
      </c>
      <c r="S46" s="68">
        <f t="shared" si="12"/>
        <v>0.25363249999999998</v>
      </c>
      <c r="T46" s="68">
        <f t="shared" si="12"/>
        <v>0</v>
      </c>
      <c r="U46" s="68">
        <f t="shared" si="12"/>
        <v>0</v>
      </c>
    </row>
    <row r="47" spans="1:21" s="51" customFormat="1" ht="13" x14ac:dyDescent="0.35">
      <c r="A47" s="10" t="str">
        <f>S8</f>
        <v>T3</v>
      </c>
      <c r="B47" s="12">
        <v>250</v>
      </c>
      <c r="C47" s="68">
        <f t="shared" si="6"/>
        <v>45.54</v>
      </c>
      <c r="D47" s="68">
        <f t="shared" si="7"/>
        <v>6.4048341500000001</v>
      </c>
      <c r="E47" s="68">
        <f t="shared" si="8"/>
        <v>0.75835168750000015</v>
      </c>
      <c r="F47" s="68">
        <f t="shared" si="9"/>
        <v>7.246413350000001</v>
      </c>
      <c r="G47" s="68">
        <f t="shared" si="10"/>
        <v>7.0207500000000006E-2</v>
      </c>
      <c r="H47" s="68">
        <f t="shared" si="10"/>
        <v>0.58253250000000001</v>
      </c>
      <c r="I47" s="68">
        <f t="shared" si="10"/>
        <v>3.9215E-2</v>
      </c>
      <c r="J47" s="68">
        <f t="shared" si="10"/>
        <v>6.9574999999999997E-4</v>
      </c>
      <c r="K47" s="68">
        <f t="shared" si="10"/>
        <v>9.9935000000000006E-3</v>
      </c>
      <c r="L47" s="68">
        <f t="shared" si="10"/>
        <v>0.13851749999999999</v>
      </c>
      <c r="M47" s="68">
        <f t="shared" si="10"/>
        <v>0.11132</v>
      </c>
      <c r="N47" s="68">
        <f t="shared" si="10"/>
        <v>11.638</v>
      </c>
      <c r="O47" s="68">
        <f t="shared" si="10"/>
        <v>2295.9749999999999</v>
      </c>
      <c r="P47" s="68">
        <f t="shared" si="10"/>
        <v>0</v>
      </c>
      <c r="Q47" s="68">
        <f t="shared" si="11"/>
        <v>29.727499999999999</v>
      </c>
      <c r="R47" s="68">
        <f t="shared" si="12"/>
        <v>0</v>
      </c>
      <c r="S47" s="68">
        <f t="shared" si="12"/>
        <v>0.25363249999999998</v>
      </c>
      <c r="T47" s="68">
        <f t="shared" si="12"/>
        <v>0</v>
      </c>
      <c r="U47" s="68">
        <f t="shared" si="12"/>
        <v>0</v>
      </c>
    </row>
    <row r="48" spans="1:21" s="51" customFormat="1" ht="13" x14ac:dyDescent="0.35">
      <c r="A48" s="10" t="str">
        <f>T8</f>
        <v>T4</v>
      </c>
      <c r="B48" s="12">
        <v>250</v>
      </c>
      <c r="C48" s="68">
        <f t="shared" si="6"/>
        <v>45.54</v>
      </c>
      <c r="D48" s="68">
        <f t="shared" si="7"/>
        <v>6.4048341500000001</v>
      </c>
      <c r="E48" s="68">
        <f t="shared" si="8"/>
        <v>0.75835168750000015</v>
      </c>
      <c r="F48" s="68">
        <f t="shared" si="9"/>
        <v>7.246413350000001</v>
      </c>
      <c r="G48" s="68">
        <f t="shared" si="10"/>
        <v>7.0207500000000006E-2</v>
      </c>
      <c r="H48" s="68">
        <f t="shared" si="10"/>
        <v>0.58253250000000001</v>
      </c>
      <c r="I48" s="68">
        <f t="shared" si="10"/>
        <v>3.9215E-2</v>
      </c>
      <c r="J48" s="68">
        <f t="shared" si="10"/>
        <v>6.9574999999999997E-4</v>
      </c>
      <c r="K48" s="68">
        <f t="shared" si="10"/>
        <v>9.9935000000000006E-3</v>
      </c>
      <c r="L48" s="68">
        <f t="shared" si="10"/>
        <v>0.13851749999999999</v>
      </c>
      <c r="M48" s="68">
        <f t="shared" si="10"/>
        <v>0.11132</v>
      </c>
      <c r="N48" s="68">
        <f t="shared" si="10"/>
        <v>11.638</v>
      </c>
      <c r="O48" s="68">
        <f t="shared" si="10"/>
        <v>2295.9749999999999</v>
      </c>
      <c r="P48" s="68">
        <f t="shared" si="10"/>
        <v>0</v>
      </c>
      <c r="Q48" s="68">
        <f t="shared" si="11"/>
        <v>29.727499999999999</v>
      </c>
      <c r="R48" s="68">
        <f t="shared" si="12"/>
        <v>0</v>
      </c>
      <c r="S48" s="68">
        <f t="shared" si="12"/>
        <v>0.25363249999999998</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Cae Derwin</v>
      </c>
      <c r="C57" s="8" t="str">
        <f t="shared" ref="C57:U57" si="14">D8</f>
        <v>Cae Gwar</v>
      </c>
      <c r="D57" s="8">
        <f t="shared" si="14"/>
        <v>7216</v>
      </c>
      <c r="E57" s="8">
        <f t="shared" si="14"/>
        <v>11</v>
      </c>
      <c r="F57" s="8">
        <f t="shared" si="14"/>
        <v>12</v>
      </c>
      <c r="G57" s="8">
        <f t="shared" si="14"/>
        <v>14</v>
      </c>
      <c r="H57" s="8" t="str">
        <f t="shared" si="14"/>
        <v>15A</v>
      </c>
      <c r="I57" s="8">
        <f t="shared" si="14"/>
        <v>17</v>
      </c>
      <c r="J57" s="8">
        <f t="shared" si="14"/>
        <v>18</v>
      </c>
      <c r="K57" s="8" t="str">
        <f t="shared" si="14"/>
        <v>PB2 1</v>
      </c>
      <c r="L57" s="8" t="str">
        <f t="shared" si="14"/>
        <v>PB2 2</v>
      </c>
      <c r="M57" s="8" t="str">
        <f t="shared" si="14"/>
        <v>PB1 1</v>
      </c>
      <c r="N57" s="8" t="str">
        <f t="shared" si="14"/>
        <v>PB1 2</v>
      </c>
      <c r="O57" s="8" t="str">
        <f t="shared" si="14"/>
        <v>PB1 3</v>
      </c>
      <c r="P57" s="8" t="str">
        <f t="shared" si="14"/>
        <v>PB1 4</v>
      </c>
      <c r="Q57" s="8" t="str">
        <f t="shared" si="14"/>
        <v>T2</v>
      </c>
      <c r="R57" s="8" t="str">
        <f t="shared" si="14"/>
        <v>T3</v>
      </c>
      <c r="S57" s="8" t="str">
        <f t="shared" si="14"/>
        <v>T4</v>
      </c>
      <c r="T57" s="8">
        <f t="shared" si="14"/>
        <v>0</v>
      </c>
      <c r="U57" s="8">
        <f t="shared" si="14"/>
        <v>0</v>
      </c>
    </row>
    <row r="58" spans="1:21" ht="13" x14ac:dyDescent="0.35">
      <c r="A58" s="82" t="s">
        <v>136</v>
      </c>
      <c r="B58" s="10" t="str">
        <f>C16&amp;" I "&amp;(VLOOKUP(C14,Table24[],6,FALSE))</f>
        <v xml:space="preserve"> I Grass</v>
      </c>
      <c r="C58" s="10" t="str">
        <f>D16&amp;" I "&amp;(VLOOKUP(D14,Table24[],6,FALSE))</f>
        <v xml:space="preserve"> I Grass</v>
      </c>
      <c r="D58" s="10" t="str">
        <f>E16&amp;" I "&amp;(VLOOKUP(E14,Table24[],6,FALSE))</f>
        <v xml:space="preserve"> I Grass</v>
      </c>
      <c r="E58" s="10" t="str">
        <f>F16&amp;" I "&amp;(VLOOKUP(F14,Table24[],6,FALSE))</f>
        <v xml:space="preserve"> I Grass</v>
      </c>
      <c r="F58" s="10" t="str">
        <f>G16&amp;" I "&amp;(VLOOKUP(G14,Table24[],6,FALSE))</f>
        <v xml:space="preserve"> I Grass</v>
      </c>
      <c r="G58" s="10" t="str">
        <f>H16&amp;" I "&amp;(VLOOKUP(H14,Table24[],6,FALSE))</f>
        <v xml:space="preserve"> I Grass</v>
      </c>
      <c r="H58" s="10" t="str">
        <f>I16&amp;" I "&amp;(VLOOKUP(I14,Table24[],6,FALSE))</f>
        <v xml:space="preserve"> I Grass</v>
      </c>
      <c r="I58" s="10" t="str">
        <f>J16&amp;" I "&amp;(VLOOKUP(J14,Table24[],6,FALSE))</f>
        <v xml:space="preserve"> I Grass</v>
      </c>
      <c r="J58" s="10" t="str">
        <f>K16&amp;" I "&amp;(VLOOKUP(K14,Table24[],6,FALSE))</f>
        <v xml:space="preserve"> I Grass</v>
      </c>
      <c r="K58" s="10" t="str">
        <f>L16&amp;" I "&amp;(VLOOKUP(L14,Table24[],6,FALSE))</f>
        <v xml:space="preserve"> I Grass</v>
      </c>
      <c r="L58" s="10" t="str">
        <f>M16&amp;" I "&amp;(VLOOKUP(M14,Table24[],6,FALSE))</f>
        <v xml:space="preserve"> I Grass</v>
      </c>
      <c r="M58" s="10" t="str">
        <f>N16&amp;" I "&amp;(VLOOKUP(N14,Table24[],6,FALSE))</f>
        <v xml:space="preserve"> I Grass</v>
      </c>
      <c r="N58" s="10" t="str">
        <f>O16&amp;" I "&amp;(VLOOKUP(O14,Table24[],6,FALSE))</f>
        <v xml:space="preserve"> I Grass</v>
      </c>
      <c r="O58" s="10" t="str">
        <f>P16&amp;" I "&amp;(VLOOKUP(P14,Table24[],6,FALSE))</f>
        <v xml:space="preserve"> I Grass</v>
      </c>
      <c r="P58" s="10" t="str">
        <f>Q16&amp;" I "&amp;(VLOOKUP(Q14,Table24[],6,FALSE))</f>
        <v xml:space="preserve"> I Grass</v>
      </c>
      <c r="Q58" s="10" t="str">
        <f>R16&amp;" I "&amp;(VLOOKUP(R14,Table24[],6,FALSE))</f>
        <v xml:space="preserve"> I Grass</v>
      </c>
      <c r="R58" s="10" t="str">
        <f>S16&amp;" I "&amp;(VLOOKUP(S14,Table24[],6,FALSE))</f>
        <v xml:space="preserve"> I Grass</v>
      </c>
      <c r="S58" s="10" t="str">
        <f>T16&amp;" I "&amp;(VLOOKUP(T14,Table24[],6,FALSE))</f>
        <v xml:space="preserve"> I Grass</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f>VLOOKUP(T$14,Table24[],5,FALSE)</f>
        <v>6.2</v>
      </c>
      <c r="T59" s="67" t="e">
        <f>VLOOKUP(U$14,Table24[],5,FALSE)</f>
        <v>#N/A</v>
      </c>
      <c r="U59" s="67" t="e">
        <f>VLOOKUP(V$14,Table24[],5,FALSE)</f>
        <v>#N/A</v>
      </c>
    </row>
    <row r="60" spans="1:21" ht="13" x14ac:dyDescent="0.3">
      <c r="A60" s="100" t="s">
        <v>4</v>
      </c>
      <c r="B60" s="67">
        <f>C10</f>
        <v>6.1</v>
      </c>
      <c r="C60" s="67">
        <f t="shared" ref="C60:U60" si="15">D10</f>
        <v>6.1</v>
      </c>
      <c r="D60" s="67">
        <f t="shared" si="15"/>
        <v>6.4</v>
      </c>
      <c r="E60" s="67">
        <f t="shared" si="15"/>
        <v>6.6</v>
      </c>
      <c r="F60" s="67">
        <f t="shared" si="15"/>
        <v>6</v>
      </c>
      <c r="G60" s="67">
        <f t="shared" si="15"/>
        <v>6</v>
      </c>
      <c r="H60" s="67">
        <f t="shared" si="15"/>
        <v>6.2</v>
      </c>
      <c r="I60" s="67">
        <f t="shared" si="15"/>
        <v>6.7</v>
      </c>
      <c r="J60" s="67">
        <f t="shared" si="15"/>
        <v>7</v>
      </c>
      <c r="K60" s="67">
        <f t="shared" si="15"/>
        <v>6.1</v>
      </c>
      <c r="L60" s="67">
        <f t="shared" si="15"/>
        <v>6.1</v>
      </c>
      <c r="M60" s="67">
        <f t="shared" si="15"/>
        <v>6.7</v>
      </c>
      <c r="N60" s="67">
        <f t="shared" si="15"/>
        <v>6.7</v>
      </c>
      <c r="O60" s="67">
        <f t="shared" si="15"/>
        <v>6.7</v>
      </c>
      <c r="P60" s="67">
        <f t="shared" si="15"/>
        <v>6.5</v>
      </c>
      <c r="Q60" s="67">
        <f t="shared" si="15"/>
        <v>6.1</v>
      </c>
      <c r="R60" s="67">
        <f t="shared" si="15"/>
        <v>6.2</v>
      </c>
      <c r="S60" s="67">
        <f t="shared" si="15"/>
        <v>6</v>
      </c>
      <c r="T60" s="67">
        <f t="shared" si="15"/>
        <v>0</v>
      </c>
      <c r="U60" s="67">
        <f t="shared" si="15"/>
        <v>0</v>
      </c>
    </row>
    <row r="61" spans="1:21" ht="13" x14ac:dyDescent="0.3">
      <c r="A61" s="100" t="s">
        <v>133</v>
      </c>
      <c r="B61" s="67" t="e">
        <f t="shared" ref="B61:U61" si="16">VLOOKUP(B58,$AD9:$AE18,2,FALSE)</f>
        <v>#N/A</v>
      </c>
      <c r="C61" s="67" t="e">
        <f t="shared" si="16"/>
        <v>#N/A</v>
      </c>
      <c r="D61" s="67" t="e">
        <f t="shared" si="16"/>
        <v>#N/A</v>
      </c>
      <c r="E61" s="67" t="e">
        <f t="shared" si="16"/>
        <v>#N/A</v>
      </c>
      <c r="F61" s="67" t="e">
        <f t="shared" si="16"/>
        <v>#N/A</v>
      </c>
      <c r="G61" s="67" t="e">
        <f t="shared" si="16"/>
        <v>#N/A</v>
      </c>
      <c r="H61" s="67" t="e">
        <f t="shared" si="16"/>
        <v>#N/A</v>
      </c>
      <c r="I61" s="67" t="e">
        <f t="shared" si="16"/>
        <v>#N/A</v>
      </c>
      <c r="J61" s="67" t="e">
        <f t="shared" si="16"/>
        <v>#N/A</v>
      </c>
      <c r="K61" s="67" t="e">
        <f t="shared" si="16"/>
        <v>#N/A</v>
      </c>
      <c r="L61" s="67" t="e">
        <f t="shared" si="16"/>
        <v>#N/A</v>
      </c>
      <c r="M61" s="67" t="e">
        <f t="shared" si="16"/>
        <v>#N/A</v>
      </c>
      <c r="N61" s="67" t="e">
        <f t="shared" si="16"/>
        <v>#N/A</v>
      </c>
      <c r="O61" s="67" t="e">
        <f t="shared" si="16"/>
        <v>#N/A</v>
      </c>
      <c r="P61" s="67" t="e">
        <f t="shared" si="16"/>
        <v>#N/A</v>
      </c>
      <c r="Q61" s="67" t="e">
        <f t="shared" si="16"/>
        <v>#N/A</v>
      </c>
      <c r="R61" s="67" t="e">
        <f t="shared" si="16"/>
        <v>#N/A</v>
      </c>
      <c r="S61" s="67" t="e">
        <f t="shared" si="16"/>
        <v>#N/A</v>
      </c>
      <c r="T61" s="67" t="e">
        <f t="shared" si="16"/>
        <v>#N/A</v>
      </c>
      <c r="U61" s="67" t="e">
        <f t="shared" si="16"/>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7">$E55*(C62/100)</f>
        <v>0</v>
      </c>
      <c r="D63" s="68">
        <f t="shared" si="17"/>
        <v>0</v>
      </c>
      <c r="E63" s="68">
        <f t="shared" si="17"/>
        <v>0</v>
      </c>
      <c r="F63" s="68">
        <f>$E55*(F62/100)</f>
        <v>0</v>
      </c>
      <c r="G63" s="68">
        <f t="shared" si="17"/>
        <v>0</v>
      </c>
      <c r="H63" s="68">
        <f t="shared" si="17"/>
        <v>0</v>
      </c>
      <c r="I63" s="68">
        <f t="shared" si="17"/>
        <v>0</v>
      </c>
      <c r="J63" s="68">
        <f t="shared" si="17"/>
        <v>0</v>
      </c>
      <c r="K63" s="68">
        <f t="shared" si="17"/>
        <v>0</v>
      </c>
      <c r="L63" s="68">
        <f t="shared" si="17"/>
        <v>0</v>
      </c>
      <c r="M63" s="68">
        <f t="shared" si="17"/>
        <v>0</v>
      </c>
      <c r="N63" s="68">
        <f t="shared" si="17"/>
        <v>0</v>
      </c>
      <c r="O63" s="68">
        <f t="shared" si="17"/>
        <v>0</v>
      </c>
      <c r="P63" s="68">
        <f t="shared" si="17"/>
        <v>0</v>
      </c>
      <c r="Q63" s="68">
        <f t="shared" si="17"/>
        <v>0</v>
      </c>
      <c r="R63" s="68">
        <f t="shared" si="17"/>
        <v>0</v>
      </c>
      <c r="S63" s="68">
        <f t="shared" si="17"/>
        <v>0</v>
      </c>
      <c r="T63" s="68">
        <f t="shared" si="17"/>
        <v>0</v>
      </c>
      <c r="U63" s="68">
        <f t="shared" si="17"/>
        <v>0</v>
      </c>
    </row>
    <row r="64" spans="1:21" ht="52" x14ac:dyDescent="0.3">
      <c r="A64" s="101" t="s">
        <v>156</v>
      </c>
      <c r="B64" s="68" t="e">
        <f>(B59-B60)*B61</f>
        <v>#N/A</v>
      </c>
      <c r="C64" s="68" t="e">
        <f t="shared" ref="C64:U64" si="18">(C59-C60)*C61</f>
        <v>#N/A</v>
      </c>
      <c r="D64" s="68" t="e">
        <f t="shared" si="18"/>
        <v>#N/A</v>
      </c>
      <c r="E64" s="68" t="e">
        <f t="shared" si="18"/>
        <v>#N/A</v>
      </c>
      <c r="F64" s="68" t="e">
        <f t="shared" si="18"/>
        <v>#N/A</v>
      </c>
      <c r="G64" s="68" t="e">
        <f t="shared" si="18"/>
        <v>#N/A</v>
      </c>
      <c r="H64" s="68" t="e">
        <f t="shared" si="18"/>
        <v>#N/A</v>
      </c>
      <c r="I64" s="68" t="e">
        <f t="shared" si="18"/>
        <v>#N/A</v>
      </c>
      <c r="J64" s="68" t="e">
        <f t="shared" si="18"/>
        <v>#N/A</v>
      </c>
      <c r="K64" s="68" t="e">
        <f t="shared" si="18"/>
        <v>#N/A</v>
      </c>
      <c r="L64" s="68" t="e">
        <f t="shared" si="18"/>
        <v>#N/A</v>
      </c>
      <c r="M64" s="68" t="e">
        <f t="shared" si="18"/>
        <v>#N/A</v>
      </c>
      <c r="N64" s="68" t="e">
        <f t="shared" si="18"/>
        <v>#N/A</v>
      </c>
      <c r="O64" s="68" t="e">
        <f t="shared" si="18"/>
        <v>#N/A</v>
      </c>
      <c r="P64" s="68" t="e">
        <f t="shared" si="18"/>
        <v>#N/A</v>
      </c>
      <c r="Q64" s="68" t="e">
        <f t="shared" si="18"/>
        <v>#N/A</v>
      </c>
      <c r="R64" s="68" t="e">
        <f t="shared" si="18"/>
        <v>#N/A</v>
      </c>
      <c r="S64" s="68" t="e">
        <f t="shared" si="18"/>
        <v>#N/A</v>
      </c>
      <c r="T64" s="68" t="e">
        <f t="shared" si="18"/>
        <v>#N/A</v>
      </c>
      <c r="U64" s="68" t="e">
        <f t="shared" si="18"/>
        <v>#N/A</v>
      </c>
    </row>
    <row r="65" spans="1:21" ht="52" x14ac:dyDescent="0.3">
      <c r="A65" s="101" t="s">
        <v>157</v>
      </c>
      <c r="B65" s="68" t="e">
        <f>B63-B64</f>
        <v>#N/A</v>
      </c>
      <c r="C65" s="68" t="e">
        <f t="shared" ref="C65:U65" si="19">C63-C64</f>
        <v>#N/A</v>
      </c>
      <c r="D65" s="68" t="e">
        <f t="shared" si="19"/>
        <v>#N/A</v>
      </c>
      <c r="E65" s="68" t="e">
        <f t="shared" si="19"/>
        <v>#N/A</v>
      </c>
      <c r="F65" s="68" t="e">
        <f t="shared" si="19"/>
        <v>#N/A</v>
      </c>
      <c r="G65" s="68" t="e">
        <f t="shared" si="19"/>
        <v>#N/A</v>
      </c>
      <c r="H65" s="68" t="e">
        <f t="shared" si="19"/>
        <v>#N/A</v>
      </c>
      <c r="I65" s="68" t="e">
        <f t="shared" si="19"/>
        <v>#N/A</v>
      </c>
      <c r="J65" s="68" t="e">
        <f t="shared" si="19"/>
        <v>#N/A</v>
      </c>
      <c r="K65" s="68" t="e">
        <f t="shared" si="19"/>
        <v>#N/A</v>
      </c>
      <c r="L65" s="68" t="e">
        <f t="shared" si="19"/>
        <v>#N/A</v>
      </c>
      <c r="M65" s="68" t="e">
        <f t="shared" si="19"/>
        <v>#N/A</v>
      </c>
      <c r="N65" s="68" t="e">
        <f t="shared" si="19"/>
        <v>#N/A</v>
      </c>
      <c r="O65" s="68" t="e">
        <f t="shared" si="19"/>
        <v>#N/A</v>
      </c>
      <c r="P65" s="68" t="e">
        <f t="shared" si="19"/>
        <v>#N/A</v>
      </c>
      <c r="Q65" s="68" t="e">
        <f t="shared" si="19"/>
        <v>#N/A</v>
      </c>
      <c r="R65" s="68" t="e">
        <f t="shared" si="19"/>
        <v>#N/A</v>
      </c>
      <c r="S65" s="68" t="e">
        <f t="shared" si="19"/>
        <v>#N/A</v>
      </c>
      <c r="T65" s="68" t="e">
        <f t="shared" si="19"/>
        <v>#N/A</v>
      </c>
      <c r="U65" s="68" t="e">
        <f t="shared" si="19"/>
        <v>#N/A</v>
      </c>
    </row>
    <row r="66" spans="1:21" ht="26" x14ac:dyDescent="0.3">
      <c r="A66" s="101" t="s">
        <v>148</v>
      </c>
      <c r="B66" s="69" t="e">
        <f>IF(B64&lt;=B63,"OVER","UNDER")</f>
        <v>#N/A</v>
      </c>
      <c r="C66" s="69" t="e">
        <f t="shared" ref="C66:U66" si="20">IF(C64&lt;=C63,"OVER","UNDER")</f>
        <v>#N/A</v>
      </c>
      <c r="D66" s="69" t="e">
        <f t="shared" si="20"/>
        <v>#N/A</v>
      </c>
      <c r="E66" s="69" t="e">
        <f t="shared" si="20"/>
        <v>#N/A</v>
      </c>
      <c r="F66" s="69" t="e">
        <f t="shared" si="20"/>
        <v>#N/A</v>
      </c>
      <c r="G66" s="69" t="e">
        <f t="shared" si="20"/>
        <v>#N/A</v>
      </c>
      <c r="H66" s="69" t="e">
        <f t="shared" si="20"/>
        <v>#N/A</v>
      </c>
      <c r="I66" s="69" t="e">
        <f t="shared" si="20"/>
        <v>#N/A</v>
      </c>
      <c r="J66" s="69" t="e">
        <f t="shared" si="20"/>
        <v>#N/A</v>
      </c>
      <c r="K66" s="69" t="e">
        <f t="shared" si="20"/>
        <v>#N/A</v>
      </c>
      <c r="L66" s="69" t="e">
        <f t="shared" si="20"/>
        <v>#N/A</v>
      </c>
      <c r="M66" s="69" t="e">
        <f t="shared" si="20"/>
        <v>#N/A</v>
      </c>
      <c r="N66" s="69" t="e">
        <f t="shared" si="20"/>
        <v>#N/A</v>
      </c>
      <c r="O66" s="69" t="e">
        <f t="shared" si="20"/>
        <v>#N/A</v>
      </c>
      <c r="P66" s="69" t="e">
        <f t="shared" si="20"/>
        <v>#N/A</v>
      </c>
      <c r="Q66" s="69" t="e">
        <f t="shared" si="20"/>
        <v>#N/A</v>
      </c>
      <c r="R66" s="69" t="e">
        <f t="shared" si="20"/>
        <v>#N/A</v>
      </c>
      <c r="S66" s="69" t="e">
        <f t="shared" si="20"/>
        <v>#N/A</v>
      </c>
      <c r="T66" s="69" t="e">
        <f t="shared" si="20"/>
        <v>#N/A</v>
      </c>
      <c r="U66" s="69" t="e">
        <f t="shared" si="20"/>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111" priority="42" operator="greaterThan">
      <formula>$B$51</formula>
    </cfRule>
  </conditionalFormatting>
  <conditionalFormatting sqref="B66:U66">
    <cfRule type="cellIs" dxfId="110" priority="4" operator="equal">
      <formula>"UNDER"</formula>
    </cfRule>
    <cfRule type="cellIs" dxfId="109" priority="5" operator="equal">
      <formula>"OVER"</formula>
    </cfRule>
  </conditionalFormatting>
  <conditionalFormatting sqref="C31:C50">
    <cfRule type="cellIs" dxfId="108" priority="41" operator="greaterThan">
      <formula>$C$51</formula>
    </cfRule>
  </conditionalFormatting>
  <conditionalFormatting sqref="C17:V19">
    <cfRule type="cellIs" dxfId="107" priority="34" operator="equal">
      <formula>0</formula>
    </cfRule>
  </conditionalFormatting>
  <conditionalFormatting sqref="C20:V21">
    <cfRule type="cellIs" dxfId="106" priority="43" operator="equal">
      <formula>"DECREASE"</formula>
    </cfRule>
    <cfRule type="cellIs" dxfId="105" priority="44" operator="equal">
      <formula>"INCREASE"</formula>
    </cfRule>
  </conditionalFormatting>
  <conditionalFormatting sqref="C21:V21">
    <cfRule type="cellIs" dxfId="104" priority="8" operator="equal">
      <formula>0</formula>
    </cfRule>
  </conditionalFormatting>
  <conditionalFormatting sqref="C22:V23">
    <cfRule type="cellIs" dxfId="103" priority="15" operator="equal">
      <formula>0</formula>
    </cfRule>
  </conditionalFormatting>
  <conditionalFormatting sqref="C24:V24">
    <cfRule type="cellIs" dxfId="102" priority="16" operator="equal">
      <formula>"DECREASE"</formula>
    </cfRule>
    <cfRule type="cellIs" dxfId="101" priority="17"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11" operator="between">
      <formula>0.1</formula>
      <formula>5</formula>
    </cfRule>
  </conditionalFormatting>
  <conditionalFormatting sqref="I2">
    <cfRule type="cellIs" dxfId="97" priority="10" operator="greaterThan">
      <formula>5000.1</formula>
    </cfRule>
  </conditionalFormatting>
  <conditionalFormatting sqref="I3">
    <cfRule type="cellIs" dxfId="96" priority="9" operator="greaterThan">
      <formula>40000.01</formula>
    </cfRule>
  </conditionalFormatting>
  <conditionalFormatting sqref="I31:I50">
    <cfRule type="cellIs" dxfId="95" priority="29" operator="greaterThan">
      <formula>$I$51</formula>
    </cfRule>
  </conditionalFormatting>
  <conditionalFormatting sqref="J31:J50">
    <cfRule type="cellIs" dxfId="94" priority="3" operator="greaterThan">
      <formula>$J$51</formula>
    </cfRule>
  </conditionalFormatting>
  <conditionalFormatting sqref="K31:K50">
    <cfRule type="cellIs" dxfId="93" priority="27" operator="greaterThan">
      <formula>$K$51</formula>
    </cfRule>
  </conditionalFormatting>
  <conditionalFormatting sqref="L3">
    <cfRule type="cellIs" dxfId="92" priority="1" operator="lessThan">
      <formula>30</formula>
    </cfRule>
    <cfRule type="cellIs" dxfId="91" priority="2" operator="greaterThanOrEqual">
      <formula>30</formula>
    </cfRule>
  </conditionalFormatting>
  <conditionalFormatting sqref="L31:L50">
    <cfRule type="cellIs" dxfId="90" priority="26" operator="greaterThan">
      <formula>$L$51</formula>
    </cfRule>
  </conditionalFormatting>
  <conditionalFormatting sqref="M31:M50">
    <cfRule type="cellIs" dxfId="89" priority="25" operator="greaterThan">
      <formula>$M$51</formula>
    </cfRule>
  </conditionalFormatting>
  <conditionalFormatting sqref="P31:P50">
    <cfRule type="cellIs" dxfId="88" priority="24" operator="greaterThan">
      <formula>$P$51</formula>
    </cfRule>
  </conditionalFormatting>
  <conditionalFormatting sqref="R31:R50">
    <cfRule type="cellIs" dxfId="87" priority="23" operator="greaterThan">
      <formula>$R$51</formula>
    </cfRule>
  </conditionalFormatting>
  <conditionalFormatting sqref="S31:S50">
    <cfRule type="cellIs" dxfId="86" priority="22" operator="greaterThan">
      <formula>$S$51</formula>
    </cfRule>
  </conditionalFormatting>
  <conditionalFormatting sqref="T31:T50">
    <cfRule type="cellIs" dxfId="85" priority="21" operator="greaterThan">
      <formula>$T$51</formula>
    </cfRule>
  </conditionalFormatting>
  <conditionalFormatting sqref="U31:U50">
    <cfRule type="cellIs" dxfId="84"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90" zoomScaleNormal="90" workbookViewId="0">
      <selection activeCell="E32" sqref="E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Elan!C1:D1</f>
        <v>PAN-027863</v>
      </c>
      <c r="D1" s="128"/>
      <c r="E1" s="83" t="s">
        <v>45</v>
      </c>
      <c r="F1" s="32">
        <f>Elan!F1</f>
        <v>49.96</v>
      </c>
      <c r="G1" s="107" t="s">
        <v>43</v>
      </c>
      <c r="H1" s="108"/>
      <c r="I1" s="86">
        <v>6.6</v>
      </c>
      <c r="J1" s="106" t="s">
        <v>153</v>
      </c>
      <c r="K1" s="106"/>
      <c r="L1" s="86">
        <v>224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Elan!C2:D2</f>
        <v>EPR/GP3792SK</v>
      </c>
      <c r="D2" s="130"/>
      <c r="E2" s="83" t="s">
        <v>109</v>
      </c>
      <c r="F2" s="86" t="s">
        <v>177</v>
      </c>
      <c r="G2" s="125" t="s">
        <v>110</v>
      </c>
      <c r="H2" s="126"/>
      <c r="I2" s="86"/>
      <c r="J2" s="106" t="s">
        <v>158</v>
      </c>
      <c r="K2" s="106"/>
      <c r="L2" s="86">
        <v>1.28</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Elan!C3:D3</f>
        <v>ByProduct Recovery LTD</v>
      </c>
      <c r="D3" s="130"/>
      <c r="E3" s="83" t="s">
        <v>108</v>
      </c>
      <c r="F3" s="24" t="s">
        <v>78</v>
      </c>
      <c r="G3" s="106" t="s">
        <v>159</v>
      </c>
      <c r="H3" s="106"/>
      <c r="I3" s="86"/>
      <c r="J3" s="107" t="s">
        <v>154</v>
      </c>
      <c r="K3" s="108"/>
      <c r="L3" s="86">
        <f>(L1/(L2*10000))*100</f>
        <v>1.7500000000000002</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Elan!C4:D4</f>
        <v>Tylebrithos Farm, Cantref, Brecon</v>
      </c>
      <c r="D4" s="128"/>
      <c r="E4" s="84" t="s">
        <v>1</v>
      </c>
      <c r="F4" s="86" t="s">
        <v>179</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Elan!C5:D5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Elan!C8</f>
        <v>Cae Derwin</v>
      </c>
      <c r="D8" s="52" t="str">
        <f>Elan!D8</f>
        <v>Cae Gwar</v>
      </c>
      <c r="E8" s="52">
        <f>Elan!E8</f>
        <v>7216</v>
      </c>
      <c r="F8" s="52">
        <f>Elan!F8</f>
        <v>11</v>
      </c>
      <c r="G8" s="52">
        <f>Elan!G8</f>
        <v>12</v>
      </c>
      <c r="H8" s="52">
        <f>Elan!H8</f>
        <v>14</v>
      </c>
      <c r="I8" s="52" t="str">
        <f>Elan!I8</f>
        <v>15A</v>
      </c>
      <c r="J8" s="52">
        <f>Elan!J8</f>
        <v>17</v>
      </c>
      <c r="K8" s="52">
        <f>Elan!K8</f>
        <v>18</v>
      </c>
      <c r="L8" s="52" t="str">
        <f>Elan!L8</f>
        <v>PB2 1</v>
      </c>
      <c r="M8" s="52" t="str">
        <f>Elan!M8</f>
        <v>PB2 2</v>
      </c>
      <c r="N8" s="52" t="str">
        <f>Elan!N8</f>
        <v>PB1 1</v>
      </c>
      <c r="O8" s="52" t="str">
        <f>Elan!O8</f>
        <v>PB1 2</v>
      </c>
      <c r="P8" s="52" t="str">
        <f>Elan!P8</f>
        <v>PB1 3</v>
      </c>
      <c r="Q8" s="52" t="str">
        <f>Elan!Q8</f>
        <v>PB1 4</v>
      </c>
      <c r="R8" s="52" t="str">
        <f>Elan!R8</f>
        <v>T2</v>
      </c>
      <c r="S8" s="52" t="str">
        <f>Elan!S8</f>
        <v>T3</v>
      </c>
      <c r="T8" s="52" t="str">
        <f>Elan!T8</f>
        <v>T4</v>
      </c>
      <c r="U8" s="52">
        <f>Elan!U8</f>
        <v>0</v>
      </c>
      <c r="V8" s="52">
        <f>Elan!V8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Elan!C9</f>
        <v>M</v>
      </c>
      <c r="D9" s="52" t="str">
        <f>Elan!D9</f>
        <v>M</v>
      </c>
      <c r="E9" s="52" t="str">
        <f>Elan!E9</f>
        <v>M</v>
      </c>
      <c r="F9" s="52">
        <f>Elan!F9</f>
        <v>1</v>
      </c>
      <c r="G9" s="52" t="str">
        <f>Elan!G9</f>
        <v>M</v>
      </c>
      <c r="H9" s="52">
        <f>Elan!H9</f>
        <v>1</v>
      </c>
      <c r="I9" s="52" t="str">
        <f>Elan!I9</f>
        <v>M</v>
      </c>
      <c r="J9" s="52">
        <f>Elan!J9</f>
        <v>1</v>
      </c>
      <c r="K9" s="52" t="str">
        <f>Elan!K9</f>
        <v>M</v>
      </c>
      <c r="L9" s="52" t="str">
        <f>Elan!L9</f>
        <v>M</v>
      </c>
      <c r="M9" s="52" t="str">
        <f>Elan!M9</f>
        <v>M</v>
      </c>
      <c r="N9" s="52" t="str">
        <f>Elan!N9</f>
        <v>M</v>
      </c>
      <c r="O9" s="52" t="str">
        <f>Elan!O9</f>
        <v>M</v>
      </c>
      <c r="P9" s="52" t="str">
        <f>Elan!P9</f>
        <v>M</v>
      </c>
      <c r="Q9" s="52" t="str">
        <f>Elan!Q9</f>
        <v>M</v>
      </c>
      <c r="R9" s="52" t="str">
        <f>Elan!R9</f>
        <v>M</v>
      </c>
      <c r="S9" s="52" t="str">
        <f>Elan!S9</f>
        <v>M</v>
      </c>
      <c r="T9" s="52" t="str">
        <f>Elan!T9</f>
        <v>M</v>
      </c>
      <c r="U9" s="52">
        <f>Elan!U9</f>
        <v>0</v>
      </c>
      <c r="V9" s="52">
        <f>Elan!V9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Elan!C10</f>
        <v>6.1</v>
      </c>
      <c r="D10" s="52">
        <f>Elan!D10</f>
        <v>6.1</v>
      </c>
      <c r="E10" s="52">
        <f>Elan!E10</f>
        <v>6.4</v>
      </c>
      <c r="F10" s="52">
        <f>Elan!F10</f>
        <v>6.6</v>
      </c>
      <c r="G10" s="52">
        <f>Elan!G10</f>
        <v>6</v>
      </c>
      <c r="H10" s="52">
        <f>Elan!H10</f>
        <v>6</v>
      </c>
      <c r="I10" s="52">
        <f>Elan!I10</f>
        <v>6.2</v>
      </c>
      <c r="J10" s="52">
        <f>Elan!J10</f>
        <v>6.7</v>
      </c>
      <c r="K10" s="52">
        <f>Elan!K10</f>
        <v>7</v>
      </c>
      <c r="L10" s="52">
        <f>Elan!L10</f>
        <v>6.1</v>
      </c>
      <c r="M10" s="52">
        <f>Elan!M10</f>
        <v>6.1</v>
      </c>
      <c r="N10" s="52">
        <f>Elan!N10</f>
        <v>6.7</v>
      </c>
      <c r="O10" s="52">
        <f>Elan!O10</f>
        <v>6.7</v>
      </c>
      <c r="P10" s="52">
        <f>Elan!P10</f>
        <v>6.7</v>
      </c>
      <c r="Q10" s="52">
        <f>Elan!Q10</f>
        <v>6.5</v>
      </c>
      <c r="R10" s="52">
        <f>Elan!R10</f>
        <v>6.1</v>
      </c>
      <c r="S10" s="52">
        <f>Elan!S10</f>
        <v>6.2</v>
      </c>
      <c r="T10" s="52">
        <f>Elan!T10</f>
        <v>6</v>
      </c>
      <c r="U10" s="52">
        <f>Elan!U10</f>
        <v>0</v>
      </c>
      <c r="V10" s="52">
        <f>Elan!V10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Elan!C11</f>
        <v>3</v>
      </c>
      <c r="D11" s="52">
        <f>Elan!D11</f>
        <v>1</v>
      </c>
      <c r="E11" s="52">
        <f>Elan!E11</f>
        <v>3</v>
      </c>
      <c r="F11" s="52">
        <f>Elan!F11</f>
        <v>2</v>
      </c>
      <c r="G11" s="52">
        <f>Elan!G11</f>
        <v>3</v>
      </c>
      <c r="H11" s="52">
        <f>Elan!H11</f>
        <v>1</v>
      </c>
      <c r="I11" s="52">
        <f>Elan!I11</f>
        <v>2</v>
      </c>
      <c r="J11" s="52">
        <f>Elan!J11</f>
        <v>0</v>
      </c>
      <c r="K11" s="52">
        <f>Elan!K11</f>
        <v>2</v>
      </c>
      <c r="L11" s="52">
        <f>Elan!L11</f>
        <v>3</v>
      </c>
      <c r="M11" s="52">
        <f>Elan!M11</f>
        <v>2</v>
      </c>
      <c r="N11" s="52">
        <f>Elan!N11</f>
        <v>3</v>
      </c>
      <c r="O11" s="52">
        <f>Elan!O11</f>
        <v>3</v>
      </c>
      <c r="P11" s="52">
        <f>Elan!P11</f>
        <v>2</v>
      </c>
      <c r="Q11" s="52">
        <f>Elan!Q11</f>
        <v>3</v>
      </c>
      <c r="R11" s="52">
        <f>Elan!R11</f>
        <v>1</v>
      </c>
      <c r="S11" s="52">
        <f>Elan!S11</f>
        <v>1</v>
      </c>
      <c r="T11" s="52">
        <f>Elan!T11</f>
        <v>1</v>
      </c>
      <c r="U11" s="52">
        <f>Elan!U11</f>
        <v>0</v>
      </c>
      <c r="V11" s="52">
        <f>Elan!V11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Elan!C12</f>
        <v>2</v>
      </c>
      <c r="D12" s="52">
        <f>Elan!D12</f>
        <v>1</v>
      </c>
      <c r="E12" s="52">
        <f>Elan!E12</f>
        <v>1</v>
      </c>
      <c r="F12" s="52">
        <f>Elan!F12</f>
        <v>1</v>
      </c>
      <c r="G12" s="52">
        <f>Elan!G12</f>
        <v>0</v>
      </c>
      <c r="H12" s="52">
        <f>Elan!H12</f>
        <v>2</v>
      </c>
      <c r="I12" s="52">
        <f>Elan!I12</f>
        <v>1</v>
      </c>
      <c r="J12" s="52">
        <f>Elan!J12</f>
        <v>1</v>
      </c>
      <c r="K12" s="52">
        <f>Elan!K12</f>
        <v>1</v>
      </c>
      <c r="L12" s="52">
        <f>Elan!L12</f>
        <v>1</v>
      </c>
      <c r="M12" s="52">
        <f>Elan!M12</f>
        <v>2</v>
      </c>
      <c r="N12" s="52">
        <f>Elan!N12</f>
        <v>0</v>
      </c>
      <c r="O12" s="52">
        <f>Elan!O12</f>
        <v>0</v>
      </c>
      <c r="P12" s="52">
        <f>Elan!P12</f>
        <v>0</v>
      </c>
      <c r="Q12" s="52">
        <f>Elan!Q12</f>
        <v>0</v>
      </c>
      <c r="R12" s="52">
        <f>Elan!R12</f>
        <v>1</v>
      </c>
      <c r="S12" s="52">
        <f>Elan!S12</f>
        <v>1</v>
      </c>
      <c r="T12" s="52">
        <f>Elan!T12</f>
        <v>1</v>
      </c>
      <c r="U12" s="52">
        <f>Elan!U12</f>
        <v>0</v>
      </c>
      <c r="V12" s="52">
        <f>Elan!V12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Elan!C13</f>
        <v>2</v>
      </c>
      <c r="D13" s="52">
        <f>Elan!D13</f>
        <v>2</v>
      </c>
      <c r="E13" s="52">
        <f>Elan!E13</f>
        <v>3</v>
      </c>
      <c r="F13" s="52">
        <f>Elan!F13</f>
        <v>2</v>
      </c>
      <c r="G13" s="52">
        <f>Elan!G13</f>
        <v>2</v>
      </c>
      <c r="H13" s="52">
        <f>Elan!H13</f>
        <v>1</v>
      </c>
      <c r="I13" s="52">
        <f>Elan!I13</f>
        <v>2</v>
      </c>
      <c r="J13" s="52">
        <f>Elan!J13</f>
        <v>1</v>
      </c>
      <c r="K13" s="52">
        <f>Elan!K13</f>
        <v>2</v>
      </c>
      <c r="L13" s="52">
        <f>Elan!L13</f>
        <v>2</v>
      </c>
      <c r="M13" s="52">
        <f>Elan!M13</f>
        <v>3</v>
      </c>
      <c r="N13" s="52">
        <f>Elan!N13</f>
        <v>2</v>
      </c>
      <c r="O13" s="52">
        <f>Elan!O13</f>
        <v>3</v>
      </c>
      <c r="P13" s="52">
        <f>Elan!P13</f>
        <v>2</v>
      </c>
      <c r="Q13" s="52">
        <f>Elan!Q13</f>
        <v>2</v>
      </c>
      <c r="R13" s="52">
        <f>Elan!R13</f>
        <v>3</v>
      </c>
      <c r="S13" s="52">
        <f>Elan!S13</f>
        <v>3</v>
      </c>
      <c r="T13" s="52">
        <f>Elan!T13</f>
        <v>3</v>
      </c>
      <c r="U13" s="52">
        <f>Elan!U13</f>
        <v>0</v>
      </c>
      <c r="V13" s="52">
        <f>Elan!V13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Elan!C14</f>
        <v xml:space="preserve">Grass Silage (25% DM) </v>
      </c>
      <c r="D14" s="91" t="str">
        <f>Elan!D14</f>
        <v xml:space="preserve">Grass Silage (25% DM) </v>
      </c>
      <c r="E14" s="91" t="str">
        <f>Elan!E14</f>
        <v xml:space="preserve">Grass Silage (25% DM) </v>
      </c>
      <c r="F14" s="91" t="str">
        <f>Elan!F14</f>
        <v xml:space="preserve">Grass Silage (25% DM) </v>
      </c>
      <c r="G14" s="91" t="str">
        <f>Elan!G14</f>
        <v xml:space="preserve">Grass Silage (25% DM) </v>
      </c>
      <c r="H14" s="91" t="str">
        <f>Elan!H14</f>
        <v xml:space="preserve">Grass Silage (25% DM) </v>
      </c>
      <c r="I14" s="91" t="str">
        <f>Elan!I14</f>
        <v xml:space="preserve">Grass Silage (25% DM) </v>
      </c>
      <c r="J14" s="91" t="str">
        <f>Elan!J14</f>
        <v xml:space="preserve">Grass Silage (25% DM) </v>
      </c>
      <c r="K14" s="91" t="str">
        <f>Elan!K14</f>
        <v xml:space="preserve">Grass Silage (25% DM) </v>
      </c>
      <c r="L14" s="91" t="str">
        <f>Elan!L14</f>
        <v xml:space="preserve">Grass Silage (25% DM) </v>
      </c>
      <c r="M14" s="91" t="str">
        <f>Elan!M14</f>
        <v xml:space="preserve">Grass Silage (25% DM) </v>
      </c>
      <c r="N14" s="91" t="str">
        <f>Elan!N14</f>
        <v xml:space="preserve">Grass Silage (25% DM) </v>
      </c>
      <c r="O14" s="91" t="str">
        <f>Elan!O14</f>
        <v xml:space="preserve">Grass Silage (25% DM) </v>
      </c>
      <c r="P14" s="91" t="str">
        <f>Elan!P14</f>
        <v xml:space="preserve">Grass Silage (25% DM) </v>
      </c>
      <c r="Q14" s="91" t="str">
        <f>Elan!Q14</f>
        <v xml:space="preserve">Grass Silage (25% DM) </v>
      </c>
      <c r="R14" s="91" t="str">
        <f>Elan!R14</f>
        <v xml:space="preserve">Grass Silage (25% DM) </v>
      </c>
      <c r="S14" s="91" t="str">
        <f>Elan!S14</f>
        <v xml:space="preserve">Grass Silage (25% DM) </v>
      </c>
      <c r="T14" s="91" t="str">
        <f>Elan!T14</f>
        <v xml:space="preserve">Grass Silage (25% DM) </v>
      </c>
      <c r="U14" s="91">
        <f>Elan!U14</f>
        <v>0</v>
      </c>
      <c r="V14" s="91">
        <f>Elan!V14</f>
        <v>0</v>
      </c>
      <c r="AD14" s="23" t="s">
        <v>138</v>
      </c>
      <c r="AE14" s="23">
        <v>6</v>
      </c>
      <c r="AI14" s="46" t="s">
        <v>119</v>
      </c>
      <c r="AJ14" s="47">
        <v>0.8</v>
      </c>
      <c r="AK14" s="48">
        <v>1.7</v>
      </c>
      <c r="AL14" s="9">
        <v>12</v>
      </c>
      <c r="AM14" s="9">
        <v>6.7</v>
      </c>
      <c r="AN14" s="9" t="s">
        <v>135</v>
      </c>
    </row>
    <row r="15" spans="1:41" ht="13" x14ac:dyDescent="0.25">
      <c r="A15" s="117" t="s">
        <v>9</v>
      </c>
      <c r="B15" s="117"/>
      <c r="C15" s="52">
        <f>Elan!C15</f>
        <v>35</v>
      </c>
      <c r="D15" s="52">
        <f>Elan!D15</f>
        <v>35</v>
      </c>
      <c r="E15" s="52">
        <f>Elan!E15</f>
        <v>35</v>
      </c>
      <c r="F15" s="52">
        <f>Elan!F15</f>
        <v>20</v>
      </c>
      <c r="G15" s="52">
        <f>Elan!G15</f>
        <v>38</v>
      </c>
      <c r="H15" s="52">
        <f>Elan!H15</f>
        <v>38</v>
      </c>
      <c r="I15" s="52">
        <f>Elan!I15</f>
        <v>20</v>
      </c>
      <c r="J15" s="52">
        <f>Elan!J15</f>
        <v>38</v>
      </c>
      <c r="K15" s="52">
        <f>Elan!K15</f>
        <v>20</v>
      </c>
      <c r="L15" s="52">
        <f>Elan!L15</f>
        <v>35</v>
      </c>
      <c r="M15" s="52">
        <f>Elan!M15</f>
        <v>35</v>
      </c>
      <c r="N15" s="52">
        <f>Elan!N15</f>
        <v>35</v>
      </c>
      <c r="O15" s="52">
        <f>Elan!O15</f>
        <v>35</v>
      </c>
      <c r="P15" s="52">
        <f>Elan!P15</f>
        <v>35</v>
      </c>
      <c r="Q15" s="52">
        <f>Elan!Q15</f>
        <v>35</v>
      </c>
      <c r="R15" s="52">
        <f>Elan!R15</f>
        <v>35</v>
      </c>
      <c r="S15" s="52">
        <f>Elan!S15</f>
        <v>35</v>
      </c>
      <c r="T15" s="52">
        <f>Elan!T15</f>
        <v>35</v>
      </c>
      <c r="U15" s="52">
        <f>Elan!U15</f>
        <v>0</v>
      </c>
      <c r="V15" s="52">
        <f>Elan!V15</f>
        <v>0</v>
      </c>
      <c r="AD15" s="23" t="s">
        <v>144</v>
      </c>
      <c r="AE15" s="23">
        <v>7</v>
      </c>
      <c r="AI15" s="46" t="s">
        <v>101</v>
      </c>
      <c r="AJ15" s="54">
        <v>1.8</v>
      </c>
      <c r="AK15" s="48">
        <v>5.4</v>
      </c>
      <c r="AL15" s="9">
        <v>13</v>
      </c>
      <c r="AM15" s="9">
        <v>6.7</v>
      </c>
      <c r="AN15" s="9" t="s">
        <v>135</v>
      </c>
    </row>
    <row r="16" spans="1:41" ht="13.5" thickBot="1" x14ac:dyDescent="0.3">
      <c r="A16" s="119" t="s">
        <v>44</v>
      </c>
      <c r="B16" s="119"/>
      <c r="C16" s="92">
        <f>Elan!C16</f>
        <v>0</v>
      </c>
      <c r="D16" s="92">
        <f>Elan!D16</f>
        <v>0</v>
      </c>
      <c r="E16" s="92">
        <f>Elan!E16</f>
        <v>0</v>
      </c>
      <c r="F16" s="92">
        <f>Elan!F16</f>
        <v>0</v>
      </c>
      <c r="G16" s="92">
        <f>Elan!G16</f>
        <v>0</v>
      </c>
      <c r="H16" s="92">
        <f>Elan!H16</f>
        <v>0</v>
      </c>
      <c r="I16" s="92">
        <f>Elan!I16</f>
        <v>0</v>
      </c>
      <c r="J16" s="92">
        <f>Elan!J16</f>
        <v>0</v>
      </c>
      <c r="K16" s="92">
        <f>Elan!K16</f>
        <v>0</v>
      </c>
      <c r="L16" s="92">
        <f>Elan!L16</f>
        <v>0</v>
      </c>
      <c r="M16" s="92">
        <f>Elan!M16</f>
        <v>0</v>
      </c>
      <c r="N16" s="92">
        <f>Elan!N16</f>
        <v>0</v>
      </c>
      <c r="O16" s="92">
        <f>Elan!O16</f>
        <v>0</v>
      </c>
      <c r="P16" s="92">
        <f>Elan!P16</f>
        <v>0</v>
      </c>
      <c r="Q16" s="92">
        <f>Elan!Q16</f>
        <v>0</v>
      </c>
      <c r="R16" s="92">
        <f>Elan!R16</f>
        <v>0</v>
      </c>
      <c r="S16" s="92">
        <f>Elan!S16</f>
        <v>0</v>
      </c>
      <c r="T16" s="92">
        <f>Elan!T16</f>
        <v>0</v>
      </c>
      <c r="U16" s="92">
        <f>Elan!U16</f>
        <v>0</v>
      </c>
      <c r="V16" s="92">
        <f>Elan!V16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59.5</v>
      </c>
      <c r="D17" s="21">
        <f t="shared" ref="D17:V17" si="0">(VLOOKUP(D$14,$AI2:$AK26,2,FALSE))*D$15</f>
        <v>59.5</v>
      </c>
      <c r="E17" s="21">
        <f t="shared" si="0"/>
        <v>59.5</v>
      </c>
      <c r="F17" s="21">
        <f t="shared" si="0"/>
        <v>34</v>
      </c>
      <c r="G17" s="21">
        <f t="shared" si="0"/>
        <v>64.599999999999994</v>
      </c>
      <c r="H17" s="21">
        <f t="shared" si="0"/>
        <v>64.599999999999994</v>
      </c>
      <c r="I17" s="21">
        <f t="shared" si="0"/>
        <v>34</v>
      </c>
      <c r="J17" s="21">
        <f t="shared" si="0"/>
        <v>64.599999999999994</v>
      </c>
      <c r="K17" s="21">
        <f t="shared" si="0"/>
        <v>34</v>
      </c>
      <c r="L17" s="21">
        <f t="shared" si="0"/>
        <v>59.5</v>
      </c>
      <c r="M17" s="21">
        <f t="shared" si="0"/>
        <v>59.5</v>
      </c>
      <c r="N17" s="21">
        <f t="shared" si="0"/>
        <v>59.5</v>
      </c>
      <c r="O17" s="21">
        <f t="shared" si="0"/>
        <v>59.5</v>
      </c>
      <c r="P17" s="21">
        <f t="shared" si="0"/>
        <v>59.5</v>
      </c>
      <c r="Q17" s="21">
        <f t="shared" si="0"/>
        <v>59.5</v>
      </c>
      <c r="R17" s="21">
        <f t="shared" si="0"/>
        <v>59.5</v>
      </c>
      <c r="S17" s="21">
        <f t="shared" si="0"/>
        <v>59.5</v>
      </c>
      <c r="T17" s="21">
        <f t="shared" si="0"/>
        <v>59.5</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30.996657250000002</v>
      </c>
      <c r="D18" s="13">
        <f>$D32</f>
        <v>61.993314500000004</v>
      </c>
      <c r="E18" s="13">
        <f>$D33</f>
        <v>55.793983050000001</v>
      </c>
      <c r="F18" s="13">
        <f>$D34</f>
        <v>27.27705838</v>
      </c>
      <c r="G18" s="13">
        <f>$D35</f>
        <v>30.996657250000002</v>
      </c>
      <c r="H18" s="13">
        <f>$D36</f>
        <v>61.993314500000004</v>
      </c>
      <c r="I18" s="13">
        <f>$D37</f>
        <v>27.27705838</v>
      </c>
      <c r="J18" s="13">
        <f>$D38</f>
        <v>61.993314500000004</v>
      </c>
      <c r="K18" s="13">
        <f>$D39</f>
        <v>27.27705838</v>
      </c>
      <c r="L18" s="13">
        <f>$D40</f>
        <v>30.996657250000002</v>
      </c>
      <c r="M18" s="13">
        <f>$D41</f>
        <v>55.793983050000001</v>
      </c>
      <c r="N18" s="13">
        <f>$D42</f>
        <v>30.996657250000002</v>
      </c>
      <c r="O18" s="13">
        <f>$D43</f>
        <v>30.996657250000002</v>
      </c>
      <c r="P18" s="13">
        <f>$D44</f>
        <v>55.793983050000001</v>
      </c>
      <c r="Q18" s="13">
        <f>$D45</f>
        <v>30.996657250000002</v>
      </c>
      <c r="R18" s="13">
        <f>$D46</f>
        <v>61.993314500000004</v>
      </c>
      <c r="S18" s="13">
        <f>$D47</f>
        <v>61.993314500000004</v>
      </c>
      <c r="T18" s="13">
        <f>$D48</f>
        <v>61.993314500000004</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-28.503342749999998</v>
      </c>
      <c r="D19" s="13">
        <f t="shared" ref="D19:V19" si="1">D18-D17</f>
        <v>2.4933145000000039</v>
      </c>
      <c r="E19" s="13">
        <f t="shared" si="1"/>
        <v>-3.7060169499999986</v>
      </c>
      <c r="F19" s="13">
        <f t="shared" si="1"/>
        <v>-6.7229416200000003</v>
      </c>
      <c r="G19" s="13">
        <f t="shared" si="1"/>
        <v>-33.603342749999996</v>
      </c>
      <c r="H19" s="13">
        <f t="shared" si="1"/>
        <v>-2.6066854999999904</v>
      </c>
      <c r="I19" s="13">
        <f t="shared" si="1"/>
        <v>-6.7229416200000003</v>
      </c>
      <c r="J19" s="13">
        <f t="shared" si="1"/>
        <v>-2.6066854999999904</v>
      </c>
      <c r="K19" s="13">
        <f t="shared" si="1"/>
        <v>-6.7229416200000003</v>
      </c>
      <c r="L19" s="13">
        <f t="shared" si="1"/>
        <v>-28.503342749999998</v>
      </c>
      <c r="M19" s="13">
        <f t="shared" si="1"/>
        <v>-3.7060169499999986</v>
      </c>
      <c r="N19" s="13">
        <f t="shared" si="1"/>
        <v>-28.503342749999998</v>
      </c>
      <c r="O19" s="13">
        <f t="shared" si="1"/>
        <v>-28.503342749999998</v>
      </c>
      <c r="P19" s="13">
        <f t="shared" si="1"/>
        <v>-3.7060169499999986</v>
      </c>
      <c r="Q19" s="13">
        <f t="shared" si="1"/>
        <v>-28.503342749999998</v>
      </c>
      <c r="R19" s="13">
        <f t="shared" si="1"/>
        <v>2.4933145000000039</v>
      </c>
      <c r="S19" s="13">
        <f t="shared" si="1"/>
        <v>2.4933145000000039</v>
      </c>
      <c r="T19" s="13">
        <f t="shared" si="1"/>
        <v>2.4933145000000039</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INCREASE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INCREASE</v>
      </c>
      <c r="S20" s="19" t="str">
        <f>IF($B47="","",IF(S$19&gt;=0,"INCREASE","DECREASE"))</f>
        <v>INCREASE</v>
      </c>
      <c r="T20" s="19" t="str">
        <f>IF($B48="","",IF(T$19&gt;=0,"INCREASE","DECREASE"))</f>
        <v>INCREASE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210</v>
      </c>
      <c r="D21" s="21">
        <f t="shared" ref="D21:V21" si="2">(VLOOKUP(D$14,$AI2:$AK26,3,FALSE))*D$15</f>
        <v>210</v>
      </c>
      <c r="E21" s="21">
        <f t="shared" si="2"/>
        <v>210</v>
      </c>
      <c r="F21" s="21">
        <f t="shared" si="2"/>
        <v>120</v>
      </c>
      <c r="G21" s="21">
        <f t="shared" si="2"/>
        <v>228</v>
      </c>
      <c r="H21" s="21">
        <f t="shared" si="2"/>
        <v>228</v>
      </c>
      <c r="I21" s="21">
        <f t="shared" si="2"/>
        <v>120</v>
      </c>
      <c r="J21" s="21">
        <f t="shared" si="2"/>
        <v>228</v>
      </c>
      <c r="K21" s="21">
        <f t="shared" si="2"/>
        <v>120</v>
      </c>
      <c r="L21" s="21">
        <f t="shared" si="2"/>
        <v>210</v>
      </c>
      <c r="M21" s="21">
        <f t="shared" si="2"/>
        <v>210</v>
      </c>
      <c r="N21" s="21">
        <f t="shared" si="2"/>
        <v>210</v>
      </c>
      <c r="O21" s="21">
        <f t="shared" si="2"/>
        <v>210</v>
      </c>
      <c r="P21" s="21">
        <f t="shared" si="2"/>
        <v>210</v>
      </c>
      <c r="Q21" s="21">
        <f t="shared" si="2"/>
        <v>210</v>
      </c>
      <c r="R21" s="21">
        <f t="shared" si="2"/>
        <v>210</v>
      </c>
      <c r="S21" s="21">
        <f t="shared" si="2"/>
        <v>210</v>
      </c>
      <c r="T21" s="21">
        <f t="shared" si="2"/>
        <v>210</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1.3330915000000001</v>
      </c>
      <c r="D22" s="13">
        <f>$E32</f>
        <v>2.6661830000000002</v>
      </c>
      <c r="E22" s="13">
        <f>$E33</f>
        <v>2.3995647000000004</v>
      </c>
      <c r="F22" s="13">
        <f>$E34</f>
        <v>1.1731205200000003</v>
      </c>
      <c r="G22" s="13">
        <f>$E35</f>
        <v>1.3330915000000001</v>
      </c>
      <c r="H22" s="13">
        <f>$E36</f>
        <v>2.6661830000000002</v>
      </c>
      <c r="I22" s="13">
        <f>$E37</f>
        <v>1.1731205200000003</v>
      </c>
      <c r="J22" s="13">
        <f>$E38</f>
        <v>2.6661830000000002</v>
      </c>
      <c r="K22" s="13">
        <f>$E39</f>
        <v>1.1731205200000003</v>
      </c>
      <c r="L22" s="13">
        <f>$E40</f>
        <v>1.3330915000000001</v>
      </c>
      <c r="M22" s="13">
        <f>$E41</f>
        <v>2.3995647000000004</v>
      </c>
      <c r="N22" s="13">
        <f>$E42</f>
        <v>1.3330915000000001</v>
      </c>
      <c r="O22" s="13">
        <f>$E43</f>
        <v>1.3330915000000001</v>
      </c>
      <c r="P22" s="13">
        <f>$E44</f>
        <v>2.3995647000000004</v>
      </c>
      <c r="Q22" s="13">
        <f>$E45</f>
        <v>1.3330915000000001</v>
      </c>
      <c r="R22" s="13">
        <f>$E46</f>
        <v>2.6661830000000002</v>
      </c>
      <c r="S22" s="13">
        <f>$E47</f>
        <v>2.6661830000000002</v>
      </c>
      <c r="T22" s="13">
        <f>$E48</f>
        <v>2.6661830000000002</v>
      </c>
      <c r="U22" s="13">
        <f>$E49</f>
        <v>0</v>
      </c>
      <c r="V22" s="13">
        <f>$E50</f>
        <v>0</v>
      </c>
      <c r="AI22" s="55" t="s">
        <v>102</v>
      </c>
      <c r="AJ22" s="56">
        <v>1.2</v>
      </c>
      <c r="AK22" s="57">
        <v>5</v>
      </c>
      <c r="AL22" s="22">
        <v>20</v>
      </c>
      <c r="AM22" s="9">
        <v>6.7</v>
      </c>
      <c r="AN22" s="9" t="s">
        <v>135</v>
      </c>
    </row>
    <row r="23" spans="1:40" ht="13" x14ac:dyDescent="0.25">
      <c r="A23" s="111" t="s">
        <v>92</v>
      </c>
      <c r="B23" s="112"/>
      <c r="C23" s="13">
        <f>C22-C21</f>
        <v>-208.66690850000001</v>
      </c>
      <c r="D23" s="13">
        <f t="shared" ref="D23:V23" si="3">D22-D21</f>
        <v>-207.33381700000001</v>
      </c>
      <c r="E23" s="13">
        <f t="shared" si="3"/>
        <v>-207.60043529999999</v>
      </c>
      <c r="F23" s="13">
        <f t="shared" si="3"/>
        <v>-118.82687948</v>
      </c>
      <c r="G23" s="13">
        <f t="shared" si="3"/>
        <v>-226.66690850000001</v>
      </c>
      <c r="H23" s="13">
        <f t="shared" si="3"/>
        <v>-225.33381700000001</v>
      </c>
      <c r="I23" s="13">
        <f t="shared" si="3"/>
        <v>-118.82687948</v>
      </c>
      <c r="J23" s="13">
        <f t="shared" si="3"/>
        <v>-225.33381700000001</v>
      </c>
      <c r="K23" s="13">
        <f t="shared" si="3"/>
        <v>-118.82687948</v>
      </c>
      <c r="L23" s="13">
        <f t="shared" si="3"/>
        <v>-208.66690850000001</v>
      </c>
      <c r="M23" s="13">
        <f t="shared" si="3"/>
        <v>-207.60043529999999</v>
      </c>
      <c r="N23" s="13">
        <f t="shared" si="3"/>
        <v>-208.66690850000001</v>
      </c>
      <c r="O23" s="13">
        <f t="shared" si="3"/>
        <v>-208.66690850000001</v>
      </c>
      <c r="P23" s="13">
        <f t="shared" si="3"/>
        <v>-207.60043529999999</v>
      </c>
      <c r="Q23" s="13">
        <f t="shared" si="3"/>
        <v>-208.66690850000001</v>
      </c>
      <c r="R23" s="13">
        <f t="shared" si="3"/>
        <v>-207.33381700000001</v>
      </c>
      <c r="S23" s="13">
        <f t="shared" si="3"/>
        <v>-207.33381700000001</v>
      </c>
      <c r="T23" s="13">
        <f t="shared" si="3"/>
        <v>-207.33381700000001</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2.99</v>
      </c>
      <c r="C28" s="12">
        <v>1.28</v>
      </c>
      <c r="D28" s="12">
        <v>0.36199999999999999</v>
      </c>
      <c r="E28" s="12">
        <v>2.9600000000000001E-2</v>
      </c>
      <c r="F28" s="12">
        <v>557</v>
      </c>
      <c r="G28" s="12">
        <v>46</v>
      </c>
      <c r="H28" s="12">
        <v>161</v>
      </c>
      <c r="I28" s="12">
        <v>6.2</v>
      </c>
      <c r="J28" s="12">
        <v>0.48</v>
      </c>
      <c r="K28" s="16">
        <v>1.34</v>
      </c>
      <c r="L28" s="12">
        <v>3.86</v>
      </c>
      <c r="M28" s="12">
        <v>4.3</v>
      </c>
      <c r="N28" s="12">
        <v>199000</v>
      </c>
      <c r="O28" s="12">
        <v>5400</v>
      </c>
      <c r="P28" s="12"/>
      <c r="Q28" s="12">
        <v>15300</v>
      </c>
      <c r="R28" s="12"/>
      <c r="S28" s="12">
        <v>17.899999999999999</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Cae Derwin</v>
      </c>
      <c r="B31" s="12">
        <v>125</v>
      </c>
      <c r="C31" s="68">
        <f>IF(C$27="%w/w SAR",((C$28*10)*$B31),IF(C$27="%w/w DM",(((C$28*10)*($B$28/100))*$B31),IF(C$27="kg/t SAR",(C$28*$B31),IF(C$27="kg/t DM",((C$28*($B$28/100))*$B31),IF(C$27="mg/kg SAR",((C$28*0.001)*$B31),IF(C$27="mg/kg DM",(((C$28*0.001)*($B$28/100))*$B31),0))))))</f>
        <v>47.840000000000011</v>
      </c>
      <c r="D31" s="68">
        <f>(IF(D$27="%w/w SAR",((D$28*10)*$B31),IF(D$27="%w/w DM",(((D$28*10)*($B$28/100))*$B31),IF(D$27="kg/t SAR",(D$28*$B31),IF(D$27="kg/t DM",((D$28*($B$28/100))*$B31),IF(D$27="mg/kg SAR",((D$28*0.001)*$B31),IF(D$27="mg/kg DM",(((D$28*0.001)*($B$28/100))*$B31),"0")))))))*2.291</f>
        <v>30.996657250000002</v>
      </c>
      <c r="E31" s="68">
        <f>(IF(E$27="%w/w SAR",((E$28*10)*$B31),IF(E$27="%w/w DM",(((E$28*10)*($B$28/100))*$B31),IF(E$27="kg/t SAR",(E$28*$B31),IF(E$27="kg/t DM",((E$28*($B$28/100))*$B31),IF(E$27="mg/kg SAR",((E$28*0.001)*$B31),IF(E$27="mg/kg DM",(((E$28*0.001)*($B$28/100))*$B31),"0")))))))*1.205</f>
        <v>1.3330915000000001</v>
      </c>
      <c r="F31" s="68">
        <f>(IF(F$27="%w/w SAR",((F$28*10)*$B31),IF(F$27="%w/w DM",(((F$28*10)*($B$28/100))*$B31),IF(F$27="kg/t SAR",(F$28*$B31),IF(F$27="kg/t DM",((F$28*($B$28/100))*$B31),IF(F$27="mg/kg SAR",((F$28*0.001)*$B31),IF(F$27="mg/kg DM",(((F$28*0.001)*($B$28/100))*$B31),"0")))))))*1.658</f>
        <v>3.4516036750000003</v>
      </c>
      <c r="G31" s="68">
        <f t="shared" ref="G31:P46" si="5">IF(G$27="%w/w SAR",((G$28*10)*$B31),IF(G$27="%w/w DM",(((G$28*10)*($B$28/100))*$B31),IF(G$27="kg/t SAR",(G$28*$B31),IF(G$27="kg/t DM",((G$28*($B$28/100))*$B31),IF(G$27="mg/kg SAR",((G$28*0.001)*$B31),IF(G$27="mg/kg DM",(((G$28*0.001)*($B$28/100))*$B31),0))))))</f>
        <v>0.17192500000000002</v>
      </c>
      <c r="H31" s="68">
        <f t="shared" si="5"/>
        <v>0.60173750000000004</v>
      </c>
      <c r="I31" s="68">
        <f t="shared" si="5"/>
        <v>2.3172500000000006E-2</v>
      </c>
      <c r="J31" s="68">
        <f t="shared" si="5"/>
        <v>1.7940000000000002E-3</v>
      </c>
      <c r="K31" s="68">
        <f t="shared" si="5"/>
        <v>5.0082500000000005E-3</v>
      </c>
      <c r="L31" s="68">
        <f t="shared" si="5"/>
        <v>1.4426750000000002E-2</v>
      </c>
      <c r="M31" s="68">
        <f t="shared" si="5"/>
        <v>1.6071250000000002E-2</v>
      </c>
      <c r="N31" s="68">
        <f t="shared" si="5"/>
        <v>743.76250000000016</v>
      </c>
      <c r="O31" s="68">
        <f t="shared" si="5"/>
        <v>20.182500000000001</v>
      </c>
      <c r="P31" s="68">
        <f t="shared" si="5"/>
        <v>0</v>
      </c>
      <c r="Q31" s="68">
        <f>(IF(Q$27="%w/w SAR",((Q$28*10)*$B31),IF(Q$27="%w/w DM",(((Q$28*10)*($B$28/100))*$B31),IF(Q$27="kg/t SAR",(Q$28*$B31),IF(Q$27="kg/t DM",((Q$28*($B$28/100))*$B31),IF(Q$27="mg/kg SAR",((Q$28*0.001)*$B31),IF(Q$27="mg/kg DM",(((Q$28*0.001)*($B$28/100))*$B31),0)))))))*2.5</f>
        <v>142.95937500000002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6.6901250000000009E-2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Cae Gwar</v>
      </c>
      <c r="B32" s="12">
        <v>250</v>
      </c>
      <c r="C32" s="68">
        <f t="shared" ref="C32:C50" si="6">IF(C$27="%w/w SAR",((C$28*10)*$B32),IF(C$27="%w/w DM",(((C$28*10)*($B$28/100))*$B32),IF(C$27="kg/t SAR",(C$28*$B32),IF(C$27="kg/t DM",((C$28*($B$28/100))*$B32),IF(C$27="mg/kg SAR",((C$28*0.001)*$B32),IF(C$27="mg/kg DM",(((C$28*0.001)*($B$28/100))*$B32),0))))))</f>
        <v>95.680000000000021</v>
      </c>
      <c r="D32" s="68">
        <f t="shared" ref="D32:D50" si="7">(IF(D$27="%w/w SAR",((D$28*10)*$B32),IF(D$27="%w/w DM",(((D$28*10)*($B$28/100))*$B32),IF(D$27="kg/t SAR",(D$28*$B32),IF(D$27="kg/t DM",((D$28*($B$28/100))*$B32),IF(D$27="mg/kg SAR",((D$28*0.001)*$B32),IF(D$27="mg/kg DM",(((D$28*0.001)*($B$28/100))*$B32),"0")))))))*2.291</f>
        <v>61.993314500000004</v>
      </c>
      <c r="E32" s="68">
        <f t="shared" ref="E32:E50" si="8">(IF(E$27="%w/w SAR",((E$28*10)*$B32),IF(E$27="%w/w DM",(((E$28*10)*($B$28/100))*$B32),IF(E$27="kg/t SAR",(E$28*$B32),IF(E$27="kg/t DM",((E$28*($B$28/100))*$B32),IF(E$27="mg/kg SAR",((E$28*0.001)*$B32),IF(E$27="mg/kg DM",(((E$28*0.001)*($B$28/100))*$B32),"0")))))))*1.205</f>
        <v>2.6661830000000002</v>
      </c>
      <c r="F32" s="68">
        <f t="shared" ref="F32:F50" si="9">(IF(F$27="%w/w SAR",((F$28*10)*$B32),IF(F$27="%w/w DM",(((F$28*10)*($B$28/100))*$B32),IF(F$27="kg/t SAR",(F$28*$B32),IF(F$27="kg/t DM",((F$28*($B$28/100))*$B32),IF(F$27="mg/kg SAR",((F$28*0.001)*$B32),IF(F$27="mg/kg DM",(((F$28*0.001)*($B$28/100))*$B32),"0")))))))*1.658</f>
        <v>6.9032073500000006</v>
      </c>
      <c r="G32" s="68">
        <f t="shared" si="5"/>
        <v>0.34385000000000004</v>
      </c>
      <c r="H32" s="68">
        <f t="shared" si="5"/>
        <v>1.2034750000000001</v>
      </c>
      <c r="I32" s="68">
        <f t="shared" si="5"/>
        <v>4.6345000000000011E-2</v>
      </c>
      <c r="J32" s="68">
        <f t="shared" si="5"/>
        <v>3.5880000000000005E-3</v>
      </c>
      <c r="K32" s="68">
        <f t="shared" si="5"/>
        <v>1.0016500000000001E-2</v>
      </c>
      <c r="L32" s="68">
        <f t="shared" si="5"/>
        <v>2.8853500000000004E-2</v>
      </c>
      <c r="M32" s="68">
        <f t="shared" si="5"/>
        <v>3.2142500000000004E-2</v>
      </c>
      <c r="N32" s="68">
        <f t="shared" si="5"/>
        <v>1487.5250000000003</v>
      </c>
      <c r="O32" s="68">
        <f t="shared" si="5"/>
        <v>40.365000000000002</v>
      </c>
      <c r="P32" s="68">
        <f t="shared" si="5"/>
        <v>0</v>
      </c>
      <c r="Q32" s="68">
        <f t="shared" ref="Q32:Q50" si="10">(IF(Q$27="%w/w SAR",((Q$28*10)*$B32),IF(Q$27="%w/w DM",(((Q$28*10)*($B$28/100))*$B32),IF(Q$27="kg/t SAR",(Q$28*$B32),IF(Q$27="kg/t DM",((Q$28*($B$28/100))*$B32),IF(Q$27="mg/kg SAR",((Q$28*0.001)*$B32),IF(Q$27="mg/kg DM",(((Q$28*0.001)*($B$28/100))*$B32),0)))))))*2.5</f>
        <v>285.91875000000005</v>
      </c>
      <c r="R32" s="68">
        <f t="shared" ref="R32:U50" si="11">IF(R$27="%w/w SAR",((R$28*10)*$B32),IF(R$27="%w/w DM",(((R$28*10)*($B$28/100))*$B32),IF(R$27="kg/t SAR",(R$28*$B32),IF(R$27="kg/t DM",((R$28*($B$28/100))*$B32),IF(R$27="mg/kg SAR",((R$28*0.001)*$B32),IF(R$27="mg/kg DM",(((R$28*0.001)*($B$28/100))*$B32),0))))))</f>
        <v>0</v>
      </c>
      <c r="S32" s="68">
        <f t="shared" si="11"/>
        <v>0.13380250000000002</v>
      </c>
      <c r="T32" s="68">
        <f t="shared" si="11"/>
        <v>0</v>
      </c>
      <c r="U32" s="68">
        <f t="shared" si="11"/>
        <v>0</v>
      </c>
    </row>
    <row r="33" spans="1:21" s="51" customFormat="1" ht="13" x14ac:dyDescent="0.35">
      <c r="A33" s="10">
        <f>E8</f>
        <v>7216</v>
      </c>
      <c r="B33" s="12">
        <v>225</v>
      </c>
      <c r="C33" s="68">
        <f t="shared" si="6"/>
        <v>86.112000000000009</v>
      </c>
      <c r="D33" s="68">
        <f t="shared" si="7"/>
        <v>55.793983050000001</v>
      </c>
      <c r="E33" s="68">
        <f t="shared" si="8"/>
        <v>2.3995647000000004</v>
      </c>
      <c r="F33" s="68">
        <f t="shared" si="9"/>
        <v>6.2128866150000013</v>
      </c>
      <c r="G33" s="68">
        <f t="shared" si="5"/>
        <v>0.30946500000000005</v>
      </c>
      <c r="H33" s="68">
        <f t="shared" si="5"/>
        <v>1.0831275</v>
      </c>
      <c r="I33" s="68">
        <f t="shared" si="5"/>
        <v>4.1710500000000011E-2</v>
      </c>
      <c r="J33" s="68">
        <f t="shared" si="5"/>
        <v>3.2292000000000006E-3</v>
      </c>
      <c r="K33" s="68">
        <f t="shared" si="5"/>
        <v>9.0148500000000013E-3</v>
      </c>
      <c r="L33" s="68">
        <f t="shared" si="5"/>
        <v>2.5968150000000002E-2</v>
      </c>
      <c r="M33" s="68">
        <f t="shared" si="5"/>
        <v>2.8928250000000006E-2</v>
      </c>
      <c r="N33" s="68">
        <f t="shared" si="5"/>
        <v>1338.7725000000003</v>
      </c>
      <c r="O33" s="68">
        <f t="shared" si="5"/>
        <v>36.328500000000005</v>
      </c>
      <c r="P33" s="68">
        <f t="shared" si="5"/>
        <v>0</v>
      </c>
      <c r="Q33" s="68">
        <f t="shared" si="10"/>
        <v>257.32687500000003</v>
      </c>
      <c r="R33" s="68">
        <f t="shared" si="11"/>
        <v>0</v>
      </c>
      <c r="S33" s="68">
        <f t="shared" si="11"/>
        <v>0.12042225000000001</v>
      </c>
      <c r="T33" s="68">
        <f t="shared" si="11"/>
        <v>0</v>
      </c>
      <c r="U33" s="68">
        <f t="shared" si="11"/>
        <v>0</v>
      </c>
    </row>
    <row r="34" spans="1:21" s="51" customFormat="1" ht="13" x14ac:dyDescent="0.35">
      <c r="A34" s="10">
        <f>F8</f>
        <v>11</v>
      </c>
      <c r="B34" s="12">
        <v>110</v>
      </c>
      <c r="C34" s="68">
        <f t="shared" si="6"/>
        <v>42.099200000000003</v>
      </c>
      <c r="D34" s="68">
        <f t="shared" si="7"/>
        <v>27.27705838</v>
      </c>
      <c r="E34" s="68">
        <f t="shared" si="8"/>
        <v>1.1731205200000003</v>
      </c>
      <c r="F34" s="68">
        <f t="shared" si="9"/>
        <v>3.0374112340000008</v>
      </c>
      <c r="G34" s="68">
        <f t="shared" si="5"/>
        <v>0.15129400000000001</v>
      </c>
      <c r="H34" s="68">
        <f t="shared" si="5"/>
        <v>0.52952900000000003</v>
      </c>
      <c r="I34" s="68">
        <f t="shared" si="5"/>
        <v>2.0391800000000005E-2</v>
      </c>
      <c r="J34" s="68">
        <f t="shared" si="5"/>
        <v>1.5787200000000003E-3</v>
      </c>
      <c r="K34" s="68">
        <f t="shared" si="5"/>
        <v>4.4072600000000005E-3</v>
      </c>
      <c r="L34" s="68">
        <f t="shared" si="5"/>
        <v>1.2695540000000002E-2</v>
      </c>
      <c r="M34" s="68">
        <f t="shared" si="5"/>
        <v>1.4142700000000003E-2</v>
      </c>
      <c r="N34" s="68">
        <f t="shared" si="5"/>
        <v>654.51100000000008</v>
      </c>
      <c r="O34" s="68">
        <f t="shared" si="5"/>
        <v>17.760600000000004</v>
      </c>
      <c r="P34" s="68">
        <f t="shared" si="5"/>
        <v>0</v>
      </c>
      <c r="Q34" s="68">
        <f t="shared" si="10"/>
        <v>125.80425000000002</v>
      </c>
      <c r="R34" s="68">
        <f t="shared" si="11"/>
        <v>0</v>
      </c>
      <c r="S34" s="68">
        <f t="shared" si="11"/>
        <v>5.8873100000000005E-2</v>
      </c>
      <c r="T34" s="68">
        <f t="shared" si="11"/>
        <v>0</v>
      </c>
      <c r="U34" s="68">
        <f t="shared" si="11"/>
        <v>0</v>
      </c>
    </row>
    <row r="35" spans="1:21" s="51" customFormat="1" ht="13" x14ac:dyDescent="0.35">
      <c r="A35" s="10">
        <f>G8</f>
        <v>12</v>
      </c>
      <c r="B35" s="12">
        <v>125</v>
      </c>
      <c r="C35" s="68">
        <f t="shared" si="6"/>
        <v>47.840000000000011</v>
      </c>
      <c r="D35" s="68">
        <f t="shared" si="7"/>
        <v>30.996657250000002</v>
      </c>
      <c r="E35" s="68">
        <f t="shared" si="8"/>
        <v>1.3330915000000001</v>
      </c>
      <c r="F35" s="68">
        <f t="shared" si="9"/>
        <v>3.4516036750000003</v>
      </c>
      <c r="G35" s="68">
        <f t="shared" si="5"/>
        <v>0.17192500000000002</v>
      </c>
      <c r="H35" s="68">
        <f t="shared" si="5"/>
        <v>0.60173750000000004</v>
      </c>
      <c r="I35" s="68">
        <f t="shared" si="5"/>
        <v>2.3172500000000006E-2</v>
      </c>
      <c r="J35" s="68">
        <f t="shared" si="5"/>
        <v>1.7940000000000002E-3</v>
      </c>
      <c r="K35" s="68">
        <f t="shared" si="5"/>
        <v>5.0082500000000005E-3</v>
      </c>
      <c r="L35" s="68">
        <f t="shared" si="5"/>
        <v>1.4426750000000002E-2</v>
      </c>
      <c r="M35" s="68">
        <f t="shared" si="5"/>
        <v>1.6071250000000002E-2</v>
      </c>
      <c r="N35" s="68">
        <f t="shared" si="5"/>
        <v>743.76250000000016</v>
      </c>
      <c r="O35" s="68">
        <f t="shared" si="5"/>
        <v>20.182500000000001</v>
      </c>
      <c r="P35" s="68">
        <f t="shared" si="5"/>
        <v>0</v>
      </c>
      <c r="Q35" s="68">
        <f t="shared" si="10"/>
        <v>142.95937500000002</v>
      </c>
      <c r="R35" s="68">
        <f t="shared" si="11"/>
        <v>0</v>
      </c>
      <c r="S35" s="68">
        <f t="shared" si="11"/>
        <v>6.6901250000000009E-2</v>
      </c>
      <c r="T35" s="68">
        <f t="shared" si="11"/>
        <v>0</v>
      </c>
      <c r="U35" s="68">
        <f t="shared" si="11"/>
        <v>0</v>
      </c>
    </row>
    <row r="36" spans="1:21" s="51" customFormat="1" ht="13" x14ac:dyDescent="0.35">
      <c r="A36" s="10">
        <f>H8</f>
        <v>14</v>
      </c>
      <c r="B36" s="12">
        <v>250</v>
      </c>
      <c r="C36" s="68">
        <f t="shared" si="6"/>
        <v>95.680000000000021</v>
      </c>
      <c r="D36" s="68">
        <f t="shared" si="7"/>
        <v>61.993314500000004</v>
      </c>
      <c r="E36" s="68">
        <f t="shared" si="8"/>
        <v>2.6661830000000002</v>
      </c>
      <c r="F36" s="68">
        <f t="shared" si="9"/>
        <v>6.9032073500000006</v>
      </c>
      <c r="G36" s="68">
        <f t="shared" si="5"/>
        <v>0.34385000000000004</v>
      </c>
      <c r="H36" s="68">
        <f t="shared" si="5"/>
        <v>1.2034750000000001</v>
      </c>
      <c r="I36" s="68">
        <f t="shared" si="5"/>
        <v>4.6345000000000011E-2</v>
      </c>
      <c r="J36" s="68">
        <f t="shared" si="5"/>
        <v>3.5880000000000005E-3</v>
      </c>
      <c r="K36" s="68">
        <f t="shared" si="5"/>
        <v>1.0016500000000001E-2</v>
      </c>
      <c r="L36" s="68">
        <f t="shared" si="5"/>
        <v>2.8853500000000004E-2</v>
      </c>
      <c r="M36" s="68">
        <f t="shared" si="5"/>
        <v>3.2142500000000004E-2</v>
      </c>
      <c r="N36" s="68">
        <f t="shared" si="5"/>
        <v>1487.5250000000003</v>
      </c>
      <c r="O36" s="68">
        <f t="shared" si="5"/>
        <v>40.365000000000002</v>
      </c>
      <c r="P36" s="68">
        <f t="shared" si="5"/>
        <v>0</v>
      </c>
      <c r="Q36" s="68">
        <f t="shared" si="10"/>
        <v>285.91875000000005</v>
      </c>
      <c r="R36" s="68">
        <f t="shared" si="11"/>
        <v>0</v>
      </c>
      <c r="S36" s="68">
        <f t="shared" si="11"/>
        <v>0.13380250000000002</v>
      </c>
      <c r="T36" s="68">
        <f t="shared" si="11"/>
        <v>0</v>
      </c>
      <c r="U36" s="68">
        <f t="shared" si="11"/>
        <v>0</v>
      </c>
    </row>
    <row r="37" spans="1:21" s="51" customFormat="1" ht="13" x14ac:dyDescent="0.35">
      <c r="A37" s="10" t="str">
        <f>I8</f>
        <v>15A</v>
      </c>
      <c r="B37" s="12">
        <v>110</v>
      </c>
      <c r="C37" s="68">
        <f t="shared" si="6"/>
        <v>42.099200000000003</v>
      </c>
      <c r="D37" s="68">
        <f t="shared" si="7"/>
        <v>27.27705838</v>
      </c>
      <c r="E37" s="68">
        <f t="shared" si="8"/>
        <v>1.1731205200000003</v>
      </c>
      <c r="F37" s="68">
        <f t="shared" si="9"/>
        <v>3.0374112340000008</v>
      </c>
      <c r="G37" s="68">
        <f t="shared" si="5"/>
        <v>0.15129400000000001</v>
      </c>
      <c r="H37" s="68">
        <f t="shared" si="5"/>
        <v>0.52952900000000003</v>
      </c>
      <c r="I37" s="68">
        <f t="shared" si="5"/>
        <v>2.0391800000000005E-2</v>
      </c>
      <c r="J37" s="68">
        <f t="shared" si="5"/>
        <v>1.5787200000000003E-3</v>
      </c>
      <c r="K37" s="68">
        <f t="shared" si="5"/>
        <v>4.4072600000000005E-3</v>
      </c>
      <c r="L37" s="68">
        <f t="shared" si="5"/>
        <v>1.2695540000000002E-2</v>
      </c>
      <c r="M37" s="68">
        <f t="shared" si="5"/>
        <v>1.4142700000000003E-2</v>
      </c>
      <c r="N37" s="68">
        <f t="shared" si="5"/>
        <v>654.51100000000008</v>
      </c>
      <c r="O37" s="68">
        <f t="shared" si="5"/>
        <v>17.760600000000004</v>
      </c>
      <c r="P37" s="68">
        <f t="shared" si="5"/>
        <v>0</v>
      </c>
      <c r="Q37" s="68">
        <f t="shared" si="10"/>
        <v>125.80425000000002</v>
      </c>
      <c r="R37" s="68">
        <f t="shared" si="11"/>
        <v>0</v>
      </c>
      <c r="S37" s="68">
        <f t="shared" si="11"/>
        <v>5.8873100000000005E-2</v>
      </c>
      <c r="T37" s="68">
        <f t="shared" si="11"/>
        <v>0</v>
      </c>
      <c r="U37" s="68">
        <f t="shared" si="11"/>
        <v>0</v>
      </c>
    </row>
    <row r="38" spans="1:21" s="51" customFormat="1" ht="13" x14ac:dyDescent="0.35">
      <c r="A38" s="10">
        <f>J8</f>
        <v>17</v>
      </c>
      <c r="B38" s="12">
        <v>250</v>
      </c>
      <c r="C38" s="68">
        <f t="shared" si="6"/>
        <v>95.680000000000021</v>
      </c>
      <c r="D38" s="68">
        <f t="shared" si="7"/>
        <v>61.993314500000004</v>
      </c>
      <c r="E38" s="68">
        <f t="shared" si="8"/>
        <v>2.6661830000000002</v>
      </c>
      <c r="F38" s="68">
        <f t="shared" si="9"/>
        <v>6.9032073500000006</v>
      </c>
      <c r="G38" s="68">
        <f t="shared" si="5"/>
        <v>0.34385000000000004</v>
      </c>
      <c r="H38" s="68">
        <f t="shared" si="5"/>
        <v>1.2034750000000001</v>
      </c>
      <c r="I38" s="68">
        <f t="shared" si="5"/>
        <v>4.6345000000000011E-2</v>
      </c>
      <c r="J38" s="68">
        <f t="shared" si="5"/>
        <v>3.5880000000000005E-3</v>
      </c>
      <c r="K38" s="68">
        <f t="shared" si="5"/>
        <v>1.0016500000000001E-2</v>
      </c>
      <c r="L38" s="68">
        <f t="shared" si="5"/>
        <v>2.8853500000000004E-2</v>
      </c>
      <c r="M38" s="68">
        <f t="shared" si="5"/>
        <v>3.2142500000000004E-2</v>
      </c>
      <c r="N38" s="68">
        <f t="shared" si="5"/>
        <v>1487.5250000000003</v>
      </c>
      <c r="O38" s="68">
        <f t="shared" si="5"/>
        <v>40.365000000000002</v>
      </c>
      <c r="P38" s="68">
        <f t="shared" si="5"/>
        <v>0</v>
      </c>
      <c r="Q38" s="68">
        <f t="shared" si="10"/>
        <v>285.91875000000005</v>
      </c>
      <c r="R38" s="68">
        <f t="shared" si="11"/>
        <v>0</v>
      </c>
      <c r="S38" s="68">
        <f t="shared" si="11"/>
        <v>0.13380250000000002</v>
      </c>
      <c r="T38" s="68">
        <f t="shared" si="11"/>
        <v>0</v>
      </c>
      <c r="U38" s="68">
        <f t="shared" si="11"/>
        <v>0</v>
      </c>
    </row>
    <row r="39" spans="1:21" s="51" customFormat="1" ht="13" x14ac:dyDescent="0.35">
      <c r="A39" s="10">
        <f>K8</f>
        <v>18</v>
      </c>
      <c r="B39" s="12">
        <v>110</v>
      </c>
      <c r="C39" s="68">
        <f t="shared" si="6"/>
        <v>42.099200000000003</v>
      </c>
      <c r="D39" s="68">
        <f t="shared" si="7"/>
        <v>27.27705838</v>
      </c>
      <c r="E39" s="68">
        <f t="shared" si="8"/>
        <v>1.1731205200000003</v>
      </c>
      <c r="F39" s="68">
        <f t="shared" si="9"/>
        <v>3.0374112340000008</v>
      </c>
      <c r="G39" s="68">
        <f t="shared" si="5"/>
        <v>0.15129400000000001</v>
      </c>
      <c r="H39" s="68">
        <f t="shared" si="5"/>
        <v>0.52952900000000003</v>
      </c>
      <c r="I39" s="68">
        <f t="shared" si="5"/>
        <v>2.0391800000000005E-2</v>
      </c>
      <c r="J39" s="68">
        <f t="shared" si="5"/>
        <v>1.5787200000000003E-3</v>
      </c>
      <c r="K39" s="68">
        <f t="shared" si="5"/>
        <v>4.4072600000000005E-3</v>
      </c>
      <c r="L39" s="68">
        <f t="shared" si="5"/>
        <v>1.2695540000000002E-2</v>
      </c>
      <c r="M39" s="68">
        <f t="shared" si="5"/>
        <v>1.4142700000000003E-2</v>
      </c>
      <c r="N39" s="68">
        <f t="shared" si="5"/>
        <v>654.51100000000008</v>
      </c>
      <c r="O39" s="68">
        <f t="shared" si="5"/>
        <v>17.760600000000004</v>
      </c>
      <c r="P39" s="68">
        <f t="shared" si="5"/>
        <v>0</v>
      </c>
      <c r="Q39" s="68">
        <f t="shared" si="10"/>
        <v>125.80425000000002</v>
      </c>
      <c r="R39" s="68">
        <f t="shared" si="11"/>
        <v>0</v>
      </c>
      <c r="S39" s="68">
        <f t="shared" si="11"/>
        <v>5.8873100000000005E-2</v>
      </c>
      <c r="T39" s="68">
        <f t="shared" si="11"/>
        <v>0</v>
      </c>
      <c r="U39" s="68">
        <f t="shared" si="11"/>
        <v>0</v>
      </c>
    </row>
    <row r="40" spans="1:21" s="51" customFormat="1" ht="13" x14ac:dyDescent="0.35">
      <c r="A40" s="10" t="str">
        <f>L8</f>
        <v>PB2 1</v>
      </c>
      <c r="B40" s="12">
        <v>125</v>
      </c>
      <c r="C40" s="68">
        <f t="shared" si="6"/>
        <v>47.840000000000011</v>
      </c>
      <c r="D40" s="68">
        <f t="shared" si="7"/>
        <v>30.996657250000002</v>
      </c>
      <c r="E40" s="68">
        <f t="shared" si="8"/>
        <v>1.3330915000000001</v>
      </c>
      <c r="F40" s="68">
        <f t="shared" si="9"/>
        <v>3.4516036750000003</v>
      </c>
      <c r="G40" s="68">
        <f t="shared" si="5"/>
        <v>0.17192500000000002</v>
      </c>
      <c r="H40" s="68">
        <f t="shared" si="5"/>
        <v>0.60173750000000004</v>
      </c>
      <c r="I40" s="68">
        <f t="shared" si="5"/>
        <v>2.3172500000000006E-2</v>
      </c>
      <c r="J40" s="68">
        <f t="shared" si="5"/>
        <v>1.7940000000000002E-3</v>
      </c>
      <c r="K40" s="68">
        <f t="shared" si="5"/>
        <v>5.0082500000000005E-3</v>
      </c>
      <c r="L40" s="68">
        <f t="shared" si="5"/>
        <v>1.4426750000000002E-2</v>
      </c>
      <c r="M40" s="68">
        <f t="shared" si="5"/>
        <v>1.6071250000000002E-2</v>
      </c>
      <c r="N40" s="68">
        <f t="shared" si="5"/>
        <v>743.76250000000016</v>
      </c>
      <c r="O40" s="68">
        <f t="shared" si="5"/>
        <v>20.182500000000001</v>
      </c>
      <c r="P40" s="68">
        <f t="shared" si="5"/>
        <v>0</v>
      </c>
      <c r="Q40" s="68">
        <f t="shared" si="10"/>
        <v>142.95937500000002</v>
      </c>
      <c r="R40" s="68">
        <f t="shared" si="11"/>
        <v>0</v>
      </c>
      <c r="S40" s="68">
        <f t="shared" si="11"/>
        <v>6.6901250000000009E-2</v>
      </c>
      <c r="T40" s="68">
        <f t="shared" si="11"/>
        <v>0</v>
      </c>
      <c r="U40" s="68">
        <f t="shared" si="11"/>
        <v>0</v>
      </c>
    </row>
    <row r="41" spans="1:21" s="51" customFormat="1" ht="13" x14ac:dyDescent="0.35">
      <c r="A41" s="10" t="str">
        <f>M8</f>
        <v>PB2 2</v>
      </c>
      <c r="B41" s="12">
        <v>225</v>
      </c>
      <c r="C41" s="68">
        <f t="shared" si="6"/>
        <v>86.112000000000009</v>
      </c>
      <c r="D41" s="68">
        <f t="shared" si="7"/>
        <v>55.793983050000001</v>
      </c>
      <c r="E41" s="68">
        <f t="shared" si="8"/>
        <v>2.3995647000000004</v>
      </c>
      <c r="F41" s="68">
        <f t="shared" si="9"/>
        <v>6.2128866150000013</v>
      </c>
      <c r="G41" s="68">
        <f t="shared" si="5"/>
        <v>0.30946500000000005</v>
      </c>
      <c r="H41" s="68">
        <f t="shared" si="5"/>
        <v>1.0831275</v>
      </c>
      <c r="I41" s="68">
        <f t="shared" si="5"/>
        <v>4.1710500000000011E-2</v>
      </c>
      <c r="J41" s="68">
        <f t="shared" si="5"/>
        <v>3.2292000000000006E-3</v>
      </c>
      <c r="K41" s="68">
        <f t="shared" si="5"/>
        <v>9.0148500000000013E-3</v>
      </c>
      <c r="L41" s="68">
        <f t="shared" si="5"/>
        <v>2.5968150000000002E-2</v>
      </c>
      <c r="M41" s="68">
        <f t="shared" si="5"/>
        <v>2.8928250000000006E-2</v>
      </c>
      <c r="N41" s="68">
        <f t="shared" si="5"/>
        <v>1338.7725000000003</v>
      </c>
      <c r="O41" s="68">
        <f t="shared" si="5"/>
        <v>36.328500000000005</v>
      </c>
      <c r="P41" s="68">
        <f t="shared" si="5"/>
        <v>0</v>
      </c>
      <c r="Q41" s="68">
        <f t="shared" si="10"/>
        <v>257.32687500000003</v>
      </c>
      <c r="R41" s="68">
        <f t="shared" si="11"/>
        <v>0</v>
      </c>
      <c r="S41" s="68">
        <f t="shared" si="11"/>
        <v>0.12042225000000001</v>
      </c>
      <c r="T41" s="68">
        <f t="shared" si="11"/>
        <v>0</v>
      </c>
      <c r="U41" s="68">
        <f t="shared" si="11"/>
        <v>0</v>
      </c>
    </row>
    <row r="42" spans="1:21" s="51" customFormat="1" ht="13" x14ac:dyDescent="0.35">
      <c r="A42" s="10" t="str">
        <f>N8</f>
        <v>PB1 1</v>
      </c>
      <c r="B42" s="12">
        <v>125</v>
      </c>
      <c r="C42" s="68">
        <f t="shared" si="6"/>
        <v>47.840000000000011</v>
      </c>
      <c r="D42" s="68">
        <f t="shared" si="7"/>
        <v>30.996657250000002</v>
      </c>
      <c r="E42" s="68">
        <f t="shared" si="8"/>
        <v>1.3330915000000001</v>
      </c>
      <c r="F42" s="68">
        <f t="shared" si="9"/>
        <v>3.4516036750000003</v>
      </c>
      <c r="G42" s="68">
        <f t="shared" si="5"/>
        <v>0.17192500000000002</v>
      </c>
      <c r="H42" s="68">
        <f t="shared" si="5"/>
        <v>0.60173750000000004</v>
      </c>
      <c r="I42" s="68">
        <f t="shared" si="5"/>
        <v>2.3172500000000006E-2</v>
      </c>
      <c r="J42" s="68">
        <f t="shared" si="5"/>
        <v>1.7940000000000002E-3</v>
      </c>
      <c r="K42" s="68">
        <f t="shared" si="5"/>
        <v>5.0082500000000005E-3</v>
      </c>
      <c r="L42" s="68">
        <f t="shared" si="5"/>
        <v>1.4426750000000002E-2</v>
      </c>
      <c r="M42" s="68">
        <f t="shared" si="5"/>
        <v>1.6071250000000002E-2</v>
      </c>
      <c r="N42" s="68">
        <f t="shared" si="5"/>
        <v>743.76250000000016</v>
      </c>
      <c r="O42" s="68">
        <f t="shared" si="5"/>
        <v>20.182500000000001</v>
      </c>
      <c r="P42" s="68">
        <f t="shared" si="5"/>
        <v>0</v>
      </c>
      <c r="Q42" s="68">
        <f t="shared" si="10"/>
        <v>142.95937500000002</v>
      </c>
      <c r="R42" s="68">
        <f t="shared" si="11"/>
        <v>0</v>
      </c>
      <c r="S42" s="68">
        <f t="shared" si="11"/>
        <v>6.6901250000000009E-2</v>
      </c>
      <c r="T42" s="68">
        <f t="shared" si="11"/>
        <v>0</v>
      </c>
      <c r="U42" s="68">
        <f t="shared" si="11"/>
        <v>0</v>
      </c>
    </row>
    <row r="43" spans="1:21" s="51" customFormat="1" ht="13" x14ac:dyDescent="0.35">
      <c r="A43" s="10" t="str">
        <f>O8</f>
        <v>PB1 2</v>
      </c>
      <c r="B43" s="12">
        <v>125</v>
      </c>
      <c r="C43" s="68">
        <f t="shared" si="6"/>
        <v>47.840000000000011</v>
      </c>
      <c r="D43" s="68">
        <f t="shared" si="7"/>
        <v>30.996657250000002</v>
      </c>
      <c r="E43" s="68">
        <f t="shared" si="8"/>
        <v>1.3330915000000001</v>
      </c>
      <c r="F43" s="68">
        <f t="shared" si="9"/>
        <v>3.4516036750000003</v>
      </c>
      <c r="G43" s="68">
        <f t="shared" si="5"/>
        <v>0.17192500000000002</v>
      </c>
      <c r="H43" s="68">
        <f t="shared" si="5"/>
        <v>0.60173750000000004</v>
      </c>
      <c r="I43" s="68">
        <f t="shared" si="5"/>
        <v>2.3172500000000006E-2</v>
      </c>
      <c r="J43" s="68">
        <f t="shared" si="5"/>
        <v>1.7940000000000002E-3</v>
      </c>
      <c r="K43" s="68">
        <f t="shared" si="5"/>
        <v>5.0082500000000005E-3</v>
      </c>
      <c r="L43" s="68">
        <f t="shared" si="5"/>
        <v>1.4426750000000002E-2</v>
      </c>
      <c r="M43" s="68">
        <f t="shared" si="5"/>
        <v>1.6071250000000002E-2</v>
      </c>
      <c r="N43" s="68">
        <f t="shared" si="5"/>
        <v>743.76250000000016</v>
      </c>
      <c r="O43" s="68">
        <f t="shared" si="5"/>
        <v>20.182500000000001</v>
      </c>
      <c r="P43" s="68">
        <f t="shared" si="5"/>
        <v>0</v>
      </c>
      <c r="Q43" s="68">
        <f t="shared" si="10"/>
        <v>142.95937500000002</v>
      </c>
      <c r="R43" s="68">
        <f t="shared" si="11"/>
        <v>0</v>
      </c>
      <c r="S43" s="68">
        <f t="shared" si="11"/>
        <v>6.6901250000000009E-2</v>
      </c>
      <c r="T43" s="68">
        <f t="shared" si="11"/>
        <v>0</v>
      </c>
      <c r="U43" s="68">
        <f t="shared" si="11"/>
        <v>0</v>
      </c>
    </row>
    <row r="44" spans="1:21" s="51" customFormat="1" ht="13" x14ac:dyDescent="0.35">
      <c r="A44" s="10" t="str">
        <f>P8</f>
        <v>PB1 3</v>
      </c>
      <c r="B44" s="12">
        <v>225</v>
      </c>
      <c r="C44" s="68">
        <f t="shared" si="6"/>
        <v>86.112000000000009</v>
      </c>
      <c r="D44" s="68">
        <f t="shared" si="7"/>
        <v>55.793983050000001</v>
      </c>
      <c r="E44" s="68">
        <f t="shared" si="8"/>
        <v>2.3995647000000004</v>
      </c>
      <c r="F44" s="68">
        <f t="shared" si="9"/>
        <v>6.2128866150000013</v>
      </c>
      <c r="G44" s="68">
        <f t="shared" si="5"/>
        <v>0.30946500000000005</v>
      </c>
      <c r="H44" s="68">
        <f t="shared" si="5"/>
        <v>1.0831275</v>
      </c>
      <c r="I44" s="68">
        <f t="shared" si="5"/>
        <v>4.1710500000000011E-2</v>
      </c>
      <c r="J44" s="68">
        <f t="shared" si="5"/>
        <v>3.2292000000000006E-3</v>
      </c>
      <c r="K44" s="68">
        <f t="shared" si="5"/>
        <v>9.0148500000000013E-3</v>
      </c>
      <c r="L44" s="68">
        <f t="shared" si="5"/>
        <v>2.5968150000000002E-2</v>
      </c>
      <c r="M44" s="68">
        <f t="shared" si="5"/>
        <v>2.8928250000000006E-2</v>
      </c>
      <c r="N44" s="68">
        <f t="shared" si="5"/>
        <v>1338.7725000000003</v>
      </c>
      <c r="O44" s="68">
        <f t="shared" si="5"/>
        <v>36.328500000000005</v>
      </c>
      <c r="P44" s="68">
        <f t="shared" si="5"/>
        <v>0</v>
      </c>
      <c r="Q44" s="68">
        <f t="shared" si="10"/>
        <v>257.32687500000003</v>
      </c>
      <c r="R44" s="68">
        <f t="shared" si="11"/>
        <v>0</v>
      </c>
      <c r="S44" s="68">
        <f t="shared" si="11"/>
        <v>0.12042225000000001</v>
      </c>
      <c r="T44" s="68">
        <f t="shared" si="11"/>
        <v>0</v>
      </c>
      <c r="U44" s="68">
        <f t="shared" si="11"/>
        <v>0</v>
      </c>
    </row>
    <row r="45" spans="1:21" s="51" customFormat="1" ht="13" x14ac:dyDescent="0.35">
      <c r="A45" s="10" t="str">
        <f>Q8</f>
        <v>PB1 4</v>
      </c>
      <c r="B45" s="12">
        <v>125</v>
      </c>
      <c r="C45" s="68">
        <f t="shared" si="6"/>
        <v>47.840000000000011</v>
      </c>
      <c r="D45" s="68">
        <f t="shared" si="7"/>
        <v>30.996657250000002</v>
      </c>
      <c r="E45" s="68">
        <f t="shared" si="8"/>
        <v>1.3330915000000001</v>
      </c>
      <c r="F45" s="68">
        <f t="shared" si="9"/>
        <v>3.4516036750000003</v>
      </c>
      <c r="G45" s="68">
        <f t="shared" si="5"/>
        <v>0.17192500000000002</v>
      </c>
      <c r="H45" s="68">
        <f t="shared" si="5"/>
        <v>0.60173750000000004</v>
      </c>
      <c r="I45" s="68">
        <f t="shared" si="5"/>
        <v>2.3172500000000006E-2</v>
      </c>
      <c r="J45" s="68">
        <f t="shared" si="5"/>
        <v>1.7940000000000002E-3</v>
      </c>
      <c r="K45" s="68">
        <f t="shared" si="5"/>
        <v>5.0082500000000005E-3</v>
      </c>
      <c r="L45" s="68">
        <f t="shared" si="5"/>
        <v>1.4426750000000002E-2</v>
      </c>
      <c r="M45" s="68">
        <f t="shared" si="5"/>
        <v>1.6071250000000002E-2</v>
      </c>
      <c r="N45" s="68">
        <f t="shared" si="5"/>
        <v>743.76250000000016</v>
      </c>
      <c r="O45" s="68">
        <f t="shared" si="5"/>
        <v>20.182500000000001</v>
      </c>
      <c r="P45" s="68">
        <f t="shared" si="5"/>
        <v>0</v>
      </c>
      <c r="Q45" s="68">
        <f t="shared" si="10"/>
        <v>142.95937500000002</v>
      </c>
      <c r="R45" s="68">
        <f t="shared" si="11"/>
        <v>0</v>
      </c>
      <c r="S45" s="68">
        <f t="shared" si="11"/>
        <v>6.6901250000000009E-2</v>
      </c>
      <c r="T45" s="68">
        <f t="shared" si="11"/>
        <v>0</v>
      </c>
      <c r="U45" s="68">
        <f t="shared" si="11"/>
        <v>0</v>
      </c>
    </row>
    <row r="46" spans="1:21" s="51" customFormat="1" ht="13" x14ac:dyDescent="0.35">
      <c r="A46" s="10" t="str">
        <f>R8</f>
        <v>T2</v>
      </c>
      <c r="B46" s="12">
        <v>250</v>
      </c>
      <c r="C46" s="68">
        <f t="shared" si="6"/>
        <v>95.680000000000021</v>
      </c>
      <c r="D46" s="68">
        <f t="shared" si="7"/>
        <v>61.993314500000004</v>
      </c>
      <c r="E46" s="68">
        <f t="shared" si="8"/>
        <v>2.6661830000000002</v>
      </c>
      <c r="F46" s="68">
        <f t="shared" si="9"/>
        <v>6.9032073500000006</v>
      </c>
      <c r="G46" s="68">
        <f t="shared" si="5"/>
        <v>0.34385000000000004</v>
      </c>
      <c r="H46" s="68">
        <f t="shared" si="5"/>
        <v>1.2034750000000001</v>
      </c>
      <c r="I46" s="68">
        <f t="shared" si="5"/>
        <v>4.6345000000000011E-2</v>
      </c>
      <c r="J46" s="68">
        <f t="shared" si="5"/>
        <v>3.5880000000000005E-3</v>
      </c>
      <c r="K46" s="68">
        <f t="shared" si="5"/>
        <v>1.0016500000000001E-2</v>
      </c>
      <c r="L46" s="68">
        <f t="shared" si="5"/>
        <v>2.8853500000000004E-2</v>
      </c>
      <c r="M46" s="68">
        <f t="shared" si="5"/>
        <v>3.2142500000000004E-2</v>
      </c>
      <c r="N46" s="68">
        <f t="shared" si="5"/>
        <v>1487.5250000000003</v>
      </c>
      <c r="O46" s="68">
        <f t="shared" si="5"/>
        <v>40.365000000000002</v>
      </c>
      <c r="P46" s="68">
        <f t="shared" si="5"/>
        <v>0</v>
      </c>
      <c r="Q46" s="68">
        <f t="shared" si="10"/>
        <v>285.91875000000005</v>
      </c>
      <c r="R46" s="68">
        <f t="shared" si="11"/>
        <v>0</v>
      </c>
      <c r="S46" s="68">
        <f t="shared" si="11"/>
        <v>0.13380250000000002</v>
      </c>
      <c r="T46" s="68">
        <f t="shared" si="11"/>
        <v>0</v>
      </c>
      <c r="U46" s="68">
        <f t="shared" si="11"/>
        <v>0</v>
      </c>
    </row>
    <row r="47" spans="1:21" s="51" customFormat="1" ht="13" x14ac:dyDescent="0.35">
      <c r="A47" s="10" t="str">
        <f>S8</f>
        <v>T3</v>
      </c>
      <c r="B47" s="12">
        <v>250</v>
      </c>
      <c r="C47" s="68">
        <f t="shared" si="6"/>
        <v>95.680000000000021</v>
      </c>
      <c r="D47" s="68">
        <f t="shared" si="7"/>
        <v>61.993314500000004</v>
      </c>
      <c r="E47" s="68">
        <f t="shared" si="8"/>
        <v>2.6661830000000002</v>
      </c>
      <c r="F47" s="68">
        <f t="shared" si="9"/>
        <v>6.9032073500000006</v>
      </c>
      <c r="G47" s="68">
        <f t="shared" ref="G47:P50" si="12">IF(G$27="%w/w SAR",((G$28*10)*$B47),IF(G$27="%w/w DM",(((G$28*10)*($B$28/100))*$B47),IF(G$27="kg/t SAR",(G$28*$B47),IF(G$27="kg/t DM",((G$28*($B$28/100))*$B47),IF(G$27="mg/kg SAR",((G$28*0.001)*$B47),IF(G$27="mg/kg DM",(((G$28*0.001)*($B$28/100))*$B47),0))))))</f>
        <v>0.34385000000000004</v>
      </c>
      <c r="H47" s="68">
        <f t="shared" si="12"/>
        <v>1.2034750000000001</v>
      </c>
      <c r="I47" s="68">
        <f t="shared" si="12"/>
        <v>4.6345000000000011E-2</v>
      </c>
      <c r="J47" s="68">
        <f t="shared" si="12"/>
        <v>3.5880000000000005E-3</v>
      </c>
      <c r="K47" s="68">
        <f t="shared" si="12"/>
        <v>1.0016500000000001E-2</v>
      </c>
      <c r="L47" s="68">
        <f t="shared" si="12"/>
        <v>2.8853500000000004E-2</v>
      </c>
      <c r="M47" s="68">
        <f t="shared" si="12"/>
        <v>3.2142500000000004E-2</v>
      </c>
      <c r="N47" s="68">
        <f t="shared" si="12"/>
        <v>1487.5250000000003</v>
      </c>
      <c r="O47" s="68">
        <f t="shared" si="12"/>
        <v>40.365000000000002</v>
      </c>
      <c r="P47" s="68">
        <f t="shared" si="12"/>
        <v>0</v>
      </c>
      <c r="Q47" s="68">
        <f t="shared" si="10"/>
        <v>285.91875000000005</v>
      </c>
      <c r="R47" s="68">
        <f t="shared" si="11"/>
        <v>0</v>
      </c>
      <c r="S47" s="68">
        <f t="shared" si="11"/>
        <v>0.13380250000000002</v>
      </c>
      <c r="T47" s="68">
        <f t="shared" si="11"/>
        <v>0</v>
      </c>
      <c r="U47" s="68">
        <f t="shared" si="11"/>
        <v>0</v>
      </c>
    </row>
    <row r="48" spans="1:21" s="51" customFormat="1" ht="13" x14ac:dyDescent="0.35">
      <c r="A48" s="10" t="str">
        <f>T8</f>
        <v>T4</v>
      </c>
      <c r="B48" s="12">
        <v>250</v>
      </c>
      <c r="C48" s="68">
        <f t="shared" si="6"/>
        <v>95.680000000000021</v>
      </c>
      <c r="D48" s="68">
        <f t="shared" si="7"/>
        <v>61.993314500000004</v>
      </c>
      <c r="E48" s="68">
        <f t="shared" si="8"/>
        <v>2.6661830000000002</v>
      </c>
      <c r="F48" s="68">
        <f t="shared" si="9"/>
        <v>6.9032073500000006</v>
      </c>
      <c r="G48" s="68">
        <f t="shared" si="12"/>
        <v>0.34385000000000004</v>
      </c>
      <c r="H48" s="68">
        <f t="shared" si="12"/>
        <v>1.2034750000000001</v>
      </c>
      <c r="I48" s="68">
        <f t="shared" si="12"/>
        <v>4.6345000000000011E-2</v>
      </c>
      <c r="J48" s="68">
        <f t="shared" si="12"/>
        <v>3.5880000000000005E-3</v>
      </c>
      <c r="K48" s="68">
        <f t="shared" si="12"/>
        <v>1.0016500000000001E-2</v>
      </c>
      <c r="L48" s="68">
        <f t="shared" si="12"/>
        <v>2.8853500000000004E-2</v>
      </c>
      <c r="M48" s="68">
        <f t="shared" si="12"/>
        <v>3.2142500000000004E-2</v>
      </c>
      <c r="N48" s="68">
        <f t="shared" si="12"/>
        <v>1487.5250000000003</v>
      </c>
      <c r="O48" s="68">
        <f t="shared" si="12"/>
        <v>40.365000000000002</v>
      </c>
      <c r="P48" s="68">
        <f t="shared" si="12"/>
        <v>0</v>
      </c>
      <c r="Q48" s="68">
        <f t="shared" si="10"/>
        <v>285.91875000000005</v>
      </c>
      <c r="R48" s="68">
        <f t="shared" si="11"/>
        <v>0</v>
      </c>
      <c r="S48" s="68">
        <f t="shared" si="11"/>
        <v>0.13380250000000002</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Cae Derwin</v>
      </c>
      <c r="C57" s="8" t="str">
        <f t="shared" ref="C57:U57" si="13">D8</f>
        <v>Cae Gwar</v>
      </c>
      <c r="D57" s="8">
        <f t="shared" si="13"/>
        <v>7216</v>
      </c>
      <c r="E57" s="8">
        <f t="shared" si="13"/>
        <v>11</v>
      </c>
      <c r="F57" s="8">
        <f t="shared" si="13"/>
        <v>12</v>
      </c>
      <c r="G57" s="8">
        <f t="shared" si="13"/>
        <v>14</v>
      </c>
      <c r="H57" s="8" t="str">
        <f t="shared" si="13"/>
        <v>15A</v>
      </c>
      <c r="I57" s="8">
        <f t="shared" si="13"/>
        <v>17</v>
      </c>
      <c r="J57" s="8">
        <f t="shared" si="13"/>
        <v>18</v>
      </c>
      <c r="K57" s="8" t="str">
        <f t="shared" si="13"/>
        <v>PB2 1</v>
      </c>
      <c r="L57" s="8" t="str">
        <f t="shared" si="13"/>
        <v>PB2 2</v>
      </c>
      <c r="M57" s="8" t="str">
        <f t="shared" si="13"/>
        <v>PB1 1</v>
      </c>
      <c r="N57" s="8" t="str">
        <f t="shared" si="13"/>
        <v>PB1 2</v>
      </c>
      <c r="O57" s="8" t="str">
        <f t="shared" si="13"/>
        <v>PB1 3</v>
      </c>
      <c r="P57" s="8" t="str">
        <f t="shared" si="13"/>
        <v>PB1 4</v>
      </c>
      <c r="Q57" s="8" t="str">
        <f t="shared" si="13"/>
        <v>T2</v>
      </c>
      <c r="R57" s="8" t="str">
        <f t="shared" si="13"/>
        <v>T3</v>
      </c>
      <c r="S57" s="8" t="str">
        <f t="shared" si="13"/>
        <v>T4</v>
      </c>
      <c r="T57" s="8">
        <f t="shared" si="13"/>
        <v>0</v>
      </c>
      <c r="U57" s="8">
        <f t="shared" si="13"/>
        <v>0</v>
      </c>
    </row>
    <row r="58" spans="1:21" ht="13" x14ac:dyDescent="0.35">
      <c r="A58" s="82" t="s">
        <v>136</v>
      </c>
      <c r="B58" s="10" t="str">
        <f>C16&amp;" I "&amp;(VLOOKUP(C14,Table245[],6,FALSE))</f>
        <v>0 I Grass</v>
      </c>
      <c r="C58" s="10" t="str">
        <f>D16&amp;" I "&amp;(VLOOKUP(D14,Table245[],6,FALSE))</f>
        <v>0 I Grass</v>
      </c>
      <c r="D58" s="10" t="str">
        <f>E16&amp;" I "&amp;(VLOOKUP(E14,Table245[],6,FALSE))</f>
        <v>0 I Grass</v>
      </c>
      <c r="E58" s="10" t="str">
        <f>F16&amp;" I "&amp;(VLOOKUP(F14,Table245[],6,FALSE))</f>
        <v>0 I Grass</v>
      </c>
      <c r="F58" s="10" t="str">
        <f>G16&amp;" I "&amp;(VLOOKUP(G14,Table245[],6,FALSE))</f>
        <v>0 I Grass</v>
      </c>
      <c r="G58" s="10" t="str">
        <f>H16&amp;" I "&amp;(VLOOKUP(H14,Table245[],6,FALSE))</f>
        <v>0 I Grass</v>
      </c>
      <c r="H58" s="10" t="str">
        <f>I16&amp;" I "&amp;(VLOOKUP(I14,Table245[],6,FALSE))</f>
        <v>0 I Grass</v>
      </c>
      <c r="I58" s="10" t="str">
        <f>J16&amp;" I "&amp;(VLOOKUP(J14,Table245[],6,FALSE))</f>
        <v>0 I Grass</v>
      </c>
      <c r="J58" s="10" t="str">
        <f>K16&amp;" I "&amp;(VLOOKUP(K14,Table245[],6,FALSE))</f>
        <v>0 I Grass</v>
      </c>
      <c r="K58" s="10" t="str">
        <f>L16&amp;" I "&amp;(VLOOKUP(L14,Table245[],6,FALSE))</f>
        <v>0 I Grass</v>
      </c>
      <c r="L58" s="10" t="str">
        <f>M16&amp;" I "&amp;(VLOOKUP(M14,Table245[],6,FALSE))</f>
        <v>0 I Grass</v>
      </c>
      <c r="M58" s="10" t="str">
        <f>N16&amp;" I "&amp;(VLOOKUP(N14,Table245[],6,FALSE))</f>
        <v>0 I Grass</v>
      </c>
      <c r="N58" s="10" t="str">
        <f>O16&amp;" I "&amp;(VLOOKUP(O14,Table245[],6,FALSE))</f>
        <v>0 I Grass</v>
      </c>
      <c r="O58" s="10" t="str">
        <f>P16&amp;" I "&amp;(VLOOKUP(P14,Table245[],6,FALSE))</f>
        <v>0 I Grass</v>
      </c>
      <c r="P58" s="10" t="str">
        <f>Q16&amp;" I "&amp;(VLOOKUP(Q14,Table245[],6,FALSE))</f>
        <v>0 I Grass</v>
      </c>
      <c r="Q58" s="10" t="str">
        <f>R16&amp;" I "&amp;(VLOOKUP(R14,Table245[],6,FALSE))</f>
        <v>0 I Grass</v>
      </c>
      <c r="R58" s="10" t="str">
        <f>S16&amp;" I "&amp;(VLOOKUP(S14,Table245[],6,FALSE))</f>
        <v>0 I Grass</v>
      </c>
      <c r="S58" s="10" t="str">
        <f>T16&amp;" I "&amp;(VLOOKUP(T14,Table245[],6,FALSE))</f>
        <v>0 I Grass</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f>VLOOKUP(T$14,Table245[],5,FALSE)</f>
        <v>6.2</v>
      </c>
      <c r="T59" s="67" t="e">
        <f>VLOOKUP(U$14,Table245[],5,FALSE)</f>
        <v>#N/A</v>
      </c>
      <c r="U59" s="67" t="e">
        <f>VLOOKUP(V$14,Table245[],5,FALSE)</f>
        <v>#N/A</v>
      </c>
    </row>
    <row r="60" spans="1:21" ht="13" x14ac:dyDescent="0.3">
      <c r="A60" s="100" t="s">
        <v>4</v>
      </c>
      <c r="B60" s="67">
        <f>C10</f>
        <v>6.1</v>
      </c>
      <c r="C60" s="67">
        <f t="shared" ref="C60:U60" si="14">D10</f>
        <v>6.1</v>
      </c>
      <c r="D60" s="67">
        <f t="shared" si="14"/>
        <v>6.4</v>
      </c>
      <c r="E60" s="67">
        <f t="shared" si="14"/>
        <v>6.6</v>
      </c>
      <c r="F60" s="67">
        <f t="shared" si="14"/>
        <v>6</v>
      </c>
      <c r="G60" s="67">
        <f t="shared" si="14"/>
        <v>6</v>
      </c>
      <c r="H60" s="67">
        <f t="shared" si="14"/>
        <v>6.2</v>
      </c>
      <c r="I60" s="67">
        <f t="shared" si="14"/>
        <v>6.7</v>
      </c>
      <c r="J60" s="67">
        <f t="shared" si="14"/>
        <v>7</v>
      </c>
      <c r="K60" s="67">
        <f t="shared" si="14"/>
        <v>6.1</v>
      </c>
      <c r="L60" s="67">
        <f t="shared" si="14"/>
        <v>6.1</v>
      </c>
      <c r="M60" s="67">
        <f t="shared" si="14"/>
        <v>6.7</v>
      </c>
      <c r="N60" s="67">
        <f t="shared" si="14"/>
        <v>6.7</v>
      </c>
      <c r="O60" s="67">
        <f t="shared" si="14"/>
        <v>6.7</v>
      </c>
      <c r="P60" s="67">
        <f t="shared" si="14"/>
        <v>6.5</v>
      </c>
      <c r="Q60" s="67">
        <f t="shared" si="14"/>
        <v>6.1</v>
      </c>
      <c r="R60" s="67">
        <f t="shared" si="14"/>
        <v>6.2</v>
      </c>
      <c r="S60" s="67">
        <f t="shared" si="14"/>
        <v>6</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125</v>
      </c>
      <c r="C62" s="68">
        <f>B32</f>
        <v>250</v>
      </c>
      <c r="D62" s="68">
        <f>B33</f>
        <v>225</v>
      </c>
      <c r="E62" s="68">
        <f>B34</f>
        <v>110</v>
      </c>
      <c r="F62" s="68">
        <f>B35</f>
        <v>125</v>
      </c>
      <c r="G62" s="68">
        <f>B36</f>
        <v>250</v>
      </c>
      <c r="H62" s="68">
        <f>B37</f>
        <v>110</v>
      </c>
      <c r="I62" s="68">
        <f>B38</f>
        <v>250</v>
      </c>
      <c r="J62" s="68">
        <f>B39</f>
        <v>110</v>
      </c>
      <c r="K62" s="68">
        <f>B40</f>
        <v>125</v>
      </c>
      <c r="L62" s="68">
        <f>B41</f>
        <v>225</v>
      </c>
      <c r="M62" s="68">
        <f>B42</f>
        <v>125</v>
      </c>
      <c r="N62" s="68">
        <f>B43</f>
        <v>125</v>
      </c>
      <c r="O62" s="68">
        <f>B44</f>
        <v>225</v>
      </c>
      <c r="P62" s="68">
        <f>B45</f>
        <v>125</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A13"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Elan!C1:D1</f>
        <v>PAN-027863</v>
      </c>
      <c r="D1" s="128"/>
      <c r="E1" s="83" t="s">
        <v>45</v>
      </c>
      <c r="F1" s="32">
        <f>Elan!F1</f>
        <v>49.96</v>
      </c>
      <c r="G1" s="107" t="s">
        <v>43</v>
      </c>
      <c r="H1" s="108"/>
      <c r="I1" s="86">
        <v>7.1</v>
      </c>
      <c r="J1" s="106" t="s">
        <v>153</v>
      </c>
      <c r="K1" s="106"/>
      <c r="L1" s="86">
        <v>140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Elan!C2:D2</f>
        <v>EPR/GP3792SK</v>
      </c>
      <c r="D2" s="130"/>
      <c r="E2" s="83" t="s">
        <v>109</v>
      </c>
      <c r="F2" s="86" t="s">
        <v>177</v>
      </c>
      <c r="G2" s="125" t="s">
        <v>110</v>
      </c>
      <c r="H2" s="126"/>
      <c r="I2" s="86"/>
      <c r="J2" s="106" t="s">
        <v>158</v>
      </c>
      <c r="K2" s="106"/>
      <c r="L2" s="86">
        <v>1.1599999999999999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Elan!C3:D3</f>
        <v>ByProduct Recovery LTD</v>
      </c>
      <c r="D3" s="130"/>
      <c r="E3" s="83" t="s">
        <v>108</v>
      </c>
      <c r="F3" s="24" t="s">
        <v>78</v>
      </c>
      <c r="G3" s="106" t="s">
        <v>159</v>
      </c>
      <c r="H3" s="106"/>
      <c r="I3" s="86"/>
      <c r="J3" s="107" t="s">
        <v>154</v>
      </c>
      <c r="K3" s="108"/>
      <c r="L3" s="86">
        <f>(L1/(L2*10000))*100</f>
        <v>1.2068965517241379</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Elan!C4:D4</f>
        <v>Tylebrithos Farm, Cantref, Brecon</v>
      </c>
      <c r="D4" s="128"/>
      <c r="E4" s="84" t="s">
        <v>1</v>
      </c>
      <c r="F4" s="86" t="s">
        <v>180</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Elan!C5:D5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Elan!C8</f>
        <v>Cae Derwin</v>
      </c>
      <c r="D8" s="52" t="str">
        <f>Elan!D8</f>
        <v>Cae Gwar</v>
      </c>
      <c r="E8" s="52">
        <f>Elan!E8</f>
        <v>7216</v>
      </c>
      <c r="F8" s="52">
        <f>Elan!F8</f>
        <v>11</v>
      </c>
      <c r="G8" s="52">
        <f>Elan!G8</f>
        <v>12</v>
      </c>
      <c r="H8" s="52">
        <f>Elan!H8</f>
        <v>14</v>
      </c>
      <c r="I8" s="52" t="str">
        <f>Elan!I8</f>
        <v>15A</v>
      </c>
      <c r="J8" s="52">
        <f>Elan!J8</f>
        <v>17</v>
      </c>
      <c r="K8" s="52">
        <f>Elan!K8</f>
        <v>18</v>
      </c>
      <c r="L8" s="52" t="str">
        <f>Elan!L8</f>
        <v>PB2 1</v>
      </c>
      <c r="M8" s="52" t="str">
        <f>Elan!M8</f>
        <v>PB2 2</v>
      </c>
      <c r="N8" s="52" t="str">
        <f>Elan!N8</f>
        <v>PB1 1</v>
      </c>
      <c r="O8" s="52" t="str">
        <f>Elan!O8</f>
        <v>PB1 2</v>
      </c>
      <c r="P8" s="52" t="str">
        <f>Elan!P8</f>
        <v>PB1 3</v>
      </c>
      <c r="Q8" s="52" t="str">
        <f>Elan!Q8</f>
        <v>PB1 4</v>
      </c>
      <c r="R8" s="52" t="str">
        <f>Elan!R8</f>
        <v>T2</v>
      </c>
      <c r="S8" s="52" t="str">
        <f>Elan!S8</f>
        <v>T3</v>
      </c>
      <c r="T8" s="52" t="str">
        <f>Elan!T8</f>
        <v>T4</v>
      </c>
      <c r="U8" s="52">
        <f>Elan!U8</f>
        <v>0</v>
      </c>
      <c r="V8" s="52">
        <f>Elan!V8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Elan!C9</f>
        <v>M</v>
      </c>
      <c r="D9" s="52" t="str">
        <f>Elan!D9</f>
        <v>M</v>
      </c>
      <c r="E9" s="52" t="str">
        <f>Elan!E9</f>
        <v>M</v>
      </c>
      <c r="F9" s="52">
        <f>Elan!F9</f>
        <v>1</v>
      </c>
      <c r="G9" s="52" t="str">
        <f>Elan!G9</f>
        <v>M</v>
      </c>
      <c r="H9" s="52">
        <f>Elan!H9</f>
        <v>1</v>
      </c>
      <c r="I9" s="52" t="str">
        <f>Elan!I9</f>
        <v>M</v>
      </c>
      <c r="J9" s="52">
        <f>Elan!J9</f>
        <v>1</v>
      </c>
      <c r="K9" s="52" t="str">
        <f>Elan!K9</f>
        <v>M</v>
      </c>
      <c r="L9" s="52" t="str">
        <f>Elan!L9</f>
        <v>M</v>
      </c>
      <c r="M9" s="52" t="str">
        <f>Elan!M9</f>
        <v>M</v>
      </c>
      <c r="N9" s="52" t="str">
        <f>Elan!N9</f>
        <v>M</v>
      </c>
      <c r="O9" s="52" t="str">
        <f>Elan!O9</f>
        <v>M</v>
      </c>
      <c r="P9" s="52" t="str">
        <f>Elan!P9</f>
        <v>M</v>
      </c>
      <c r="Q9" s="52" t="str">
        <f>Elan!Q9</f>
        <v>M</v>
      </c>
      <c r="R9" s="52" t="str">
        <f>Elan!R9</f>
        <v>M</v>
      </c>
      <c r="S9" s="52" t="str">
        <f>Elan!S9</f>
        <v>M</v>
      </c>
      <c r="T9" s="52" t="str">
        <f>Elan!T9</f>
        <v>M</v>
      </c>
      <c r="U9" s="52">
        <f>Elan!U9</f>
        <v>0</v>
      </c>
      <c r="V9" s="52">
        <f>Elan!V9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Elan!C10</f>
        <v>6.1</v>
      </c>
      <c r="D10" s="52">
        <f>Elan!D10</f>
        <v>6.1</v>
      </c>
      <c r="E10" s="52">
        <f>Elan!E10</f>
        <v>6.4</v>
      </c>
      <c r="F10" s="52">
        <f>Elan!F10</f>
        <v>6.6</v>
      </c>
      <c r="G10" s="52">
        <f>Elan!G10</f>
        <v>6</v>
      </c>
      <c r="H10" s="52">
        <f>Elan!H10</f>
        <v>6</v>
      </c>
      <c r="I10" s="52">
        <f>Elan!I10</f>
        <v>6.2</v>
      </c>
      <c r="J10" s="52">
        <f>Elan!J10</f>
        <v>6.7</v>
      </c>
      <c r="K10" s="52">
        <f>Elan!K10</f>
        <v>7</v>
      </c>
      <c r="L10" s="52">
        <f>Elan!L10</f>
        <v>6.1</v>
      </c>
      <c r="M10" s="52">
        <f>Elan!M10</f>
        <v>6.1</v>
      </c>
      <c r="N10" s="52">
        <f>Elan!N10</f>
        <v>6.7</v>
      </c>
      <c r="O10" s="52">
        <f>Elan!O10</f>
        <v>6.7</v>
      </c>
      <c r="P10" s="52">
        <f>Elan!P10</f>
        <v>6.7</v>
      </c>
      <c r="Q10" s="52">
        <f>Elan!Q10</f>
        <v>6.5</v>
      </c>
      <c r="R10" s="52">
        <f>Elan!R10</f>
        <v>6.1</v>
      </c>
      <c r="S10" s="52">
        <f>Elan!S10</f>
        <v>6.2</v>
      </c>
      <c r="T10" s="52">
        <f>Elan!T10</f>
        <v>6</v>
      </c>
      <c r="U10" s="52">
        <f>Elan!U10</f>
        <v>0</v>
      </c>
      <c r="V10" s="52">
        <f>Elan!V10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Elan!C11</f>
        <v>3</v>
      </c>
      <c r="D11" s="52">
        <f>Elan!D11</f>
        <v>1</v>
      </c>
      <c r="E11" s="52">
        <f>Elan!E11</f>
        <v>3</v>
      </c>
      <c r="F11" s="52">
        <f>Elan!F11</f>
        <v>2</v>
      </c>
      <c r="G11" s="52">
        <f>Elan!G11</f>
        <v>3</v>
      </c>
      <c r="H11" s="52">
        <f>Elan!H11</f>
        <v>1</v>
      </c>
      <c r="I11" s="52">
        <f>Elan!I11</f>
        <v>2</v>
      </c>
      <c r="J11" s="52">
        <f>Elan!J11</f>
        <v>0</v>
      </c>
      <c r="K11" s="52">
        <f>Elan!K11</f>
        <v>2</v>
      </c>
      <c r="L11" s="52">
        <f>Elan!L11</f>
        <v>3</v>
      </c>
      <c r="M11" s="52">
        <f>Elan!M11</f>
        <v>2</v>
      </c>
      <c r="N11" s="52">
        <f>Elan!N11</f>
        <v>3</v>
      </c>
      <c r="O11" s="52">
        <f>Elan!O11</f>
        <v>3</v>
      </c>
      <c r="P11" s="52">
        <f>Elan!P11</f>
        <v>2</v>
      </c>
      <c r="Q11" s="52">
        <f>Elan!Q11</f>
        <v>3</v>
      </c>
      <c r="R11" s="52">
        <f>Elan!R11</f>
        <v>1</v>
      </c>
      <c r="S11" s="52">
        <f>Elan!S11</f>
        <v>1</v>
      </c>
      <c r="T11" s="52">
        <f>Elan!T11</f>
        <v>1</v>
      </c>
      <c r="U11" s="52">
        <f>Elan!U11</f>
        <v>0</v>
      </c>
      <c r="V11" s="52">
        <f>Elan!V11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Elan!C12</f>
        <v>2</v>
      </c>
      <c r="D12" s="52">
        <f>Elan!D12</f>
        <v>1</v>
      </c>
      <c r="E12" s="52">
        <f>Elan!E12</f>
        <v>1</v>
      </c>
      <c r="F12" s="52">
        <f>Elan!F12</f>
        <v>1</v>
      </c>
      <c r="G12" s="52">
        <f>Elan!G12</f>
        <v>0</v>
      </c>
      <c r="H12" s="52">
        <f>Elan!H12</f>
        <v>2</v>
      </c>
      <c r="I12" s="52">
        <f>Elan!I12</f>
        <v>1</v>
      </c>
      <c r="J12" s="52">
        <f>Elan!J12</f>
        <v>1</v>
      </c>
      <c r="K12" s="52">
        <f>Elan!K12</f>
        <v>1</v>
      </c>
      <c r="L12" s="52">
        <f>Elan!L12</f>
        <v>1</v>
      </c>
      <c r="M12" s="52">
        <f>Elan!M12</f>
        <v>2</v>
      </c>
      <c r="N12" s="52">
        <f>Elan!N12</f>
        <v>0</v>
      </c>
      <c r="O12" s="52">
        <f>Elan!O12</f>
        <v>0</v>
      </c>
      <c r="P12" s="52">
        <f>Elan!P12</f>
        <v>0</v>
      </c>
      <c r="Q12" s="52">
        <f>Elan!Q12</f>
        <v>0</v>
      </c>
      <c r="R12" s="52">
        <f>Elan!R12</f>
        <v>1</v>
      </c>
      <c r="S12" s="52">
        <f>Elan!S12</f>
        <v>1</v>
      </c>
      <c r="T12" s="52">
        <f>Elan!T12</f>
        <v>1</v>
      </c>
      <c r="U12" s="52">
        <f>Elan!U12</f>
        <v>0</v>
      </c>
      <c r="V12" s="52">
        <f>Elan!V12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Elan!C13</f>
        <v>2</v>
      </c>
      <c r="D13" s="52">
        <f>Elan!D13</f>
        <v>2</v>
      </c>
      <c r="E13" s="52">
        <f>Elan!E13</f>
        <v>3</v>
      </c>
      <c r="F13" s="52">
        <f>Elan!F13</f>
        <v>2</v>
      </c>
      <c r="G13" s="52">
        <f>Elan!G13</f>
        <v>2</v>
      </c>
      <c r="H13" s="52">
        <f>Elan!H13</f>
        <v>1</v>
      </c>
      <c r="I13" s="52">
        <f>Elan!I13</f>
        <v>2</v>
      </c>
      <c r="J13" s="52">
        <f>Elan!J13</f>
        <v>1</v>
      </c>
      <c r="K13" s="52">
        <f>Elan!K13</f>
        <v>2</v>
      </c>
      <c r="L13" s="52">
        <f>Elan!L13</f>
        <v>2</v>
      </c>
      <c r="M13" s="52">
        <f>Elan!M13</f>
        <v>3</v>
      </c>
      <c r="N13" s="52">
        <f>Elan!N13</f>
        <v>2</v>
      </c>
      <c r="O13" s="52">
        <f>Elan!O13</f>
        <v>3</v>
      </c>
      <c r="P13" s="52">
        <f>Elan!P13</f>
        <v>2</v>
      </c>
      <c r="Q13" s="52">
        <f>Elan!Q13</f>
        <v>2</v>
      </c>
      <c r="R13" s="52">
        <f>Elan!R13</f>
        <v>3</v>
      </c>
      <c r="S13" s="52">
        <f>Elan!S13</f>
        <v>3</v>
      </c>
      <c r="T13" s="52">
        <f>Elan!T13</f>
        <v>3</v>
      </c>
      <c r="U13" s="52">
        <f>Elan!U13</f>
        <v>0</v>
      </c>
      <c r="V13" s="52">
        <f>Elan!V13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Elan!C14</f>
        <v xml:space="preserve">Grass Silage (25% DM) </v>
      </c>
      <c r="D14" s="91" t="str">
        <f>Elan!D14</f>
        <v xml:space="preserve">Grass Silage (25% DM) </v>
      </c>
      <c r="E14" s="91" t="str">
        <f>Elan!E14</f>
        <v xml:space="preserve">Grass Silage (25% DM) </v>
      </c>
      <c r="F14" s="91" t="str">
        <f>Elan!F14</f>
        <v xml:space="preserve">Grass Silage (25% DM) </v>
      </c>
      <c r="G14" s="91" t="str">
        <f>Elan!G14</f>
        <v xml:space="preserve">Grass Silage (25% DM) </v>
      </c>
      <c r="H14" s="91" t="str">
        <f>Elan!H14</f>
        <v xml:space="preserve">Grass Silage (25% DM) </v>
      </c>
      <c r="I14" s="91" t="str">
        <f>Elan!I14</f>
        <v xml:space="preserve">Grass Silage (25% DM) </v>
      </c>
      <c r="J14" s="91" t="str">
        <f>Elan!J14</f>
        <v xml:space="preserve">Grass Silage (25% DM) </v>
      </c>
      <c r="K14" s="91" t="str">
        <f>Elan!K14</f>
        <v xml:space="preserve">Grass Silage (25% DM) </v>
      </c>
      <c r="L14" s="91" t="str">
        <f>Elan!L14</f>
        <v xml:space="preserve">Grass Silage (25% DM) </v>
      </c>
      <c r="M14" s="91" t="str">
        <f>Elan!M14</f>
        <v xml:space="preserve">Grass Silage (25% DM) </v>
      </c>
      <c r="N14" s="91" t="str">
        <f>Elan!N14</f>
        <v xml:space="preserve">Grass Silage (25% DM) </v>
      </c>
      <c r="O14" s="91" t="str">
        <f>Elan!O14</f>
        <v xml:space="preserve">Grass Silage (25% DM) </v>
      </c>
      <c r="P14" s="91" t="str">
        <f>Elan!P14</f>
        <v xml:space="preserve">Grass Silage (25% DM) </v>
      </c>
      <c r="Q14" s="91" t="str">
        <f>Elan!Q14</f>
        <v xml:space="preserve">Grass Silage (25% DM) </v>
      </c>
      <c r="R14" s="91" t="str">
        <f>Elan!R14</f>
        <v xml:space="preserve">Grass Silage (25% DM) </v>
      </c>
      <c r="S14" s="91" t="str">
        <f>Elan!S14</f>
        <v xml:space="preserve">Grass Silage (25% DM) </v>
      </c>
      <c r="T14" s="91" t="str">
        <f>Elan!T14</f>
        <v xml:space="preserve">Grass Silage (25% DM) </v>
      </c>
      <c r="U14" s="91">
        <f>Elan!U14</f>
        <v>0</v>
      </c>
      <c r="V14" s="91">
        <f>Elan!V14</f>
        <v>0</v>
      </c>
      <c r="AD14" s="23" t="s">
        <v>138</v>
      </c>
      <c r="AE14" s="23">
        <v>6</v>
      </c>
      <c r="AI14" s="46" t="s">
        <v>119</v>
      </c>
      <c r="AJ14" s="47">
        <v>0.8</v>
      </c>
      <c r="AK14" s="48">
        <v>1.7</v>
      </c>
      <c r="AL14" s="9">
        <v>12</v>
      </c>
      <c r="AM14" s="9">
        <v>6.7</v>
      </c>
      <c r="AN14" s="9" t="s">
        <v>135</v>
      </c>
    </row>
    <row r="15" spans="1:41" ht="13" x14ac:dyDescent="0.25">
      <c r="A15" s="117" t="s">
        <v>9</v>
      </c>
      <c r="B15" s="117"/>
      <c r="C15" s="52">
        <f>Elan!C15</f>
        <v>35</v>
      </c>
      <c r="D15" s="52">
        <f>Elan!D15</f>
        <v>35</v>
      </c>
      <c r="E15" s="52">
        <f>Elan!E15</f>
        <v>35</v>
      </c>
      <c r="F15" s="52">
        <f>Elan!F15</f>
        <v>20</v>
      </c>
      <c r="G15" s="52">
        <f>Elan!G15</f>
        <v>38</v>
      </c>
      <c r="H15" s="52">
        <f>Elan!H15</f>
        <v>38</v>
      </c>
      <c r="I15" s="52">
        <f>Elan!I15</f>
        <v>20</v>
      </c>
      <c r="J15" s="52">
        <f>Elan!J15</f>
        <v>38</v>
      </c>
      <c r="K15" s="52">
        <f>Elan!K15</f>
        <v>20</v>
      </c>
      <c r="L15" s="52">
        <f>Elan!L15</f>
        <v>35</v>
      </c>
      <c r="M15" s="52">
        <f>Elan!M15</f>
        <v>35</v>
      </c>
      <c r="N15" s="52">
        <f>Elan!N15</f>
        <v>35</v>
      </c>
      <c r="O15" s="52">
        <f>Elan!O15</f>
        <v>35</v>
      </c>
      <c r="P15" s="52">
        <f>Elan!P15</f>
        <v>35</v>
      </c>
      <c r="Q15" s="52">
        <f>Elan!Q15</f>
        <v>35</v>
      </c>
      <c r="R15" s="52">
        <f>Elan!R15</f>
        <v>35</v>
      </c>
      <c r="S15" s="52">
        <f>Elan!S15</f>
        <v>35</v>
      </c>
      <c r="T15" s="52">
        <f>Elan!T15</f>
        <v>35</v>
      </c>
      <c r="U15" s="52">
        <f>Elan!U15</f>
        <v>0</v>
      </c>
      <c r="V15" s="52">
        <f>Elan!V15</f>
        <v>0</v>
      </c>
      <c r="AD15" s="23" t="s">
        <v>144</v>
      </c>
      <c r="AE15" s="23">
        <v>7</v>
      </c>
      <c r="AI15" s="46" t="s">
        <v>101</v>
      </c>
      <c r="AJ15" s="54">
        <v>1.8</v>
      </c>
      <c r="AK15" s="48">
        <v>5.4</v>
      </c>
      <c r="AL15" s="9">
        <v>13</v>
      </c>
      <c r="AM15" s="9">
        <v>6.7</v>
      </c>
      <c r="AN15" s="9" t="s">
        <v>135</v>
      </c>
    </row>
    <row r="16" spans="1:41" ht="13.5" thickBot="1" x14ac:dyDescent="0.3">
      <c r="A16" s="119" t="s">
        <v>44</v>
      </c>
      <c r="B16" s="119"/>
      <c r="C16" s="92">
        <f>Elan!C16</f>
        <v>0</v>
      </c>
      <c r="D16" s="92">
        <f>Elan!D16</f>
        <v>0</v>
      </c>
      <c r="E16" s="92">
        <f>Elan!E16</f>
        <v>0</v>
      </c>
      <c r="F16" s="92">
        <f>Elan!F16</f>
        <v>0</v>
      </c>
      <c r="G16" s="92">
        <f>Elan!G16</f>
        <v>0</v>
      </c>
      <c r="H16" s="92">
        <f>Elan!H16</f>
        <v>0</v>
      </c>
      <c r="I16" s="92">
        <f>Elan!I16</f>
        <v>0</v>
      </c>
      <c r="J16" s="92">
        <f>Elan!J16</f>
        <v>0</v>
      </c>
      <c r="K16" s="92">
        <f>Elan!K16</f>
        <v>0</v>
      </c>
      <c r="L16" s="92">
        <f>Elan!L16</f>
        <v>0</v>
      </c>
      <c r="M16" s="92">
        <f>Elan!M16</f>
        <v>0</v>
      </c>
      <c r="N16" s="92">
        <f>Elan!N16</f>
        <v>0</v>
      </c>
      <c r="O16" s="92">
        <f>Elan!O16</f>
        <v>0</v>
      </c>
      <c r="P16" s="92">
        <f>Elan!P16</f>
        <v>0</v>
      </c>
      <c r="Q16" s="92">
        <f>Elan!Q16</f>
        <v>0</v>
      </c>
      <c r="R16" s="92">
        <f>Elan!R16</f>
        <v>0</v>
      </c>
      <c r="S16" s="92">
        <f>Elan!S16</f>
        <v>0</v>
      </c>
      <c r="T16" s="92">
        <f>Elan!T16</f>
        <v>0</v>
      </c>
      <c r="U16" s="92">
        <f>Elan!U16</f>
        <v>0</v>
      </c>
      <c r="V16" s="92">
        <f>Elan!V16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59.5</v>
      </c>
      <c r="D17" s="21">
        <f t="shared" ref="D17:V17" si="0">(VLOOKUP(D$14,$AI2:$AK26,2,FALSE))*D$15</f>
        <v>59.5</v>
      </c>
      <c r="E17" s="21">
        <f t="shared" si="0"/>
        <v>59.5</v>
      </c>
      <c r="F17" s="21">
        <f t="shared" si="0"/>
        <v>34</v>
      </c>
      <c r="G17" s="21">
        <f t="shared" si="0"/>
        <v>64.599999999999994</v>
      </c>
      <c r="H17" s="21">
        <f t="shared" si="0"/>
        <v>64.599999999999994</v>
      </c>
      <c r="I17" s="21">
        <f t="shared" si="0"/>
        <v>34</v>
      </c>
      <c r="J17" s="21">
        <f t="shared" si="0"/>
        <v>64.599999999999994</v>
      </c>
      <c r="K17" s="21">
        <f t="shared" si="0"/>
        <v>34</v>
      </c>
      <c r="L17" s="21">
        <f t="shared" si="0"/>
        <v>59.5</v>
      </c>
      <c r="M17" s="21">
        <f t="shared" si="0"/>
        <v>59.5</v>
      </c>
      <c r="N17" s="21">
        <f t="shared" si="0"/>
        <v>59.5</v>
      </c>
      <c r="O17" s="21">
        <f t="shared" si="0"/>
        <v>59.5</v>
      </c>
      <c r="P17" s="21">
        <f t="shared" si="0"/>
        <v>59.5</v>
      </c>
      <c r="Q17" s="21">
        <f t="shared" si="0"/>
        <v>59.5</v>
      </c>
      <c r="R17" s="21">
        <f t="shared" si="0"/>
        <v>59.5</v>
      </c>
      <c r="S17" s="21">
        <f t="shared" si="0"/>
        <v>59.5</v>
      </c>
      <c r="T17" s="21">
        <f t="shared" si="0"/>
        <v>59.5</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30.2560915</v>
      </c>
      <c r="D18" s="13">
        <f>$D32</f>
        <v>30.2560915</v>
      </c>
      <c r="E18" s="13">
        <f>$D33</f>
        <v>30.2560915</v>
      </c>
      <c r="F18" s="13">
        <f>$D34</f>
        <v>30.2560915</v>
      </c>
      <c r="G18" s="13">
        <f>$D35</f>
        <v>30.2560915</v>
      </c>
      <c r="H18" s="13">
        <f>$D36</f>
        <v>30.2560915</v>
      </c>
      <c r="I18" s="13">
        <f>$D37</f>
        <v>30.2560915</v>
      </c>
      <c r="J18" s="13">
        <f>$D38</f>
        <v>30.2560915</v>
      </c>
      <c r="K18" s="13">
        <f>$D39</f>
        <v>30.2560915</v>
      </c>
      <c r="L18" s="13">
        <f>$D40</f>
        <v>30.2560915</v>
      </c>
      <c r="M18" s="13">
        <f>$D41</f>
        <v>30.2560915</v>
      </c>
      <c r="N18" s="13">
        <f>$D42</f>
        <v>30.2560915</v>
      </c>
      <c r="O18" s="13">
        <f>$D43</f>
        <v>30.2560915</v>
      </c>
      <c r="P18" s="13">
        <f>$D44</f>
        <v>30.2560915</v>
      </c>
      <c r="Q18" s="13">
        <f>$D45</f>
        <v>30.2560915</v>
      </c>
      <c r="R18" s="13">
        <f>$D46</f>
        <v>30.2560915</v>
      </c>
      <c r="S18" s="13">
        <f>$D47</f>
        <v>30.2560915</v>
      </c>
      <c r="T18" s="13">
        <f>$D48</f>
        <v>30.2560915</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-29.2439085</v>
      </c>
      <c r="D19" s="13">
        <f t="shared" ref="D19:V19" si="1">D18-D17</f>
        <v>-29.2439085</v>
      </c>
      <c r="E19" s="13">
        <f t="shared" si="1"/>
        <v>-29.2439085</v>
      </c>
      <c r="F19" s="13">
        <f t="shared" si="1"/>
        <v>-3.7439084999999999</v>
      </c>
      <c r="G19" s="13">
        <f t="shared" si="1"/>
        <v>-34.343908499999998</v>
      </c>
      <c r="H19" s="13">
        <f t="shared" si="1"/>
        <v>-34.343908499999998</v>
      </c>
      <c r="I19" s="13">
        <f t="shared" si="1"/>
        <v>-3.7439084999999999</v>
      </c>
      <c r="J19" s="13">
        <f t="shared" si="1"/>
        <v>-34.343908499999998</v>
      </c>
      <c r="K19" s="13">
        <f t="shared" si="1"/>
        <v>-3.7439084999999999</v>
      </c>
      <c r="L19" s="13">
        <f t="shared" si="1"/>
        <v>-29.2439085</v>
      </c>
      <c r="M19" s="13">
        <f t="shared" si="1"/>
        <v>-29.2439085</v>
      </c>
      <c r="N19" s="13">
        <f t="shared" si="1"/>
        <v>-29.2439085</v>
      </c>
      <c r="O19" s="13">
        <f t="shared" si="1"/>
        <v>-29.2439085</v>
      </c>
      <c r="P19" s="13">
        <f t="shared" si="1"/>
        <v>-29.2439085</v>
      </c>
      <c r="Q19" s="13">
        <f t="shared" si="1"/>
        <v>-29.2439085</v>
      </c>
      <c r="R19" s="13">
        <f t="shared" si="1"/>
        <v>-29.2439085</v>
      </c>
      <c r="S19" s="13">
        <f t="shared" si="1"/>
        <v>-29.2439085</v>
      </c>
      <c r="T19" s="13">
        <f t="shared" si="1"/>
        <v>-29.2439085</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210</v>
      </c>
      <c r="D21" s="21">
        <f t="shared" ref="D21:V21" si="2">(VLOOKUP(D$14,$AI2:$AK24,3,FALSE))*D$15</f>
        <v>210</v>
      </c>
      <c r="E21" s="21">
        <f t="shared" si="2"/>
        <v>210</v>
      </c>
      <c r="F21" s="21">
        <f t="shared" si="2"/>
        <v>120</v>
      </c>
      <c r="G21" s="21">
        <f t="shared" si="2"/>
        <v>228</v>
      </c>
      <c r="H21" s="21">
        <f t="shared" si="2"/>
        <v>228</v>
      </c>
      <c r="I21" s="21">
        <f t="shared" si="2"/>
        <v>120</v>
      </c>
      <c r="J21" s="21">
        <f t="shared" si="2"/>
        <v>228</v>
      </c>
      <c r="K21" s="21">
        <f t="shared" si="2"/>
        <v>120</v>
      </c>
      <c r="L21" s="21">
        <f t="shared" si="2"/>
        <v>210</v>
      </c>
      <c r="M21" s="21">
        <f t="shared" si="2"/>
        <v>210</v>
      </c>
      <c r="N21" s="21">
        <f t="shared" si="2"/>
        <v>210</v>
      </c>
      <c r="O21" s="21">
        <f t="shared" si="2"/>
        <v>210</v>
      </c>
      <c r="P21" s="21">
        <f t="shared" si="2"/>
        <v>210</v>
      </c>
      <c r="Q21" s="21">
        <f t="shared" si="2"/>
        <v>210</v>
      </c>
      <c r="R21" s="21">
        <f t="shared" si="2"/>
        <v>210</v>
      </c>
      <c r="S21" s="21">
        <f t="shared" si="2"/>
        <v>210</v>
      </c>
      <c r="T21" s="21">
        <f t="shared" si="2"/>
        <v>210</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14.348537499999999</v>
      </c>
      <c r="D22" s="13">
        <f>$E32</f>
        <v>14.348537499999999</v>
      </c>
      <c r="E22" s="13">
        <f>$E33</f>
        <v>14.348537499999999</v>
      </c>
      <c r="F22" s="13">
        <f>$E34</f>
        <v>14.348537499999999</v>
      </c>
      <c r="G22" s="13">
        <f>$E35</f>
        <v>14.348537499999999</v>
      </c>
      <c r="H22" s="13">
        <f>$E36</f>
        <v>14.348537499999999</v>
      </c>
      <c r="I22" s="13">
        <f>$E37</f>
        <v>14.348537499999999</v>
      </c>
      <c r="J22" s="13">
        <f>$E38</f>
        <v>14.348537499999999</v>
      </c>
      <c r="K22" s="13">
        <f>$E39</f>
        <v>14.348537499999999</v>
      </c>
      <c r="L22" s="13">
        <f>$E40</f>
        <v>14.348537499999999</v>
      </c>
      <c r="M22" s="13">
        <f>$E41</f>
        <v>14.348537499999999</v>
      </c>
      <c r="N22" s="13">
        <f>$E42</f>
        <v>14.348537499999999</v>
      </c>
      <c r="O22" s="13">
        <f>$E43</f>
        <v>14.348537499999999</v>
      </c>
      <c r="P22" s="13">
        <f>$E44</f>
        <v>14.348537499999999</v>
      </c>
      <c r="Q22" s="13">
        <f>$E45</f>
        <v>14.348537499999999</v>
      </c>
      <c r="R22" s="13">
        <f>$E46</f>
        <v>14.348537499999999</v>
      </c>
      <c r="S22" s="13">
        <f>$E47</f>
        <v>14.348537499999999</v>
      </c>
      <c r="T22" s="13">
        <f>$E48</f>
        <v>14.348537499999999</v>
      </c>
      <c r="U22" s="13">
        <f>$E49</f>
        <v>0</v>
      </c>
      <c r="V22" s="13">
        <f>$E50</f>
        <v>0</v>
      </c>
      <c r="AI22" s="55" t="s">
        <v>102</v>
      </c>
      <c r="AJ22" s="56">
        <v>1.2</v>
      </c>
      <c r="AK22" s="57">
        <v>5</v>
      </c>
      <c r="AL22" s="22">
        <v>20</v>
      </c>
      <c r="AM22" s="9">
        <v>6.7</v>
      </c>
      <c r="AN22" s="9" t="s">
        <v>135</v>
      </c>
    </row>
    <row r="23" spans="1:40" ht="13" x14ac:dyDescent="0.25">
      <c r="A23" s="111" t="s">
        <v>92</v>
      </c>
      <c r="B23" s="112"/>
      <c r="C23" s="13">
        <f>C22-C21</f>
        <v>-195.65146250000001</v>
      </c>
      <c r="D23" s="13">
        <f t="shared" ref="D23:V23" si="3">D22-D21</f>
        <v>-195.65146250000001</v>
      </c>
      <c r="E23" s="13">
        <f t="shared" si="3"/>
        <v>-195.65146250000001</v>
      </c>
      <c r="F23" s="13">
        <f t="shared" si="3"/>
        <v>-105.65146250000001</v>
      </c>
      <c r="G23" s="13">
        <f t="shared" si="3"/>
        <v>-213.65146250000001</v>
      </c>
      <c r="H23" s="13">
        <f t="shared" si="3"/>
        <v>-213.65146250000001</v>
      </c>
      <c r="I23" s="13">
        <f t="shared" si="3"/>
        <v>-105.65146250000001</v>
      </c>
      <c r="J23" s="13">
        <f t="shared" si="3"/>
        <v>-213.65146250000001</v>
      </c>
      <c r="K23" s="13">
        <f t="shared" si="3"/>
        <v>-105.65146250000001</v>
      </c>
      <c r="L23" s="13">
        <f t="shared" si="3"/>
        <v>-195.65146250000001</v>
      </c>
      <c r="M23" s="13">
        <f t="shared" si="3"/>
        <v>-195.65146250000001</v>
      </c>
      <c r="N23" s="13">
        <f t="shared" si="3"/>
        <v>-195.65146250000001</v>
      </c>
      <c r="O23" s="13">
        <f t="shared" si="3"/>
        <v>-195.65146250000001</v>
      </c>
      <c r="P23" s="13">
        <f t="shared" si="3"/>
        <v>-195.65146250000001</v>
      </c>
      <c r="Q23" s="13">
        <f t="shared" si="3"/>
        <v>-195.65146250000001</v>
      </c>
      <c r="R23" s="13">
        <f t="shared" si="3"/>
        <v>-195.65146250000001</v>
      </c>
      <c r="S23" s="13">
        <f t="shared" si="3"/>
        <v>-195.65146250000001</v>
      </c>
      <c r="T23" s="13">
        <f t="shared" si="3"/>
        <v>-195.65146250000001</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4.33</v>
      </c>
      <c r="C28" s="12">
        <v>1.1599999999999999</v>
      </c>
      <c r="D28" s="12">
        <v>0.122</v>
      </c>
      <c r="E28" s="12">
        <v>0.11</v>
      </c>
      <c r="F28" s="12">
        <v>3010</v>
      </c>
      <c r="G28" s="12">
        <v>46.4</v>
      </c>
      <c r="H28" s="12">
        <v>310</v>
      </c>
      <c r="I28" s="12">
        <v>39.799999999999997</v>
      </c>
      <c r="J28" s="12">
        <v>0.44</v>
      </c>
      <c r="K28" s="16">
        <v>0.93</v>
      </c>
      <c r="L28" s="12">
        <v>24</v>
      </c>
      <c r="M28" s="12">
        <v>19</v>
      </c>
      <c r="N28" s="12">
        <v>118000</v>
      </c>
      <c r="O28" s="12">
        <v>29900</v>
      </c>
      <c r="P28" s="12"/>
      <c r="Q28" s="12">
        <v>5610</v>
      </c>
      <c r="R28" s="12"/>
      <c r="S28" s="12">
        <v>23.8</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Cae Derwin</v>
      </c>
      <c r="B31" s="12">
        <v>250</v>
      </c>
      <c r="C31" s="68">
        <f>IF(C$27="%w/w SAR",((C$28*10)*$B31),IF(C$27="%w/w DM",(((C$28*10)*($B$28/100))*$B31),IF(C$27="kg/t SAR",(C$28*$B31),IF(C$27="kg/t DM",((C$28*($B$28/100))*$B31),IF(C$27="mg/kg SAR",((C$28*0.001)*$B31),IF(C$27="mg/kg DM",(((C$28*0.001)*($B$28/100))*$B31),0))))))</f>
        <v>125.57</v>
      </c>
      <c r="D31" s="68">
        <f>(IF(D$27="%w/w SAR",((D$28*10)*$B31),IF(D$27="%w/w DM",(((D$28*10)*($B$28/100))*$B31),IF(D$27="kg/t SAR",(D$28*$B31),IF(D$27="kg/t DM",((D$28*($B$28/100))*$B31),IF(D$27="mg/kg SAR",((D$28*0.001)*$B31),IF(D$27="mg/kg DM",(((D$28*0.001)*($B$28/100))*$B31),"0")))))))*2.291</f>
        <v>30.2560915</v>
      </c>
      <c r="E31" s="68">
        <f>(IF(E$27="%w/w SAR",((E$28*10)*$B31),IF(E$27="%w/w DM",(((E$28*10)*($B$28/100))*$B31),IF(E$27="kg/t SAR",(E$28*$B31),IF(E$27="kg/t DM",((E$28*($B$28/100))*$B31),IF(E$27="mg/kg SAR",((E$28*0.001)*$B31),IF(E$27="mg/kg DM",(((E$28*0.001)*($B$28/100))*$B31),"0")))))))*1.205</f>
        <v>14.348537499999999</v>
      </c>
      <c r="F31" s="68">
        <f>(IF(F$27="%w/w SAR",((F$28*10)*$B31),IF(F$27="%w/w DM",(((F$28*10)*($B$28/100))*$B31),IF(F$27="kg/t SAR",(F$28*$B31),IF(F$27="kg/t DM",((F$28*($B$28/100))*$B31),IF(F$27="mg/kg SAR",((F$28*0.001)*$B31),IF(F$27="mg/kg DM",(((F$28*0.001)*($B$28/100))*$B31),"0")))))))*1.658</f>
        <v>54.023028499999995</v>
      </c>
      <c r="G31" s="68">
        <f t="shared" ref="G31:P46" si="5">IF(G$27="%w/w SAR",((G$28*10)*$B31),IF(G$27="%w/w DM",(((G$28*10)*($B$28/100))*$B31),IF(G$27="kg/t SAR",(G$28*$B31),IF(G$27="kg/t DM",((G$28*($B$28/100))*$B31),IF(G$27="mg/kg SAR",((G$28*0.001)*$B31),IF(G$27="mg/kg DM",(((G$28*0.001)*($B$28/100))*$B31),0))))))</f>
        <v>0.50227999999999995</v>
      </c>
      <c r="H31" s="68">
        <f t="shared" si="5"/>
        <v>3.35575</v>
      </c>
      <c r="I31" s="68">
        <f t="shared" si="5"/>
        <v>0.43083499999999991</v>
      </c>
      <c r="J31" s="68">
        <f t="shared" si="5"/>
        <v>4.7629999999999999E-3</v>
      </c>
      <c r="K31" s="68">
        <f t="shared" si="5"/>
        <v>1.0067250000000002E-2</v>
      </c>
      <c r="L31" s="68">
        <f t="shared" si="5"/>
        <v>0.25979999999999998</v>
      </c>
      <c r="M31" s="68">
        <f t="shared" si="5"/>
        <v>0.205675</v>
      </c>
      <c r="N31" s="68">
        <f t="shared" si="5"/>
        <v>1277.3499999999999</v>
      </c>
      <c r="O31" s="68">
        <f t="shared" si="5"/>
        <v>323.66750000000002</v>
      </c>
      <c r="P31" s="68">
        <f t="shared" si="5"/>
        <v>0</v>
      </c>
      <c r="Q31" s="68">
        <f>(IF(Q$27="%w/w SAR",((Q$28*10)*$B31),IF(Q$27="%w/w DM",(((Q$28*10)*($B$28/100))*$B31),IF(Q$27="kg/t SAR",(Q$28*$B31),IF(Q$27="kg/t DM",((Q$28*($B$28/100))*$B31),IF(Q$27="mg/kg SAR",((Q$28*0.001)*$B31),IF(Q$27="mg/kg DM",(((Q$28*0.001)*($B$28/100))*$B31),0)))))))*2.5</f>
        <v>151.82062499999998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0.257635</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Cae Gwar</v>
      </c>
      <c r="B32" s="12">
        <v>250</v>
      </c>
      <c r="C32" s="68">
        <f t="shared" ref="C32:C50" si="6">IF(C$27="%w/w SAR",((C$28*10)*$B32),IF(C$27="%w/w DM",(((C$28*10)*($B$28/100))*$B32),IF(C$27="kg/t SAR",(C$28*$B32),IF(C$27="kg/t DM",((C$28*($B$28/100))*$B32),IF(C$27="mg/kg SAR",((C$28*0.001)*$B32),IF(C$27="mg/kg DM",(((C$28*0.001)*($B$28/100))*$B32),0))))))</f>
        <v>125.57</v>
      </c>
      <c r="D32" s="68">
        <f t="shared" ref="D32:D50" si="7">(IF(D$27="%w/w SAR",((D$28*10)*$B32),IF(D$27="%w/w DM",(((D$28*10)*($B$28/100))*$B32),IF(D$27="kg/t SAR",(D$28*$B32),IF(D$27="kg/t DM",((D$28*($B$28/100))*$B32),IF(D$27="mg/kg SAR",((D$28*0.001)*$B32),IF(D$27="mg/kg DM",(((D$28*0.001)*($B$28/100))*$B32),"0")))))))*2.291</f>
        <v>30.2560915</v>
      </c>
      <c r="E32" s="68">
        <f t="shared" ref="E32:E50" si="8">(IF(E$27="%w/w SAR",((E$28*10)*$B32),IF(E$27="%w/w DM",(((E$28*10)*($B$28/100))*$B32),IF(E$27="kg/t SAR",(E$28*$B32),IF(E$27="kg/t DM",((E$28*($B$28/100))*$B32),IF(E$27="mg/kg SAR",((E$28*0.001)*$B32),IF(E$27="mg/kg DM",(((E$28*0.001)*($B$28/100))*$B32),"0")))))))*1.205</f>
        <v>14.348537499999999</v>
      </c>
      <c r="F32" s="68">
        <f t="shared" ref="F32:F50" si="9">(IF(F$27="%w/w SAR",((F$28*10)*$B32),IF(F$27="%w/w DM",(((F$28*10)*($B$28/100))*$B32),IF(F$27="kg/t SAR",(F$28*$B32),IF(F$27="kg/t DM",((F$28*($B$28/100))*$B32),IF(F$27="mg/kg SAR",((F$28*0.001)*$B32),IF(F$27="mg/kg DM",(((F$28*0.001)*($B$28/100))*$B32),"0")))))))*1.658</f>
        <v>54.023028499999995</v>
      </c>
      <c r="G32" s="68">
        <f t="shared" si="5"/>
        <v>0.50227999999999995</v>
      </c>
      <c r="H32" s="68">
        <f t="shared" si="5"/>
        <v>3.35575</v>
      </c>
      <c r="I32" s="68">
        <f t="shared" si="5"/>
        <v>0.43083499999999991</v>
      </c>
      <c r="J32" s="68">
        <f t="shared" si="5"/>
        <v>4.7629999999999999E-3</v>
      </c>
      <c r="K32" s="68">
        <f t="shared" si="5"/>
        <v>1.0067250000000002E-2</v>
      </c>
      <c r="L32" s="68">
        <f t="shared" si="5"/>
        <v>0.25979999999999998</v>
      </c>
      <c r="M32" s="68">
        <f t="shared" si="5"/>
        <v>0.205675</v>
      </c>
      <c r="N32" s="68">
        <f t="shared" si="5"/>
        <v>1277.3499999999999</v>
      </c>
      <c r="O32" s="68">
        <f t="shared" si="5"/>
        <v>323.66750000000002</v>
      </c>
      <c r="P32" s="68">
        <f t="shared" si="5"/>
        <v>0</v>
      </c>
      <c r="Q32" s="68">
        <f t="shared" ref="Q32:Q50" si="10">(IF(Q$27="%w/w SAR",((Q$28*10)*$B32),IF(Q$27="%w/w DM",(((Q$28*10)*($B$28/100))*$B32),IF(Q$27="kg/t SAR",(Q$28*$B32),IF(Q$27="kg/t DM",((Q$28*($B$28/100))*$B32),IF(Q$27="mg/kg SAR",((Q$28*0.001)*$B32),IF(Q$27="mg/kg DM",(((Q$28*0.001)*($B$28/100))*$B32),0)))))))*2.5</f>
        <v>151.82062499999998</v>
      </c>
      <c r="R32" s="68">
        <f t="shared" ref="R32:U50" si="11">IF(R$27="%w/w SAR",((R$28*10)*$B32),IF(R$27="%w/w DM",(((R$28*10)*($B$28/100))*$B32),IF(R$27="kg/t SAR",(R$28*$B32),IF(R$27="kg/t DM",((R$28*($B$28/100))*$B32),IF(R$27="mg/kg SAR",((R$28*0.001)*$B32),IF(R$27="mg/kg DM",(((R$28*0.001)*($B$28/100))*$B32),0))))))</f>
        <v>0</v>
      </c>
      <c r="S32" s="68">
        <f t="shared" si="11"/>
        <v>0.257635</v>
      </c>
      <c r="T32" s="68">
        <f t="shared" si="11"/>
        <v>0</v>
      </c>
      <c r="U32" s="68">
        <f t="shared" si="11"/>
        <v>0</v>
      </c>
    </row>
    <row r="33" spans="1:21" s="51" customFormat="1" ht="13" x14ac:dyDescent="0.35">
      <c r="A33" s="10">
        <f>E8</f>
        <v>7216</v>
      </c>
      <c r="B33" s="12">
        <v>250</v>
      </c>
      <c r="C33" s="68">
        <f t="shared" si="6"/>
        <v>125.57</v>
      </c>
      <c r="D33" s="68">
        <f t="shared" si="7"/>
        <v>30.2560915</v>
      </c>
      <c r="E33" s="68">
        <f t="shared" si="8"/>
        <v>14.348537499999999</v>
      </c>
      <c r="F33" s="68">
        <f t="shared" si="9"/>
        <v>54.023028499999995</v>
      </c>
      <c r="G33" s="68">
        <f t="shared" si="5"/>
        <v>0.50227999999999995</v>
      </c>
      <c r="H33" s="68">
        <f t="shared" si="5"/>
        <v>3.35575</v>
      </c>
      <c r="I33" s="68">
        <f t="shared" si="5"/>
        <v>0.43083499999999991</v>
      </c>
      <c r="J33" s="68">
        <f t="shared" si="5"/>
        <v>4.7629999999999999E-3</v>
      </c>
      <c r="K33" s="68">
        <f t="shared" si="5"/>
        <v>1.0067250000000002E-2</v>
      </c>
      <c r="L33" s="68">
        <f t="shared" si="5"/>
        <v>0.25979999999999998</v>
      </c>
      <c r="M33" s="68">
        <f t="shared" si="5"/>
        <v>0.205675</v>
      </c>
      <c r="N33" s="68">
        <f t="shared" si="5"/>
        <v>1277.3499999999999</v>
      </c>
      <c r="O33" s="68">
        <f t="shared" si="5"/>
        <v>323.66750000000002</v>
      </c>
      <c r="P33" s="68">
        <f t="shared" si="5"/>
        <v>0</v>
      </c>
      <c r="Q33" s="68">
        <f t="shared" si="10"/>
        <v>151.82062499999998</v>
      </c>
      <c r="R33" s="68">
        <f t="shared" si="11"/>
        <v>0</v>
      </c>
      <c r="S33" s="68">
        <f t="shared" si="11"/>
        <v>0.257635</v>
      </c>
      <c r="T33" s="68">
        <f t="shared" si="11"/>
        <v>0</v>
      </c>
      <c r="U33" s="68">
        <f t="shared" si="11"/>
        <v>0</v>
      </c>
    </row>
    <row r="34" spans="1:21" s="51" customFormat="1" ht="13" x14ac:dyDescent="0.35">
      <c r="A34" s="10">
        <f>F8</f>
        <v>11</v>
      </c>
      <c r="B34" s="12">
        <v>250</v>
      </c>
      <c r="C34" s="68">
        <f t="shared" si="6"/>
        <v>125.57</v>
      </c>
      <c r="D34" s="68">
        <f t="shared" si="7"/>
        <v>30.2560915</v>
      </c>
      <c r="E34" s="68">
        <f t="shared" si="8"/>
        <v>14.348537499999999</v>
      </c>
      <c r="F34" s="68">
        <f t="shared" si="9"/>
        <v>54.023028499999995</v>
      </c>
      <c r="G34" s="68">
        <f t="shared" si="5"/>
        <v>0.50227999999999995</v>
      </c>
      <c r="H34" s="68">
        <f t="shared" si="5"/>
        <v>3.35575</v>
      </c>
      <c r="I34" s="68">
        <f t="shared" si="5"/>
        <v>0.43083499999999991</v>
      </c>
      <c r="J34" s="68">
        <f t="shared" si="5"/>
        <v>4.7629999999999999E-3</v>
      </c>
      <c r="K34" s="68">
        <f t="shared" si="5"/>
        <v>1.0067250000000002E-2</v>
      </c>
      <c r="L34" s="68">
        <f t="shared" si="5"/>
        <v>0.25979999999999998</v>
      </c>
      <c r="M34" s="68">
        <f t="shared" si="5"/>
        <v>0.205675</v>
      </c>
      <c r="N34" s="68">
        <f t="shared" si="5"/>
        <v>1277.3499999999999</v>
      </c>
      <c r="O34" s="68">
        <f t="shared" si="5"/>
        <v>323.66750000000002</v>
      </c>
      <c r="P34" s="68">
        <f t="shared" si="5"/>
        <v>0</v>
      </c>
      <c r="Q34" s="68">
        <f t="shared" si="10"/>
        <v>151.82062499999998</v>
      </c>
      <c r="R34" s="68">
        <f t="shared" si="11"/>
        <v>0</v>
      </c>
      <c r="S34" s="68">
        <f t="shared" si="11"/>
        <v>0.257635</v>
      </c>
      <c r="T34" s="68">
        <f t="shared" si="11"/>
        <v>0</v>
      </c>
      <c r="U34" s="68">
        <f t="shared" si="11"/>
        <v>0</v>
      </c>
    </row>
    <row r="35" spans="1:21" s="51" customFormat="1" ht="13" x14ac:dyDescent="0.35">
      <c r="A35" s="10">
        <f>G8</f>
        <v>12</v>
      </c>
      <c r="B35" s="12">
        <v>250</v>
      </c>
      <c r="C35" s="68">
        <f t="shared" si="6"/>
        <v>125.57</v>
      </c>
      <c r="D35" s="68">
        <f t="shared" si="7"/>
        <v>30.2560915</v>
      </c>
      <c r="E35" s="68">
        <f t="shared" si="8"/>
        <v>14.348537499999999</v>
      </c>
      <c r="F35" s="68">
        <f t="shared" si="9"/>
        <v>54.023028499999995</v>
      </c>
      <c r="G35" s="68">
        <f t="shared" si="5"/>
        <v>0.50227999999999995</v>
      </c>
      <c r="H35" s="68">
        <f t="shared" si="5"/>
        <v>3.35575</v>
      </c>
      <c r="I35" s="68">
        <f t="shared" si="5"/>
        <v>0.43083499999999991</v>
      </c>
      <c r="J35" s="68">
        <f t="shared" si="5"/>
        <v>4.7629999999999999E-3</v>
      </c>
      <c r="K35" s="68">
        <f t="shared" si="5"/>
        <v>1.0067250000000002E-2</v>
      </c>
      <c r="L35" s="68">
        <f t="shared" si="5"/>
        <v>0.25979999999999998</v>
      </c>
      <c r="M35" s="68">
        <f t="shared" si="5"/>
        <v>0.205675</v>
      </c>
      <c r="N35" s="68">
        <f t="shared" si="5"/>
        <v>1277.3499999999999</v>
      </c>
      <c r="O35" s="68">
        <f t="shared" si="5"/>
        <v>323.66750000000002</v>
      </c>
      <c r="P35" s="68">
        <f t="shared" si="5"/>
        <v>0</v>
      </c>
      <c r="Q35" s="68">
        <f t="shared" si="10"/>
        <v>151.82062499999998</v>
      </c>
      <c r="R35" s="68">
        <f t="shared" si="11"/>
        <v>0</v>
      </c>
      <c r="S35" s="68">
        <f t="shared" si="11"/>
        <v>0.257635</v>
      </c>
      <c r="T35" s="68">
        <f t="shared" si="11"/>
        <v>0</v>
      </c>
      <c r="U35" s="68">
        <f t="shared" si="11"/>
        <v>0</v>
      </c>
    </row>
    <row r="36" spans="1:21" s="51" customFormat="1" ht="13" x14ac:dyDescent="0.35">
      <c r="A36" s="10">
        <f>H8</f>
        <v>14</v>
      </c>
      <c r="B36" s="12">
        <v>250</v>
      </c>
      <c r="C36" s="68">
        <f t="shared" si="6"/>
        <v>125.57</v>
      </c>
      <c r="D36" s="68">
        <f t="shared" si="7"/>
        <v>30.2560915</v>
      </c>
      <c r="E36" s="68">
        <f t="shared" si="8"/>
        <v>14.348537499999999</v>
      </c>
      <c r="F36" s="68">
        <f t="shared" si="9"/>
        <v>54.023028499999995</v>
      </c>
      <c r="G36" s="68">
        <f t="shared" si="5"/>
        <v>0.50227999999999995</v>
      </c>
      <c r="H36" s="68">
        <f t="shared" si="5"/>
        <v>3.35575</v>
      </c>
      <c r="I36" s="68">
        <f t="shared" si="5"/>
        <v>0.43083499999999991</v>
      </c>
      <c r="J36" s="68">
        <f t="shared" si="5"/>
        <v>4.7629999999999999E-3</v>
      </c>
      <c r="K36" s="68">
        <f t="shared" si="5"/>
        <v>1.0067250000000002E-2</v>
      </c>
      <c r="L36" s="68">
        <f t="shared" si="5"/>
        <v>0.25979999999999998</v>
      </c>
      <c r="M36" s="68">
        <f t="shared" si="5"/>
        <v>0.205675</v>
      </c>
      <c r="N36" s="68">
        <f t="shared" si="5"/>
        <v>1277.3499999999999</v>
      </c>
      <c r="O36" s="68">
        <f t="shared" si="5"/>
        <v>323.66750000000002</v>
      </c>
      <c r="P36" s="68">
        <f t="shared" si="5"/>
        <v>0</v>
      </c>
      <c r="Q36" s="68">
        <f t="shared" si="10"/>
        <v>151.82062499999998</v>
      </c>
      <c r="R36" s="68">
        <f t="shared" si="11"/>
        <v>0</v>
      </c>
      <c r="S36" s="68">
        <f t="shared" si="11"/>
        <v>0.257635</v>
      </c>
      <c r="T36" s="68">
        <f t="shared" si="11"/>
        <v>0</v>
      </c>
      <c r="U36" s="68">
        <f t="shared" si="11"/>
        <v>0</v>
      </c>
    </row>
    <row r="37" spans="1:21" s="51" customFormat="1" ht="13" x14ac:dyDescent="0.35">
      <c r="A37" s="10" t="str">
        <f>I8</f>
        <v>15A</v>
      </c>
      <c r="B37" s="12">
        <v>250</v>
      </c>
      <c r="C37" s="68">
        <f t="shared" si="6"/>
        <v>125.57</v>
      </c>
      <c r="D37" s="68">
        <f t="shared" si="7"/>
        <v>30.2560915</v>
      </c>
      <c r="E37" s="68">
        <f t="shared" si="8"/>
        <v>14.348537499999999</v>
      </c>
      <c r="F37" s="68">
        <f t="shared" si="9"/>
        <v>54.023028499999995</v>
      </c>
      <c r="G37" s="68">
        <f t="shared" si="5"/>
        <v>0.50227999999999995</v>
      </c>
      <c r="H37" s="68">
        <f t="shared" si="5"/>
        <v>3.35575</v>
      </c>
      <c r="I37" s="68">
        <f t="shared" si="5"/>
        <v>0.43083499999999991</v>
      </c>
      <c r="J37" s="68">
        <f t="shared" si="5"/>
        <v>4.7629999999999999E-3</v>
      </c>
      <c r="K37" s="68">
        <f t="shared" si="5"/>
        <v>1.0067250000000002E-2</v>
      </c>
      <c r="L37" s="68">
        <f t="shared" si="5"/>
        <v>0.25979999999999998</v>
      </c>
      <c r="M37" s="68">
        <f t="shared" si="5"/>
        <v>0.205675</v>
      </c>
      <c r="N37" s="68">
        <f t="shared" si="5"/>
        <v>1277.3499999999999</v>
      </c>
      <c r="O37" s="68">
        <f t="shared" si="5"/>
        <v>323.66750000000002</v>
      </c>
      <c r="P37" s="68">
        <f t="shared" si="5"/>
        <v>0</v>
      </c>
      <c r="Q37" s="68">
        <f t="shared" si="10"/>
        <v>151.82062499999998</v>
      </c>
      <c r="R37" s="68">
        <f t="shared" si="11"/>
        <v>0</v>
      </c>
      <c r="S37" s="68">
        <f t="shared" si="11"/>
        <v>0.257635</v>
      </c>
      <c r="T37" s="68">
        <f t="shared" si="11"/>
        <v>0</v>
      </c>
      <c r="U37" s="68">
        <f t="shared" si="11"/>
        <v>0</v>
      </c>
    </row>
    <row r="38" spans="1:21" s="51" customFormat="1" ht="13" x14ac:dyDescent="0.35">
      <c r="A38" s="10">
        <f>J8</f>
        <v>17</v>
      </c>
      <c r="B38" s="12">
        <v>250</v>
      </c>
      <c r="C38" s="68">
        <f t="shared" si="6"/>
        <v>125.57</v>
      </c>
      <c r="D38" s="68">
        <f t="shared" si="7"/>
        <v>30.2560915</v>
      </c>
      <c r="E38" s="68">
        <f t="shared" si="8"/>
        <v>14.348537499999999</v>
      </c>
      <c r="F38" s="68">
        <f t="shared" si="9"/>
        <v>54.023028499999995</v>
      </c>
      <c r="G38" s="68">
        <f t="shared" si="5"/>
        <v>0.50227999999999995</v>
      </c>
      <c r="H38" s="68">
        <f t="shared" si="5"/>
        <v>3.35575</v>
      </c>
      <c r="I38" s="68">
        <f t="shared" si="5"/>
        <v>0.43083499999999991</v>
      </c>
      <c r="J38" s="68">
        <f t="shared" si="5"/>
        <v>4.7629999999999999E-3</v>
      </c>
      <c r="K38" s="68">
        <f t="shared" si="5"/>
        <v>1.0067250000000002E-2</v>
      </c>
      <c r="L38" s="68">
        <f t="shared" si="5"/>
        <v>0.25979999999999998</v>
      </c>
      <c r="M38" s="68">
        <f t="shared" si="5"/>
        <v>0.205675</v>
      </c>
      <c r="N38" s="68">
        <f t="shared" si="5"/>
        <v>1277.3499999999999</v>
      </c>
      <c r="O38" s="68">
        <f t="shared" si="5"/>
        <v>323.66750000000002</v>
      </c>
      <c r="P38" s="68">
        <f t="shared" si="5"/>
        <v>0</v>
      </c>
      <c r="Q38" s="68">
        <f t="shared" si="10"/>
        <v>151.82062499999998</v>
      </c>
      <c r="R38" s="68">
        <f t="shared" si="11"/>
        <v>0</v>
      </c>
      <c r="S38" s="68">
        <f t="shared" si="11"/>
        <v>0.257635</v>
      </c>
      <c r="T38" s="68">
        <f t="shared" si="11"/>
        <v>0</v>
      </c>
      <c r="U38" s="68">
        <f t="shared" si="11"/>
        <v>0</v>
      </c>
    </row>
    <row r="39" spans="1:21" s="51" customFormat="1" ht="13" x14ac:dyDescent="0.35">
      <c r="A39" s="10">
        <f>K8</f>
        <v>18</v>
      </c>
      <c r="B39" s="12">
        <v>250</v>
      </c>
      <c r="C39" s="68">
        <f t="shared" si="6"/>
        <v>125.57</v>
      </c>
      <c r="D39" s="68">
        <f t="shared" si="7"/>
        <v>30.2560915</v>
      </c>
      <c r="E39" s="68">
        <f t="shared" si="8"/>
        <v>14.348537499999999</v>
      </c>
      <c r="F39" s="68">
        <f t="shared" si="9"/>
        <v>54.023028499999995</v>
      </c>
      <c r="G39" s="68">
        <f t="shared" si="5"/>
        <v>0.50227999999999995</v>
      </c>
      <c r="H39" s="68">
        <f t="shared" si="5"/>
        <v>3.35575</v>
      </c>
      <c r="I39" s="68">
        <f t="shared" si="5"/>
        <v>0.43083499999999991</v>
      </c>
      <c r="J39" s="68">
        <f t="shared" si="5"/>
        <v>4.7629999999999999E-3</v>
      </c>
      <c r="K39" s="68">
        <f t="shared" si="5"/>
        <v>1.0067250000000002E-2</v>
      </c>
      <c r="L39" s="68">
        <f t="shared" si="5"/>
        <v>0.25979999999999998</v>
      </c>
      <c r="M39" s="68">
        <f t="shared" si="5"/>
        <v>0.205675</v>
      </c>
      <c r="N39" s="68">
        <f t="shared" si="5"/>
        <v>1277.3499999999999</v>
      </c>
      <c r="O39" s="68">
        <f t="shared" si="5"/>
        <v>323.66750000000002</v>
      </c>
      <c r="P39" s="68">
        <f t="shared" si="5"/>
        <v>0</v>
      </c>
      <c r="Q39" s="68">
        <f t="shared" si="10"/>
        <v>151.82062499999998</v>
      </c>
      <c r="R39" s="68">
        <f t="shared" si="11"/>
        <v>0</v>
      </c>
      <c r="S39" s="68">
        <f t="shared" si="11"/>
        <v>0.257635</v>
      </c>
      <c r="T39" s="68">
        <f t="shared" si="11"/>
        <v>0</v>
      </c>
      <c r="U39" s="68">
        <f t="shared" si="11"/>
        <v>0</v>
      </c>
    </row>
    <row r="40" spans="1:21" s="51" customFormat="1" ht="13" x14ac:dyDescent="0.35">
      <c r="A40" s="10" t="str">
        <f>L8</f>
        <v>PB2 1</v>
      </c>
      <c r="B40" s="12">
        <v>250</v>
      </c>
      <c r="C40" s="68">
        <f t="shared" si="6"/>
        <v>125.57</v>
      </c>
      <c r="D40" s="68">
        <f t="shared" si="7"/>
        <v>30.2560915</v>
      </c>
      <c r="E40" s="68">
        <f t="shared" si="8"/>
        <v>14.348537499999999</v>
      </c>
      <c r="F40" s="68">
        <f t="shared" si="9"/>
        <v>54.023028499999995</v>
      </c>
      <c r="G40" s="68">
        <f t="shared" si="5"/>
        <v>0.50227999999999995</v>
      </c>
      <c r="H40" s="68">
        <f t="shared" si="5"/>
        <v>3.35575</v>
      </c>
      <c r="I40" s="68">
        <f t="shared" si="5"/>
        <v>0.43083499999999991</v>
      </c>
      <c r="J40" s="68">
        <f t="shared" si="5"/>
        <v>4.7629999999999999E-3</v>
      </c>
      <c r="K40" s="68">
        <f t="shared" si="5"/>
        <v>1.0067250000000002E-2</v>
      </c>
      <c r="L40" s="68">
        <f t="shared" si="5"/>
        <v>0.25979999999999998</v>
      </c>
      <c r="M40" s="68">
        <f t="shared" si="5"/>
        <v>0.205675</v>
      </c>
      <c r="N40" s="68">
        <f t="shared" si="5"/>
        <v>1277.3499999999999</v>
      </c>
      <c r="O40" s="68">
        <f t="shared" si="5"/>
        <v>323.66750000000002</v>
      </c>
      <c r="P40" s="68">
        <f t="shared" si="5"/>
        <v>0</v>
      </c>
      <c r="Q40" s="68">
        <f t="shared" si="10"/>
        <v>151.82062499999998</v>
      </c>
      <c r="R40" s="68">
        <f t="shared" si="11"/>
        <v>0</v>
      </c>
      <c r="S40" s="68">
        <f t="shared" si="11"/>
        <v>0.257635</v>
      </c>
      <c r="T40" s="68">
        <f t="shared" si="11"/>
        <v>0</v>
      </c>
      <c r="U40" s="68">
        <f t="shared" si="11"/>
        <v>0</v>
      </c>
    </row>
    <row r="41" spans="1:21" s="51" customFormat="1" ht="13" x14ac:dyDescent="0.35">
      <c r="A41" s="10" t="str">
        <f>M8</f>
        <v>PB2 2</v>
      </c>
      <c r="B41" s="12">
        <v>250</v>
      </c>
      <c r="C41" s="68">
        <f t="shared" si="6"/>
        <v>125.57</v>
      </c>
      <c r="D41" s="68">
        <f t="shared" si="7"/>
        <v>30.2560915</v>
      </c>
      <c r="E41" s="68">
        <f t="shared" si="8"/>
        <v>14.348537499999999</v>
      </c>
      <c r="F41" s="68">
        <f t="shared" si="9"/>
        <v>54.023028499999995</v>
      </c>
      <c r="G41" s="68">
        <f t="shared" si="5"/>
        <v>0.50227999999999995</v>
      </c>
      <c r="H41" s="68">
        <f t="shared" si="5"/>
        <v>3.35575</v>
      </c>
      <c r="I41" s="68">
        <f t="shared" si="5"/>
        <v>0.43083499999999991</v>
      </c>
      <c r="J41" s="68">
        <f t="shared" si="5"/>
        <v>4.7629999999999999E-3</v>
      </c>
      <c r="K41" s="68">
        <f t="shared" si="5"/>
        <v>1.0067250000000002E-2</v>
      </c>
      <c r="L41" s="68">
        <f t="shared" si="5"/>
        <v>0.25979999999999998</v>
      </c>
      <c r="M41" s="68">
        <f t="shared" si="5"/>
        <v>0.205675</v>
      </c>
      <c r="N41" s="68">
        <f t="shared" si="5"/>
        <v>1277.3499999999999</v>
      </c>
      <c r="O41" s="68">
        <f t="shared" si="5"/>
        <v>323.66750000000002</v>
      </c>
      <c r="P41" s="68">
        <f t="shared" si="5"/>
        <v>0</v>
      </c>
      <c r="Q41" s="68">
        <f t="shared" si="10"/>
        <v>151.82062499999998</v>
      </c>
      <c r="R41" s="68">
        <f t="shared" si="11"/>
        <v>0</v>
      </c>
      <c r="S41" s="68">
        <f t="shared" si="11"/>
        <v>0.257635</v>
      </c>
      <c r="T41" s="68">
        <f t="shared" si="11"/>
        <v>0</v>
      </c>
      <c r="U41" s="68">
        <f t="shared" si="11"/>
        <v>0</v>
      </c>
    </row>
    <row r="42" spans="1:21" s="51" customFormat="1" ht="13" x14ac:dyDescent="0.35">
      <c r="A42" s="10" t="str">
        <f>N8</f>
        <v>PB1 1</v>
      </c>
      <c r="B42" s="12">
        <v>250</v>
      </c>
      <c r="C42" s="68">
        <f t="shared" si="6"/>
        <v>125.57</v>
      </c>
      <c r="D42" s="68">
        <f t="shared" si="7"/>
        <v>30.2560915</v>
      </c>
      <c r="E42" s="68">
        <f t="shared" si="8"/>
        <v>14.348537499999999</v>
      </c>
      <c r="F42" s="68">
        <f t="shared" si="9"/>
        <v>54.023028499999995</v>
      </c>
      <c r="G42" s="68">
        <f t="shared" si="5"/>
        <v>0.50227999999999995</v>
      </c>
      <c r="H42" s="68">
        <f t="shared" si="5"/>
        <v>3.35575</v>
      </c>
      <c r="I42" s="68">
        <f t="shared" si="5"/>
        <v>0.43083499999999991</v>
      </c>
      <c r="J42" s="68">
        <f t="shared" si="5"/>
        <v>4.7629999999999999E-3</v>
      </c>
      <c r="K42" s="68">
        <f t="shared" si="5"/>
        <v>1.0067250000000002E-2</v>
      </c>
      <c r="L42" s="68">
        <f t="shared" si="5"/>
        <v>0.25979999999999998</v>
      </c>
      <c r="M42" s="68">
        <f t="shared" si="5"/>
        <v>0.205675</v>
      </c>
      <c r="N42" s="68">
        <f t="shared" si="5"/>
        <v>1277.3499999999999</v>
      </c>
      <c r="O42" s="68">
        <f t="shared" si="5"/>
        <v>323.66750000000002</v>
      </c>
      <c r="P42" s="68">
        <f t="shared" si="5"/>
        <v>0</v>
      </c>
      <c r="Q42" s="68">
        <f t="shared" si="10"/>
        <v>151.82062499999998</v>
      </c>
      <c r="R42" s="68">
        <f t="shared" si="11"/>
        <v>0</v>
      </c>
      <c r="S42" s="68">
        <f t="shared" si="11"/>
        <v>0.257635</v>
      </c>
      <c r="T42" s="68">
        <f t="shared" si="11"/>
        <v>0</v>
      </c>
      <c r="U42" s="68">
        <f t="shared" si="11"/>
        <v>0</v>
      </c>
    </row>
    <row r="43" spans="1:21" s="51" customFormat="1" ht="13" x14ac:dyDescent="0.35">
      <c r="A43" s="10" t="str">
        <f>O8</f>
        <v>PB1 2</v>
      </c>
      <c r="B43" s="12">
        <v>250</v>
      </c>
      <c r="C43" s="68">
        <f t="shared" si="6"/>
        <v>125.57</v>
      </c>
      <c r="D43" s="68">
        <f t="shared" si="7"/>
        <v>30.2560915</v>
      </c>
      <c r="E43" s="68">
        <f t="shared" si="8"/>
        <v>14.348537499999999</v>
      </c>
      <c r="F43" s="68">
        <f t="shared" si="9"/>
        <v>54.023028499999995</v>
      </c>
      <c r="G43" s="68">
        <f t="shared" si="5"/>
        <v>0.50227999999999995</v>
      </c>
      <c r="H43" s="68">
        <f t="shared" si="5"/>
        <v>3.35575</v>
      </c>
      <c r="I43" s="68">
        <f t="shared" si="5"/>
        <v>0.43083499999999991</v>
      </c>
      <c r="J43" s="68">
        <f t="shared" si="5"/>
        <v>4.7629999999999999E-3</v>
      </c>
      <c r="K43" s="68">
        <f t="shared" si="5"/>
        <v>1.0067250000000002E-2</v>
      </c>
      <c r="L43" s="68">
        <f t="shared" si="5"/>
        <v>0.25979999999999998</v>
      </c>
      <c r="M43" s="68">
        <f t="shared" si="5"/>
        <v>0.205675</v>
      </c>
      <c r="N43" s="68">
        <f t="shared" si="5"/>
        <v>1277.3499999999999</v>
      </c>
      <c r="O43" s="68">
        <f t="shared" si="5"/>
        <v>323.66750000000002</v>
      </c>
      <c r="P43" s="68">
        <f t="shared" si="5"/>
        <v>0</v>
      </c>
      <c r="Q43" s="68">
        <f t="shared" si="10"/>
        <v>151.82062499999998</v>
      </c>
      <c r="R43" s="68">
        <f t="shared" si="11"/>
        <v>0</v>
      </c>
      <c r="S43" s="68">
        <f t="shared" si="11"/>
        <v>0.257635</v>
      </c>
      <c r="T43" s="68">
        <f t="shared" si="11"/>
        <v>0</v>
      </c>
      <c r="U43" s="68">
        <f t="shared" si="11"/>
        <v>0</v>
      </c>
    </row>
    <row r="44" spans="1:21" s="51" customFormat="1" ht="13" x14ac:dyDescent="0.35">
      <c r="A44" s="10" t="str">
        <f>P8</f>
        <v>PB1 3</v>
      </c>
      <c r="B44" s="12">
        <v>250</v>
      </c>
      <c r="C44" s="68">
        <f t="shared" si="6"/>
        <v>125.57</v>
      </c>
      <c r="D44" s="68">
        <f t="shared" si="7"/>
        <v>30.2560915</v>
      </c>
      <c r="E44" s="68">
        <f t="shared" si="8"/>
        <v>14.348537499999999</v>
      </c>
      <c r="F44" s="68">
        <f t="shared" si="9"/>
        <v>54.023028499999995</v>
      </c>
      <c r="G44" s="68">
        <f t="shared" si="5"/>
        <v>0.50227999999999995</v>
      </c>
      <c r="H44" s="68">
        <f t="shared" si="5"/>
        <v>3.35575</v>
      </c>
      <c r="I44" s="68">
        <f t="shared" si="5"/>
        <v>0.43083499999999991</v>
      </c>
      <c r="J44" s="68">
        <f t="shared" si="5"/>
        <v>4.7629999999999999E-3</v>
      </c>
      <c r="K44" s="68">
        <f t="shared" si="5"/>
        <v>1.0067250000000002E-2</v>
      </c>
      <c r="L44" s="68">
        <f t="shared" si="5"/>
        <v>0.25979999999999998</v>
      </c>
      <c r="M44" s="68">
        <f t="shared" si="5"/>
        <v>0.205675</v>
      </c>
      <c r="N44" s="68">
        <f t="shared" si="5"/>
        <v>1277.3499999999999</v>
      </c>
      <c r="O44" s="68">
        <f t="shared" si="5"/>
        <v>323.66750000000002</v>
      </c>
      <c r="P44" s="68">
        <f t="shared" si="5"/>
        <v>0</v>
      </c>
      <c r="Q44" s="68">
        <f t="shared" si="10"/>
        <v>151.82062499999998</v>
      </c>
      <c r="R44" s="68">
        <f t="shared" si="11"/>
        <v>0</v>
      </c>
      <c r="S44" s="68">
        <f t="shared" si="11"/>
        <v>0.257635</v>
      </c>
      <c r="T44" s="68">
        <f t="shared" si="11"/>
        <v>0</v>
      </c>
      <c r="U44" s="68">
        <f t="shared" si="11"/>
        <v>0</v>
      </c>
    </row>
    <row r="45" spans="1:21" s="51" customFormat="1" ht="13" x14ac:dyDescent="0.35">
      <c r="A45" s="10" t="str">
        <f>Q8</f>
        <v>PB1 4</v>
      </c>
      <c r="B45" s="12">
        <v>250</v>
      </c>
      <c r="C45" s="68">
        <f t="shared" si="6"/>
        <v>125.57</v>
      </c>
      <c r="D45" s="68">
        <f t="shared" si="7"/>
        <v>30.2560915</v>
      </c>
      <c r="E45" s="68">
        <f t="shared" si="8"/>
        <v>14.348537499999999</v>
      </c>
      <c r="F45" s="68">
        <f t="shared" si="9"/>
        <v>54.023028499999995</v>
      </c>
      <c r="G45" s="68">
        <f t="shared" si="5"/>
        <v>0.50227999999999995</v>
      </c>
      <c r="H45" s="68">
        <f t="shared" si="5"/>
        <v>3.35575</v>
      </c>
      <c r="I45" s="68">
        <f t="shared" si="5"/>
        <v>0.43083499999999991</v>
      </c>
      <c r="J45" s="68">
        <f t="shared" si="5"/>
        <v>4.7629999999999999E-3</v>
      </c>
      <c r="K45" s="68">
        <f t="shared" si="5"/>
        <v>1.0067250000000002E-2</v>
      </c>
      <c r="L45" s="68">
        <f t="shared" si="5"/>
        <v>0.25979999999999998</v>
      </c>
      <c r="M45" s="68">
        <f t="shared" si="5"/>
        <v>0.205675</v>
      </c>
      <c r="N45" s="68">
        <f t="shared" si="5"/>
        <v>1277.3499999999999</v>
      </c>
      <c r="O45" s="68">
        <f t="shared" si="5"/>
        <v>323.66750000000002</v>
      </c>
      <c r="P45" s="68">
        <f t="shared" si="5"/>
        <v>0</v>
      </c>
      <c r="Q45" s="68">
        <f t="shared" si="10"/>
        <v>151.82062499999998</v>
      </c>
      <c r="R45" s="68">
        <f t="shared" si="11"/>
        <v>0</v>
      </c>
      <c r="S45" s="68">
        <f t="shared" si="11"/>
        <v>0.257635</v>
      </c>
      <c r="T45" s="68">
        <f t="shared" si="11"/>
        <v>0</v>
      </c>
      <c r="U45" s="68">
        <f t="shared" si="11"/>
        <v>0</v>
      </c>
    </row>
    <row r="46" spans="1:21" s="51" customFormat="1" ht="13" x14ac:dyDescent="0.35">
      <c r="A46" s="10" t="str">
        <f>R8</f>
        <v>T2</v>
      </c>
      <c r="B46" s="12">
        <v>250</v>
      </c>
      <c r="C46" s="68">
        <f t="shared" si="6"/>
        <v>125.57</v>
      </c>
      <c r="D46" s="68">
        <f t="shared" si="7"/>
        <v>30.2560915</v>
      </c>
      <c r="E46" s="68">
        <f t="shared" si="8"/>
        <v>14.348537499999999</v>
      </c>
      <c r="F46" s="68">
        <f t="shared" si="9"/>
        <v>54.023028499999995</v>
      </c>
      <c r="G46" s="68">
        <f t="shared" si="5"/>
        <v>0.50227999999999995</v>
      </c>
      <c r="H46" s="68">
        <f t="shared" si="5"/>
        <v>3.35575</v>
      </c>
      <c r="I46" s="68">
        <f t="shared" si="5"/>
        <v>0.43083499999999991</v>
      </c>
      <c r="J46" s="68">
        <f t="shared" si="5"/>
        <v>4.7629999999999999E-3</v>
      </c>
      <c r="K46" s="68">
        <f t="shared" si="5"/>
        <v>1.0067250000000002E-2</v>
      </c>
      <c r="L46" s="68">
        <f t="shared" si="5"/>
        <v>0.25979999999999998</v>
      </c>
      <c r="M46" s="68">
        <f t="shared" si="5"/>
        <v>0.205675</v>
      </c>
      <c r="N46" s="68">
        <f t="shared" si="5"/>
        <v>1277.3499999999999</v>
      </c>
      <c r="O46" s="68">
        <f t="shared" si="5"/>
        <v>323.66750000000002</v>
      </c>
      <c r="P46" s="68">
        <f t="shared" si="5"/>
        <v>0</v>
      </c>
      <c r="Q46" s="68">
        <f t="shared" si="10"/>
        <v>151.82062499999998</v>
      </c>
      <c r="R46" s="68">
        <f t="shared" si="11"/>
        <v>0</v>
      </c>
      <c r="S46" s="68">
        <f t="shared" si="11"/>
        <v>0.257635</v>
      </c>
      <c r="T46" s="68">
        <f t="shared" si="11"/>
        <v>0</v>
      </c>
      <c r="U46" s="68">
        <f t="shared" si="11"/>
        <v>0</v>
      </c>
    </row>
    <row r="47" spans="1:21" s="51" customFormat="1" ht="13" x14ac:dyDescent="0.35">
      <c r="A47" s="10" t="str">
        <f>S8</f>
        <v>T3</v>
      </c>
      <c r="B47" s="12">
        <v>250</v>
      </c>
      <c r="C47" s="68">
        <f t="shared" si="6"/>
        <v>125.57</v>
      </c>
      <c r="D47" s="68">
        <f t="shared" si="7"/>
        <v>30.2560915</v>
      </c>
      <c r="E47" s="68">
        <f t="shared" si="8"/>
        <v>14.348537499999999</v>
      </c>
      <c r="F47" s="68">
        <f t="shared" si="9"/>
        <v>54.023028499999995</v>
      </c>
      <c r="G47" s="68">
        <f t="shared" ref="G47:P50" si="12">IF(G$27="%w/w SAR",((G$28*10)*$B47),IF(G$27="%w/w DM",(((G$28*10)*($B$28/100))*$B47),IF(G$27="kg/t SAR",(G$28*$B47),IF(G$27="kg/t DM",((G$28*($B$28/100))*$B47),IF(G$27="mg/kg SAR",((G$28*0.001)*$B47),IF(G$27="mg/kg DM",(((G$28*0.001)*($B$28/100))*$B47),0))))))</f>
        <v>0.50227999999999995</v>
      </c>
      <c r="H47" s="68">
        <f t="shared" si="12"/>
        <v>3.35575</v>
      </c>
      <c r="I47" s="68">
        <f t="shared" si="12"/>
        <v>0.43083499999999991</v>
      </c>
      <c r="J47" s="68">
        <f t="shared" si="12"/>
        <v>4.7629999999999999E-3</v>
      </c>
      <c r="K47" s="68">
        <f t="shared" si="12"/>
        <v>1.0067250000000002E-2</v>
      </c>
      <c r="L47" s="68">
        <f t="shared" si="12"/>
        <v>0.25979999999999998</v>
      </c>
      <c r="M47" s="68">
        <f t="shared" si="12"/>
        <v>0.205675</v>
      </c>
      <c r="N47" s="68">
        <f t="shared" si="12"/>
        <v>1277.3499999999999</v>
      </c>
      <c r="O47" s="68">
        <f t="shared" si="12"/>
        <v>323.66750000000002</v>
      </c>
      <c r="P47" s="68">
        <f t="shared" si="12"/>
        <v>0</v>
      </c>
      <c r="Q47" s="68">
        <f t="shared" si="10"/>
        <v>151.82062499999998</v>
      </c>
      <c r="R47" s="68">
        <f t="shared" si="11"/>
        <v>0</v>
      </c>
      <c r="S47" s="68">
        <f t="shared" si="11"/>
        <v>0.257635</v>
      </c>
      <c r="T47" s="68">
        <f t="shared" si="11"/>
        <v>0</v>
      </c>
      <c r="U47" s="68">
        <f t="shared" si="11"/>
        <v>0</v>
      </c>
    </row>
    <row r="48" spans="1:21" s="51" customFormat="1" ht="13" x14ac:dyDescent="0.35">
      <c r="A48" s="10" t="str">
        <f>T8</f>
        <v>T4</v>
      </c>
      <c r="B48" s="12">
        <v>250</v>
      </c>
      <c r="C48" s="68">
        <f t="shared" si="6"/>
        <v>125.57</v>
      </c>
      <c r="D48" s="68">
        <f t="shared" si="7"/>
        <v>30.2560915</v>
      </c>
      <c r="E48" s="68">
        <f t="shared" si="8"/>
        <v>14.348537499999999</v>
      </c>
      <c r="F48" s="68">
        <f t="shared" si="9"/>
        <v>54.023028499999995</v>
      </c>
      <c r="G48" s="68">
        <f t="shared" si="12"/>
        <v>0.50227999999999995</v>
      </c>
      <c r="H48" s="68">
        <f t="shared" si="12"/>
        <v>3.35575</v>
      </c>
      <c r="I48" s="68">
        <f t="shared" si="12"/>
        <v>0.43083499999999991</v>
      </c>
      <c r="J48" s="68">
        <f t="shared" si="12"/>
        <v>4.7629999999999999E-3</v>
      </c>
      <c r="K48" s="68">
        <f t="shared" si="12"/>
        <v>1.0067250000000002E-2</v>
      </c>
      <c r="L48" s="68">
        <f t="shared" si="12"/>
        <v>0.25979999999999998</v>
      </c>
      <c r="M48" s="68">
        <f t="shared" si="12"/>
        <v>0.205675</v>
      </c>
      <c r="N48" s="68">
        <f t="shared" si="12"/>
        <v>1277.3499999999999</v>
      </c>
      <c r="O48" s="68">
        <f t="shared" si="12"/>
        <v>323.66750000000002</v>
      </c>
      <c r="P48" s="68">
        <f t="shared" si="12"/>
        <v>0</v>
      </c>
      <c r="Q48" s="68">
        <f t="shared" si="10"/>
        <v>151.82062499999998</v>
      </c>
      <c r="R48" s="68">
        <f t="shared" si="11"/>
        <v>0</v>
      </c>
      <c r="S48" s="68">
        <f t="shared" si="11"/>
        <v>0.257635</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Cae Derwin</v>
      </c>
      <c r="C57" s="8" t="str">
        <f t="shared" ref="C57:U57" si="13">D8</f>
        <v>Cae Gwar</v>
      </c>
      <c r="D57" s="8">
        <f t="shared" si="13"/>
        <v>7216</v>
      </c>
      <c r="E57" s="8">
        <f t="shared" si="13"/>
        <v>11</v>
      </c>
      <c r="F57" s="8">
        <f t="shared" si="13"/>
        <v>12</v>
      </c>
      <c r="G57" s="8">
        <f t="shared" si="13"/>
        <v>14</v>
      </c>
      <c r="H57" s="8" t="str">
        <f t="shared" si="13"/>
        <v>15A</v>
      </c>
      <c r="I57" s="8">
        <f t="shared" si="13"/>
        <v>17</v>
      </c>
      <c r="J57" s="8">
        <f t="shared" si="13"/>
        <v>18</v>
      </c>
      <c r="K57" s="8" t="str">
        <f t="shared" si="13"/>
        <v>PB2 1</v>
      </c>
      <c r="L57" s="8" t="str">
        <f t="shared" si="13"/>
        <v>PB2 2</v>
      </c>
      <c r="M57" s="8" t="str">
        <f t="shared" si="13"/>
        <v>PB1 1</v>
      </c>
      <c r="N57" s="8" t="str">
        <f t="shared" si="13"/>
        <v>PB1 2</v>
      </c>
      <c r="O57" s="8" t="str">
        <f t="shared" si="13"/>
        <v>PB1 3</v>
      </c>
      <c r="P57" s="8" t="str">
        <f t="shared" si="13"/>
        <v>PB1 4</v>
      </c>
      <c r="Q57" s="8" t="str">
        <f t="shared" si="13"/>
        <v>T2</v>
      </c>
      <c r="R57" s="8" t="str">
        <f t="shared" si="13"/>
        <v>T3</v>
      </c>
      <c r="S57" s="8" t="str">
        <f t="shared" si="13"/>
        <v>T4</v>
      </c>
      <c r="T57" s="8">
        <f t="shared" si="13"/>
        <v>0</v>
      </c>
      <c r="U57" s="8">
        <f t="shared" si="13"/>
        <v>0</v>
      </c>
    </row>
    <row r="58" spans="1:21" ht="13" x14ac:dyDescent="0.35">
      <c r="A58" s="82" t="s">
        <v>136</v>
      </c>
      <c r="B58" s="10" t="str">
        <f>C16&amp;" I "&amp;(VLOOKUP(C14,Table245811[],6,FALSE))</f>
        <v>0 I Grass</v>
      </c>
      <c r="C58" s="10" t="str">
        <f>D16&amp;" I "&amp;(VLOOKUP(D14,Table245811[],6,FALSE))</f>
        <v>0 I Grass</v>
      </c>
      <c r="D58" s="10" t="str">
        <f>E16&amp;" I "&amp;(VLOOKUP(E14,Table245811[],6,FALSE))</f>
        <v>0 I Grass</v>
      </c>
      <c r="E58" s="10" t="str">
        <f>F16&amp;" I "&amp;(VLOOKUP(F14,Table245811[],6,FALSE))</f>
        <v>0 I Grass</v>
      </c>
      <c r="F58" s="10" t="str">
        <f>G16&amp;" I "&amp;(VLOOKUP(G14,Table245811[],6,FALSE))</f>
        <v>0 I Grass</v>
      </c>
      <c r="G58" s="10" t="str">
        <f>H16&amp;" I "&amp;(VLOOKUP(H14,Table245811[],6,FALSE))</f>
        <v>0 I Grass</v>
      </c>
      <c r="H58" s="10" t="str">
        <f>I16&amp;" I "&amp;(VLOOKUP(I14,Table245811[],6,FALSE))</f>
        <v>0 I Grass</v>
      </c>
      <c r="I58" s="10" t="str">
        <f>J16&amp;" I "&amp;(VLOOKUP(J14,Table245811[],6,FALSE))</f>
        <v>0 I Grass</v>
      </c>
      <c r="J58" s="10" t="str">
        <f>K16&amp;" I "&amp;(VLOOKUP(K14,Table245811[],6,FALSE))</f>
        <v>0 I Grass</v>
      </c>
      <c r="K58" s="10" t="str">
        <f>L16&amp;" I "&amp;(VLOOKUP(L14,Table245811[],6,FALSE))</f>
        <v>0 I Grass</v>
      </c>
      <c r="L58" s="10" t="str">
        <f>M16&amp;" I "&amp;(VLOOKUP(M14,Table245811[],6,FALSE))</f>
        <v>0 I Grass</v>
      </c>
      <c r="M58" s="10" t="str">
        <f>N16&amp;" I "&amp;(VLOOKUP(N14,Table245811[],6,FALSE))</f>
        <v>0 I Grass</v>
      </c>
      <c r="N58" s="10" t="str">
        <f>O16&amp;" I "&amp;(VLOOKUP(O14,Table245811[],6,FALSE))</f>
        <v>0 I Grass</v>
      </c>
      <c r="O58" s="10" t="str">
        <f>P16&amp;" I "&amp;(VLOOKUP(P14,Table245811[],6,FALSE))</f>
        <v>0 I Grass</v>
      </c>
      <c r="P58" s="10" t="str">
        <f>Q16&amp;" I "&amp;(VLOOKUP(Q14,Table245811[],6,FALSE))</f>
        <v>0 I Grass</v>
      </c>
      <c r="Q58" s="10" t="str">
        <f>R16&amp;" I "&amp;(VLOOKUP(R14,Table245811[],6,FALSE))</f>
        <v>0 I Grass</v>
      </c>
      <c r="R58" s="10" t="str">
        <f>S16&amp;" I "&amp;(VLOOKUP(S14,Table245811[],6,FALSE))</f>
        <v>0 I Grass</v>
      </c>
      <c r="S58" s="10" t="str">
        <f>T16&amp;" I "&amp;(VLOOKUP(T14,Table245811[],6,FALSE))</f>
        <v>0 I Grass</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f>VLOOKUP(T$14,Table245811[],5,FALSE)</f>
        <v>6.2</v>
      </c>
      <c r="T59" s="67" t="e">
        <f>VLOOKUP(U$14,Table245811[],5,FALSE)</f>
        <v>#N/A</v>
      </c>
      <c r="U59" s="67" t="e">
        <f>VLOOKUP(V$14,Table245811[],5,FALSE)</f>
        <v>#N/A</v>
      </c>
    </row>
    <row r="60" spans="1:21" ht="13" x14ac:dyDescent="0.3">
      <c r="A60" s="100" t="s">
        <v>4</v>
      </c>
      <c r="B60" s="67">
        <f>C10</f>
        <v>6.1</v>
      </c>
      <c r="C60" s="67">
        <f t="shared" ref="C60:U60" si="14">D10</f>
        <v>6.1</v>
      </c>
      <c r="D60" s="67">
        <f t="shared" si="14"/>
        <v>6.4</v>
      </c>
      <c r="E60" s="67">
        <f t="shared" si="14"/>
        <v>6.6</v>
      </c>
      <c r="F60" s="67">
        <f t="shared" si="14"/>
        <v>6</v>
      </c>
      <c r="G60" s="67">
        <f t="shared" si="14"/>
        <v>6</v>
      </c>
      <c r="H60" s="67">
        <f t="shared" si="14"/>
        <v>6.2</v>
      </c>
      <c r="I60" s="67">
        <f t="shared" si="14"/>
        <v>6.7</v>
      </c>
      <c r="J60" s="67">
        <f t="shared" si="14"/>
        <v>7</v>
      </c>
      <c r="K60" s="67">
        <f t="shared" si="14"/>
        <v>6.1</v>
      </c>
      <c r="L60" s="67">
        <f t="shared" si="14"/>
        <v>6.1</v>
      </c>
      <c r="M60" s="67">
        <f t="shared" si="14"/>
        <v>6.7</v>
      </c>
      <c r="N60" s="67">
        <f t="shared" si="14"/>
        <v>6.7</v>
      </c>
      <c r="O60" s="67">
        <f t="shared" si="14"/>
        <v>6.7</v>
      </c>
      <c r="P60" s="67">
        <f t="shared" si="14"/>
        <v>6.5</v>
      </c>
      <c r="Q60" s="67">
        <f t="shared" si="14"/>
        <v>6.1</v>
      </c>
      <c r="R60" s="67">
        <f t="shared" si="14"/>
        <v>6.2</v>
      </c>
      <c r="S60" s="67">
        <f t="shared" si="14"/>
        <v>6</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0" zoomScale="90" zoomScaleNormal="90" workbookViewId="0">
      <selection activeCell="H9" sqref="H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Elan!C1:D1</f>
        <v>PAN-027863</v>
      </c>
      <c r="D1" s="128"/>
      <c r="E1" s="83" t="s">
        <v>45</v>
      </c>
      <c r="F1" s="32">
        <f>Elan!F1</f>
        <v>49.96</v>
      </c>
      <c r="G1" s="107" t="s">
        <v>43</v>
      </c>
      <c r="H1" s="108"/>
      <c r="I1" s="86">
        <v>8.1999999999999993</v>
      </c>
      <c r="J1" s="106" t="s">
        <v>153</v>
      </c>
      <c r="K1" s="106"/>
      <c r="L1" s="86">
        <v>2854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Elan!C2:D2</f>
        <v>EPR/GP3792SK</v>
      </c>
      <c r="D2" s="130"/>
      <c r="E2" s="83" t="s">
        <v>109</v>
      </c>
      <c r="F2" s="86" t="s">
        <v>181</v>
      </c>
      <c r="G2" s="125" t="s">
        <v>110</v>
      </c>
      <c r="H2" s="126"/>
      <c r="I2" s="86"/>
      <c r="J2" s="106" t="s">
        <v>158</v>
      </c>
      <c r="K2" s="106"/>
      <c r="L2" s="86">
        <v>0.46</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Elan!C3:D3</f>
        <v>ByProduct Recovery LTD</v>
      </c>
      <c r="D3" s="130"/>
      <c r="E3" s="83" t="s">
        <v>108</v>
      </c>
      <c r="F3" s="24" t="s">
        <v>77</v>
      </c>
      <c r="G3" s="106" t="s">
        <v>159</v>
      </c>
      <c r="H3" s="106"/>
      <c r="I3" s="86"/>
      <c r="J3" s="107" t="s">
        <v>154</v>
      </c>
      <c r="K3" s="108"/>
      <c r="L3" s="86">
        <f>(L1/(L2*10000))*100</f>
        <v>62.04347826086957</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Elan!C4:D4</f>
        <v>Tylebrithos Farm, Cantref, Brecon</v>
      </c>
      <c r="D4" s="128"/>
      <c r="E4" s="84" t="s">
        <v>1</v>
      </c>
      <c r="F4" s="86" t="s">
        <v>182</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Elan!C5:D5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Elan!C8</f>
        <v>Cae Derwin</v>
      </c>
      <c r="D8" s="52" t="str">
        <f>Elan!D8</f>
        <v>Cae Gwar</v>
      </c>
      <c r="E8" s="52">
        <f>Elan!E8</f>
        <v>7216</v>
      </c>
      <c r="F8" s="52">
        <f>Elan!F8</f>
        <v>11</v>
      </c>
      <c r="G8" s="52">
        <f>Elan!G8</f>
        <v>12</v>
      </c>
      <c r="H8" s="52">
        <f>Elan!H8</f>
        <v>14</v>
      </c>
      <c r="I8" s="52" t="str">
        <f>Elan!I8</f>
        <v>15A</v>
      </c>
      <c r="J8" s="52">
        <f>Elan!J8</f>
        <v>17</v>
      </c>
      <c r="K8" s="52">
        <f>Elan!K8</f>
        <v>18</v>
      </c>
      <c r="L8" s="52" t="str">
        <f>Elan!L8</f>
        <v>PB2 1</v>
      </c>
      <c r="M8" s="52" t="str">
        <f>Elan!M8</f>
        <v>PB2 2</v>
      </c>
      <c r="N8" s="52" t="str">
        <f>Elan!N8</f>
        <v>PB1 1</v>
      </c>
      <c r="O8" s="52" t="str">
        <f>Elan!O8</f>
        <v>PB1 2</v>
      </c>
      <c r="P8" s="52" t="str">
        <f>Elan!P8</f>
        <v>PB1 3</v>
      </c>
      <c r="Q8" s="52" t="str">
        <f>Elan!Q8</f>
        <v>PB1 4</v>
      </c>
      <c r="R8" s="52" t="str">
        <f>Elan!R8</f>
        <v>T2</v>
      </c>
      <c r="S8" s="52" t="str">
        <f>Elan!S8</f>
        <v>T3</v>
      </c>
      <c r="T8" s="52" t="str">
        <f>Elan!T8</f>
        <v>T4</v>
      </c>
      <c r="U8" s="52">
        <f>Elan!U8</f>
        <v>0</v>
      </c>
      <c r="V8" s="52">
        <f>Elan!V8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Elan!C9</f>
        <v>M</v>
      </c>
      <c r="D9" s="52" t="str">
        <f>Elan!D9</f>
        <v>M</v>
      </c>
      <c r="E9" s="52" t="str">
        <f>Elan!E9</f>
        <v>M</v>
      </c>
      <c r="F9" s="52">
        <f>Elan!F9</f>
        <v>1</v>
      </c>
      <c r="G9" s="52" t="str">
        <f>Elan!G9</f>
        <v>M</v>
      </c>
      <c r="H9" s="52">
        <f>Elan!H9</f>
        <v>1</v>
      </c>
      <c r="I9" s="52" t="str">
        <f>Elan!I9</f>
        <v>M</v>
      </c>
      <c r="J9" s="52">
        <f>Elan!J9</f>
        <v>1</v>
      </c>
      <c r="K9" s="52" t="str">
        <f>Elan!K9</f>
        <v>M</v>
      </c>
      <c r="L9" s="52" t="str">
        <f>Elan!L9</f>
        <v>M</v>
      </c>
      <c r="M9" s="52" t="str">
        <f>Elan!M9</f>
        <v>M</v>
      </c>
      <c r="N9" s="52" t="str">
        <f>Elan!N9</f>
        <v>M</v>
      </c>
      <c r="O9" s="52" t="str">
        <f>Elan!O9</f>
        <v>M</v>
      </c>
      <c r="P9" s="52" t="str">
        <f>Elan!P9</f>
        <v>M</v>
      </c>
      <c r="Q9" s="52" t="str">
        <f>Elan!Q9</f>
        <v>M</v>
      </c>
      <c r="R9" s="52" t="str">
        <f>Elan!R9</f>
        <v>M</v>
      </c>
      <c r="S9" s="52" t="str">
        <f>Elan!S9</f>
        <v>M</v>
      </c>
      <c r="T9" s="52" t="str">
        <f>Elan!T9</f>
        <v>M</v>
      </c>
      <c r="U9" s="52">
        <f>Elan!U9</f>
        <v>0</v>
      </c>
      <c r="V9" s="52">
        <f>Elan!V9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Elan!C10</f>
        <v>6.1</v>
      </c>
      <c r="D10" s="52">
        <f>Elan!D10</f>
        <v>6.1</v>
      </c>
      <c r="E10" s="52">
        <f>Elan!E10</f>
        <v>6.4</v>
      </c>
      <c r="F10" s="52">
        <f>Elan!F10</f>
        <v>6.6</v>
      </c>
      <c r="G10" s="52">
        <f>Elan!G10</f>
        <v>6</v>
      </c>
      <c r="H10" s="52">
        <f>Elan!H10</f>
        <v>6</v>
      </c>
      <c r="I10" s="52">
        <f>Elan!I10</f>
        <v>6.2</v>
      </c>
      <c r="J10" s="52">
        <f>Elan!J10</f>
        <v>6.7</v>
      </c>
      <c r="K10" s="52">
        <f>Elan!K10</f>
        <v>7</v>
      </c>
      <c r="L10" s="52">
        <f>Elan!L10</f>
        <v>6.1</v>
      </c>
      <c r="M10" s="52">
        <f>Elan!M10</f>
        <v>6.1</v>
      </c>
      <c r="N10" s="52">
        <f>Elan!N10</f>
        <v>6.7</v>
      </c>
      <c r="O10" s="52">
        <f>Elan!O10</f>
        <v>6.7</v>
      </c>
      <c r="P10" s="52">
        <f>Elan!P10</f>
        <v>6.7</v>
      </c>
      <c r="Q10" s="52">
        <f>Elan!Q10</f>
        <v>6.5</v>
      </c>
      <c r="R10" s="52">
        <f>Elan!R10</f>
        <v>6.1</v>
      </c>
      <c r="S10" s="52">
        <f>Elan!S10</f>
        <v>6.2</v>
      </c>
      <c r="T10" s="52">
        <f>Elan!T10</f>
        <v>6</v>
      </c>
      <c r="U10" s="52">
        <f>Elan!U10</f>
        <v>0</v>
      </c>
      <c r="V10" s="52">
        <f>Elan!V10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Elan!C11</f>
        <v>3</v>
      </c>
      <c r="D11" s="52">
        <f>Elan!D11</f>
        <v>1</v>
      </c>
      <c r="E11" s="52">
        <f>Elan!E11</f>
        <v>3</v>
      </c>
      <c r="F11" s="52">
        <f>Elan!F11</f>
        <v>2</v>
      </c>
      <c r="G11" s="52">
        <f>Elan!G11</f>
        <v>3</v>
      </c>
      <c r="H11" s="52">
        <f>Elan!H11</f>
        <v>1</v>
      </c>
      <c r="I11" s="52">
        <f>Elan!I11</f>
        <v>2</v>
      </c>
      <c r="J11" s="52">
        <f>Elan!J11</f>
        <v>0</v>
      </c>
      <c r="K11" s="52">
        <f>Elan!K11</f>
        <v>2</v>
      </c>
      <c r="L11" s="52">
        <f>Elan!L11</f>
        <v>3</v>
      </c>
      <c r="M11" s="52">
        <f>Elan!M11</f>
        <v>2</v>
      </c>
      <c r="N11" s="52">
        <f>Elan!N11</f>
        <v>3</v>
      </c>
      <c r="O11" s="52">
        <f>Elan!O11</f>
        <v>3</v>
      </c>
      <c r="P11" s="52">
        <f>Elan!P11</f>
        <v>2</v>
      </c>
      <c r="Q11" s="52">
        <f>Elan!Q11</f>
        <v>3</v>
      </c>
      <c r="R11" s="52">
        <f>Elan!R11</f>
        <v>1</v>
      </c>
      <c r="S11" s="52">
        <f>Elan!S11</f>
        <v>1</v>
      </c>
      <c r="T11" s="52">
        <f>Elan!T11</f>
        <v>1</v>
      </c>
      <c r="U11" s="52">
        <f>Elan!U11</f>
        <v>0</v>
      </c>
      <c r="V11" s="52">
        <f>Elan!V11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Elan!C12</f>
        <v>2</v>
      </c>
      <c r="D12" s="52">
        <f>Elan!D12</f>
        <v>1</v>
      </c>
      <c r="E12" s="52">
        <f>Elan!E12</f>
        <v>1</v>
      </c>
      <c r="F12" s="52">
        <f>Elan!F12</f>
        <v>1</v>
      </c>
      <c r="G12" s="52">
        <f>Elan!G12</f>
        <v>0</v>
      </c>
      <c r="H12" s="52">
        <f>Elan!H12</f>
        <v>2</v>
      </c>
      <c r="I12" s="52">
        <f>Elan!I12</f>
        <v>1</v>
      </c>
      <c r="J12" s="52">
        <f>Elan!J12</f>
        <v>1</v>
      </c>
      <c r="K12" s="52">
        <f>Elan!K12</f>
        <v>1</v>
      </c>
      <c r="L12" s="52">
        <f>Elan!L12</f>
        <v>1</v>
      </c>
      <c r="M12" s="52">
        <f>Elan!M12</f>
        <v>2</v>
      </c>
      <c r="N12" s="52">
        <f>Elan!N12</f>
        <v>0</v>
      </c>
      <c r="O12" s="52">
        <f>Elan!O12</f>
        <v>0</v>
      </c>
      <c r="P12" s="52">
        <f>Elan!P12</f>
        <v>0</v>
      </c>
      <c r="Q12" s="52">
        <f>Elan!Q12</f>
        <v>0</v>
      </c>
      <c r="R12" s="52">
        <f>Elan!R12</f>
        <v>1</v>
      </c>
      <c r="S12" s="52">
        <f>Elan!S12</f>
        <v>1</v>
      </c>
      <c r="T12" s="52">
        <f>Elan!T12</f>
        <v>1</v>
      </c>
      <c r="U12" s="52">
        <f>Elan!U12</f>
        <v>0</v>
      </c>
      <c r="V12" s="52">
        <f>Elan!V12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Elan!C13</f>
        <v>2</v>
      </c>
      <c r="D13" s="52">
        <f>Elan!D13</f>
        <v>2</v>
      </c>
      <c r="E13" s="52">
        <f>Elan!E13</f>
        <v>3</v>
      </c>
      <c r="F13" s="52">
        <f>Elan!F13</f>
        <v>2</v>
      </c>
      <c r="G13" s="52">
        <f>Elan!G13</f>
        <v>2</v>
      </c>
      <c r="H13" s="52">
        <f>Elan!H13</f>
        <v>1</v>
      </c>
      <c r="I13" s="52">
        <f>Elan!I13</f>
        <v>2</v>
      </c>
      <c r="J13" s="52">
        <f>Elan!J13</f>
        <v>1</v>
      </c>
      <c r="K13" s="52">
        <f>Elan!K13</f>
        <v>2</v>
      </c>
      <c r="L13" s="52">
        <f>Elan!L13</f>
        <v>2</v>
      </c>
      <c r="M13" s="52">
        <f>Elan!M13</f>
        <v>3</v>
      </c>
      <c r="N13" s="52">
        <f>Elan!N13</f>
        <v>2</v>
      </c>
      <c r="O13" s="52">
        <f>Elan!O13</f>
        <v>3</v>
      </c>
      <c r="P13" s="52">
        <f>Elan!P13</f>
        <v>2</v>
      </c>
      <c r="Q13" s="52">
        <f>Elan!Q13</f>
        <v>2</v>
      </c>
      <c r="R13" s="52">
        <f>Elan!R13</f>
        <v>3</v>
      </c>
      <c r="S13" s="52">
        <f>Elan!S13</f>
        <v>3</v>
      </c>
      <c r="T13" s="52">
        <f>Elan!T13</f>
        <v>3</v>
      </c>
      <c r="U13" s="52">
        <f>Elan!U13</f>
        <v>0</v>
      </c>
      <c r="V13" s="52">
        <f>Elan!V13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Elan!C14</f>
        <v xml:space="preserve">Grass Silage (25% DM) </v>
      </c>
      <c r="D14" s="91" t="str">
        <f>Elan!D14</f>
        <v xml:space="preserve">Grass Silage (25% DM) </v>
      </c>
      <c r="E14" s="91" t="str">
        <f>Elan!E14</f>
        <v xml:space="preserve">Grass Silage (25% DM) </v>
      </c>
      <c r="F14" s="91" t="str">
        <f>Elan!F14</f>
        <v xml:space="preserve">Grass Silage (25% DM) </v>
      </c>
      <c r="G14" s="91" t="str">
        <f>Elan!G14</f>
        <v xml:space="preserve">Grass Silage (25% DM) </v>
      </c>
      <c r="H14" s="91" t="str">
        <f>Elan!H14</f>
        <v xml:space="preserve">Grass Silage (25% DM) </v>
      </c>
      <c r="I14" s="91" t="str">
        <f>Elan!I14</f>
        <v xml:space="preserve">Grass Silage (25% DM) </v>
      </c>
      <c r="J14" s="91" t="str">
        <f>Elan!J14</f>
        <v xml:space="preserve">Grass Silage (25% DM) </v>
      </c>
      <c r="K14" s="91" t="str">
        <f>Elan!K14</f>
        <v xml:space="preserve">Grass Silage (25% DM) </v>
      </c>
      <c r="L14" s="91" t="str">
        <f>Elan!L14</f>
        <v xml:space="preserve">Grass Silage (25% DM) </v>
      </c>
      <c r="M14" s="91" t="str">
        <f>Elan!M14</f>
        <v xml:space="preserve">Grass Silage (25% DM) </v>
      </c>
      <c r="N14" s="91" t="str">
        <f>Elan!N14</f>
        <v xml:space="preserve">Grass Silage (25% DM) </v>
      </c>
      <c r="O14" s="91" t="str">
        <f>Elan!O14</f>
        <v xml:space="preserve">Grass Silage (25% DM) </v>
      </c>
      <c r="P14" s="91" t="str">
        <f>Elan!P14</f>
        <v xml:space="preserve">Grass Silage (25% DM) </v>
      </c>
      <c r="Q14" s="91" t="str">
        <f>Elan!Q14</f>
        <v xml:space="preserve">Grass Silage (25% DM) </v>
      </c>
      <c r="R14" s="91" t="str">
        <f>Elan!R14</f>
        <v xml:space="preserve">Grass Silage (25% DM) </v>
      </c>
      <c r="S14" s="91" t="str">
        <f>Elan!S14</f>
        <v xml:space="preserve">Grass Silage (25% DM) </v>
      </c>
      <c r="T14" s="91" t="str">
        <f>Elan!T14</f>
        <v xml:space="preserve">Grass Silage (25% DM) </v>
      </c>
      <c r="U14" s="91">
        <f>Elan!U14</f>
        <v>0</v>
      </c>
      <c r="V14" s="91">
        <f>Elan!V14</f>
        <v>0</v>
      </c>
      <c r="AD14" s="23" t="s">
        <v>138</v>
      </c>
      <c r="AE14" s="23">
        <v>6</v>
      </c>
      <c r="AI14" s="46" t="s">
        <v>119</v>
      </c>
      <c r="AJ14" s="47">
        <v>0.8</v>
      </c>
      <c r="AK14" s="48">
        <v>1.7</v>
      </c>
      <c r="AL14" s="9">
        <v>12</v>
      </c>
      <c r="AM14" s="9">
        <v>6.7</v>
      </c>
      <c r="AN14" s="9" t="s">
        <v>135</v>
      </c>
    </row>
    <row r="15" spans="1:41" ht="13" x14ac:dyDescent="0.25">
      <c r="A15" s="117" t="s">
        <v>9</v>
      </c>
      <c r="B15" s="117"/>
      <c r="C15" s="52">
        <f>Elan!C15</f>
        <v>35</v>
      </c>
      <c r="D15" s="52">
        <f>Elan!D15</f>
        <v>35</v>
      </c>
      <c r="E15" s="52">
        <f>Elan!E15</f>
        <v>35</v>
      </c>
      <c r="F15" s="52">
        <f>Elan!F15</f>
        <v>20</v>
      </c>
      <c r="G15" s="52">
        <f>Elan!G15</f>
        <v>38</v>
      </c>
      <c r="H15" s="52">
        <f>Elan!H15</f>
        <v>38</v>
      </c>
      <c r="I15" s="52">
        <f>Elan!I15</f>
        <v>20</v>
      </c>
      <c r="J15" s="52">
        <f>Elan!J15</f>
        <v>38</v>
      </c>
      <c r="K15" s="52">
        <f>Elan!K15</f>
        <v>20</v>
      </c>
      <c r="L15" s="52">
        <f>Elan!L15</f>
        <v>35</v>
      </c>
      <c r="M15" s="52">
        <f>Elan!M15</f>
        <v>35</v>
      </c>
      <c r="N15" s="52">
        <f>Elan!N15</f>
        <v>35</v>
      </c>
      <c r="O15" s="52">
        <f>Elan!O15</f>
        <v>35</v>
      </c>
      <c r="P15" s="52">
        <f>Elan!P15</f>
        <v>35</v>
      </c>
      <c r="Q15" s="52">
        <f>Elan!Q15</f>
        <v>35</v>
      </c>
      <c r="R15" s="52">
        <f>Elan!R15</f>
        <v>35</v>
      </c>
      <c r="S15" s="52">
        <f>Elan!S15</f>
        <v>35</v>
      </c>
      <c r="T15" s="52">
        <f>Elan!T15</f>
        <v>35</v>
      </c>
      <c r="U15" s="52">
        <f>Elan!U15</f>
        <v>0</v>
      </c>
      <c r="V15" s="52">
        <f>Elan!V15</f>
        <v>0</v>
      </c>
      <c r="AD15" s="23" t="s">
        <v>144</v>
      </c>
      <c r="AE15" s="23">
        <v>7</v>
      </c>
      <c r="AI15" s="46" t="s">
        <v>101</v>
      </c>
      <c r="AJ15" s="54">
        <v>1.8</v>
      </c>
      <c r="AK15" s="48">
        <v>5.4</v>
      </c>
      <c r="AL15" s="9">
        <v>13</v>
      </c>
      <c r="AM15" s="9">
        <v>6.7</v>
      </c>
      <c r="AN15" s="9" t="s">
        <v>135</v>
      </c>
    </row>
    <row r="16" spans="1:41" ht="13.5" thickBot="1" x14ac:dyDescent="0.3">
      <c r="A16" s="119" t="s">
        <v>44</v>
      </c>
      <c r="B16" s="119"/>
      <c r="C16" s="92">
        <f>Elan!C16</f>
        <v>0</v>
      </c>
      <c r="D16" s="92">
        <f>Elan!D16</f>
        <v>0</v>
      </c>
      <c r="E16" s="92">
        <f>Elan!E16</f>
        <v>0</v>
      </c>
      <c r="F16" s="92">
        <f>Elan!F16</f>
        <v>0</v>
      </c>
      <c r="G16" s="92">
        <f>Elan!G16</f>
        <v>0</v>
      </c>
      <c r="H16" s="92">
        <f>Elan!H16</f>
        <v>0</v>
      </c>
      <c r="I16" s="92">
        <f>Elan!I16</f>
        <v>0</v>
      </c>
      <c r="J16" s="92">
        <f>Elan!J16</f>
        <v>0</v>
      </c>
      <c r="K16" s="92">
        <f>Elan!K16</f>
        <v>0</v>
      </c>
      <c r="L16" s="92">
        <f>Elan!L16</f>
        <v>0</v>
      </c>
      <c r="M16" s="92">
        <f>Elan!M16</f>
        <v>0</v>
      </c>
      <c r="N16" s="92">
        <f>Elan!N16</f>
        <v>0</v>
      </c>
      <c r="O16" s="92">
        <f>Elan!O16</f>
        <v>0</v>
      </c>
      <c r="P16" s="92">
        <f>Elan!P16</f>
        <v>0</v>
      </c>
      <c r="Q16" s="92">
        <f>Elan!Q16</f>
        <v>0</v>
      </c>
      <c r="R16" s="92">
        <f>Elan!R16</f>
        <v>0</v>
      </c>
      <c r="S16" s="92">
        <f>Elan!S16</f>
        <v>0</v>
      </c>
      <c r="T16" s="92">
        <f>Elan!T16</f>
        <v>0</v>
      </c>
      <c r="U16" s="92">
        <f>Elan!U16</f>
        <v>0</v>
      </c>
      <c r="V16" s="92">
        <f>Elan!V16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59.5</v>
      </c>
      <c r="D17" s="21">
        <f t="shared" ref="D17:V17" si="0">(VLOOKUP(D$14,$AI2:$AK26,2,FALSE))*D$15</f>
        <v>59.5</v>
      </c>
      <c r="E17" s="21">
        <f t="shared" si="0"/>
        <v>59.5</v>
      </c>
      <c r="F17" s="21">
        <f t="shared" si="0"/>
        <v>34</v>
      </c>
      <c r="G17" s="21">
        <f t="shared" si="0"/>
        <v>64.599999999999994</v>
      </c>
      <c r="H17" s="21">
        <f t="shared" si="0"/>
        <v>64.599999999999994</v>
      </c>
      <c r="I17" s="21">
        <f t="shared" si="0"/>
        <v>34</v>
      </c>
      <c r="J17" s="21">
        <f t="shared" si="0"/>
        <v>64.599999999999994</v>
      </c>
      <c r="K17" s="21">
        <f t="shared" si="0"/>
        <v>34</v>
      </c>
      <c r="L17" s="21">
        <f t="shared" si="0"/>
        <v>59.5</v>
      </c>
      <c r="M17" s="21">
        <f t="shared" si="0"/>
        <v>59.5</v>
      </c>
      <c r="N17" s="21">
        <f t="shared" si="0"/>
        <v>59.5</v>
      </c>
      <c r="O17" s="21">
        <f t="shared" si="0"/>
        <v>59.5</v>
      </c>
      <c r="P17" s="21">
        <f t="shared" si="0"/>
        <v>59.5</v>
      </c>
      <c r="Q17" s="21">
        <f t="shared" si="0"/>
        <v>59.5</v>
      </c>
      <c r="R17" s="21">
        <f t="shared" si="0"/>
        <v>59.5</v>
      </c>
      <c r="S17" s="21">
        <f t="shared" si="0"/>
        <v>59.5</v>
      </c>
      <c r="T17" s="21">
        <f t="shared" si="0"/>
        <v>59.5</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25.979939999999999</v>
      </c>
      <c r="D18" s="13">
        <f>$D32</f>
        <v>25.979939999999999</v>
      </c>
      <c r="E18" s="13">
        <f>$D33</f>
        <v>25.979939999999999</v>
      </c>
      <c r="F18" s="13">
        <f>$D34</f>
        <v>25.979939999999999</v>
      </c>
      <c r="G18" s="13">
        <f>$D35</f>
        <v>25.979939999999999</v>
      </c>
      <c r="H18" s="13">
        <f>$D36</f>
        <v>25.979939999999999</v>
      </c>
      <c r="I18" s="13">
        <f>$D37</f>
        <v>25.979939999999999</v>
      </c>
      <c r="J18" s="13">
        <f>$D38</f>
        <v>25.979939999999999</v>
      </c>
      <c r="K18" s="13">
        <f>$D39</f>
        <v>25.979939999999999</v>
      </c>
      <c r="L18" s="13">
        <f>$D40</f>
        <v>25.979939999999999</v>
      </c>
      <c r="M18" s="13">
        <f>$D41</f>
        <v>25.979939999999999</v>
      </c>
      <c r="N18" s="13">
        <f>$D42</f>
        <v>25.979939999999999</v>
      </c>
      <c r="O18" s="13">
        <f>$D43</f>
        <v>25.979939999999999</v>
      </c>
      <c r="P18" s="13">
        <f>$D44</f>
        <v>25.979939999999999</v>
      </c>
      <c r="Q18" s="13">
        <f>$D45</f>
        <v>25.979939999999999</v>
      </c>
      <c r="R18" s="13">
        <f>$D46</f>
        <v>25.979939999999999</v>
      </c>
      <c r="S18" s="13">
        <f>$D47</f>
        <v>25.979939999999999</v>
      </c>
      <c r="T18" s="13">
        <f>$D48</f>
        <v>25.979939999999999</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-33.520060000000001</v>
      </c>
      <c r="D19" s="13">
        <f t="shared" ref="D19:V19" si="1">D18-D17</f>
        <v>-33.520060000000001</v>
      </c>
      <c r="E19" s="13">
        <f t="shared" si="1"/>
        <v>-33.520060000000001</v>
      </c>
      <c r="F19" s="13">
        <f t="shared" si="1"/>
        <v>-8.0200600000000009</v>
      </c>
      <c r="G19" s="13">
        <f t="shared" si="1"/>
        <v>-38.620059999999995</v>
      </c>
      <c r="H19" s="13">
        <f t="shared" si="1"/>
        <v>-38.620059999999995</v>
      </c>
      <c r="I19" s="13">
        <f t="shared" si="1"/>
        <v>-8.0200600000000009</v>
      </c>
      <c r="J19" s="13">
        <f t="shared" si="1"/>
        <v>-38.620059999999995</v>
      </c>
      <c r="K19" s="13">
        <f t="shared" si="1"/>
        <v>-8.0200600000000009</v>
      </c>
      <c r="L19" s="13">
        <f t="shared" si="1"/>
        <v>-33.520060000000001</v>
      </c>
      <c r="M19" s="13">
        <f t="shared" si="1"/>
        <v>-33.520060000000001</v>
      </c>
      <c r="N19" s="13">
        <f t="shared" si="1"/>
        <v>-33.520060000000001</v>
      </c>
      <c r="O19" s="13">
        <f t="shared" si="1"/>
        <v>-33.520060000000001</v>
      </c>
      <c r="P19" s="13">
        <f t="shared" si="1"/>
        <v>-33.520060000000001</v>
      </c>
      <c r="Q19" s="13">
        <f t="shared" si="1"/>
        <v>-33.520060000000001</v>
      </c>
      <c r="R19" s="13">
        <f t="shared" si="1"/>
        <v>-33.520060000000001</v>
      </c>
      <c r="S19" s="13">
        <f t="shared" si="1"/>
        <v>-33.520060000000001</v>
      </c>
      <c r="T19" s="13">
        <f t="shared" si="1"/>
        <v>-33.520060000000001</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210</v>
      </c>
      <c r="D21" s="21">
        <f t="shared" ref="D21:V21" si="2">(VLOOKUP(D$14,$AI2:$AK26,3,FALSE))*D$15</f>
        <v>210</v>
      </c>
      <c r="E21" s="21">
        <f t="shared" si="2"/>
        <v>210</v>
      </c>
      <c r="F21" s="21">
        <f t="shared" si="2"/>
        <v>120</v>
      </c>
      <c r="G21" s="21">
        <f t="shared" si="2"/>
        <v>228</v>
      </c>
      <c r="H21" s="21">
        <f t="shared" si="2"/>
        <v>228</v>
      </c>
      <c r="I21" s="21">
        <f t="shared" si="2"/>
        <v>120</v>
      </c>
      <c r="J21" s="21">
        <f t="shared" si="2"/>
        <v>228</v>
      </c>
      <c r="K21" s="21">
        <f t="shared" si="2"/>
        <v>120</v>
      </c>
      <c r="L21" s="21">
        <f t="shared" si="2"/>
        <v>210</v>
      </c>
      <c r="M21" s="21">
        <f t="shared" si="2"/>
        <v>210</v>
      </c>
      <c r="N21" s="21">
        <f t="shared" si="2"/>
        <v>210</v>
      </c>
      <c r="O21" s="21">
        <f t="shared" si="2"/>
        <v>210</v>
      </c>
      <c r="P21" s="21">
        <f t="shared" si="2"/>
        <v>210</v>
      </c>
      <c r="Q21" s="21">
        <f t="shared" si="2"/>
        <v>210</v>
      </c>
      <c r="R21" s="21">
        <f t="shared" si="2"/>
        <v>210</v>
      </c>
      <c r="S21" s="21">
        <f t="shared" si="2"/>
        <v>210</v>
      </c>
      <c r="T21" s="21">
        <f t="shared" si="2"/>
        <v>210</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55.526400000000002</v>
      </c>
      <c r="D22" s="13">
        <f>$E32</f>
        <v>55.526400000000002</v>
      </c>
      <c r="E22" s="13">
        <f>$E33</f>
        <v>55.526400000000002</v>
      </c>
      <c r="F22" s="13">
        <f>$E34</f>
        <v>55.526400000000002</v>
      </c>
      <c r="G22" s="13">
        <f>$E35</f>
        <v>55.526400000000002</v>
      </c>
      <c r="H22" s="13">
        <f>$E36</f>
        <v>55.526400000000002</v>
      </c>
      <c r="I22" s="13">
        <f>$E37</f>
        <v>55.526400000000002</v>
      </c>
      <c r="J22" s="13">
        <f>$E38</f>
        <v>55.526400000000002</v>
      </c>
      <c r="K22" s="13">
        <f>$E39</f>
        <v>55.526400000000002</v>
      </c>
      <c r="L22" s="13">
        <f>$E40</f>
        <v>55.526400000000002</v>
      </c>
      <c r="M22" s="13">
        <f>$E41</f>
        <v>55.526400000000002</v>
      </c>
      <c r="N22" s="13">
        <f>$E42</f>
        <v>55.526400000000002</v>
      </c>
      <c r="O22" s="13">
        <f>$E43</f>
        <v>55.526400000000002</v>
      </c>
      <c r="P22" s="13">
        <f>$E44</f>
        <v>55.526400000000002</v>
      </c>
      <c r="Q22" s="13">
        <f>$E45</f>
        <v>55.526400000000002</v>
      </c>
      <c r="R22" s="13">
        <f>$E46</f>
        <v>55.526400000000002</v>
      </c>
      <c r="S22" s="13">
        <f>$E47</f>
        <v>55.526400000000002</v>
      </c>
      <c r="T22" s="13">
        <f>$E48</f>
        <v>55.526400000000002</v>
      </c>
      <c r="U22" s="13">
        <f>$E49</f>
        <v>0</v>
      </c>
      <c r="V22" s="13">
        <f>$E50</f>
        <v>0</v>
      </c>
      <c r="AI22" s="55" t="s">
        <v>102</v>
      </c>
      <c r="AJ22" s="56">
        <v>1.2</v>
      </c>
      <c r="AK22" s="57">
        <v>5</v>
      </c>
      <c r="AL22" s="22">
        <v>20</v>
      </c>
      <c r="AM22" s="9">
        <v>6.7</v>
      </c>
      <c r="AN22" s="9" t="s">
        <v>135</v>
      </c>
    </row>
    <row r="23" spans="1:40" ht="13" x14ac:dyDescent="0.25">
      <c r="A23" s="111" t="s">
        <v>92</v>
      </c>
      <c r="B23" s="112"/>
      <c r="C23" s="13">
        <f>C22-C21</f>
        <v>-154.4736</v>
      </c>
      <c r="D23" s="13">
        <f t="shared" ref="D23:V23" si="3">D22-D21</f>
        <v>-154.4736</v>
      </c>
      <c r="E23" s="13">
        <f t="shared" si="3"/>
        <v>-154.4736</v>
      </c>
      <c r="F23" s="13">
        <f t="shared" si="3"/>
        <v>-64.473600000000005</v>
      </c>
      <c r="G23" s="13">
        <f t="shared" si="3"/>
        <v>-172.4736</v>
      </c>
      <c r="H23" s="13">
        <f t="shared" si="3"/>
        <v>-172.4736</v>
      </c>
      <c r="I23" s="13">
        <f t="shared" si="3"/>
        <v>-64.473600000000005</v>
      </c>
      <c r="J23" s="13">
        <f t="shared" si="3"/>
        <v>-172.4736</v>
      </c>
      <c r="K23" s="13">
        <f t="shared" si="3"/>
        <v>-64.473600000000005</v>
      </c>
      <c r="L23" s="13">
        <f t="shared" si="3"/>
        <v>-154.4736</v>
      </c>
      <c r="M23" s="13">
        <f t="shared" si="3"/>
        <v>-154.4736</v>
      </c>
      <c r="N23" s="13">
        <f t="shared" si="3"/>
        <v>-154.4736</v>
      </c>
      <c r="O23" s="13">
        <f t="shared" si="3"/>
        <v>-154.4736</v>
      </c>
      <c r="P23" s="13">
        <f t="shared" si="3"/>
        <v>-154.4736</v>
      </c>
      <c r="Q23" s="13">
        <f t="shared" si="3"/>
        <v>-154.4736</v>
      </c>
      <c r="R23" s="13">
        <f t="shared" si="3"/>
        <v>-154.4736</v>
      </c>
      <c r="S23" s="13">
        <f t="shared" si="3"/>
        <v>-154.4736</v>
      </c>
      <c r="T23" s="13">
        <f t="shared" si="3"/>
        <v>-154.4736</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c r="Q27" s="96" t="s">
        <v>54</v>
      </c>
      <c r="R27" s="96"/>
      <c r="S27" s="96"/>
      <c r="T27" s="96"/>
      <c r="U27" s="96"/>
    </row>
    <row r="28" spans="1:40" x14ac:dyDescent="0.35">
      <c r="A28" s="97"/>
      <c r="B28" s="17">
        <v>3.22</v>
      </c>
      <c r="C28" s="12">
        <v>0.46</v>
      </c>
      <c r="D28" s="12">
        <v>378</v>
      </c>
      <c r="E28" s="12">
        <v>1536</v>
      </c>
      <c r="F28" s="12">
        <v>99.4</v>
      </c>
      <c r="G28" s="12">
        <v>0.7</v>
      </c>
      <c r="H28" s="12">
        <v>3.8</v>
      </c>
      <c r="I28" s="12">
        <v>0.5</v>
      </c>
      <c r="J28" s="12">
        <v>0.01</v>
      </c>
      <c r="K28" s="16">
        <v>0.05</v>
      </c>
      <c r="L28" s="12">
        <v>0.22</v>
      </c>
      <c r="M28" s="12">
        <v>0.28999999999999998</v>
      </c>
      <c r="N28" s="12"/>
      <c r="O28" s="12"/>
      <c r="P28" s="12"/>
      <c r="Q28" s="12">
        <v>320</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Cae Derwin</v>
      </c>
      <c r="B31" s="12">
        <v>30</v>
      </c>
      <c r="C31" s="68">
        <f>IF(C$27="%w/w SAR",((C$28*10)*$B31),IF(C$27="%w/w DM",(((C$28*10)*($B$28/100))*$B31),IF(C$27="kg/t SAR",(C$28*$B31),IF(C$27="kg/t DM",((C$28*($B$28/100))*$B31),IF(C$27="mg/kg SAR",((C$28*0.001)*$B31),IF(C$27="mg/kg DM",(((C$28*0.001)*($B$28/100))*$B31),0))))))</f>
        <v>138.00000000000003</v>
      </c>
      <c r="D31" s="68">
        <f>(IF(D$27="%w/w SAR",((D$28*10)*$B31),IF(D$27="%w/w DM",(((D$28*10)*($B$28/100))*$B31),IF(D$27="kg/t SAR",(D$28*$B31),IF(D$27="kg/t DM",((D$28*($B$28/100))*$B31),IF(D$27="mg/kg SAR",((D$28*0.001)*$B31),IF(D$27="mg/kg DM",(((D$28*0.001)*($B$28/100))*$B31),"0")))))))*2.291</f>
        <v>25.979939999999999</v>
      </c>
      <c r="E31" s="68">
        <f>(IF(E$27="%w/w SAR",((E$28*10)*$B31),IF(E$27="%w/w DM",(((E$28*10)*($B$28/100))*$B31),IF(E$27="kg/t SAR",(E$28*$B31),IF(E$27="kg/t DM",((E$28*($B$28/100))*$B31),IF(E$27="mg/kg SAR",((E$28*0.001)*$B31),IF(E$27="mg/kg DM",(((E$28*0.001)*($B$28/100))*$B31),"0")))))))*1.205</f>
        <v>55.526400000000002</v>
      </c>
      <c r="F31" s="68">
        <f>(IF(F$27="%w/w SAR",((F$28*10)*$B31),IF(F$27="%w/w DM",(((F$28*10)*($B$28/100))*$B31),IF(F$27="kg/t SAR",(F$28*$B31),IF(F$27="kg/t DM",((F$28*($B$28/100))*$B31),IF(F$27="mg/kg SAR",((F$28*0.001)*$B31),IF(F$27="mg/kg DM",(((F$28*0.001)*($B$28/100))*$B31),"0")))))))*1.658</f>
        <v>4.9441560000000004</v>
      </c>
      <c r="G31" s="68">
        <f t="shared" ref="G31:P46" si="5">IF(G$27="%w/w SAR",((G$28*10)*$B31),IF(G$27="%w/w DM",(((G$28*10)*($B$28/100))*$B31),IF(G$27="kg/t SAR",(G$28*$B31),IF(G$27="kg/t DM",((G$28*($B$28/100))*$B31),IF(G$27="mg/kg SAR",((G$28*0.001)*$B31),IF(G$27="mg/kg DM",(((G$28*0.001)*($B$28/100))*$B31),0))))))</f>
        <v>2.1000000000000001E-2</v>
      </c>
      <c r="H31" s="68">
        <f t="shared" si="5"/>
        <v>0.114</v>
      </c>
      <c r="I31" s="68">
        <f t="shared" si="5"/>
        <v>1.4999999999999999E-2</v>
      </c>
      <c r="J31" s="68">
        <f t="shared" si="5"/>
        <v>3.0000000000000003E-4</v>
      </c>
      <c r="K31" s="68">
        <f t="shared" si="5"/>
        <v>1.5E-3</v>
      </c>
      <c r="L31" s="68">
        <f t="shared" si="5"/>
        <v>6.6E-3</v>
      </c>
      <c r="M31" s="68">
        <f t="shared" si="5"/>
        <v>8.6999999999999994E-3</v>
      </c>
      <c r="N31" s="68">
        <f t="shared" si="5"/>
        <v>0</v>
      </c>
      <c r="O31" s="68">
        <f t="shared" si="5"/>
        <v>0</v>
      </c>
      <c r="P31" s="68">
        <f t="shared" si="5"/>
        <v>0</v>
      </c>
      <c r="Q31" s="68">
        <f>(IF(Q$27="%w/w SAR",((Q$28*10)*$B31),IF(Q$27="%w/w DM",(((Q$28*10)*($B$28/100))*$B31),IF(Q$27="kg/t SAR",(Q$28*$B31),IF(Q$27="kg/t DM",((Q$28*($B$28/100))*$B31),IF(Q$27="mg/kg SAR",((Q$28*0.001)*$B31),IF(Q$27="mg/kg DM",(((Q$28*0.001)*($B$28/100))*$B31),0)))))))*2.5</f>
        <v>24</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Cae Gwar</v>
      </c>
      <c r="B32" s="12">
        <v>30</v>
      </c>
      <c r="C32" s="68">
        <f t="shared" ref="C32:C50" si="6">IF(C$27="%w/w SAR",((C$28*10)*$B32),IF(C$27="%w/w DM",(((C$28*10)*($B$28/100))*$B32),IF(C$27="kg/t SAR",(C$28*$B32),IF(C$27="kg/t DM",((C$28*($B$28/100))*$B32),IF(C$27="mg/kg SAR",((C$28*0.001)*$B32),IF(C$27="mg/kg DM",(((C$28*0.001)*($B$28/100))*$B32),0))))))</f>
        <v>138.00000000000003</v>
      </c>
      <c r="D32" s="68">
        <f t="shared" ref="D32:D50" si="7">(IF(D$27="%w/w SAR",((D$28*10)*$B32),IF(D$27="%w/w DM",(((D$28*10)*($B$28/100))*$B32),IF(D$27="kg/t SAR",(D$28*$B32),IF(D$27="kg/t DM",((D$28*($B$28/100))*$B32),IF(D$27="mg/kg SAR",((D$28*0.001)*$B32),IF(D$27="mg/kg DM",(((D$28*0.001)*($B$28/100))*$B32),"0")))))))*2.291</f>
        <v>25.979939999999999</v>
      </c>
      <c r="E32" s="68">
        <f t="shared" ref="E32:E50" si="8">(IF(E$27="%w/w SAR",((E$28*10)*$B32),IF(E$27="%w/w DM",(((E$28*10)*($B$28/100))*$B32),IF(E$27="kg/t SAR",(E$28*$B32),IF(E$27="kg/t DM",((E$28*($B$28/100))*$B32),IF(E$27="mg/kg SAR",((E$28*0.001)*$B32),IF(E$27="mg/kg DM",(((E$28*0.001)*($B$28/100))*$B32),"0")))))))*1.205</f>
        <v>55.526400000000002</v>
      </c>
      <c r="F32" s="68">
        <f t="shared" ref="F32:F50" si="9">(IF(F$27="%w/w SAR",((F$28*10)*$B32),IF(F$27="%w/w DM",(((F$28*10)*($B$28/100))*$B32),IF(F$27="kg/t SAR",(F$28*$B32),IF(F$27="kg/t DM",((F$28*($B$28/100))*$B32),IF(F$27="mg/kg SAR",((F$28*0.001)*$B32),IF(F$27="mg/kg DM",(((F$28*0.001)*($B$28/100))*$B32),"0")))))))*1.658</f>
        <v>4.9441560000000004</v>
      </c>
      <c r="G32" s="68">
        <f t="shared" si="5"/>
        <v>2.1000000000000001E-2</v>
      </c>
      <c r="H32" s="68">
        <f t="shared" si="5"/>
        <v>0.114</v>
      </c>
      <c r="I32" s="68">
        <f t="shared" si="5"/>
        <v>1.4999999999999999E-2</v>
      </c>
      <c r="J32" s="68">
        <f t="shared" si="5"/>
        <v>3.0000000000000003E-4</v>
      </c>
      <c r="K32" s="68">
        <f t="shared" si="5"/>
        <v>1.5E-3</v>
      </c>
      <c r="L32" s="68">
        <f t="shared" si="5"/>
        <v>6.6E-3</v>
      </c>
      <c r="M32" s="68">
        <f t="shared" si="5"/>
        <v>8.6999999999999994E-3</v>
      </c>
      <c r="N32" s="68">
        <f t="shared" si="5"/>
        <v>0</v>
      </c>
      <c r="O32" s="68">
        <f t="shared" si="5"/>
        <v>0</v>
      </c>
      <c r="P32" s="68">
        <f t="shared" si="5"/>
        <v>0</v>
      </c>
      <c r="Q32" s="68">
        <f t="shared" ref="Q32:Q50" si="10">(IF(Q$27="%w/w SAR",((Q$28*10)*$B32),IF(Q$27="%w/w DM",(((Q$28*10)*($B$28/100))*$B32),IF(Q$27="kg/t SAR",(Q$28*$B32),IF(Q$27="kg/t DM",((Q$28*($B$28/100))*$B32),IF(Q$27="mg/kg SAR",((Q$28*0.001)*$B32),IF(Q$27="mg/kg DM",(((Q$28*0.001)*($B$28/100))*$B32),0)))))))*2.5</f>
        <v>24</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f>E8</f>
        <v>7216</v>
      </c>
      <c r="B33" s="12">
        <v>30</v>
      </c>
      <c r="C33" s="68">
        <f t="shared" si="6"/>
        <v>138.00000000000003</v>
      </c>
      <c r="D33" s="68">
        <f t="shared" si="7"/>
        <v>25.979939999999999</v>
      </c>
      <c r="E33" s="68">
        <f t="shared" si="8"/>
        <v>55.526400000000002</v>
      </c>
      <c r="F33" s="68">
        <f t="shared" si="9"/>
        <v>4.9441560000000004</v>
      </c>
      <c r="G33" s="68">
        <f t="shared" si="5"/>
        <v>2.1000000000000001E-2</v>
      </c>
      <c r="H33" s="68">
        <f t="shared" si="5"/>
        <v>0.114</v>
      </c>
      <c r="I33" s="68">
        <f t="shared" si="5"/>
        <v>1.4999999999999999E-2</v>
      </c>
      <c r="J33" s="68">
        <f t="shared" si="5"/>
        <v>3.0000000000000003E-4</v>
      </c>
      <c r="K33" s="68">
        <f t="shared" si="5"/>
        <v>1.5E-3</v>
      </c>
      <c r="L33" s="68">
        <f t="shared" si="5"/>
        <v>6.6E-3</v>
      </c>
      <c r="M33" s="68">
        <f t="shared" si="5"/>
        <v>8.6999999999999994E-3</v>
      </c>
      <c r="N33" s="68">
        <f t="shared" si="5"/>
        <v>0</v>
      </c>
      <c r="O33" s="68">
        <f t="shared" si="5"/>
        <v>0</v>
      </c>
      <c r="P33" s="68">
        <f t="shared" si="5"/>
        <v>0</v>
      </c>
      <c r="Q33" s="68">
        <f t="shared" si="10"/>
        <v>24</v>
      </c>
      <c r="R33" s="68">
        <f t="shared" si="11"/>
        <v>0</v>
      </c>
      <c r="S33" s="68">
        <f t="shared" si="11"/>
        <v>0</v>
      </c>
      <c r="T33" s="68">
        <f t="shared" si="11"/>
        <v>0</v>
      </c>
      <c r="U33" s="68">
        <f t="shared" si="11"/>
        <v>0</v>
      </c>
    </row>
    <row r="34" spans="1:21" s="51" customFormat="1" ht="13" x14ac:dyDescent="0.35">
      <c r="A34" s="10">
        <f>F8</f>
        <v>11</v>
      </c>
      <c r="B34" s="12">
        <v>30</v>
      </c>
      <c r="C34" s="68">
        <f t="shared" si="6"/>
        <v>138.00000000000003</v>
      </c>
      <c r="D34" s="68">
        <f t="shared" si="7"/>
        <v>25.979939999999999</v>
      </c>
      <c r="E34" s="68">
        <f t="shared" si="8"/>
        <v>55.526400000000002</v>
      </c>
      <c r="F34" s="68">
        <f t="shared" si="9"/>
        <v>4.9441560000000004</v>
      </c>
      <c r="G34" s="68">
        <f t="shared" si="5"/>
        <v>2.1000000000000001E-2</v>
      </c>
      <c r="H34" s="68">
        <f t="shared" si="5"/>
        <v>0.114</v>
      </c>
      <c r="I34" s="68">
        <f t="shared" si="5"/>
        <v>1.4999999999999999E-2</v>
      </c>
      <c r="J34" s="68">
        <f t="shared" si="5"/>
        <v>3.0000000000000003E-4</v>
      </c>
      <c r="K34" s="68">
        <f t="shared" si="5"/>
        <v>1.5E-3</v>
      </c>
      <c r="L34" s="68">
        <f t="shared" si="5"/>
        <v>6.6E-3</v>
      </c>
      <c r="M34" s="68">
        <f t="shared" si="5"/>
        <v>8.6999999999999994E-3</v>
      </c>
      <c r="N34" s="68">
        <f t="shared" si="5"/>
        <v>0</v>
      </c>
      <c r="O34" s="68">
        <f t="shared" si="5"/>
        <v>0</v>
      </c>
      <c r="P34" s="68">
        <f t="shared" si="5"/>
        <v>0</v>
      </c>
      <c r="Q34" s="68">
        <f t="shared" si="10"/>
        <v>24</v>
      </c>
      <c r="R34" s="68">
        <f t="shared" si="11"/>
        <v>0</v>
      </c>
      <c r="S34" s="68">
        <f t="shared" si="11"/>
        <v>0</v>
      </c>
      <c r="T34" s="68">
        <f t="shared" si="11"/>
        <v>0</v>
      </c>
      <c r="U34" s="68">
        <f t="shared" si="11"/>
        <v>0</v>
      </c>
    </row>
    <row r="35" spans="1:21" s="51" customFormat="1" ht="13" x14ac:dyDescent="0.35">
      <c r="A35" s="10">
        <f>G8</f>
        <v>12</v>
      </c>
      <c r="B35" s="12">
        <v>30</v>
      </c>
      <c r="C35" s="68">
        <f t="shared" si="6"/>
        <v>138.00000000000003</v>
      </c>
      <c r="D35" s="68">
        <f t="shared" si="7"/>
        <v>25.979939999999999</v>
      </c>
      <c r="E35" s="68">
        <f t="shared" si="8"/>
        <v>55.526400000000002</v>
      </c>
      <c r="F35" s="68">
        <f t="shared" si="9"/>
        <v>4.9441560000000004</v>
      </c>
      <c r="G35" s="68">
        <f t="shared" si="5"/>
        <v>2.1000000000000001E-2</v>
      </c>
      <c r="H35" s="68">
        <f t="shared" si="5"/>
        <v>0.114</v>
      </c>
      <c r="I35" s="68">
        <f t="shared" si="5"/>
        <v>1.4999999999999999E-2</v>
      </c>
      <c r="J35" s="68">
        <f t="shared" si="5"/>
        <v>3.0000000000000003E-4</v>
      </c>
      <c r="K35" s="68">
        <f t="shared" si="5"/>
        <v>1.5E-3</v>
      </c>
      <c r="L35" s="68">
        <f t="shared" si="5"/>
        <v>6.6E-3</v>
      </c>
      <c r="M35" s="68">
        <f t="shared" si="5"/>
        <v>8.6999999999999994E-3</v>
      </c>
      <c r="N35" s="68">
        <f t="shared" si="5"/>
        <v>0</v>
      </c>
      <c r="O35" s="68">
        <f t="shared" si="5"/>
        <v>0</v>
      </c>
      <c r="P35" s="68">
        <f t="shared" si="5"/>
        <v>0</v>
      </c>
      <c r="Q35" s="68">
        <f t="shared" si="10"/>
        <v>24</v>
      </c>
      <c r="R35" s="68">
        <f t="shared" si="11"/>
        <v>0</v>
      </c>
      <c r="S35" s="68">
        <f t="shared" si="11"/>
        <v>0</v>
      </c>
      <c r="T35" s="68">
        <f t="shared" si="11"/>
        <v>0</v>
      </c>
      <c r="U35" s="68">
        <f t="shared" si="11"/>
        <v>0</v>
      </c>
    </row>
    <row r="36" spans="1:21" s="51" customFormat="1" ht="13" x14ac:dyDescent="0.35">
      <c r="A36" s="10">
        <f>H8</f>
        <v>14</v>
      </c>
      <c r="B36" s="12">
        <v>30</v>
      </c>
      <c r="C36" s="68">
        <f t="shared" si="6"/>
        <v>138.00000000000003</v>
      </c>
      <c r="D36" s="68">
        <f t="shared" si="7"/>
        <v>25.979939999999999</v>
      </c>
      <c r="E36" s="68">
        <f t="shared" si="8"/>
        <v>55.526400000000002</v>
      </c>
      <c r="F36" s="68">
        <f t="shared" si="9"/>
        <v>4.9441560000000004</v>
      </c>
      <c r="G36" s="68">
        <f t="shared" si="5"/>
        <v>2.1000000000000001E-2</v>
      </c>
      <c r="H36" s="68">
        <f t="shared" si="5"/>
        <v>0.114</v>
      </c>
      <c r="I36" s="68">
        <f t="shared" si="5"/>
        <v>1.4999999999999999E-2</v>
      </c>
      <c r="J36" s="68">
        <f t="shared" si="5"/>
        <v>3.0000000000000003E-4</v>
      </c>
      <c r="K36" s="68">
        <f t="shared" si="5"/>
        <v>1.5E-3</v>
      </c>
      <c r="L36" s="68">
        <f t="shared" si="5"/>
        <v>6.6E-3</v>
      </c>
      <c r="M36" s="68">
        <f t="shared" si="5"/>
        <v>8.6999999999999994E-3</v>
      </c>
      <c r="N36" s="68">
        <f t="shared" si="5"/>
        <v>0</v>
      </c>
      <c r="O36" s="68">
        <f t="shared" si="5"/>
        <v>0</v>
      </c>
      <c r="P36" s="68">
        <f t="shared" si="5"/>
        <v>0</v>
      </c>
      <c r="Q36" s="68">
        <f t="shared" si="10"/>
        <v>24</v>
      </c>
      <c r="R36" s="68">
        <f t="shared" si="11"/>
        <v>0</v>
      </c>
      <c r="S36" s="68">
        <f t="shared" si="11"/>
        <v>0</v>
      </c>
      <c r="T36" s="68">
        <f t="shared" si="11"/>
        <v>0</v>
      </c>
      <c r="U36" s="68">
        <f t="shared" si="11"/>
        <v>0</v>
      </c>
    </row>
    <row r="37" spans="1:21" s="51" customFormat="1" ht="13" x14ac:dyDescent="0.35">
      <c r="A37" s="10" t="str">
        <f>I8</f>
        <v>15A</v>
      </c>
      <c r="B37" s="12">
        <v>30</v>
      </c>
      <c r="C37" s="68">
        <f t="shared" si="6"/>
        <v>138.00000000000003</v>
      </c>
      <c r="D37" s="68">
        <f t="shared" si="7"/>
        <v>25.979939999999999</v>
      </c>
      <c r="E37" s="68">
        <f t="shared" si="8"/>
        <v>55.526400000000002</v>
      </c>
      <c r="F37" s="68">
        <f t="shared" si="9"/>
        <v>4.9441560000000004</v>
      </c>
      <c r="G37" s="68">
        <f t="shared" si="5"/>
        <v>2.1000000000000001E-2</v>
      </c>
      <c r="H37" s="68">
        <f t="shared" si="5"/>
        <v>0.114</v>
      </c>
      <c r="I37" s="68">
        <f t="shared" si="5"/>
        <v>1.4999999999999999E-2</v>
      </c>
      <c r="J37" s="68">
        <f t="shared" si="5"/>
        <v>3.0000000000000003E-4</v>
      </c>
      <c r="K37" s="68">
        <f t="shared" si="5"/>
        <v>1.5E-3</v>
      </c>
      <c r="L37" s="68">
        <f t="shared" si="5"/>
        <v>6.6E-3</v>
      </c>
      <c r="M37" s="68">
        <f t="shared" si="5"/>
        <v>8.6999999999999994E-3</v>
      </c>
      <c r="N37" s="68">
        <f t="shared" si="5"/>
        <v>0</v>
      </c>
      <c r="O37" s="68">
        <f t="shared" si="5"/>
        <v>0</v>
      </c>
      <c r="P37" s="68">
        <f t="shared" si="5"/>
        <v>0</v>
      </c>
      <c r="Q37" s="68">
        <f t="shared" si="10"/>
        <v>24</v>
      </c>
      <c r="R37" s="68">
        <f t="shared" si="11"/>
        <v>0</v>
      </c>
      <c r="S37" s="68">
        <f t="shared" si="11"/>
        <v>0</v>
      </c>
      <c r="T37" s="68">
        <f t="shared" si="11"/>
        <v>0</v>
      </c>
      <c r="U37" s="68">
        <f t="shared" si="11"/>
        <v>0</v>
      </c>
    </row>
    <row r="38" spans="1:21" s="51" customFormat="1" ht="13" x14ac:dyDescent="0.35">
      <c r="A38" s="10">
        <f>J8</f>
        <v>17</v>
      </c>
      <c r="B38" s="12">
        <v>30</v>
      </c>
      <c r="C38" s="68">
        <f t="shared" si="6"/>
        <v>138.00000000000003</v>
      </c>
      <c r="D38" s="68">
        <f t="shared" si="7"/>
        <v>25.979939999999999</v>
      </c>
      <c r="E38" s="68">
        <f t="shared" si="8"/>
        <v>55.526400000000002</v>
      </c>
      <c r="F38" s="68">
        <f t="shared" si="9"/>
        <v>4.9441560000000004</v>
      </c>
      <c r="G38" s="68">
        <f t="shared" si="5"/>
        <v>2.1000000000000001E-2</v>
      </c>
      <c r="H38" s="68">
        <f t="shared" si="5"/>
        <v>0.114</v>
      </c>
      <c r="I38" s="68">
        <f t="shared" si="5"/>
        <v>1.4999999999999999E-2</v>
      </c>
      <c r="J38" s="68">
        <f t="shared" si="5"/>
        <v>3.0000000000000003E-4</v>
      </c>
      <c r="K38" s="68">
        <f t="shared" si="5"/>
        <v>1.5E-3</v>
      </c>
      <c r="L38" s="68">
        <f t="shared" si="5"/>
        <v>6.6E-3</v>
      </c>
      <c r="M38" s="68">
        <f t="shared" si="5"/>
        <v>8.6999999999999994E-3</v>
      </c>
      <c r="N38" s="68">
        <f t="shared" si="5"/>
        <v>0</v>
      </c>
      <c r="O38" s="68">
        <f t="shared" si="5"/>
        <v>0</v>
      </c>
      <c r="P38" s="68">
        <f t="shared" si="5"/>
        <v>0</v>
      </c>
      <c r="Q38" s="68">
        <f t="shared" si="10"/>
        <v>24</v>
      </c>
      <c r="R38" s="68">
        <f t="shared" si="11"/>
        <v>0</v>
      </c>
      <c r="S38" s="68">
        <f t="shared" si="11"/>
        <v>0</v>
      </c>
      <c r="T38" s="68">
        <f t="shared" si="11"/>
        <v>0</v>
      </c>
      <c r="U38" s="68">
        <f t="shared" si="11"/>
        <v>0</v>
      </c>
    </row>
    <row r="39" spans="1:21" s="51" customFormat="1" ht="13" x14ac:dyDescent="0.35">
      <c r="A39" s="10">
        <f>K8</f>
        <v>18</v>
      </c>
      <c r="B39" s="12">
        <v>30</v>
      </c>
      <c r="C39" s="68">
        <f t="shared" si="6"/>
        <v>138.00000000000003</v>
      </c>
      <c r="D39" s="68">
        <f t="shared" si="7"/>
        <v>25.979939999999999</v>
      </c>
      <c r="E39" s="68">
        <f t="shared" si="8"/>
        <v>55.526400000000002</v>
      </c>
      <c r="F39" s="68">
        <f t="shared" si="9"/>
        <v>4.9441560000000004</v>
      </c>
      <c r="G39" s="68">
        <f t="shared" si="5"/>
        <v>2.1000000000000001E-2</v>
      </c>
      <c r="H39" s="68">
        <f t="shared" si="5"/>
        <v>0.114</v>
      </c>
      <c r="I39" s="68">
        <f t="shared" si="5"/>
        <v>1.4999999999999999E-2</v>
      </c>
      <c r="J39" s="68">
        <f t="shared" si="5"/>
        <v>3.0000000000000003E-4</v>
      </c>
      <c r="K39" s="68">
        <f t="shared" si="5"/>
        <v>1.5E-3</v>
      </c>
      <c r="L39" s="68">
        <f t="shared" si="5"/>
        <v>6.6E-3</v>
      </c>
      <c r="M39" s="68">
        <f t="shared" si="5"/>
        <v>8.6999999999999994E-3</v>
      </c>
      <c r="N39" s="68">
        <f t="shared" si="5"/>
        <v>0</v>
      </c>
      <c r="O39" s="68">
        <f t="shared" si="5"/>
        <v>0</v>
      </c>
      <c r="P39" s="68">
        <f t="shared" si="5"/>
        <v>0</v>
      </c>
      <c r="Q39" s="68">
        <f t="shared" si="10"/>
        <v>24</v>
      </c>
      <c r="R39" s="68">
        <f t="shared" si="11"/>
        <v>0</v>
      </c>
      <c r="S39" s="68">
        <f t="shared" si="11"/>
        <v>0</v>
      </c>
      <c r="T39" s="68">
        <f t="shared" si="11"/>
        <v>0</v>
      </c>
      <c r="U39" s="68">
        <f t="shared" si="11"/>
        <v>0</v>
      </c>
    </row>
    <row r="40" spans="1:21" s="51" customFormat="1" ht="13" x14ac:dyDescent="0.35">
      <c r="A40" s="10" t="str">
        <f>L8</f>
        <v>PB2 1</v>
      </c>
      <c r="B40" s="12">
        <v>30</v>
      </c>
      <c r="C40" s="68">
        <f t="shared" si="6"/>
        <v>138.00000000000003</v>
      </c>
      <c r="D40" s="68">
        <f t="shared" si="7"/>
        <v>25.979939999999999</v>
      </c>
      <c r="E40" s="68">
        <f t="shared" si="8"/>
        <v>55.526400000000002</v>
      </c>
      <c r="F40" s="68">
        <f t="shared" si="9"/>
        <v>4.9441560000000004</v>
      </c>
      <c r="G40" s="68">
        <f t="shared" si="5"/>
        <v>2.1000000000000001E-2</v>
      </c>
      <c r="H40" s="68">
        <f t="shared" si="5"/>
        <v>0.114</v>
      </c>
      <c r="I40" s="68">
        <f t="shared" si="5"/>
        <v>1.4999999999999999E-2</v>
      </c>
      <c r="J40" s="68">
        <f t="shared" si="5"/>
        <v>3.0000000000000003E-4</v>
      </c>
      <c r="K40" s="68">
        <f t="shared" si="5"/>
        <v>1.5E-3</v>
      </c>
      <c r="L40" s="68">
        <f t="shared" si="5"/>
        <v>6.6E-3</v>
      </c>
      <c r="M40" s="68">
        <f t="shared" si="5"/>
        <v>8.6999999999999994E-3</v>
      </c>
      <c r="N40" s="68">
        <f t="shared" si="5"/>
        <v>0</v>
      </c>
      <c r="O40" s="68">
        <f t="shared" si="5"/>
        <v>0</v>
      </c>
      <c r="P40" s="68">
        <f t="shared" si="5"/>
        <v>0</v>
      </c>
      <c r="Q40" s="68">
        <f t="shared" si="10"/>
        <v>24</v>
      </c>
      <c r="R40" s="68">
        <f t="shared" si="11"/>
        <v>0</v>
      </c>
      <c r="S40" s="68">
        <f t="shared" si="11"/>
        <v>0</v>
      </c>
      <c r="T40" s="68">
        <f t="shared" si="11"/>
        <v>0</v>
      </c>
      <c r="U40" s="68">
        <f t="shared" si="11"/>
        <v>0</v>
      </c>
    </row>
    <row r="41" spans="1:21" s="51" customFormat="1" ht="13" x14ac:dyDescent="0.35">
      <c r="A41" s="10" t="str">
        <f>M8</f>
        <v>PB2 2</v>
      </c>
      <c r="B41" s="12">
        <v>30</v>
      </c>
      <c r="C41" s="68">
        <f t="shared" si="6"/>
        <v>138.00000000000003</v>
      </c>
      <c r="D41" s="68">
        <f t="shared" si="7"/>
        <v>25.979939999999999</v>
      </c>
      <c r="E41" s="68">
        <f t="shared" si="8"/>
        <v>55.526400000000002</v>
      </c>
      <c r="F41" s="68">
        <f t="shared" si="9"/>
        <v>4.9441560000000004</v>
      </c>
      <c r="G41" s="68">
        <f t="shared" si="5"/>
        <v>2.1000000000000001E-2</v>
      </c>
      <c r="H41" s="68">
        <f t="shared" si="5"/>
        <v>0.114</v>
      </c>
      <c r="I41" s="68">
        <f t="shared" si="5"/>
        <v>1.4999999999999999E-2</v>
      </c>
      <c r="J41" s="68">
        <f t="shared" si="5"/>
        <v>3.0000000000000003E-4</v>
      </c>
      <c r="K41" s="68">
        <f t="shared" si="5"/>
        <v>1.5E-3</v>
      </c>
      <c r="L41" s="68">
        <f t="shared" si="5"/>
        <v>6.6E-3</v>
      </c>
      <c r="M41" s="68">
        <f t="shared" si="5"/>
        <v>8.6999999999999994E-3</v>
      </c>
      <c r="N41" s="68">
        <f t="shared" si="5"/>
        <v>0</v>
      </c>
      <c r="O41" s="68">
        <f t="shared" si="5"/>
        <v>0</v>
      </c>
      <c r="P41" s="68">
        <f t="shared" si="5"/>
        <v>0</v>
      </c>
      <c r="Q41" s="68">
        <f t="shared" si="10"/>
        <v>24</v>
      </c>
      <c r="R41" s="68">
        <f t="shared" si="11"/>
        <v>0</v>
      </c>
      <c r="S41" s="68">
        <f t="shared" si="11"/>
        <v>0</v>
      </c>
      <c r="T41" s="68">
        <f t="shared" si="11"/>
        <v>0</v>
      </c>
      <c r="U41" s="68">
        <f t="shared" si="11"/>
        <v>0</v>
      </c>
    </row>
    <row r="42" spans="1:21" s="51" customFormat="1" ht="13" x14ac:dyDescent="0.35">
      <c r="A42" s="10" t="str">
        <f>N8</f>
        <v>PB1 1</v>
      </c>
      <c r="B42" s="12">
        <v>30</v>
      </c>
      <c r="C42" s="68">
        <f t="shared" si="6"/>
        <v>138.00000000000003</v>
      </c>
      <c r="D42" s="68">
        <f t="shared" si="7"/>
        <v>25.979939999999999</v>
      </c>
      <c r="E42" s="68">
        <f t="shared" si="8"/>
        <v>55.526400000000002</v>
      </c>
      <c r="F42" s="68">
        <f t="shared" si="9"/>
        <v>4.9441560000000004</v>
      </c>
      <c r="G42" s="68">
        <f t="shared" si="5"/>
        <v>2.1000000000000001E-2</v>
      </c>
      <c r="H42" s="68">
        <f t="shared" si="5"/>
        <v>0.114</v>
      </c>
      <c r="I42" s="68">
        <f t="shared" si="5"/>
        <v>1.4999999999999999E-2</v>
      </c>
      <c r="J42" s="68">
        <f t="shared" si="5"/>
        <v>3.0000000000000003E-4</v>
      </c>
      <c r="K42" s="68">
        <f t="shared" si="5"/>
        <v>1.5E-3</v>
      </c>
      <c r="L42" s="68">
        <f t="shared" si="5"/>
        <v>6.6E-3</v>
      </c>
      <c r="M42" s="68">
        <f t="shared" si="5"/>
        <v>8.6999999999999994E-3</v>
      </c>
      <c r="N42" s="68">
        <f t="shared" si="5"/>
        <v>0</v>
      </c>
      <c r="O42" s="68">
        <f t="shared" si="5"/>
        <v>0</v>
      </c>
      <c r="P42" s="68">
        <f t="shared" si="5"/>
        <v>0</v>
      </c>
      <c r="Q42" s="68">
        <f t="shared" si="10"/>
        <v>24</v>
      </c>
      <c r="R42" s="68">
        <f t="shared" si="11"/>
        <v>0</v>
      </c>
      <c r="S42" s="68">
        <f t="shared" si="11"/>
        <v>0</v>
      </c>
      <c r="T42" s="68">
        <f t="shared" si="11"/>
        <v>0</v>
      </c>
      <c r="U42" s="68">
        <f t="shared" si="11"/>
        <v>0</v>
      </c>
    </row>
    <row r="43" spans="1:21" s="51" customFormat="1" ht="13" x14ac:dyDescent="0.35">
      <c r="A43" s="10" t="str">
        <f>O8</f>
        <v>PB1 2</v>
      </c>
      <c r="B43" s="12">
        <v>30</v>
      </c>
      <c r="C43" s="68">
        <f t="shared" si="6"/>
        <v>138.00000000000003</v>
      </c>
      <c r="D43" s="68">
        <f t="shared" si="7"/>
        <v>25.979939999999999</v>
      </c>
      <c r="E43" s="68">
        <f t="shared" si="8"/>
        <v>55.526400000000002</v>
      </c>
      <c r="F43" s="68">
        <f t="shared" si="9"/>
        <v>4.9441560000000004</v>
      </c>
      <c r="G43" s="68">
        <f t="shared" si="5"/>
        <v>2.1000000000000001E-2</v>
      </c>
      <c r="H43" s="68">
        <f t="shared" si="5"/>
        <v>0.114</v>
      </c>
      <c r="I43" s="68">
        <f t="shared" si="5"/>
        <v>1.4999999999999999E-2</v>
      </c>
      <c r="J43" s="68">
        <f t="shared" si="5"/>
        <v>3.0000000000000003E-4</v>
      </c>
      <c r="K43" s="68">
        <f t="shared" si="5"/>
        <v>1.5E-3</v>
      </c>
      <c r="L43" s="68">
        <f t="shared" si="5"/>
        <v>6.6E-3</v>
      </c>
      <c r="M43" s="68">
        <f t="shared" si="5"/>
        <v>8.6999999999999994E-3</v>
      </c>
      <c r="N43" s="68">
        <f t="shared" si="5"/>
        <v>0</v>
      </c>
      <c r="O43" s="68">
        <f t="shared" si="5"/>
        <v>0</v>
      </c>
      <c r="P43" s="68">
        <f t="shared" si="5"/>
        <v>0</v>
      </c>
      <c r="Q43" s="68">
        <f t="shared" si="10"/>
        <v>24</v>
      </c>
      <c r="R43" s="68">
        <f t="shared" si="11"/>
        <v>0</v>
      </c>
      <c r="S43" s="68">
        <f t="shared" si="11"/>
        <v>0</v>
      </c>
      <c r="T43" s="68">
        <f t="shared" si="11"/>
        <v>0</v>
      </c>
      <c r="U43" s="68">
        <f t="shared" si="11"/>
        <v>0</v>
      </c>
    </row>
    <row r="44" spans="1:21" s="51" customFormat="1" ht="13" x14ac:dyDescent="0.35">
      <c r="A44" s="10" t="str">
        <f>P8</f>
        <v>PB1 3</v>
      </c>
      <c r="B44" s="12">
        <v>30</v>
      </c>
      <c r="C44" s="68">
        <f t="shared" si="6"/>
        <v>138.00000000000003</v>
      </c>
      <c r="D44" s="68">
        <f t="shared" si="7"/>
        <v>25.979939999999999</v>
      </c>
      <c r="E44" s="68">
        <f t="shared" si="8"/>
        <v>55.526400000000002</v>
      </c>
      <c r="F44" s="68">
        <f t="shared" si="9"/>
        <v>4.9441560000000004</v>
      </c>
      <c r="G44" s="68">
        <f t="shared" si="5"/>
        <v>2.1000000000000001E-2</v>
      </c>
      <c r="H44" s="68">
        <f t="shared" si="5"/>
        <v>0.114</v>
      </c>
      <c r="I44" s="68">
        <f t="shared" si="5"/>
        <v>1.4999999999999999E-2</v>
      </c>
      <c r="J44" s="68">
        <f t="shared" si="5"/>
        <v>3.0000000000000003E-4</v>
      </c>
      <c r="K44" s="68">
        <f t="shared" si="5"/>
        <v>1.5E-3</v>
      </c>
      <c r="L44" s="68">
        <f t="shared" si="5"/>
        <v>6.6E-3</v>
      </c>
      <c r="M44" s="68">
        <f t="shared" si="5"/>
        <v>8.6999999999999994E-3</v>
      </c>
      <c r="N44" s="68">
        <f t="shared" si="5"/>
        <v>0</v>
      </c>
      <c r="O44" s="68">
        <f t="shared" si="5"/>
        <v>0</v>
      </c>
      <c r="P44" s="68">
        <f t="shared" si="5"/>
        <v>0</v>
      </c>
      <c r="Q44" s="68">
        <f t="shared" si="10"/>
        <v>24</v>
      </c>
      <c r="R44" s="68">
        <f t="shared" si="11"/>
        <v>0</v>
      </c>
      <c r="S44" s="68">
        <f t="shared" si="11"/>
        <v>0</v>
      </c>
      <c r="T44" s="68">
        <f t="shared" si="11"/>
        <v>0</v>
      </c>
      <c r="U44" s="68">
        <f t="shared" si="11"/>
        <v>0</v>
      </c>
    </row>
    <row r="45" spans="1:21" s="51" customFormat="1" ht="13" x14ac:dyDescent="0.35">
      <c r="A45" s="10" t="str">
        <f>Q8</f>
        <v>PB1 4</v>
      </c>
      <c r="B45" s="12">
        <v>30</v>
      </c>
      <c r="C45" s="68">
        <f t="shared" si="6"/>
        <v>138.00000000000003</v>
      </c>
      <c r="D45" s="68">
        <f t="shared" si="7"/>
        <v>25.979939999999999</v>
      </c>
      <c r="E45" s="68">
        <f t="shared" si="8"/>
        <v>55.526400000000002</v>
      </c>
      <c r="F45" s="68">
        <f t="shared" si="9"/>
        <v>4.9441560000000004</v>
      </c>
      <c r="G45" s="68">
        <f t="shared" si="5"/>
        <v>2.1000000000000001E-2</v>
      </c>
      <c r="H45" s="68">
        <f t="shared" si="5"/>
        <v>0.114</v>
      </c>
      <c r="I45" s="68">
        <f t="shared" si="5"/>
        <v>1.4999999999999999E-2</v>
      </c>
      <c r="J45" s="68">
        <f t="shared" si="5"/>
        <v>3.0000000000000003E-4</v>
      </c>
      <c r="K45" s="68">
        <f t="shared" si="5"/>
        <v>1.5E-3</v>
      </c>
      <c r="L45" s="68">
        <f t="shared" si="5"/>
        <v>6.6E-3</v>
      </c>
      <c r="M45" s="68">
        <f t="shared" si="5"/>
        <v>8.6999999999999994E-3</v>
      </c>
      <c r="N45" s="68">
        <f t="shared" si="5"/>
        <v>0</v>
      </c>
      <c r="O45" s="68">
        <f t="shared" si="5"/>
        <v>0</v>
      </c>
      <c r="P45" s="68">
        <f t="shared" si="5"/>
        <v>0</v>
      </c>
      <c r="Q45" s="68">
        <f t="shared" si="10"/>
        <v>24</v>
      </c>
      <c r="R45" s="68">
        <f t="shared" si="11"/>
        <v>0</v>
      </c>
      <c r="S45" s="68">
        <f t="shared" si="11"/>
        <v>0</v>
      </c>
      <c r="T45" s="68">
        <f t="shared" si="11"/>
        <v>0</v>
      </c>
      <c r="U45" s="68">
        <f t="shared" si="11"/>
        <v>0</v>
      </c>
    </row>
    <row r="46" spans="1:21" s="51" customFormat="1" ht="13" x14ac:dyDescent="0.35">
      <c r="A46" s="10" t="str">
        <f>R8</f>
        <v>T2</v>
      </c>
      <c r="B46" s="12">
        <v>30</v>
      </c>
      <c r="C46" s="68">
        <f t="shared" si="6"/>
        <v>138.00000000000003</v>
      </c>
      <c r="D46" s="68">
        <f t="shared" si="7"/>
        <v>25.979939999999999</v>
      </c>
      <c r="E46" s="68">
        <f t="shared" si="8"/>
        <v>55.526400000000002</v>
      </c>
      <c r="F46" s="68">
        <f t="shared" si="9"/>
        <v>4.9441560000000004</v>
      </c>
      <c r="G46" s="68">
        <f t="shared" si="5"/>
        <v>2.1000000000000001E-2</v>
      </c>
      <c r="H46" s="68">
        <f t="shared" si="5"/>
        <v>0.114</v>
      </c>
      <c r="I46" s="68">
        <f t="shared" si="5"/>
        <v>1.4999999999999999E-2</v>
      </c>
      <c r="J46" s="68">
        <f t="shared" si="5"/>
        <v>3.0000000000000003E-4</v>
      </c>
      <c r="K46" s="68">
        <f t="shared" si="5"/>
        <v>1.5E-3</v>
      </c>
      <c r="L46" s="68">
        <f t="shared" si="5"/>
        <v>6.6E-3</v>
      </c>
      <c r="M46" s="68">
        <f t="shared" si="5"/>
        <v>8.6999999999999994E-3</v>
      </c>
      <c r="N46" s="68">
        <f t="shared" si="5"/>
        <v>0</v>
      </c>
      <c r="O46" s="68">
        <f t="shared" si="5"/>
        <v>0</v>
      </c>
      <c r="P46" s="68">
        <f t="shared" si="5"/>
        <v>0</v>
      </c>
      <c r="Q46" s="68">
        <f t="shared" si="10"/>
        <v>24</v>
      </c>
      <c r="R46" s="68">
        <f t="shared" si="11"/>
        <v>0</v>
      </c>
      <c r="S46" s="68">
        <f t="shared" si="11"/>
        <v>0</v>
      </c>
      <c r="T46" s="68">
        <f t="shared" si="11"/>
        <v>0</v>
      </c>
      <c r="U46" s="68">
        <f t="shared" si="11"/>
        <v>0</v>
      </c>
    </row>
    <row r="47" spans="1:21" s="51" customFormat="1" ht="13" x14ac:dyDescent="0.35">
      <c r="A47" s="10" t="str">
        <f>S8</f>
        <v>T3</v>
      </c>
      <c r="B47" s="12">
        <v>30</v>
      </c>
      <c r="C47" s="68">
        <f t="shared" si="6"/>
        <v>138.00000000000003</v>
      </c>
      <c r="D47" s="68">
        <f t="shared" si="7"/>
        <v>25.979939999999999</v>
      </c>
      <c r="E47" s="68">
        <f t="shared" si="8"/>
        <v>55.526400000000002</v>
      </c>
      <c r="F47" s="68">
        <f t="shared" si="9"/>
        <v>4.9441560000000004</v>
      </c>
      <c r="G47" s="68">
        <f t="shared" ref="G47:P50" si="12">IF(G$27="%w/w SAR",((G$28*10)*$B47),IF(G$27="%w/w DM",(((G$28*10)*($B$28/100))*$B47),IF(G$27="kg/t SAR",(G$28*$B47),IF(G$27="kg/t DM",((G$28*($B$28/100))*$B47),IF(G$27="mg/kg SAR",((G$28*0.001)*$B47),IF(G$27="mg/kg DM",(((G$28*0.001)*($B$28/100))*$B47),0))))))</f>
        <v>2.1000000000000001E-2</v>
      </c>
      <c r="H47" s="68">
        <f t="shared" si="12"/>
        <v>0.114</v>
      </c>
      <c r="I47" s="68">
        <f t="shared" si="12"/>
        <v>1.4999999999999999E-2</v>
      </c>
      <c r="J47" s="68">
        <f t="shared" si="12"/>
        <v>3.0000000000000003E-4</v>
      </c>
      <c r="K47" s="68">
        <f t="shared" si="12"/>
        <v>1.5E-3</v>
      </c>
      <c r="L47" s="68">
        <f t="shared" si="12"/>
        <v>6.6E-3</v>
      </c>
      <c r="M47" s="68">
        <f t="shared" si="12"/>
        <v>8.6999999999999994E-3</v>
      </c>
      <c r="N47" s="68">
        <f t="shared" si="12"/>
        <v>0</v>
      </c>
      <c r="O47" s="68">
        <f t="shared" si="12"/>
        <v>0</v>
      </c>
      <c r="P47" s="68">
        <f t="shared" si="12"/>
        <v>0</v>
      </c>
      <c r="Q47" s="68">
        <f t="shared" si="10"/>
        <v>24</v>
      </c>
      <c r="R47" s="68">
        <f t="shared" si="11"/>
        <v>0</v>
      </c>
      <c r="S47" s="68">
        <f t="shared" si="11"/>
        <v>0</v>
      </c>
      <c r="T47" s="68">
        <f t="shared" si="11"/>
        <v>0</v>
      </c>
      <c r="U47" s="68">
        <f t="shared" si="11"/>
        <v>0</v>
      </c>
    </row>
    <row r="48" spans="1:21" s="51" customFormat="1" ht="13" x14ac:dyDescent="0.35">
      <c r="A48" s="10" t="str">
        <f>T8</f>
        <v>T4</v>
      </c>
      <c r="B48" s="12">
        <v>30</v>
      </c>
      <c r="C48" s="68">
        <f t="shared" si="6"/>
        <v>138.00000000000003</v>
      </c>
      <c r="D48" s="68">
        <f t="shared" si="7"/>
        <v>25.979939999999999</v>
      </c>
      <c r="E48" s="68">
        <f t="shared" si="8"/>
        <v>55.526400000000002</v>
      </c>
      <c r="F48" s="68">
        <f t="shared" si="9"/>
        <v>4.9441560000000004</v>
      </c>
      <c r="G48" s="68">
        <f t="shared" si="12"/>
        <v>2.1000000000000001E-2</v>
      </c>
      <c r="H48" s="68">
        <f t="shared" si="12"/>
        <v>0.114</v>
      </c>
      <c r="I48" s="68">
        <f t="shared" si="12"/>
        <v>1.4999999999999999E-2</v>
      </c>
      <c r="J48" s="68">
        <f t="shared" si="12"/>
        <v>3.0000000000000003E-4</v>
      </c>
      <c r="K48" s="68">
        <f t="shared" si="12"/>
        <v>1.5E-3</v>
      </c>
      <c r="L48" s="68">
        <f t="shared" si="12"/>
        <v>6.6E-3</v>
      </c>
      <c r="M48" s="68">
        <f t="shared" si="12"/>
        <v>8.6999999999999994E-3</v>
      </c>
      <c r="N48" s="68">
        <f t="shared" si="12"/>
        <v>0</v>
      </c>
      <c r="O48" s="68">
        <f t="shared" si="12"/>
        <v>0</v>
      </c>
      <c r="P48" s="68">
        <f t="shared" si="12"/>
        <v>0</v>
      </c>
      <c r="Q48" s="68">
        <f t="shared" si="10"/>
        <v>24</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Cae Derwin</v>
      </c>
      <c r="C57" s="8" t="str">
        <f t="shared" ref="C57:U57" si="13">D8</f>
        <v>Cae Gwar</v>
      </c>
      <c r="D57" s="8">
        <f t="shared" si="13"/>
        <v>7216</v>
      </c>
      <c r="E57" s="8">
        <f t="shared" si="13"/>
        <v>11</v>
      </c>
      <c r="F57" s="8">
        <f t="shared" si="13"/>
        <v>12</v>
      </c>
      <c r="G57" s="8">
        <f t="shared" si="13"/>
        <v>14</v>
      </c>
      <c r="H57" s="8" t="str">
        <f t="shared" si="13"/>
        <v>15A</v>
      </c>
      <c r="I57" s="8">
        <f t="shared" si="13"/>
        <v>17</v>
      </c>
      <c r="J57" s="8">
        <f t="shared" si="13"/>
        <v>18</v>
      </c>
      <c r="K57" s="8" t="str">
        <f t="shared" si="13"/>
        <v>PB2 1</v>
      </c>
      <c r="L57" s="8" t="str">
        <f t="shared" si="13"/>
        <v>PB2 2</v>
      </c>
      <c r="M57" s="8" t="str">
        <f t="shared" si="13"/>
        <v>PB1 1</v>
      </c>
      <c r="N57" s="8" t="str">
        <f t="shared" si="13"/>
        <v>PB1 2</v>
      </c>
      <c r="O57" s="8" t="str">
        <f t="shared" si="13"/>
        <v>PB1 3</v>
      </c>
      <c r="P57" s="8" t="str">
        <f t="shared" si="13"/>
        <v>PB1 4</v>
      </c>
      <c r="Q57" s="8" t="str">
        <f t="shared" si="13"/>
        <v>T2</v>
      </c>
      <c r="R57" s="8" t="str">
        <f t="shared" si="13"/>
        <v>T3</v>
      </c>
      <c r="S57" s="8" t="str">
        <f t="shared" si="13"/>
        <v>T4</v>
      </c>
      <c r="T57" s="8">
        <f t="shared" si="13"/>
        <v>0</v>
      </c>
      <c r="U57" s="8">
        <f t="shared" si="13"/>
        <v>0</v>
      </c>
    </row>
    <row r="58" spans="1:21" ht="13" x14ac:dyDescent="0.35">
      <c r="A58" s="82" t="s">
        <v>136</v>
      </c>
      <c r="B58" s="10" t="str">
        <f>C16&amp;" I "&amp;(VLOOKUP(C14,Table24581112[],6,FALSE))</f>
        <v>0 I Grass</v>
      </c>
      <c r="C58" s="10" t="str">
        <f>D16&amp;" I "&amp;(VLOOKUP(D14,Table24581112[],6,FALSE))</f>
        <v>0 I Grass</v>
      </c>
      <c r="D58" s="10" t="str">
        <f>E16&amp;" I "&amp;(VLOOKUP(E14,Table24581112[],6,FALSE))</f>
        <v>0 I Grass</v>
      </c>
      <c r="E58" s="10" t="str">
        <f>F16&amp;" I "&amp;(VLOOKUP(F14,Table24581112[],6,FALSE))</f>
        <v>0 I Grass</v>
      </c>
      <c r="F58" s="10" t="str">
        <f>G16&amp;" I "&amp;(VLOOKUP(G14,Table24581112[],6,FALSE))</f>
        <v>0 I Grass</v>
      </c>
      <c r="G58" s="10" t="str">
        <f>H16&amp;" I "&amp;(VLOOKUP(H14,Table24581112[],6,FALSE))</f>
        <v>0 I Grass</v>
      </c>
      <c r="H58" s="10" t="str">
        <f>I16&amp;" I "&amp;(VLOOKUP(I14,Table24581112[],6,FALSE))</f>
        <v>0 I Grass</v>
      </c>
      <c r="I58" s="10" t="str">
        <f>J16&amp;" I "&amp;(VLOOKUP(J14,Table24581112[],6,FALSE))</f>
        <v>0 I Grass</v>
      </c>
      <c r="J58" s="10" t="str">
        <f>K16&amp;" I "&amp;(VLOOKUP(K14,Table24581112[],6,FALSE))</f>
        <v>0 I Grass</v>
      </c>
      <c r="K58" s="10" t="str">
        <f>L16&amp;" I "&amp;(VLOOKUP(L14,Table24581112[],6,FALSE))</f>
        <v>0 I Grass</v>
      </c>
      <c r="L58" s="10" t="str">
        <f>M16&amp;" I "&amp;(VLOOKUP(M14,Table24581112[],6,FALSE))</f>
        <v>0 I Grass</v>
      </c>
      <c r="M58" s="10" t="str">
        <f>N16&amp;" I "&amp;(VLOOKUP(N14,Table24581112[],6,FALSE))</f>
        <v>0 I Grass</v>
      </c>
      <c r="N58" s="10" t="str">
        <f>O16&amp;" I "&amp;(VLOOKUP(O14,Table24581112[],6,FALSE))</f>
        <v>0 I Grass</v>
      </c>
      <c r="O58" s="10" t="str">
        <f>P16&amp;" I "&amp;(VLOOKUP(P14,Table24581112[],6,FALSE))</f>
        <v>0 I Grass</v>
      </c>
      <c r="P58" s="10" t="str">
        <f>Q16&amp;" I "&amp;(VLOOKUP(Q14,Table24581112[],6,FALSE))</f>
        <v>0 I Grass</v>
      </c>
      <c r="Q58" s="10" t="str">
        <f>R16&amp;" I "&amp;(VLOOKUP(R14,Table24581112[],6,FALSE))</f>
        <v>0 I Grass</v>
      </c>
      <c r="R58" s="10" t="str">
        <f>S16&amp;" I "&amp;(VLOOKUP(S14,Table24581112[],6,FALSE))</f>
        <v>0 I Grass</v>
      </c>
      <c r="S58" s="10" t="str">
        <f>T16&amp;" I "&amp;(VLOOKUP(T14,Table24581112[],6,FALSE))</f>
        <v>0 I Grass</v>
      </c>
      <c r="T58" s="10" t="e">
        <f>U16&amp;" I "&amp;(VLOOKUP(U14,Table24581112[],6,FALSE))</f>
        <v>#N/A</v>
      </c>
      <c r="U58" s="10" t="e">
        <f>V16&amp;" I "&amp;(VLOOKUP(V14,Table24581112[],6,FALSE))</f>
        <v>#N/A</v>
      </c>
    </row>
    <row r="59" spans="1:21" ht="13" x14ac:dyDescent="0.3">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f>VLOOKUP(M$14,Table24581112[],5,FALSE)</f>
        <v>6.2</v>
      </c>
      <c r="M59" s="67">
        <f>VLOOKUP(N$14,Table24581112[],5,FALSE)</f>
        <v>6.2</v>
      </c>
      <c r="N59" s="67">
        <f>VLOOKUP(O$14,Table24581112[],5,FALSE)</f>
        <v>6.2</v>
      </c>
      <c r="O59" s="67">
        <f>VLOOKUP(P$14,Table24581112[],5,FALSE)</f>
        <v>6.2</v>
      </c>
      <c r="P59" s="67">
        <f>VLOOKUP(Q$14,Table24581112[],5,FALSE)</f>
        <v>6.2</v>
      </c>
      <c r="Q59" s="67">
        <f>VLOOKUP(R$14,Table24581112[],5,FALSE)</f>
        <v>6.2</v>
      </c>
      <c r="R59" s="67">
        <f>VLOOKUP(S$14,Table24581112[],5,FALSE)</f>
        <v>6.2</v>
      </c>
      <c r="S59" s="67">
        <f>VLOOKUP(T$14,Table24581112[],5,FALSE)</f>
        <v>6.2</v>
      </c>
      <c r="T59" s="67" t="e">
        <f>VLOOKUP(U$14,Table24581112[],5,FALSE)</f>
        <v>#N/A</v>
      </c>
      <c r="U59" s="67" t="e">
        <f>VLOOKUP(V$14,Table24581112[],5,FALSE)</f>
        <v>#N/A</v>
      </c>
    </row>
    <row r="60" spans="1:21" ht="13" x14ac:dyDescent="0.3">
      <c r="A60" s="100" t="s">
        <v>4</v>
      </c>
      <c r="B60" s="67">
        <f>C10</f>
        <v>6.1</v>
      </c>
      <c r="C60" s="67">
        <f t="shared" ref="C60:U60" si="14">D10</f>
        <v>6.1</v>
      </c>
      <c r="D60" s="67">
        <f t="shared" si="14"/>
        <v>6.4</v>
      </c>
      <c r="E60" s="67">
        <f t="shared" si="14"/>
        <v>6.6</v>
      </c>
      <c r="F60" s="67">
        <f t="shared" si="14"/>
        <v>6</v>
      </c>
      <c r="G60" s="67">
        <f t="shared" si="14"/>
        <v>6</v>
      </c>
      <c r="H60" s="67">
        <f t="shared" si="14"/>
        <v>6.2</v>
      </c>
      <c r="I60" s="67">
        <f t="shared" si="14"/>
        <v>6.7</v>
      </c>
      <c r="J60" s="67">
        <f t="shared" si="14"/>
        <v>7</v>
      </c>
      <c r="K60" s="67">
        <f t="shared" si="14"/>
        <v>6.1</v>
      </c>
      <c r="L60" s="67">
        <f t="shared" si="14"/>
        <v>6.1</v>
      </c>
      <c r="M60" s="67">
        <f t="shared" si="14"/>
        <v>6.7</v>
      </c>
      <c r="N60" s="67">
        <f t="shared" si="14"/>
        <v>6.7</v>
      </c>
      <c r="O60" s="67">
        <f t="shared" si="14"/>
        <v>6.7</v>
      </c>
      <c r="P60" s="67">
        <f t="shared" si="14"/>
        <v>6.5</v>
      </c>
      <c r="Q60" s="67">
        <f t="shared" si="14"/>
        <v>6.1</v>
      </c>
      <c r="R60" s="67">
        <f t="shared" si="14"/>
        <v>6.2</v>
      </c>
      <c r="S60" s="67">
        <f t="shared" si="14"/>
        <v>6</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30</v>
      </c>
      <c r="C62" s="68">
        <f>B32</f>
        <v>30</v>
      </c>
      <c r="D62" s="68">
        <f>B33</f>
        <v>30</v>
      </c>
      <c r="E62" s="68">
        <f>B34</f>
        <v>30</v>
      </c>
      <c r="F62" s="68">
        <f>B35</f>
        <v>30</v>
      </c>
      <c r="G62" s="68">
        <f>B36</f>
        <v>30</v>
      </c>
      <c r="H62" s="68">
        <f>B37</f>
        <v>30</v>
      </c>
      <c r="I62" s="68">
        <f>B38</f>
        <v>30</v>
      </c>
      <c r="J62" s="68">
        <f>B39</f>
        <v>30</v>
      </c>
      <c r="K62" s="68">
        <f>B40</f>
        <v>30</v>
      </c>
      <c r="L62" s="68">
        <f>B41</f>
        <v>30</v>
      </c>
      <c r="M62" s="68">
        <f>B42</f>
        <v>30</v>
      </c>
      <c r="N62" s="68">
        <f>B43</f>
        <v>30</v>
      </c>
      <c r="O62" s="68">
        <f>B44</f>
        <v>30</v>
      </c>
      <c r="P62" s="68">
        <f>B45</f>
        <v>30</v>
      </c>
      <c r="Q62" s="68">
        <f>B46</f>
        <v>30</v>
      </c>
      <c r="R62" s="68">
        <f>B47</f>
        <v>30</v>
      </c>
      <c r="S62" s="68">
        <f>B48</f>
        <v>30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Elan!B29</f>
        <v>Application Rate</v>
      </c>
      <c r="C1" s="31" t="str">
        <f>Elan!C29</f>
        <v>Nitrogen Addition</v>
      </c>
      <c r="D1" s="31" t="str">
        <f>Elan!D29</f>
        <v>Phosphate Addition</v>
      </c>
      <c r="E1" s="31" t="str">
        <f>Elan!E29</f>
        <v>Potash  Addition</v>
      </c>
      <c r="F1" s="31" t="str">
        <f>Elan!F29</f>
        <v>Mg Oxide Addition</v>
      </c>
      <c r="G1" s="31" t="str">
        <f>Elan!G29</f>
        <v>Copper Addition</v>
      </c>
      <c r="H1" s="31" t="str">
        <f>Elan!H29</f>
        <v>Zinc Addition</v>
      </c>
      <c r="I1" s="31" t="str">
        <f>Elan!I29</f>
        <v>Lead Addition</v>
      </c>
      <c r="J1" s="31" t="str">
        <f>Elan!J29</f>
        <v>Cadmium Addition</v>
      </c>
      <c r="K1" s="31" t="str">
        <f>Elan!K29</f>
        <v>Mercury Addition</v>
      </c>
      <c r="L1" s="31" t="str">
        <f>Elan!L29</f>
        <v>Nickel Addition</v>
      </c>
      <c r="M1" s="31" t="str">
        <f>Elan!M29</f>
        <v>Chromium Addition</v>
      </c>
      <c r="N1" s="31" t="str">
        <f>Elan!N29</f>
        <v>Aluminium Addition</v>
      </c>
      <c r="O1" s="31" t="str">
        <f>Elan!O29</f>
        <v>Iron Addition</v>
      </c>
      <c r="P1" s="31" t="str">
        <f>Elan!P29</f>
        <v xml:space="preserve">Sodium Addition                 </v>
      </c>
      <c r="Q1" s="31" t="str">
        <f>Elan!Q29</f>
        <v>SO3  Addition                             kg/ha</v>
      </c>
      <c r="R1" s="31" t="str">
        <f>Elan!R29</f>
        <v xml:space="preserve">Selenium Addition </v>
      </c>
      <c r="S1" s="31" t="str">
        <f>Elan!S29</f>
        <v xml:space="preserve">Arsenic  Addition  </v>
      </c>
      <c r="T1" s="31" t="str">
        <f>Elan!T29</f>
        <v xml:space="preserve">Molybdenum Addition  </v>
      </c>
      <c r="U1" s="31" t="str">
        <f>Elan!U29</f>
        <v xml:space="preserve">Fluoride Addition </v>
      </c>
    </row>
    <row r="2" spans="1:21" ht="25" x14ac:dyDescent="0.25">
      <c r="A2" s="131"/>
      <c r="B2" s="31" t="str">
        <f>Elan!B30</f>
        <v>tonnes/ha</v>
      </c>
      <c r="C2" s="31" t="str">
        <f>Elan!C30</f>
        <v>kg/ha</v>
      </c>
      <c r="D2" s="31" t="str">
        <f>Elan!D30</f>
        <v>P2O5 
kg/ha</v>
      </c>
      <c r="E2" s="31" t="str">
        <f>Elan!E30</f>
        <v>K2O 
kg/ha</v>
      </c>
      <c r="F2" s="31" t="str">
        <f>Elan!F30</f>
        <v>MgO 
kg/ha</v>
      </c>
      <c r="G2" s="31" t="str">
        <f>Elan!G30</f>
        <v>kg/ha</v>
      </c>
      <c r="H2" s="31" t="str">
        <f>Elan!H30</f>
        <v>kg/ha</v>
      </c>
      <c r="I2" s="31" t="str">
        <f>Elan!I30</f>
        <v>kg/ha</v>
      </c>
      <c r="J2" s="31" t="str">
        <f>Elan!J30</f>
        <v>kg/ha</v>
      </c>
      <c r="K2" s="31" t="str">
        <f>Elan!K30</f>
        <v>kg/ha</v>
      </c>
      <c r="L2" s="31" t="str">
        <f>Elan!L30</f>
        <v>kg/ha</v>
      </c>
      <c r="M2" s="31" t="str">
        <f>Elan!M30</f>
        <v>kg/ha</v>
      </c>
      <c r="N2" s="31" t="str">
        <f>Elan!N30</f>
        <v>kg/ha</v>
      </c>
      <c r="O2" s="31" t="str">
        <f>Elan!O30</f>
        <v>kg/ha</v>
      </c>
      <c r="P2" s="31" t="str">
        <f>Elan!P30</f>
        <v>kg/ha</v>
      </c>
      <c r="Q2" s="31" t="str">
        <f>Elan!Q30</f>
        <v>kg/ha</v>
      </c>
      <c r="R2" s="31" t="str">
        <f>Elan!R30</f>
        <v>kg/ha</v>
      </c>
      <c r="S2" s="31" t="str">
        <f>Elan!S30</f>
        <v>kg/ha</v>
      </c>
      <c r="T2" s="31" t="str">
        <f>Elan!T30</f>
        <v>kg/ha</v>
      </c>
      <c r="U2" s="31" t="str">
        <f>Elan!U30</f>
        <v>kg/ha</v>
      </c>
    </row>
    <row r="3" spans="1:21" x14ac:dyDescent="0.25">
      <c r="A3" s="29">
        <v>1</v>
      </c>
      <c r="B3" s="26">
        <f>Elan!B31</f>
        <v>250</v>
      </c>
      <c r="C3" s="26">
        <f>Elan!C31</f>
        <v>45.54</v>
      </c>
      <c r="D3" s="26">
        <f>Elan!D31</f>
        <v>6.4048341500000001</v>
      </c>
      <c r="E3" s="26">
        <f>Elan!E31</f>
        <v>0.75835168750000015</v>
      </c>
      <c r="F3" s="26">
        <f>Elan!F31</f>
        <v>7.246413350000001</v>
      </c>
      <c r="G3" s="26">
        <f>Elan!G31</f>
        <v>7.0207500000000006E-2</v>
      </c>
      <c r="H3" s="26">
        <f>Elan!H31</f>
        <v>0.58253250000000001</v>
      </c>
      <c r="I3" s="26">
        <f>Elan!I31</f>
        <v>3.9215E-2</v>
      </c>
      <c r="J3" s="26">
        <f>Elan!J31</f>
        <v>6.9574999999999997E-4</v>
      </c>
      <c r="K3" s="26">
        <f>Elan!K31</f>
        <v>9.9935000000000006E-3</v>
      </c>
      <c r="L3" s="26">
        <f>Elan!L31</f>
        <v>0.13851749999999999</v>
      </c>
      <c r="M3" s="26">
        <f>Elan!M31</f>
        <v>0.11132</v>
      </c>
      <c r="N3" s="26">
        <f>Elan!N31</f>
        <v>11.638</v>
      </c>
      <c r="O3" s="26">
        <f>Elan!O31</f>
        <v>2295.9749999999999</v>
      </c>
      <c r="P3" s="26">
        <f>Elan!P31</f>
        <v>0</v>
      </c>
      <c r="Q3" s="26">
        <f>Elan!Q31</f>
        <v>29.727499999999999</v>
      </c>
      <c r="R3" s="26">
        <f>Elan!R31</f>
        <v>0</v>
      </c>
      <c r="S3" s="26">
        <f>Elan!S31</f>
        <v>0.25363249999999998</v>
      </c>
      <c r="T3" s="26">
        <f>Elan!T31</f>
        <v>0</v>
      </c>
      <c r="U3" s="26">
        <f>Elan!U31</f>
        <v>0</v>
      </c>
    </row>
    <row r="4" spans="1:21" x14ac:dyDescent="0.25">
      <c r="A4" s="29">
        <v>2</v>
      </c>
      <c r="B4" s="26">
        <f>Talybont!B31</f>
        <v>125</v>
      </c>
      <c r="C4" s="26">
        <f>Talybont!C31</f>
        <v>47.840000000000011</v>
      </c>
      <c r="D4" s="26">
        <f>Talybont!D31</f>
        <v>30.996657250000002</v>
      </c>
      <c r="E4" s="26">
        <f>Talybont!E31</f>
        <v>1.3330915000000001</v>
      </c>
      <c r="F4" s="26">
        <f>Talybont!F31</f>
        <v>3.4516036750000003</v>
      </c>
      <c r="G4" s="26">
        <f>Talybont!G31</f>
        <v>0.17192500000000002</v>
      </c>
      <c r="H4" s="26">
        <f>Talybont!H31</f>
        <v>0.60173750000000004</v>
      </c>
      <c r="I4" s="26">
        <f>Talybont!I31</f>
        <v>2.3172500000000006E-2</v>
      </c>
      <c r="J4" s="26">
        <f>Talybont!J31</f>
        <v>1.7940000000000002E-3</v>
      </c>
      <c r="K4" s="26">
        <f>Talybont!K31</f>
        <v>5.0082500000000005E-3</v>
      </c>
      <c r="L4" s="26">
        <f>Talybont!L31</f>
        <v>1.4426750000000002E-2</v>
      </c>
      <c r="M4" s="26">
        <f>Talybont!M31</f>
        <v>1.6071250000000002E-2</v>
      </c>
      <c r="N4" s="26">
        <f>Talybont!N31</f>
        <v>743.76250000000016</v>
      </c>
      <c r="O4" s="26">
        <f>Talybont!O31</f>
        <v>20.182500000000001</v>
      </c>
      <c r="P4" s="26">
        <f>Talybont!P31</f>
        <v>0</v>
      </c>
      <c r="Q4" s="26">
        <f>Talybont!Q31</f>
        <v>142.95937500000002</v>
      </c>
      <c r="R4" s="26">
        <f>Talybont!R31</f>
        <v>0</v>
      </c>
      <c r="S4" s="26">
        <f>Talybont!S31</f>
        <v>6.6901250000000009E-2</v>
      </c>
      <c r="T4" s="26">
        <f>Talybont!T31</f>
        <v>0</v>
      </c>
      <c r="U4" s="26">
        <f>Talybont!U31</f>
        <v>0</v>
      </c>
    </row>
    <row r="5" spans="1:21" x14ac:dyDescent="0.25">
      <c r="A5" s="29">
        <v>3</v>
      </c>
      <c r="B5" s="26">
        <f>'Llyswen '!B31</f>
        <v>250</v>
      </c>
      <c r="C5" s="26">
        <f>'Llyswen '!C31</f>
        <v>125.57</v>
      </c>
      <c r="D5" s="26">
        <f>'Llyswen '!D31</f>
        <v>30.2560915</v>
      </c>
      <c r="E5" s="26">
        <f>'Llyswen '!E31</f>
        <v>14.348537499999999</v>
      </c>
      <c r="F5" s="26">
        <f>'Llyswen '!F31</f>
        <v>54.023028499999995</v>
      </c>
      <c r="G5" s="26">
        <f>'Llyswen '!G31</f>
        <v>0.50227999999999995</v>
      </c>
      <c r="H5" s="26">
        <f>'Llyswen '!H31</f>
        <v>3.35575</v>
      </c>
      <c r="I5" s="26">
        <f>'Llyswen '!I31</f>
        <v>0.43083499999999991</v>
      </c>
      <c r="J5" s="26">
        <f>'Llyswen '!J31</f>
        <v>4.7629999999999999E-3</v>
      </c>
      <c r="K5" s="26">
        <f>'Llyswen '!K31</f>
        <v>1.0067250000000002E-2</v>
      </c>
      <c r="L5" s="26">
        <f>'Llyswen '!L31</f>
        <v>0.25979999999999998</v>
      </c>
      <c r="M5" s="26">
        <f>'Llyswen '!M31</f>
        <v>0.205675</v>
      </c>
      <c r="N5" s="26">
        <f>'Llyswen '!N31</f>
        <v>1277.3499999999999</v>
      </c>
      <c r="O5" s="26">
        <f>'Llyswen '!O31</f>
        <v>323.66750000000002</v>
      </c>
      <c r="P5" s="26">
        <f>'Llyswen '!P31</f>
        <v>0</v>
      </c>
      <c r="Q5" s="26">
        <f>'Llyswen '!Q31</f>
        <v>151.82062499999998</v>
      </c>
      <c r="R5" s="26">
        <f>'Llyswen '!R31</f>
        <v>0</v>
      </c>
      <c r="S5" s="26">
        <f>'Llyswen '!S31</f>
        <v>0.257635</v>
      </c>
      <c r="T5" s="26">
        <f>'Llyswen '!T31</f>
        <v>0</v>
      </c>
      <c r="U5" s="26">
        <f>'Llyswen '!U31</f>
        <v>0</v>
      </c>
    </row>
    <row r="6" spans="1:21" x14ac:dyDescent="0.25">
      <c r="A6" s="29">
        <v>4</v>
      </c>
      <c r="B6" s="26">
        <f>'Andigestion '!B31</f>
        <v>30</v>
      </c>
      <c r="C6" s="26">
        <f>'Andigestion '!C31</f>
        <v>138.00000000000003</v>
      </c>
      <c r="D6" s="26">
        <f>'Andigestion '!D31</f>
        <v>25.979939999999999</v>
      </c>
      <c r="E6" s="26">
        <f>'Andigestion '!E31</f>
        <v>55.526400000000002</v>
      </c>
      <c r="F6" s="26">
        <f>'Andigestion '!F31</f>
        <v>4.9441560000000004</v>
      </c>
      <c r="G6" s="26">
        <f>'Andigestion '!G31</f>
        <v>2.1000000000000001E-2</v>
      </c>
      <c r="H6" s="26">
        <f>'Andigestion '!H31</f>
        <v>0.114</v>
      </c>
      <c r="I6" s="26">
        <f>'Andigestion '!I31</f>
        <v>1.4999999999999999E-2</v>
      </c>
      <c r="J6" s="26">
        <f>'Andigestion '!J31</f>
        <v>3.0000000000000003E-4</v>
      </c>
      <c r="K6" s="26">
        <f>'Andigestion '!K31</f>
        <v>1.5E-3</v>
      </c>
      <c r="L6" s="26">
        <f>'Andigestion '!L31</f>
        <v>6.6E-3</v>
      </c>
      <c r="M6" s="26">
        <f>'Andigestion '!M31</f>
        <v>8.6999999999999994E-3</v>
      </c>
      <c r="N6" s="26">
        <f>'Andigestion '!N31</f>
        <v>0</v>
      </c>
      <c r="O6" s="26">
        <f>'Andigestion '!O31</f>
        <v>0</v>
      </c>
      <c r="P6" s="26">
        <f>'Andigestion '!P31</f>
        <v>0</v>
      </c>
      <c r="Q6" s="26">
        <f>'Andigestion '!Q31</f>
        <v>24</v>
      </c>
      <c r="R6" s="26">
        <f>'Andigestion '!R31</f>
        <v>0</v>
      </c>
      <c r="S6" s="26">
        <f>'Andigestion '!S31</f>
        <v>0</v>
      </c>
      <c r="T6" s="26">
        <f>'Andigestion '!T31</f>
        <v>0</v>
      </c>
      <c r="U6" s="26">
        <f>'Andigestion '!U31</f>
        <v>0</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Elan!B29</f>
        <v>Application Rate</v>
      </c>
      <c r="D1" s="28" t="str">
        <f>Elan!C29</f>
        <v>Nitrogen Addition</v>
      </c>
      <c r="E1" s="28" t="str">
        <f>Elan!D29</f>
        <v>Phosphate Addition</v>
      </c>
      <c r="F1" s="28" t="str">
        <f>Elan!E29</f>
        <v>Potash  Addition</v>
      </c>
      <c r="G1" s="28" t="str">
        <f>Elan!F29</f>
        <v>Mg Oxide Addition</v>
      </c>
      <c r="H1" s="28" t="str">
        <f>Elan!G29</f>
        <v>Copper Addition</v>
      </c>
      <c r="I1" s="28" t="str">
        <f>Elan!H29</f>
        <v>Zinc Addition</v>
      </c>
      <c r="J1" s="28" t="str">
        <f>Elan!I29</f>
        <v>Lead Addition</v>
      </c>
      <c r="K1" s="28" t="str">
        <f>Elan!J29</f>
        <v>Cadmium Addition</v>
      </c>
      <c r="L1" s="28" t="str">
        <f>Elan!K29</f>
        <v>Mercury Addition</v>
      </c>
      <c r="M1" s="28" t="str">
        <f>Elan!L29</f>
        <v>Nickel Addition</v>
      </c>
      <c r="N1" s="28" t="str">
        <f>Elan!M29</f>
        <v>Chromium Addition</v>
      </c>
      <c r="O1" s="28" t="str">
        <f>Elan!N29</f>
        <v>Aluminium Addition</v>
      </c>
      <c r="P1" s="28" t="str">
        <f>Elan!O29</f>
        <v>Iron Addition</v>
      </c>
      <c r="Q1" s="28" t="str">
        <f>Elan!P29</f>
        <v xml:space="preserve">Sodium Addition                 </v>
      </c>
      <c r="R1" s="28" t="str">
        <f>Elan!Q29</f>
        <v>SO3  Addition                             kg/ha</v>
      </c>
      <c r="S1" s="28" t="str">
        <f>Elan!R29</f>
        <v xml:space="preserve">Selenium Addition </v>
      </c>
      <c r="T1" s="28" t="str">
        <f>Elan!S29</f>
        <v xml:space="preserve">Arsenic  Addition  </v>
      </c>
      <c r="U1" s="28" t="str">
        <f>Elan!T29</f>
        <v xml:space="preserve">Molybdenum Addition  </v>
      </c>
      <c r="V1" s="28" t="str">
        <f>Elan!U29</f>
        <v xml:space="preserve">Fluoride Addition </v>
      </c>
    </row>
    <row r="2" spans="1:22" s="73" customFormat="1" ht="25" x14ac:dyDescent="0.35">
      <c r="A2" s="132"/>
      <c r="B2" s="25" t="s">
        <v>46</v>
      </c>
      <c r="C2" s="28" t="str">
        <f>Elan!B30</f>
        <v>tonnes/ha</v>
      </c>
      <c r="D2" s="28" t="str">
        <f>Elan!C30</f>
        <v>kg/ha</v>
      </c>
      <c r="E2" s="28" t="str">
        <f>Elan!D30</f>
        <v>P2O5 
kg/ha</v>
      </c>
      <c r="F2" s="28" t="str">
        <f>Elan!E30</f>
        <v>K2O 
kg/ha</v>
      </c>
      <c r="G2" s="28" t="str">
        <f>Elan!F30</f>
        <v>MgO 
kg/ha</v>
      </c>
      <c r="H2" s="28" t="str">
        <f>Elan!G30</f>
        <v>kg/ha</v>
      </c>
      <c r="I2" s="28" t="str">
        <f>Elan!H30</f>
        <v>kg/ha</v>
      </c>
      <c r="J2" s="28" t="str">
        <f>Elan!I30</f>
        <v>kg/ha</v>
      </c>
      <c r="K2" s="28" t="str">
        <f>Elan!J30</f>
        <v>kg/ha</v>
      </c>
      <c r="L2" s="28" t="str">
        <f>Elan!K30</f>
        <v>kg/ha</v>
      </c>
      <c r="M2" s="28" t="str">
        <f>Elan!L30</f>
        <v>kg/ha</v>
      </c>
      <c r="N2" s="28" t="str">
        <f>Elan!M30</f>
        <v>kg/ha</v>
      </c>
      <c r="O2" s="28" t="str">
        <f>Elan!N30</f>
        <v>kg/ha</v>
      </c>
      <c r="P2" s="28" t="str">
        <f>Elan!O30</f>
        <v>kg/ha</v>
      </c>
      <c r="Q2" s="28" t="str">
        <f>Elan!P30</f>
        <v>kg/ha</v>
      </c>
      <c r="R2" s="28" t="str">
        <f>Elan!Q30</f>
        <v>kg/ha</v>
      </c>
      <c r="S2" s="28" t="str">
        <f>Elan!R30</f>
        <v>kg/ha</v>
      </c>
      <c r="T2" s="28" t="str">
        <f>Elan!S30</f>
        <v>kg/ha</v>
      </c>
      <c r="U2" s="28" t="str">
        <f>Elan!T30</f>
        <v>kg/ha</v>
      </c>
      <c r="V2" s="28" t="str">
        <f>Elan!U30</f>
        <v>kg/ha</v>
      </c>
    </row>
    <row r="3" spans="1:22" x14ac:dyDescent="0.25">
      <c r="A3" s="29">
        <v>1</v>
      </c>
      <c r="B3" s="81"/>
      <c r="C3" s="26">
        <f>Elan!B31</f>
        <v>250</v>
      </c>
      <c r="D3" s="26">
        <f>Elan!C31</f>
        <v>45.54</v>
      </c>
      <c r="E3" s="26">
        <f>Elan!D31</f>
        <v>6.4048341500000001</v>
      </c>
      <c r="F3" s="26">
        <f>Elan!E31</f>
        <v>0.75835168750000015</v>
      </c>
      <c r="G3" s="26">
        <f>Elan!F31</f>
        <v>7.246413350000001</v>
      </c>
      <c r="H3" s="26">
        <f>Elan!G31</f>
        <v>7.0207500000000006E-2</v>
      </c>
      <c r="I3" s="26">
        <f>Elan!H31</f>
        <v>0.58253250000000001</v>
      </c>
      <c r="J3" s="26">
        <f>Elan!I31</f>
        <v>3.9215E-2</v>
      </c>
      <c r="K3" s="26">
        <f>Elan!J31</f>
        <v>6.9574999999999997E-4</v>
      </c>
      <c r="L3" s="26">
        <f>Elan!K31</f>
        <v>9.9935000000000006E-3</v>
      </c>
      <c r="M3" s="26">
        <f>Elan!L31</f>
        <v>0.13851749999999999</v>
      </c>
      <c r="N3" s="26">
        <f>Elan!M31</f>
        <v>0.11132</v>
      </c>
      <c r="O3" s="26">
        <f>Elan!N31</f>
        <v>11.638</v>
      </c>
      <c r="P3" s="26">
        <f>Elan!O31</f>
        <v>2295.9749999999999</v>
      </c>
      <c r="Q3" s="26">
        <f>Elan!P31</f>
        <v>0</v>
      </c>
      <c r="R3" s="26">
        <f>Elan!Q31</f>
        <v>29.727499999999999</v>
      </c>
      <c r="S3" s="26">
        <f>Elan!R31</f>
        <v>0</v>
      </c>
      <c r="T3" s="26">
        <f>Elan!S31</f>
        <v>0.25363249999999998</v>
      </c>
      <c r="U3" s="26">
        <f>Elan!T31</f>
        <v>0</v>
      </c>
      <c r="V3" s="26">
        <f>Elan!U31</f>
        <v>0</v>
      </c>
    </row>
    <row r="4" spans="1:22" x14ac:dyDescent="0.25">
      <c r="A4" s="29">
        <v>2</v>
      </c>
      <c r="B4" s="81"/>
      <c r="C4" s="26">
        <f>Talybont!B31</f>
        <v>125</v>
      </c>
      <c r="D4" s="26">
        <f>Talybont!C31</f>
        <v>47.840000000000011</v>
      </c>
      <c r="E4" s="26">
        <f>Talybont!D31</f>
        <v>30.996657250000002</v>
      </c>
      <c r="F4" s="26">
        <f>Talybont!E31</f>
        <v>1.3330915000000001</v>
      </c>
      <c r="G4" s="26">
        <f>Talybont!F31</f>
        <v>3.4516036750000003</v>
      </c>
      <c r="H4" s="26">
        <f>Talybont!G31</f>
        <v>0.17192500000000002</v>
      </c>
      <c r="I4" s="26">
        <f>Talybont!H31</f>
        <v>0.60173750000000004</v>
      </c>
      <c r="J4" s="26">
        <f>Talybont!I31</f>
        <v>2.3172500000000006E-2</v>
      </c>
      <c r="K4" s="26">
        <f>Talybont!J31</f>
        <v>1.7940000000000002E-3</v>
      </c>
      <c r="L4" s="26">
        <f>Talybont!K31</f>
        <v>5.0082500000000005E-3</v>
      </c>
      <c r="M4" s="26">
        <f>Talybont!L31</f>
        <v>1.4426750000000002E-2</v>
      </c>
      <c r="N4" s="26">
        <f>Talybont!M31</f>
        <v>1.6071250000000002E-2</v>
      </c>
      <c r="O4" s="26">
        <f>Talybont!N31</f>
        <v>743.76250000000016</v>
      </c>
      <c r="P4" s="26">
        <f>Talybont!O31</f>
        <v>20.182500000000001</v>
      </c>
      <c r="Q4" s="26">
        <f>Talybont!P31</f>
        <v>0</v>
      </c>
      <c r="R4" s="26">
        <f>Talybont!Q31</f>
        <v>142.95937500000002</v>
      </c>
      <c r="S4" s="26">
        <f>Talybont!R31</f>
        <v>0</v>
      </c>
      <c r="T4" s="26">
        <f>Talybont!S31</f>
        <v>6.6901250000000009E-2</v>
      </c>
      <c r="U4" s="26">
        <f>Talybont!T31</f>
        <v>0</v>
      </c>
      <c r="V4" s="26">
        <f>Talybont!U31</f>
        <v>0</v>
      </c>
    </row>
    <row r="5" spans="1:22" x14ac:dyDescent="0.25">
      <c r="A5" s="29">
        <v>3</v>
      </c>
      <c r="B5" s="81"/>
      <c r="C5" s="26">
        <f>'Llyswen '!B31</f>
        <v>250</v>
      </c>
      <c r="D5" s="26">
        <f>'Llyswen '!C31</f>
        <v>125.57</v>
      </c>
      <c r="E5" s="26">
        <f>'Llyswen '!D31</f>
        <v>30.2560915</v>
      </c>
      <c r="F5" s="26">
        <f>'Llyswen '!E31</f>
        <v>14.348537499999999</v>
      </c>
      <c r="G5" s="26">
        <f>'Llyswen '!F31</f>
        <v>54.023028499999995</v>
      </c>
      <c r="H5" s="26">
        <f>'Llyswen '!G31</f>
        <v>0.50227999999999995</v>
      </c>
      <c r="I5" s="26">
        <f>'Llyswen '!H31</f>
        <v>3.35575</v>
      </c>
      <c r="J5" s="26">
        <f>'Llyswen '!I31</f>
        <v>0.43083499999999991</v>
      </c>
      <c r="K5" s="26">
        <f>'Llyswen '!J31</f>
        <v>4.7629999999999999E-3</v>
      </c>
      <c r="L5" s="26">
        <f>'Llyswen '!K31</f>
        <v>1.0067250000000002E-2</v>
      </c>
      <c r="M5" s="26">
        <f>'Llyswen '!L31</f>
        <v>0.25979999999999998</v>
      </c>
      <c r="N5" s="26">
        <f>'Llyswen '!M31</f>
        <v>0.205675</v>
      </c>
      <c r="O5" s="26">
        <f>'Llyswen '!N31</f>
        <v>1277.3499999999999</v>
      </c>
      <c r="P5" s="26">
        <f>'Llyswen '!O31</f>
        <v>323.66750000000002</v>
      </c>
      <c r="Q5" s="26">
        <f>'Llyswen '!P31</f>
        <v>0</v>
      </c>
      <c r="R5" s="26">
        <f>'Llyswen '!Q31</f>
        <v>151.82062499999998</v>
      </c>
      <c r="S5" s="26">
        <f>'Llyswen '!R31</f>
        <v>0</v>
      </c>
      <c r="T5" s="26">
        <f>'Llyswen '!S31</f>
        <v>0.257635</v>
      </c>
      <c r="U5" s="26">
        <f>'Llyswen '!T31</f>
        <v>0</v>
      </c>
      <c r="V5" s="26">
        <f>'Llyswen '!U31</f>
        <v>0</v>
      </c>
    </row>
    <row r="6" spans="1:22" x14ac:dyDescent="0.25">
      <c r="A6" s="29">
        <v>4</v>
      </c>
      <c r="B6" s="81"/>
      <c r="C6" s="26">
        <f>'Andigestion '!B31</f>
        <v>30</v>
      </c>
      <c r="D6" s="26">
        <f>'Andigestion '!C31</f>
        <v>138.00000000000003</v>
      </c>
      <c r="E6" s="26">
        <f>'Andigestion '!D31</f>
        <v>25.979939999999999</v>
      </c>
      <c r="F6" s="26">
        <f>'Andigestion '!E31</f>
        <v>55.526400000000002</v>
      </c>
      <c r="G6" s="26">
        <f>'Andigestion '!F31</f>
        <v>4.9441560000000004</v>
      </c>
      <c r="H6" s="26">
        <f>'Andigestion '!G31</f>
        <v>2.1000000000000001E-2</v>
      </c>
      <c r="I6" s="26">
        <f>'Andigestion '!H31</f>
        <v>0.114</v>
      </c>
      <c r="J6" s="26">
        <f>'Andigestion '!I31</f>
        <v>1.4999999999999999E-2</v>
      </c>
      <c r="K6" s="26">
        <f>'Andigestion '!J31</f>
        <v>3.0000000000000003E-4</v>
      </c>
      <c r="L6" s="26">
        <f>'Andigestion '!K31</f>
        <v>1.5E-3</v>
      </c>
      <c r="M6" s="26">
        <f>'Andigestion '!L31</f>
        <v>6.6E-3</v>
      </c>
      <c r="N6" s="26">
        <f>'Andigestion '!M31</f>
        <v>8.6999999999999994E-3</v>
      </c>
      <c r="O6" s="26">
        <f>'Andigestion '!N31</f>
        <v>0</v>
      </c>
      <c r="P6" s="26">
        <f>'Andigestion '!O31</f>
        <v>0</v>
      </c>
      <c r="Q6" s="26">
        <f>'Andigestion '!P31</f>
        <v>0</v>
      </c>
      <c r="R6" s="26">
        <f>'Andigestion '!Q31</f>
        <v>24</v>
      </c>
      <c r="S6" s="26">
        <f>'Andigestion '!R31</f>
        <v>0</v>
      </c>
      <c r="T6" s="26">
        <f>'Andigestion '!S31</f>
        <v>0</v>
      </c>
      <c r="U6" s="26">
        <f>'Andigestion '!T31</f>
        <v>0</v>
      </c>
      <c r="V6" s="26">
        <f>'Andigestion '!U31</f>
        <v>0</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Elan!B43</f>
        <v>250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Elan!B44</f>
        <v>250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250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125</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30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REGU-415-1632396</_dlc_DocId>
    <_dlc_DocIdUrl xmlns="9be56660-2c31-41ef-bc00-23e72f632f2a">
      <Url>https://cyfoethnaturiolcymru.sharepoint.com/teams/Regulatory/Permitting/_layouts/15/DocIdRedir.aspx?ID=REGU-415-1632396</Url>
      <Description>REGU-415-1632396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2025-02-20T00:00:00+00:00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B88C9F1-CE4A-4B2B-A664-9A65115DCEBA}"/>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D5A6FD55-86A3-4F37-A589-04EC3AB5C221}"/>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9be56660-2c31-41ef-bc00-23e72f632f2a"/>
    <ds:schemaRef ds:uri="http://purl.org/dc/terms/"/>
    <ds:schemaRef ds:uri="http://purl.org/dc/dcmitype/"/>
    <ds:schemaRef ds:uri="http://www.w3.org/XML/1998/namespace"/>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Elan</vt:lpstr>
      <vt:lpstr>Talybont</vt:lpstr>
      <vt:lpstr>Llyswen </vt:lpstr>
      <vt:lpstr>Andigestion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2025-02-19T10:41:46Z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bae4e858-0c48-4678-9909-f3e4550ff6f8</vt:lpwstr>
  </property>
  <property fmtid="{D5CDD505-2E9C-101B-9397-08002B2CF9AE}" pid="4" name="Order">
    <vt:r8>163239600</vt:r8>
  </property>
  <property fmtid="{D5CDD505-2E9C-101B-9397-08002B2CF9AE}" pid="5" name="MediaServiceImageTags">
    <vt:lpwstr/>
  </property>
  <property fmtid="{D5CDD505-2E9C-101B-9397-08002B2CF9AE}" pid="6" name="lcf76f155ced4ddcb4097134ff3c332f">
    <vt:lpwstr/>
  </property>
</Properties>
</file>