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worksheets/sheet9.xml" ContentType="application/vnd.openxmlformats-officedocument.spreadsheetml.worksheet+xml"/>
  <Override PartName="/xl/drawings/drawing6.xml" ContentType="application/vnd.openxmlformats-officedocument.drawing+xml"/>
  <Override PartName="/xl/charts/chart1.xml" ContentType="application/vnd.openxmlformats-officedocument.drawingml.chart+xml"/>
  <Override PartName="/xl/drawings/drawing7.xml" ContentType="application/vnd.openxmlformats-officedocument.drawing+xml"/>
  <Override PartName="/xl/charts/chart2.xml" ContentType="application/vnd.openxmlformats-officedocument.drawingml.chart+xml"/>
  <Override PartName="/xl/drawings/drawing8.xml" ContentType="application/vnd.openxmlformats-officedocument.drawing+xml"/>
  <Override PartName="/xl/charts/chart3.xml" ContentType="application/vnd.openxmlformats-officedocument.drawingml.chart+xml"/>
  <Override PartName="/xl/ctrlProps/ctrlProp1.xml" ContentType="application/vnd.ms-excel.controlproperties+xml"/>
  <Override PartName="/xl/comments1.xml" ContentType="application/vnd.openxmlformats-officedocument.spreadsheetml.comments+xml"/>
  <Override PartName="/xl/comments2.xml" ContentType="application/vnd.openxmlformats-officedocument.spreadsheetml.comments+xml"/>
  <Override PartName="/xl/comments6.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comments3.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429"/>
  <workbookPr codeName="ThisWorkbook"/>
  <mc:AlternateContent xmlns:mc="http://schemas.openxmlformats.org/markup-compatibility/2006">
    <mc:Choice Requires="x15">
      <x15ac:absPath xmlns:x15ac="http://schemas.microsoft.com/office/spreadsheetml/2010/11/ac" url="C:\Users\Katrin.Raynor\Downloads\"/>
    </mc:Choice>
  </mc:AlternateContent>
  <xr:revisionPtr revIDLastSave="0" documentId="8_{EA31F41D-1D5E-41F9-80BE-CE4B5CE14626}" xr6:coauthVersionLast="47" xr6:coauthVersionMax="47" xr10:uidLastSave="{00000000-0000-0000-0000-000000000000}"/>
  <bookViews>
    <workbookView xWindow="384" yWindow="384" windowWidth="20304" windowHeight="12240" tabRatio="899" firstSheet="1" activeTab="2" xr2:uid="{00000000-000D-0000-FFFF-FFFF00000000}"/>
  </bookViews>
  <sheets>
    <sheet name="control" sheetId="21" state="hidden" r:id="rId1"/>
    <sheet name="Introduction" sheetId="11" r:id="rId2"/>
    <sheet name="Infiltration System" sheetId="23" r:id="rId3"/>
    <sheet name="Attenuation_unsatzone" sheetId="9" r:id="rId4"/>
    <sheet name="Dilution" sheetId="7" r:id="rId5"/>
    <sheet name="Attenuation_satzone" sheetId="2" r:id="rId6"/>
    <sheet name="Summary" sheetId="20" r:id="rId7"/>
    <sheet name="Simple calcs" sheetId="18" r:id="rId8"/>
    <sheet name="Ammonium calculator" sheetId="25" r:id="rId9"/>
    <sheet name="Porosity Calculator" sheetId="24" r:id="rId10"/>
    <sheet name="Attenuation calc_sat_zone" sheetId="3" r:id="rId11"/>
  </sheets>
  <definedNames>
    <definedName name="_KOC1">#REF!</definedName>
    <definedName name="A_b">#REF!</definedName>
    <definedName name="A_crack">#REF!</definedName>
    <definedName name="A_source">#REF!</definedName>
    <definedName name="A_val">#REF!</definedName>
    <definedName name="air_cap">#REF!</definedName>
    <definedName name="air_content_cracks">#REF!</definedName>
    <definedName name="Air_mix_height">#REF!</definedName>
    <definedName name="air_porosity">#REF!</definedName>
    <definedName name="air_quality_standard">#REF!</definedName>
    <definedName name="airflow_foundation">#REF!</definedName>
    <definedName name="B_val">#REF!</definedName>
    <definedName name="Bp">#REF!</definedName>
    <definedName name="C_val">#REF!</definedName>
    <definedName name="Conc_gw">#REF!</definedName>
    <definedName name="crit">#REF!</definedName>
    <definedName name="Dair">#REF!</definedName>
    <definedName name="Dair_used">#REF!</definedName>
    <definedName name="DF_ambient">#REF!</definedName>
    <definedName name="Diff_coef_cap">#REF!</definedName>
    <definedName name="diff_coef_crack">#REF!</definedName>
    <definedName name="Diff_coef_gw">#REF!</definedName>
    <definedName name="Diff_coef_unsat">#REF!</definedName>
    <definedName name="Dwat">#REF!</definedName>
    <definedName name="Dwat_used">#REF!</definedName>
    <definedName name="enthrap">#REF!</definedName>
    <definedName name="EX_living">#REF!</definedName>
    <definedName name="g_acc">#REF!</definedName>
    <definedName name="Group_A">#REF!</definedName>
    <definedName name="Group_B">#REF!</definedName>
    <definedName name="H_cellar">#REF!</definedName>
    <definedName name="H_living">#REF!</definedName>
    <definedName name="hc">#REF!</definedName>
    <definedName name="Henrys">#REF!</definedName>
    <definedName name="Henrys_used">#REF!</definedName>
    <definedName name="hv">#REF!</definedName>
    <definedName name="k_i">#REF!</definedName>
    <definedName name="k_rg">#REF!</definedName>
    <definedName name="K_s">#REF!</definedName>
    <definedName name="L_crack">#REF!</definedName>
    <definedName name="Lb">#REF!</definedName>
    <definedName name="Length">#REF!</definedName>
    <definedName name="Lgw">#REF!</definedName>
    <definedName name="M_vg">#REF!</definedName>
    <definedName name="mean_grain_size">#REF!</definedName>
    <definedName name="mole_fraction">#REF!</definedName>
    <definedName name="Molecular_used">#REF!</definedName>
    <definedName name="molecular_wt">#REF!</definedName>
    <definedName name="n_crack">#REF!</definedName>
    <definedName name="PD">#REF!</definedName>
    <definedName name="Peclet">#REF!</definedName>
    <definedName name="_xlnm.Print_Area" localSheetId="10">'Attenuation calc_sat_zone'!$A$1:$AD$49</definedName>
    <definedName name="_xlnm.Print_Area" localSheetId="5">Attenuation_satzone!$A$1:$Z$63</definedName>
    <definedName name="_xlnm.Print_Area" localSheetId="3">Attenuation_unsatzone!$A$1:$N$70</definedName>
    <definedName name="_xlnm.Print_Area" localSheetId="4">Dilution!$B$2:$N$43</definedName>
    <definedName name="_xlnm.Print_Area" localSheetId="2">'Infiltration System'!$A$1:$N$43</definedName>
    <definedName name="_xlnm.Print_Area" localSheetId="1">Introduction!$A$1:$L$52</definedName>
    <definedName name="_xlnm.Print_Area" localSheetId="9">'Porosity Calculator'!$B$1:$E$39</definedName>
    <definedName name="_xlnm.Print_Area" localSheetId="7">'Simple calcs'!$A$1:$L$26</definedName>
    <definedName name="_xlnm.Print_Area" localSheetId="6">Summary!$A$1:$M$60</definedName>
    <definedName name="Q_b">#REF!</definedName>
    <definedName name="r_crack">#REF!</definedName>
    <definedName name="r_theta">#REF!</definedName>
    <definedName name="rho_w">#REF!</definedName>
    <definedName name="S_te">#REF!</definedName>
    <definedName name="soil">#REF!</definedName>
    <definedName name="soil_perm_vapour">#REF!</definedName>
    <definedName name="solubility">#REF!</definedName>
    <definedName name="solubility_used">#REF!</definedName>
    <definedName name="tier1_diss_gas">#REF!</definedName>
    <definedName name="Tier1_napl_gas">#REF!</definedName>
    <definedName name="total_porosity">#REF!</definedName>
    <definedName name="u_w">#REF!</definedName>
    <definedName name="Uair">#REF!</definedName>
    <definedName name="vapour_conc_ambient">#REF!</definedName>
    <definedName name="vapour_conc_enclosed">#REF!</definedName>
    <definedName name="vapour_pressure">#REF!</definedName>
    <definedName name="vapour_pressure_used">#REF!</definedName>
    <definedName name="vapour_viscosity">#REF!</definedName>
    <definedName name="VF_amb">#REF!</definedName>
    <definedName name="VF_enc">#REF!</definedName>
    <definedName name="Vp_ref">#REF!</definedName>
    <definedName name="VP_reftemp">#REF!</definedName>
    <definedName name="W">#REF!</definedName>
    <definedName name="W_crack">#REF!</definedName>
    <definedName name="water_cap">#REF!</definedName>
    <definedName name="water_content_cracks">#REF!</definedName>
    <definedName name="water_porosity">#REF!</definedName>
    <definedName name="Width">#REF!</definedName>
    <definedName name="X_crack">#REF!</definedName>
    <definedName name="Z_crack">#REF!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25" i="3" l="1"/>
  <c r="B102" i="7" l="1"/>
  <c r="D42" i="9"/>
  <c r="D8" i="9"/>
  <c r="D17" i="9"/>
  <c r="D7" i="9"/>
  <c r="O20" i="9"/>
  <c r="F29" i="9" s="1"/>
  <c r="O21" i="9"/>
  <c r="D29" i="9" s="1"/>
  <c r="D31" i="9" s="1"/>
  <c r="O48" i="9"/>
  <c r="D55" i="9" s="1"/>
  <c r="D57" i="9" s="1"/>
  <c r="O47" i="9"/>
  <c r="O22" i="9"/>
  <c r="O43" i="9"/>
  <c r="G45" i="9" s="1"/>
  <c r="O42" i="9"/>
  <c r="O13" i="9"/>
  <c r="O49" i="9"/>
  <c r="O14" i="9"/>
  <c r="O15" i="9"/>
  <c r="O44" i="9"/>
  <c r="O17" i="9"/>
  <c r="D8" i="2"/>
  <c r="C6" i="3" s="1"/>
  <c r="Q23" i="7"/>
  <c r="O24" i="23"/>
  <c r="O19" i="23"/>
  <c r="D22" i="23" s="1"/>
  <c r="O11" i="23"/>
  <c r="D26" i="23" s="1"/>
  <c r="O12" i="23"/>
  <c r="O13" i="23"/>
  <c r="O14" i="23"/>
  <c r="O15" i="23" s="1"/>
  <c r="D7" i="7"/>
  <c r="G23" i="7" s="1"/>
  <c r="O46" i="9"/>
  <c r="C18" i="3"/>
  <c r="F16" i="3" s="1"/>
  <c r="W25" i="2" s="1"/>
  <c r="AA30" i="2"/>
  <c r="AA31" i="2"/>
  <c r="D25" i="2"/>
  <c r="C17" i="3" s="1"/>
  <c r="C15" i="3"/>
  <c r="P1" i="2"/>
  <c r="L13" i="2" s="1"/>
  <c r="C13" i="3" s="1"/>
  <c r="AA35" i="2"/>
  <c r="D29" i="2" s="1"/>
  <c r="C21" i="3" s="1"/>
  <c r="D20" i="2"/>
  <c r="C11" i="3" s="1"/>
  <c r="G25" i="3"/>
  <c r="D8" i="20"/>
  <c r="T22" i="20" s="1"/>
  <c r="D9" i="2"/>
  <c r="D8" i="7"/>
  <c r="AA32" i="2"/>
  <c r="J25" i="25"/>
  <c r="J27" i="25" s="1"/>
  <c r="B20" i="25" s="1"/>
  <c r="N15" i="25"/>
  <c r="O18" i="25"/>
  <c r="N18" i="25"/>
  <c r="N17" i="25"/>
  <c r="P17" i="25"/>
  <c r="M17" i="25"/>
  <c r="O16" i="25"/>
  <c r="P16" i="25"/>
  <c r="M16" i="25"/>
  <c r="O15" i="25"/>
  <c r="J23" i="25"/>
  <c r="C20" i="25" s="1"/>
  <c r="J21" i="25"/>
  <c r="C16" i="25" s="1"/>
  <c r="C12" i="24"/>
  <c r="C13" i="24" s="1"/>
  <c r="C16" i="24" s="1"/>
  <c r="C15" i="24"/>
  <c r="C30" i="24"/>
  <c r="C33" i="24"/>
  <c r="D21" i="23"/>
  <c r="N21" i="2"/>
  <c r="N23" i="2" s="1"/>
  <c r="D34" i="2" s="1"/>
  <c r="C24" i="3" s="1"/>
  <c r="M21" i="2"/>
  <c r="M22" i="2"/>
  <c r="M23" i="2"/>
  <c r="AA36" i="2"/>
  <c r="G18" i="3"/>
  <c r="G19" i="3"/>
  <c r="G20" i="3"/>
  <c r="G21" i="3"/>
  <c r="G22" i="3"/>
  <c r="G23" i="3"/>
  <c r="G24" i="3"/>
  <c r="G17" i="3"/>
  <c r="AA33" i="2"/>
  <c r="Q42" i="2"/>
  <c r="Q41" i="2"/>
  <c r="Q40" i="2"/>
  <c r="Q39" i="2"/>
  <c r="G7" i="3"/>
  <c r="G8" i="3"/>
  <c r="G9" i="3"/>
  <c r="G10" i="3"/>
  <c r="G11" i="3"/>
  <c r="G12" i="3"/>
  <c r="G13" i="3"/>
  <c r="G14" i="3"/>
  <c r="G15" i="3"/>
  <c r="G16" i="3"/>
  <c r="G6" i="3"/>
  <c r="D12" i="20"/>
  <c r="D7" i="20"/>
  <c r="I68" i="9"/>
  <c r="B9" i="7"/>
  <c r="J5" i="23"/>
  <c r="D6" i="23"/>
  <c r="D7" i="23"/>
  <c r="G8" i="23"/>
  <c r="I31" i="23"/>
  <c r="I32" i="23"/>
  <c r="I33" i="23"/>
  <c r="I34" i="23"/>
  <c r="P2" i="2"/>
  <c r="P3" i="2"/>
  <c r="D44" i="2"/>
  <c r="Y15" i="2"/>
  <c r="Y16" i="2"/>
  <c r="Y18" i="2"/>
  <c r="Y19" i="2"/>
  <c r="Y20" i="2"/>
  <c r="Y21" i="2"/>
  <c r="Y22" i="2"/>
  <c r="Y23" i="2"/>
  <c r="Y24" i="2"/>
  <c r="Y25" i="2"/>
  <c r="Y26" i="2"/>
  <c r="Y28" i="2"/>
  <c r="Y30" i="2"/>
  <c r="Y31" i="2"/>
  <c r="Y32" i="2"/>
  <c r="Y33" i="2"/>
  <c r="Y34" i="2"/>
  <c r="Y35" i="2"/>
  <c r="Y36" i="2"/>
  <c r="Y14" i="2"/>
  <c r="D6" i="9"/>
  <c r="I70" i="9"/>
  <c r="I67" i="9"/>
  <c r="I65" i="9"/>
  <c r="J5" i="9"/>
  <c r="J17" i="7"/>
  <c r="Q24" i="7"/>
  <c r="K33" i="7"/>
  <c r="K31" i="7"/>
  <c r="K30" i="7"/>
  <c r="D6" i="7"/>
  <c r="K32" i="7"/>
  <c r="Y13" i="2"/>
  <c r="E44" i="2"/>
  <c r="C44" i="2"/>
  <c r="B44" i="2"/>
  <c r="A30" i="2"/>
  <c r="D7" i="2"/>
  <c r="D52" i="2"/>
  <c r="P9" i="2"/>
  <c r="C49" i="3"/>
  <c r="C14" i="3"/>
  <c r="C48" i="3"/>
  <c r="D16" i="18"/>
  <c r="J24" i="18" s="1"/>
  <c r="J25" i="18" s="1"/>
  <c r="D24" i="18"/>
  <c r="D25" i="18" s="1"/>
  <c r="G24" i="18"/>
  <c r="G25" i="18" s="1"/>
  <c r="D22" i="18"/>
  <c r="J22" i="18"/>
  <c r="G22" i="18"/>
  <c r="J20" i="18"/>
  <c r="G20" i="18"/>
  <c r="G21" i="18" s="1"/>
  <c r="D20" i="18"/>
  <c r="D21" i="18" s="1"/>
  <c r="J21" i="18"/>
  <c r="B16" i="20"/>
  <c r="C16" i="20"/>
  <c r="C18" i="20"/>
  <c r="C29" i="24"/>
  <c r="C31" i="24" s="1"/>
  <c r="F13" i="3" l="1"/>
  <c r="W22" i="2" s="1"/>
  <c r="N22" i="2"/>
  <c r="D33" i="2" s="1"/>
  <c r="C23" i="3" s="1"/>
  <c r="P16" i="3" s="1"/>
  <c r="Q16" i="3" s="1"/>
  <c r="F55" i="9"/>
  <c r="P20" i="23"/>
  <c r="P25" i="23"/>
  <c r="O25" i="23" s="1"/>
  <c r="D14" i="7" s="1"/>
  <c r="B101" i="7" s="1"/>
  <c r="D26" i="7" s="1"/>
  <c r="C17" i="24"/>
  <c r="D32" i="2"/>
  <c r="C22" i="3" s="1"/>
  <c r="D45" i="9"/>
  <c r="D31" i="2"/>
  <c r="D39" i="2" s="1"/>
  <c r="C30" i="3" s="1"/>
  <c r="C34" i="24"/>
  <c r="E33" i="24"/>
  <c r="C35" i="24"/>
  <c r="D20" i="9"/>
  <c r="F26" i="23"/>
  <c r="O20" i="23"/>
  <c r="G20" i="9"/>
  <c r="T19" i="23"/>
  <c r="D27" i="23" s="1"/>
  <c r="F11" i="3"/>
  <c r="W20" i="2" s="1"/>
  <c r="F14" i="3"/>
  <c r="W23" i="2" s="1"/>
  <c r="F12" i="3"/>
  <c r="W21" i="2" s="1"/>
  <c r="F9" i="3"/>
  <c r="W18" i="2" s="1"/>
  <c r="F15" i="3"/>
  <c r="W24" i="2" s="1"/>
  <c r="F7" i="3"/>
  <c r="W16" i="2" s="1"/>
  <c r="F21" i="3"/>
  <c r="W30" i="2" s="1"/>
  <c r="F8" i="3"/>
  <c r="W17" i="2" s="1"/>
  <c r="F18" i="3"/>
  <c r="W27" i="2" s="1"/>
  <c r="F10" i="3"/>
  <c r="W19" i="2" s="1"/>
  <c r="F23" i="3"/>
  <c r="F19" i="3"/>
  <c r="W28" i="2" s="1"/>
  <c r="F24" i="3"/>
  <c r="P24" i="3" s="1"/>
  <c r="Q24" i="3" s="1"/>
  <c r="F22" i="3"/>
  <c r="F25" i="3"/>
  <c r="F20" i="3"/>
  <c r="W29" i="2" s="1"/>
  <c r="F17" i="3"/>
  <c r="W26" i="2" s="1"/>
  <c r="F6" i="3"/>
  <c r="D10" i="20"/>
  <c r="U22" i="20" s="1"/>
  <c r="G22" i="7"/>
  <c r="P13" i="3" l="1"/>
  <c r="Q13" i="3" s="1"/>
  <c r="R8" i="3"/>
  <c r="S8" i="3" s="1"/>
  <c r="P9" i="3"/>
  <c r="Q9" i="3" s="1"/>
  <c r="R16" i="3"/>
  <c r="S16" i="3" s="1"/>
  <c r="R25" i="3"/>
  <c r="S25" i="3" s="1"/>
  <c r="R23" i="3"/>
  <c r="S23" i="3" s="1"/>
  <c r="R13" i="3"/>
  <c r="S13" i="3" s="1"/>
  <c r="P6" i="3"/>
  <c r="Q6" i="3" s="1"/>
  <c r="R22" i="3"/>
  <c r="S22" i="3" s="1"/>
  <c r="P25" i="3"/>
  <c r="Q25" i="3" s="1"/>
  <c r="P10" i="3"/>
  <c r="Q10" i="3" s="1"/>
  <c r="D19" i="2"/>
  <c r="D40" i="2" s="1"/>
  <c r="C10" i="3" s="1"/>
  <c r="R7" i="3"/>
  <c r="S7" i="3" s="1"/>
  <c r="P23" i="3"/>
  <c r="Q23" i="3" s="1"/>
  <c r="D13" i="9"/>
  <c r="D13" i="7"/>
  <c r="D25" i="7" s="1"/>
  <c r="P7" i="3"/>
  <c r="Q7" i="3" s="1"/>
  <c r="R11" i="3"/>
  <c r="S11" i="3" s="1"/>
  <c r="P18" i="3"/>
  <c r="Q18" i="3" s="1"/>
  <c r="R15" i="3"/>
  <c r="S15" i="3" s="1"/>
  <c r="P11" i="3"/>
  <c r="Q11" i="3" s="1"/>
  <c r="R14" i="3"/>
  <c r="S14" i="3" s="1"/>
  <c r="R20" i="3"/>
  <c r="S20" i="3" s="1"/>
  <c r="P15" i="3"/>
  <c r="Q15" i="3" s="1"/>
  <c r="P14" i="3"/>
  <c r="Q14" i="3" s="1"/>
  <c r="R18" i="3"/>
  <c r="S18" i="3" s="1"/>
  <c r="P12" i="3"/>
  <c r="Q12" i="3" s="1"/>
  <c r="W32" i="2"/>
  <c r="W34" i="2"/>
  <c r="R21" i="3"/>
  <c r="S21" i="3" s="1"/>
  <c r="P21" i="3"/>
  <c r="Q21" i="3" s="1"/>
  <c r="R9" i="3"/>
  <c r="S9" i="3" s="1"/>
  <c r="U23" i="20"/>
  <c r="R12" i="3"/>
  <c r="S12" i="3" s="1"/>
  <c r="P8" i="3"/>
  <c r="Q8" i="3" s="1"/>
  <c r="W31" i="2"/>
  <c r="W33" i="2"/>
  <c r="R10" i="3"/>
  <c r="S10" i="3" s="1"/>
  <c r="R6" i="3"/>
  <c r="S6" i="3" s="1"/>
  <c r="P22" i="3"/>
  <c r="Q22" i="3" s="1"/>
  <c r="W15" i="2"/>
  <c r="P19" i="3"/>
  <c r="Q19" i="3" s="1"/>
  <c r="R19" i="3"/>
  <c r="S19" i="3" s="1"/>
  <c r="P20" i="3"/>
  <c r="Q20" i="3" s="1"/>
  <c r="U25" i="20"/>
  <c r="U24" i="20"/>
  <c r="R24" i="3"/>
  <c r="S24" i="3" s="1"/>
  <c r="R17" i="3"/>
  <c r="S17" i="3" s="1"/>
  <c r="P17" i="3"/>
  <c r="Q17" i="3" s="1"/>
  <c r="D27" i="7" l="1"/>
  <c r="D21" i="2"/>
  <c r="C12" i="3" s="1"/>
  <c r="D59" i="9"/>
  <c r="D60" i="9" s="1"/>
  <c r="D32" i="9"/>
  <c r="D33" i="9"/>
  <c r="D34" i="9" s="1"/>
  <c r="D35" i="9"/>
  <c r="D66" i="9" s="1"/>
  <c r="D68" i="9" s="1"/>
  <c r="D61" i="9"/>
  <c r="D58" i="9"/>
  <c r="D30" i="7" l="1"/>
  <c r="D10" i="2" s="1"/>
  <c r="D31" i="7"/>
  <c r="F68" i="9"/>
  <c r="D69" i="9"/>
  <c r="D62" i="9"/>
  <c r="D63" i="9"/>
  <c r="D67" i="9"/>
  <c r="D47" i="2"/>
  <c r="T14" i="3"/>
  <c r="U14" i="3" s="1"/>
  <c r="T9" i="3"/>
  <c r="U9" i="3" s="1"/>
  <c r="V8" i="3"/>
  <c r="W8" i="3" s="1"/>
  <c r="T22" i="3"/>
  <c r="U22" i="3" s="1"/>
  <c r="V21" i="3"/>
  <c r="W21" i="3" s="1"/>
  <c r="V11" i="3"/>
  <c r="W11" i="3" s="1"/>
  <c r="T20" i="3"/>
  <c r="U20" i="3" s="1"/>
  <c r="V14" i="3"/>
  <c r="W14" i="3" s="1"/>
  <c r="T19" i="3"/>
  <c r="U19" i="3" s="1"/>
  <c r="T21" i="3"/>
  <c r="U21" i="3" s="1"/>
  <c r="V20" i="3"/>
  <c r="W20" i="3" s="1"/>
  <c r="V19" i="3"/>
  <c r="W19" i="3" s="1"/>
  <c r="T6" i="3"/>
  <c r="U6" i="3" s="1"/>
  <c r="T12" i="3"/>
  <c r="U12" i="3" s="1"/>
  <c r="T7" i="3"/>
  <c r="U7" i="3" s="1"/>
  <c r="V24" i="3"/>
  <c r="W24" i="3" s="1"/>
  <c r="V6" i="3"/>
  <c r="W6" i="3" s="1"/>
  <c r="T18" i="3"/>
  <c r="U18" i="3" s="1"/>
  <c r="T17" i="3"/>
  <c r="U17" i="3" s="1"/>
  <c r="V25" i="3"/>
  <c r="W25" i="3" s="1"/>
  <c r="T23" i="3"/>
  <c r="U23" i="3" s="1"/>
  <c r="V17" i="3"/>
  <c r="W17" i="3" s="1"/>
  <c r="V12" i="3"/>
  <c r="W12" i="3" s="1"/>
  <c r="T16" i="3"/>
  <c r="U16" i="3" s="1"/>
  <c r="V22" i="3"/>
  <c r="W22" i="3" s="1"/>
  <c r="V10" i="3"/>
  <c r="W10" i="3" s="1"/>
  <c r="T11" i="3"/>
  <c r="U11" i="3" s="1"/>
  <c r="V18" i="3"/>
  <c r="W18" i="3" s="1"/>
  <c r="V7" i="3"/>
  <c r="W7" i="3" s="1"/>
  <c r="T8" i="3"/>
  <c r="U8" i="3" s="1"/>
  <c r="V9" i="3"/>
  <c r="W9" i="3" s="1"/>
  <c r="T15" i="3"/>
  <c r="U15" i="3" s="1"/>
  <c r="V16" i="3"/>
  <c r="W16" i="3" s="1"/>
  <c r="T10" i="3"/>
  <c r="U10" i="3" s="1"/>
  <c r="T24" i="3"/>
  <c r="U24" i="3" s="1"/>
  <c r="T13" i="3"/>
  <c r="U13" i="3" s="1"/>
  <c r="V13" i="3"/>
  <c r="W13" i="3" s="1"/>
  <c r="V15" i="3"/>
  <c r="W15" i="3" s="1"/>
  <c r="V23" i="3"/>
  <c r="W23" i="3" s="1"/>
  <c r="T25" i="3"/>
  <c r="U25" i="3" s="1"/>
  <c r="D16" i="20" l="1"/>
  <c r="D41" i="2"/>
  <c r="C7" i="3"/>
  <c r="D46" i="2"/>
  <c r="D21" i="20"/>
  <c r="T23" i="20" s="1"/>
  <c r="D71" i="9"/>
  <c r="D35" i="7" s="1"/>
  <c r="D9" i="7"/>
  <c r="D33" i="7" s="1"/>
  <c r="B73" i="9"/>
  <c r="D14" i="20"/>
  <c r="D32" i="7"/>
  <c r="D11" i="2" s="1"/>
  <c r="F33" i="7" l="1"/>
  <c r="D16" i="2"/>
  <c r="B37" i="7"/>
  <c r="D23" i="20"/>
  <c r="T24" i="20" s="1"/>
  <c r="F71" i="9"/>
  <c r="D28" i="20"/>
  <c r="F28" i="20" s="1"/>
  <c r="C16" i="3"/>
  <c r="C29" i="3" s="1"/>
  <c r="D24" i="2"/>
  <c r="F35" i="7" l="1"/>
  <c r="D30" i="20"/>
  <c r="F30" i="20" s="1"/>
  <c r="X14" i="2"/>
  <c r="C8" i="3"/>
  <c r="C31" i="3"/>
  <c r="D38" i="2"/>
  <c r="J20" i="3" l="1"/>
  <c r="K20" i="3" s="1"/>
  <c r="L8" i="3"/>
  <c r="M8" i="3" s="1"/>
  <c r="L18" i="3"/>
  <c r="M18" i="3" s="1"/>
  <c r="N17" i="3"/>
  <c r="O17" i="3" s="1"/>
  <c r="L15" i="3"/>
  <c r="M15" i="3" s="1"/>
  <c r="N8" i="3"/>
  <c r="O8" i="3" s="1"/>
  <c r="J23" i="3"/>
  <c r="K23" i="3" s="1"/>
  <c r="J25" i="3"/>
  <c r="K25" i="3" s="1"/>
  <c r="J24" i="3"/>
  <c r="K24" i="3" s="1"/>
  <c r="N21" i="3"/>
  <c r="O21" i="3" s="1"/>
  <c r="H13" i="3"/>
  <c r="I13" i="3" s="1"/>
  <c r="H17" i="3"/>
  <c r="I17" i="3" s="1"/>
  <c r="J11" i="3"/>
  <c r="K11" i="3" s="1"/>
  <c r="J8" i="3"/>
  <c r="K8" i="3" s="1"/>
  <c r="L14" i="3"/>
  <c r="M14" i="3" s="1"/>
  <c r="L21" i="3"/>
  <c r="M21" i="3" s="1"/>
  <c r="D42" i="2"/>
  <c r="H15" i="3"/>
  <c r="I15" i="3" s="1"/>
  <c r="L12" i="3"/>
  <c r="M12" i="3" s="1"/>
  <c r="H25" i="3"/>
  <c r="I25" i="3" s="1"/>
  <c r="L13" i="3"/>
  <c r="M13" i="3" s="1"/>
  <c r="J13" i="3"/>
  <c r="K13" i="3" s="1"/>
  <c r="N9" i="3"/>
  <c r="O9" i="3" s="1"/>
  <c r="J14" i="3"/>
  <c r="K14" i="3" s="1"/>
  <c r="H19" i="3"/>
  <c r="I19" i="3" s="1"/>
  <c r="L25" i="3"/>
  <c r="M25" i="3" s="1"/>
  <c r="N18" i="3"/>
  <c r="O18" i="3" s="1"/>
  <c r="J19" i="3"/>
  <c r="K19" i="3" s="1"/>
  <c r="L10" i="3"/>
  <c r="M10" i="3" s="1"/>
  <c r="J9" i="3"/>
  <c r="K9" i="3" s="1"/>
  <c r="H10" i="3"/>
  <c r="I10" i="3" s="1"/>
  <c r="L11" i="3"/>
  <c r="M11" i="3" s="1"/>
  <c r="N15" i="3"/>
  <c r="O15" i="3" s="1"/>
  <c r="H21" i="3"/>
  <c r="I21" i="3" s="1"/>
  <c r="J12" i="3"/>
  <c r="K12" i="3" s="1"/>
  <c r="J21" i="3"/>
  <c r="K21" i="3" s="1"/>
  <c r="L24" i="3"/>
  <c r="M24" i="3" s="1"/>
  <c r="H9" i="3"/>
  <c r="I9" i="3" s="1"/>
  <c r="H23" i="3"/>
  <c r="I23" i="3" s="1"/>
  <c r="H7" i="3"/>
  <c r="I7" i="3" s="1"/>
  <c r="N25" i="3"/>
  <c r="O25" i="3" s="1"/>
  <c r="J22" i="3"/>
  <c r="K22" i="3" s="1"/>
  <c r="N6" i="3"/>
  <c r="O6" i="3" s="1"/>
  <c r="H8" i="3"/>
  <c r="I8" i="3" s="1"/>
  <c r="H6" i="3"/>
  <c r="I6" i="3" s="1"/>
  <c r="N11" i="3"/>
  <c r="O11" i="3" s="1"/>
  <c r="H18" i="3"/>
  <c r="I18" i="3" s="1"/>
  <c r="N19" i="3"/>
  <c r="O19" i="3" s="1"/>
  <c r="N7" i="3"/>
  <c r="O7" i="3" s="1"/>
  <c r="L16" i="3"/>
  <c r="M16" i="3" s="1"/>
  <c r="L17" i="3"/>
  <c r="M17" i="3" s="1"/>
  <c r="H16" i="3"/>
  <c r="I16" i="3" s="1"/>
  <c r="H11" i="3"/>
  <c r="I11" i="3" s="1"/>
  <c r="J16" i="3"/>
  <c r="K16" i="3" s="1"/>
  <c r="N14" i="3"/>
  <c r="O14" i="3" s="1"/>
  <c r="N24" i="3"/>
  <c r="O24" i="3" s="1"/>
  <c r="H20" i="3"/>
  <c r="I20" i="3" s="1"/>
  <c r="L7" i="3"/>
  <c r="M7" i="3" s="1"/>
  <c r="H22" i="3"/>
  <c r="I22" i="3" s="1"/>
  <c r="L22" i="3"/>
  <c r="M22" i="3" s="1"/>
  <c r="L20" i="3"/>
  <c r="M20" i="3" s="1"/>
  <c r="J6" i="3"/>
  <c r="K6" i="3" s="1"/>
  <c r="N22" i="3"/>
  <c r="O22" i="3" s="1"/>
  <c r="N12" i="3"/>
  <c r="O12" i="3" s="1"/>
  <c r="N10" i="3"/>
  <c r="O10" i="3" s="1"/>
  <c r="J7" i="3"/>
  <c r="K7" i="3" s="1"/>
  <c r="L23" i="3"/>
  <c r="M23" i="3" s="1"/>
  <c r="H12" i="3"/>
  <c r="I12" i="3" s="1"/>
  <c r="N16" i="3"/>
  <c r="O16" i="3" s="1"/>
  <c r="J10" i="3"/>
  <c r="K10" i="3" s="1"/>
  <c r="N20" i="3"/>
  <c r="O20" i="3" s="1"/>
  <c r="J18" i="3"/>
  <c r="K18" i="3" s="1"/>
  <c r="N23" i="3"/>
  <c r="O23" i="3" s="1"/>
  <c r="N13" i="3"/>
  <c r="O13" i="3" s="1"/>
  <c r="J17" i="3"/>
  <c r="K17" i="3" s="1"/>
  <c r="H14" i="3"/>
  <c r="I14" i="3" s="1"/>
  <c r="J15" i="3"/>
  <c r="K15" i="3" s="1"/>
  <c r="L19" i="3"/>
  <c r="M19" i="3" s="1"/>
  <c r="L9" i="3"/>
  <c r="M9" i="3" s="1"/>
  <c r="L6" i="3"/>
  <c r="M6" i="3" s="1"/>
  <c r="H24" i="3"/>
  <c r="I24" i="3" s="1"/>
  <c r="X15" i="3" l="1"/>
  <c r="Y15" i="3" s="1"/>
  <c r="X24" i="2" s="1"/>
  <c r="X10" i="3"/>
  <c r="Y10" i="3" s="1"/>
  <c r="X19" i="2" s="1"/>
  <c r="X13" i="3"/>
  <c r="Y13" i="3" s="1"/>
  <c r="X22" i="2" s="1"/>
  <c r="X18" i="3"/>
  <c r="X21" i="3"/>
  <c r="X24" i="3"/>
  <c r="X22" i="3"/>
  <c r="X23" i="3"/>
  <c r="X9" i="3"/>
  <c r="X20" i="3"/>
  <c r="X11" i="3"/>
  <c r="X6" i="3"/>
  <c r="X19" i="3"/>
  <c r="X14" i="3"/>
  <c r="X12" i="3"/>
  <c r="X16" i="3"/>
  <c r="X8" i="3"/>
  <c r="X7" i="3"/>
  <c r="X25" i="3"/>
  <c r="Y25" i="3" s="1"/>
  <c r="X17" i="3"/>
  <c r="Y8" i="3" l="1"/>
  <c r="X17" i="2" s="1"/>
  <c r="Y19" i="3"/>
  <c r="X28" i="2" s="1"/>
  <c r="Y9" i="3"/>
  <c r="X18" i="2" s="1"/>
  <c r="Y17" i="3"/>
  <c r="X26" i="2" s="1"/>
  <c r="Y16" i="3"/>
  <c r="X25" i="2" s="1"/>
  <c r="Y6" i="3"/>
  <c r="X15" i="2" s="1"/>
  <c r="Y23" i="3"/>
  <c r="X32" i="2" s="1"/>
  <c r="Y12" i="3"/>
  <c r="X21" i="2" s="1"/>
  <c r="Y11" i="3"/>
  <c r="X20" i="2" s="1"/>
  <c r="Y22" i="3"/>
  <c r="X31" i="2" s="1"/>
  <c r="Y21" i="3"/>
  <c r="X30" i="2" s="1"/>
  <c r="Y7" i="3"/>
  <c r="X16" i="2" s="1"/>
  <c r="Y14" i="3"/>
  <c r="X23" i="2" s="1"/>
  <c r="Y20" i="3"/>
  <c r="X29" i="2" s="1"/>
  <c r="Y24" i="3"/>
  <c r="X33" i="2" s="1"/>
  <c r="Y18" i="3"/>
  <c r="X27" i="2" s="1"/>
  <c r="F43" i="2"/>
  <c r="X34" i="2"/>
  <c r="D43" i="2"/>
  <c r="D18" i="20" l="1"/>
  <c r="D48" i="2"/>
  <c r="D49" i="2" s="1"/>
  <c r="D51" i="2" l="1"/>
  <c r="B54" i="2" l="1"/>
  <c r="F49" i="2"/>
  <c r="D25" i="20"/>
  <c r="D32" i="20"/>
  <c r="F32" i="20" s="1"/>
  <c r="F51" i="2"/>
  <c r="T25" i="20" l="1"/>
  <c r="A26" i="2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CAREM</author>
  </authors>
  <commentList>
    <comment ref="B17" authorId="0" shapeId="0" xr:uid="{00000000-0006-0000-0200-000001000000}">
      <text>
        <r>
          <rPr>
            <sz val="8"/>
            <color indexed="81"/>
            <rFont val="Tahoma"/>
            <family val="2"/>
          </rPr>
          <t xml:space="preserve">Percolation test undertaken according to BS6297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CAREM</author>
    <author>Alwyn Hart</author>
  </authors>
  <commentList>
    <comment ref="B17" authorId="0" shapeId="0" xr:uid="{00000000-0006-0000-0300-000001000000}">
      <text>
        <r>
          <rPr>
            <b/>
            <sz val="8"/>
            <color indexed="81"/>
            <rFont val="Tahoma"/>
            <family val="2"/>
          </rPr>
          <t xml:space="preserve">Vertical dispersivity assumed as 10% of unsaturated zone thickness
</t>
        </r>
      </text>
    </comment>
    <comment ref="B23" authorId="1" shapeId="0" xr:uid="{00000000-0006-0000-0300-000002000000}">
      <text>
        <r>
          <rPr>
            <sz val="10"/>
            <color indexed="81"/>
            <rFont val="Tahoma"/>
            <family val="2"/>
          </rPr>
          <t>Ensure appropriate Kd value is selected, taking account of soil pH and soil organic matter content.</t>
        </r>
      </text>
    </comment>
    <comment ref="B25" authorId="1" shapeId="0" xr:uid="{00000000-0006-0000-0300-000003000000}">
      <text>
        <r>
          <rPr>
            <sz val="10"/>
            <color indexed="81"/>
            <rFont val="Tahoma"/>
            <family val="2"/>
          </rPr>
          <t xml:space="preserve">Calculates Kd as:
Kd = Koc . foc
</t>
        </r>
      </text>
    </comment>
    <comment ref="B42" authorId="0" shapeId="0" xr:uid="{00000000-0006-0000-0300-000004000000}">
      <text>
        <r>
          <rPr>
            <b/>
            <sz val="8"/>
            <color indexed="81"/>
            <rFont val="Tahoma"/>
            <family val="2"/>
          </rPr>
          <t xml:space="preserve">Vertical dispersivity assumed as 10% of unsaturated zone thickness
</t>
        </r>
      </text>
    </comment>
    <comment ref="B46" authorId="0" shapeId="0" xr:uid="{00000000-0006-0000-0300-000005000000}">
      <text>
        <r>
          <rPr>
            <sz val="8"/>
            <color indexed="81"/>
            <rFont val="Tahoma"/>
            <family val="2"/>
          </rPr>
          <t xml:space="preserve">Assumes no retardation or degradation of by-pass component
</t>
        </r>
      </text>
    </comment>
    <comment ref="B49" authorId="1" shapeId="0" xr:uid="{00000000-0006-0000-0300-000006000000}">
      <text>
        <r>
          <rPr>
            <sz val="10"/>
            <color indexed="81"/>
            <rFont val="Tahoma"/>
            <family val="2"/>
          </rPr>
          <t>Ensure appropriate Kd value is selected, taking account of soil pH and soil organic matter content.</t>
        </r>
      </text>
    </comment>
    <comment ref="B51" authorId="1" shapeId="0" xr:uid="{00000000-0006-0000-0300-000007000000}">
      <text>
        <r>
          <rPr>
            <sz val="10"/>
            <color indexed="81"/>
            <rFont val="Tahoma"/>
            <family val="2"/>
          </rPr>
          <t xml:space="preserve">Calculates Kd as:
Kd = Koc . foc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Alwyn Hart</author>
    <author>Speed, Craig</author>
  </authors>
  <commentList>
    <comment ref="B16" authorId="0" shapeId="0" xr:uid="{00000000-0006-0000-0400-000001000000}">
      <text>
        <r>
          <rPr>
            <sz val="10"/>
            <color indexed="81"/>
            <rFont val="Tahoma"/>
            <family val="2"/>
          </rPr>
          <t xml:space="preserve">Dilution Factor, DF, calculated as:
</t>
        </r>
        <r>
          <rPr>
            <vertAlign val="subscript"/>
            <sz val="10"/>
            <color indexed="81"/>
            <rFont val="Tahoma"/>
            <family val="2"/>
          </rPr>
          <t xml:space="preserve">
</t>
        </r>
        <r>
          <rPr>
            <vertAlign val="subscript"/>
            <sz val="12"/>
            <color indexed="81"/>
            <rFont val="Arial"/>
            <family val="2"/>
          </rPr>
          <t>DF = (Gw + Inf*A)*CT - Gw*CU) / (Inf*A*CT)</t>
        </r>
      </text>
    </comment>
    <comment ref="B30" authorId="1" shapeId="0" xr:uid="{00000000-0006-0000-0400-000002000000}">
      <text>
        <r>
          <rPr>
            <b/>
            <sz val="9"/>
            <color indexed="81"/>
            <rFont val="Tahoma"/>
            <family val="2"/>
          </rPr>
          <t xml:space="preserve">Dilution Factor: </t>
        </r>
        <r>
          <rPr>
            <sz val="9"/>
            <color indexed="81"/>
            <rFont val="Tahoma"/>
            <family val="2"/>
          </rPr>
          <t>based on volumetric dilution only.
Dilution Factor, DF, calculated as:
DF = 1+ ((Gw) / (Inf*A))</t>
        </r>
      </text>
    </comment>
    <comment ref="B31" authorId="1" shapeId="0" xr:uid="{00000000-0006-0000-0400-000003000000}">
      <text>
        <r>
          <rPr>
            <b/>
            <sz val="9"/>
            <color indexed="81"/>
            <rFont val="Tahoma"/>
            <family val="2"/>
          </rPr>
          <t>Headroom Factor:</t>
        </r>
        <r>
          <rPr>
            <sz val="9"/>
            <color indexed="81"/>
            <rFont val="Tahoma"/>
            <family val="2"/>
          </rPr>
          <t xml:space="preserve">
used in the calculation of the DL2 discharge limit value.  This takes into account how much of the 'headroom' remains between the concentration in the mixing zone and the Target Concentration CT.
Headroom Factor, HF, calculated as:
HF = (Gw + Inf*A)*CT - Gw*CU) / (Inf*A*CT)</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CAREM</author>
    <author>Entec</author>
  </authors>
  <commentList>
    <comment ref="H10" authorId="0" shapeId="0" xr:uid="{00000000-0006-0000-0500-000001000000}">
      <text>
        <r>
          <rPr>
            <b/>
            <sz val="8"/>
            <color indexed="81"/>
            <rFont val="Tahoma"/>
            <family val="2"/>
          </rPr>
          <t>Ensure appropriate Kd value is selected, taking account of aquifer pH and aquifer organic matter content.
Calculates Kd as:
Kd = Koc . Foc</t>
        </r>
        <r>
          <rPr>
            <sz val="8"/>
            <color indexed="81"/>
            <rFont val="Tahoma"/>
            <family val="2"/>
          </rPr>
          <t xml:space="preserve">
</t>
        </r>
      </text>
    </comment>
    <comment ref="B18" authorId="0" shapeId="0" xr:uid="{00000000-0006-0000-0500-000002000000}">
      <text>
        <r>
          <rPr>
            <b/>
            <sz val="8"/>
            <color indexed="81"/>
            <rFont val="Tahoma"/>
            <family val="2"/>
          </rPr>
          <t>Half-life of contaminant in days (assumed to be a first order decay rate). If contaminant does not degrade, enter a very large number e.g. 9E+99</t>
        </r>
      </text>
    </comment>
    <comment ref="B19" authorId="0" shapeId="0" xr:uid="{00000000-0006-0000-0500-000003000000}">
      <text>
        <r>
          <rPr>
            <b/>
            <sz val="8"/>
            <color indexed="81"/>
            <rFont val="Tahoma"/>
            <family val="2"/>
          </rPr>
          <t>First order decay rate:
l = 0.693 / t</t>
        </r>
        <r>
          <rPr>
            <b/>
            <vertAlign val="subscript"/>
            <sz val="8"/>
            <color indexed="81"/>
            <rFont val="Tahoma"/>
            <family val="2"/>
          </rPr>
          <t>1/2</t>
        </r>
      </text>
    </comment>
    <comment ref="B24" authorId="1" shapeId="0" xr:uid="{00000000-0006-0000-0500-000004000000}">
      <text>
        <r>
          <rPr>
            <b/>
            <sz val="8"/>
            <color indexed="81"/>
            <rFont val="Tahoma"/>
            <family val="2"/>
          </rPr>
          <t xml:space="preserve">Hydraulic gradient reclaculated from Dilution sheet to include infiltration over site
</t>
        </r>
        <r>
          <rPr>
            <sz val="8"/>
            <color indexed="81"/>
            <rFont val="Tahoma"/>
            <family val="2"/>
          </rPr>
          <t xml:space="preserve">
</t>
        </r>
      </text>
    </comment>
    <comment ref="B25" authorId="1" shapeId="0" xr:uid="{00000000-0006-0000-0500-000005000000}">
      <text>
        <r>
          <rPr>
            <b/>
            <sz val="10"/>
            <color indexed="81"/>
            <rFont val="Tahoma"/>
            <family val="2"/>
          </rPr>
          <t xml:space="preserve">Hydraulic conductivity carried forward from Dilution Sheet
</t>
        </r>
        <r>
          <rPr>
            <sz val="8"/>
            <color indexed="81"/>
            <rFont val="Tahoma"/>
            <family val="2"/>
          </rPr>
          <t xml:space="preserve">
</t>
        </r>
      </text>
    </comment>
    <comment ref="B41" authorId="0" shapeId="0" xr:uid="{00000000-0006-0000-0500-000006000000}">
      <text>
        <r>
          <rPr>
            <b/>
            <sz val="8"/>
            <color indexed="81"/>
            <rFont val="Tahoma"/>
            <family val="2"/>
          </rPr>
          <t>A corrected hydraulic gradient is used to ensure mass balance as follows:
icorr = I
 * (DF / DF-1)</t>
        </r>
        <r>
          <rPr>
            <sz val="8"/>
            <color indexed="81"/>
            <rFont val="Tahoma"/>
            <family val="2"/>
          </rPr>
          <t xml:space="preserve">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Jonathan Smith</author>
  </authors>
  <commentList>
    <comment ref="B7" authorId="0" shapeId="0" xr:uid="{00000000-0006-0000-0700-000001000000}">
      <text>
        <r>
          <rPr>
            <b/>
            <sz val="8"/>
            <color indexed="81"/>
            <rFont val="Tahoma"/>
            <family val="2"/>
          </rPr>
          <t xml:space="preserve">Aquifer hydraulic conductivity is best obtained from field pumping test analyses. Hydraulic conductivities obtained from cores should be treated with caution as the results  will not reflect the impacts of larger scale features such as fissures and fractures present in the aquifer. </t>
        </r>
      </text>
    </comment>
    <comment ref="B9" authorId="0" shapeId="0" xr:uid="{00000000-0006-0000-0700-000002000000}">
      <text>
        <r>
          <rPr>
            <b/>
            <sz val="8"/>
            <color indexed="81"/>
            <rFont val="Tahoma"/>
            <family val="2"/>
          </rPr>
          <t>Porosity is expressed as a fraction between 0 and 1 (generally between 0.02 and 0.4, depending on rock type). In fissured aquifers and dual porosity aquifers use fissure porosity available for flow, sometimes called kinematic porosity.</t>
        </r>
      </text>
    </comment>
    <comment ref="B13" authorId="0" shapeId="0" xr:uid="{00000000-0006-0000-0700-000003000000}">
      <text>
        <r>
          <rPr>
            <b/>
            <sz val="8"/>
            <color indexed="81"/>
            <rFont val="Tahoma"/>
            <family val="2"/>
          </rPr>
          <t>Distance to an identified receptor, compliance point, or other location of interest within the aquifer down-hydraulic gradient of the source.</t>
        </r>
      </text>
    </comment>
    <comment ref="B16" authorId="0" shapeId="0" xr:uid="{00000000-0006-0000-0700-000004000000}">
      <text>
        <r>
          <rPr>
            <b/>
            <sz val="8"/>
            <color indexed="81"/>
            <rFont val="Tahoma"/>
            <family val="2"/>
          </rPr>
          <t xml:space="preserve">Retardation factor, R, describes the  flow velocity of a contaminant relative to groundwater. A conservative contaminant that flows at the same velocity as groundwater has R=1. Other contaminants which are retarded as a result of sorption processes to aquifer minerals and organic matter have R&gt;1.
R is calculated from the expression:
R = 1 + (Kd . </t>
        </r>
        <r>
          <rPr>
            <b/>
            <sz val="8"/>
            <color indexed="81"/>
            <rFont val="Symbol"/>
            <family val="1"/>
            <charset val="2"/>
          </rPr>
          <t>r</t>
        </r>
        <r>
          <rPr>
            <b/>
            <sz val="8"/>
            <color indexed="81"/>
            <rFont val="Tahoma"/>
            <family val="2"/>
          </rPr>
          <t>)/n</t>
        </r>
      </text>
    </comment>
    <comment ref="B20" authorId="0" shapeId="0" xr:uid="{00000000-0006-0000-0700-000005000000}">
      <text>
        <r>
          <rPr>
            <b/>
            <sz val="8"/>
            <color indexed="81"/>
            <rFont val="Tahoma"/>
            <family val="2"/>
          </rPr>
          <t>Groundwater flow based on darcian hydraulics:
v = K.i/n</t>
        </r>
      </text>
    </comment>
    <comment ref="B21" authorId="0" shapeId="0" xr:uid="{00000000-0006-0000-0700-000006000000}">
      <text>
        <r>
          <rPr>
            <b/>
            <sz val="8"/>
            <color indexed="81"/>
            <rFont val="Tahoma"/>
            <family val="2"/>
          </rPr>
          <t>Calculates travel time assuming darcian flow:
t(GW) = x.n / K.i</t>
        </r>
      </text>
    </comment>
    <comment ref="B22" authorId="0" shapeId="0" xr:uid="{00000000-0006-0000-0700-000007000000}">
      <text>
        <r>
          <rPr>
            <b/>
            <sz val="8"/>
            <color indexed="81"/>
            <rFont val="Tahoma"/>
            <family val="2"/>
          </rPr>
          <t>Calculates flow based on Darcy's Law:
Q = K.A.i,
where A = b.x</t>
        </r>
      </text>
    </comment>
    <comment ref="B24" authorId="0" shapeId="0" xr:uid="{00000000-0006-0000-0700-000008000000}">
      <text>
        <r>
          <rPr>
            <b/>
            <sz val="8"/>
            <color indexed="81"/>
            <rFont val="Tahoma"/>
            <family val="2"/>
          </rPr>
          <t>Contaminant flow velocity calculated assuming darcian hydraulics by:
v(contam) = K.i / n.R</t>
        </r>
      </text>
    </comment>
    <comment ref="B25" authorId="0" shapeId="0" xr:uid="{00000000-0006-0000-0700-000009000000}">
      <text>
        <r>
          <rPr>
            <b/>
            <sz val="8"/>
            <color indexed="81"/>
            <rFont val="Tahoma"/>
            <family val="2"/>
          </rPr>
          <t>Time for contaminant to flow to receptor assuming darcian hydraulics:
t(contam) = x.n.R / K.i
Note: This simple calculation ignores the effects of (longitudinal) dispersion and will therefore OVER-ESTIMATE the time to break-through. (i.e. break-through will actually occur more quickly than calculated with this solution).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parmstrong</author>
  </authors>
  <commentList>
    <comment ref="B8" authorId="0" shapeId="0" xr:uid="{00000000-0006-0000-0900-000001000000}">
      <text>
        <r>
          <rPr>
            <sz val="8"/>
            <color indexed="81"/>
            <rFont val="Tahoma"/>
            <family val="2"/>
          </rPr>
          <t>This number should only be changed if you have specific information</t>
        </r>
      </text>
    </comment>
    <comment ref="B25" authorId="0" shapeId="0" xr:uid="{00000000-0006-0000-0900-000002000000}">
      <text>
        <r>
          <rPr>
            <sz val="8"/>
            <color indexed="81"/>
            <rFont val="Tahoma"/>
            <family val="2"/>
          </rPr>
          <t>This number should be changed only if you have specific information</t>
        </r>
      </text>
    </comment>
  </commentList>
</comments>
</file>

<file path=xl/sharedStrings.xml><?xml version="1.0" encoding="utf-8"?>
<sst xmlns="http://schemas.openxmlformats.org/spreadsheetml/2006/main" count="834" uniqueCount="429">
  <si>
    <t>Rc</t>
  </si>
  <si>
    <t>n</t>
  </si>
  <si>
    <t>Domenico - Time Variant</t>
  </si>
  <si>
    <t>Input Parameters</t>
  </si>
  <si>
    <t>Dilution Factor</t>
  </si>
  <si>
    <t>DF</t>
  </si>
  <si>
    <t>Unit</t>
  </si>
  <si>
    <t>Value</t>
  </si>
  <si>
    <t>Source</t>
  </si>
  <si>
    <t>Kd</t>
  </si>
  <si>
    <t>x</t>
  </si>
  <si>
    <t>y</t>
  </si>
  <si>
    <t>z</t>
  </si>
  <si>
    <t>t</t>
  </si>
  <si>
    <t>ax</t>
  </si>
  <si>
    <t>ay</t>
  </si>
  <si>
    <t>az</t>
  </si>
  <si>
    <t>days</t>
  </si>
  <si>
    <t>mg/l</t>
  </si>
  <si>
    <t>l/kg</t>
  </si>
  <si>
    <t>g/cm3</t>
  </si>
  <si>
    <t>m/d</t>
  </si>
  <si>
    <t>m</t>
  </si>
  <si>
    <t>Partition coefficient</t>
  </si>
  <si>
    <t>Hydraulic gradient</t>
  </si>
  <si>
    <t>Distance to compliance point</t>
  </si>
  <si>
    <t>Hydraulic conductivity</t>
  </si>
  <si>
    <t xml:space="preserve">l </t>
  </si>
  <si>
    <t>r</t>
  </si>
  <si>
    <t>Calculated Parameters</t>
  </si>
  <si>
    <t>Variable</t>
  </si>
  <si>
    <t>v</t>
  </si>
  <si>
    <t>Retardation factor</t>
  </si>
  <si>
    <t>Rate of contaminant flow due to retardation</t>
  </si>
  <si>
    <t>u</t>
  </si>
  <si>
    <t>i</t>
  </si>
  <si>
    <t>Calc</t>
  </si>
  <si>
    <t>Input</t>
  </si>
  <si>
    <t>EXP</t>
  </si>
  <si>
    <t>ERFC</t>
  </si>
  <si>
    <t>ERF</t>
  </si>
  <si>
    <t>Sz</t>
  </si>
  <si>
    <t>X</t>
  </si>
  <si>
    <t>foc</t>
  </si>
  <si>
    <t>Organic carbon partition coefficient</t>
  </si>
  <si>
    <t>see options</t>
  </si>
  <si>
    <t>OGATA BANKS SOLUTION</t>
  </si>
  <si>
    <t>Mz</t>
  </si>
  <si>
    <t>L</t>
  </si>
  <si>
    <t>da</t>
  </si>
  <si>
    <t>Inf</t>
  </si>
  <si>
    <t>Q</t>
  </si>
  <si>
    <t>A</t>
  </si>
  <si>
    <t>Cu</t>
  </si>
  <si>
    <t>w</t>
  </si>
  <si>
    <t>Infiltration</t>
  </si>
  <si>
    <t>fraction</t>
  </si>
  <si>
    <r>
      <t>g/cm</t>
    </r>
    <r>
      <rPr>
        <vertAlign val="superscript"/>
        <sz val="10"/>
        <rFont val="Arial"/>
        <family val="2"/>
      </rPr>
      <t>3</t>
    </r>
  </si>
  <si>
    <t xml:space="preserve">Dilution Factor </t>
  </si>
  <si>
    <t>Contaminant</t>
  </si>
  <si>
    <t>Soil water partition coefficient</t>
  </si>
  <si>
    <t>Calculate for non-polar organic chemicals</t>
  </si>
  <si>
    <t xml:space="preserve"> </t>
  </si>
  <si>
    <r>
      <t>C</t>
    </r>
    <r>
      <rPr>
        <b/>
        <vertAlign val="subscript"/>
        <sz val="11"/>
        <rFont val="Arial"/>
        <family val="2"/>
      </rPr>
      <t>T</t>
    </r>
  </si>
  <si>
    <t>Entry for groundwater flow below site</t>
  </si>
  <si>
    <t>Standard entry</t>
  </si>
  <si>
    <t>Source of parameter value</t>
  </si>
  <si>
    <t>Entry if specify partition coefficient (option)</t>
  </si>
  <si>
    <t>Parameter</t>
  </si>
  <si>
    <t>Calculated decay rate</t>
  </si>
  <si>
    <t>Parameters values determined from options</t>
  </si>
  <si>
    <t>time variant options only</t>
  </si>
  <si>
    <t>Calc value</t>
  </si>
  <si>
    <t>Enter value</t>
  </si>
  <si>
    <t>From calculation sheet</t>
  </si>
  <si>
    <t>Term 1</t>
  </si>
  <si>
    <t>Term 2</t>
  </si>
  <si>
    <t>Term 3</t>
  </si>
  <si>
    <t>Term 4</t>
  </si>
  <si>
    <t>Term 5</t>
  </si>
  <si>
    <t>Term 6a</t>
  </si>
  <si>
    <t>Term 6b</t>
  </si>
  <si>
    <t>Term 7a</t>
  </si>
  <si>
    <t>Term 7b</t>
  </si>
  <si>
    <t>Site Name:</t>
  </si>
  <si>
    <t>Site Address:</t>
  </si>
  <si>
    <t>Completed by:</t>
  </si>
  <si>
    <t>Date:</t>
  </si>
  <si>
    <t>Site being assessed:</t>
  </si>
  <si>
    <t>Saturated aquifer thickness</t>
  </si>
  <si>
    <t>or</t>
  </si>
  <si>
    <r>
      <t>days</t>
    </r>
    <r>
      <rPr>
        <vertAlign val="superscript"/>
        <sz val="10"/>
        <rFont val="Arial"/>
        <family val="2"/>
      </rPr>
      <t>-1</t>
    </r>
  </si>
  <si>
    <r>
      <t>t</t>
    </r>
    <r>
      <rPr>
        <vertAlign val="subscript"/>
        <sz val="11"/>
        <rFont val="Arial"/>
        <family val="2"/>
      </rPr>
      <t>1/2</t>
    </r>
  </si>
  <si>
    <t>Sy</t>
  </si>
  <si>
    <t>Fraction of organic carbon in aquifer</t>
  </si>
  <si>
    <t>Details to be completed for each assessment</t>
  </si>
  <si>
    <t>Version:</t>
  </si>
  <si>
    <t>Units</t>
  </si>
  <si>
    <t>distance-concentration graph</t>
  </si>
  <si>
    <t>Longitudinal dispersivity</t>
  </si>
  <si>
    <t>Transverse dispersivity</t>
  </si>
  <si>
    <t>Vertical dispersivity</t>
  </si>
  <si>
    <t>Koc</t>
  </si>
  <si>
    <t>Fraction of organic carbon (in soil)</t>
  </si>
  <si>
    <t>Simple hydrogeological calculations</t>
  </si>
  <si>
    <t>symbol</t>
  </si>
  <si>
    <t>unit</t>
  </si>
  <si>
    <t>justification</t>
  </si>
  <si>
    <t>K</t>
  </si>
  <si>
    <t>m/day</t>
  </si>
  <si>
    <t xml:space="preserve">i </t>
  </si>
  <si>
    <t>unitless</t>
  </si>
  <si>
    <t>Effective porosity of aquifer</t>
  </si>
  <si>
    <t>Thickness of saturated aquifer</t>
  </si>
  <si>
    <t>b</t>
  </si>
  <si>
    <t>Width of aquifer perpendicular to flow</t>
  </si>
  <si>
    <t>Distance to receptor</t>
  </si>
  <si>
    <t>Retardation factor of pollutant</t>
  </si>
  <si>
    <t>R</t>
  </si>
  <si>
    <t>Groundwater flow velocity</t>
  </si>
  <si>
    <t>v(GW)</t>
  </si>
  <si>
    <t>Time for groundwater to reach receptor</t>
  </si>
  <si>
    <t>t(GW)</t>
  </si>
  <si>
    <t>Contaminant flow velocity</t>
  </si>
  <si>
    <t>v(contam)</t>
  </si>
  <si>
    <t>Time for contaminant to reach receptor</t>
  </si>
  <si>
    <t>t(contam)</t>
  </si>
  <si>
    <t>All rights reserved. You will not modify, reverse compile or otherwise dis-assemble the worksheet.</t>
  </si>
  <si>
    <t>It is recommended that a copy of the original worksheet is saved (all data fields in the original copy are blank).</t>
  </si>
  <si>
    <t>m/year</t>
  </si>
  <si>
    <t>years</t>
  </si>
  <si>
    <t>m/s</t>
  </si>
  <si>
    <t>seconds</t>
  </si>
  <si>
    <r>
      <t>m</t>
    </r>
    <r>
      <rPr>
        <vertAlign val="superscript"/>
        <sz val="10"/>
        <rFont val="Arial"/>
        <family val="2"/>
      </rPr>
      <t>3</t>
    </r>
    <r>
      <rPr>
        <sz val="10"/>
        <rFont val="Arial"/>
        <family val="2"/>
      </rPr>
      <t>/s</t>
    </r>
  </si>
  <si>
    <r>
      <t>m</t>
    </r>
    <r>
      <rPr>
        <vertAlign val="superscript"/>
        <sz val="9"/>
        <rFont val="Arial"/>
        <family val="2"/>
      </rPr>
      <t>3</t>
    </r>
    <r>
      <rPr>
        <sz val="9"/>
        <rFont val="Arial"/>
        <family val="2"/>
      </rPr>
      <t>/day</t>
    </r>
  </si>
  <si>
    <r>
      <t>m</t>
    </r>
    <r>
      <rPr>
        <vertAlign val="superscript"/>
        <sz val="10"/>
        <rFont val="Arial"/>
        <family val="2"/>
      </rPr>
      <t>3</t>
    </r>
    <r>
      <rPr>
        <sz val="10"/>
        <rFont val="Arial"/>
        <family val="2"/>
      </rPr>
      <t>/year</t>
    </r>
  </si>
  <si>
    <r>
      <t>m</t>
    </r>
    <r>
      <rPr>
        <vertAlign val="superscript"/>
        <sz val="10"/>
        <rFont val="Arial"/>
        <family val="2"/>
      </rPr>
      <t>2</t>
    </r>
  </si>
  <si>
    <r>
      <t>Origin of C</t>
    </r>
    <r>
      <rPr>
        <b/>
        <vertAlign val="subscript"/>
        <sz val="10"/>
        <color indexed="10"/>
        <rFont val="Arial"/>
        <family val="2"/>
      </rPr>
      <t>T</t>
    </r>
    <r>
      <rPr>
        <b/>
        <sz val="10"/>
        <color indexed="10"/>
        <rFont val="Arial"/>
        <family val="2"/>
      </rPr>
      <t>:</t>
    </r>
  </si>
  <si>
    <t>Data origin / justification should be noted in cells coloured yellow and fully documented in subsequent reports.</t>
  </si>
  <si>
    <t>Dilution taken into account</t>
  </si>
  <si>
    <t>Decay rate used</t>
  </si>
  <si>
    <t>l</t>
  </si>
  <si>
    <t>Xu &amp; Eckstein</t>
  </si>
  <si>
    <r>
      <t>Xu &amp; Eckstein (1995) report ax = 0.83(log</t>
    </r>
    <r>
      <rPr>
        <vertAlign val="subscript"/>
        <sz val="10"/>
        <rFont val="Arial"/>
        <family val="2"/>
      </rPr>
      <t>10</t>
    </r>
    <r>
      <rPr>
        <sz val="10"/>
        <rFont val="Arial"/>
        <family val="2"/>
      </rPr>
      <t>x)</t>
    </r>
    <r>
      <rPr>
        <vertAlign val="superscript"/>
        <sz val="10"/>
        <rFont val="Arial"/>
        <family val="2"/>
      </rPr>
      <t xml:space="preserve">2.414 </t>
    </r>
    <r>
      <rPr>
        <sz val="10"/>
        <rFont val="Arial"/>
        <family val="2"/>
      </rPr>
      <t>; az = ax/10, ay = ax/100 are assumed</t>
    </r>
  </si>
  <si>
    <r>
      <t>d</t>
    </r>
    <r>
      <rPr>
        <vertAlign val="superscript"/>
        <sz val="10"/>
        <rFont val="Arial"/>
        <family val="2"/>
      </rPr>
      <t>-1</t>
    </r>
  </si>
  <si>
    <t>Time since pollutant entered groundwater</t>
  </si>
  <si>
    <t>Soil-water partition co-efficient</t>
  </si>
  <si>
    <r>
      <t>g/cm</t>
    </r>
    <r>
      <rPr>
        <vertAlign val="superscript"/>
        <sz val="9"/>
        <rFont val="Arial"/>
        <family val="2"/>
      </rPr>
      <t>3</t>
    </r>
  </si>
  <si>
    <t>Hydraulic gradient used in aquifer flow down-gradient</t>
  </si>
  <si>
    <t>Rf</t>
  </si>
  <si>
    <t>Bulk density of aquifer materials</t>
  </si>
  <si>
    <t>Hydraulic Conductivity of aquifer in which dilution occurs</t>
  </si>
  <si>
    <t>Hydraulic gradient of water table</t>
  </si>
  <si>
    <t>User specified value for partition coefficient</t>
  </si>
  <si>
    <t xml:space="preserve">Calculate </t>
  </si>
  <si>
    <t xml:space="preserve">Specify </t>
  </si>
  <si>
    <t>Rate of groundwater flow through aquifer</t>
  </si>
  <si>
    <t>but your chains</t>
  </si>
  <si>
    <t>Define mixing zone depth by specifying or calculating depth (using pull down list)</t>
  </si>
  <si>
    <t>Enter method of defining partition co-efficient (using pull down list)</t>
  </si>
  <si>
    <t xml:space="preserve">Relative Concentration </t>
  </si>
  <si>
    <t>Hydraulic conductivity of saturated aquifer</t>
  </si>
  <si>
    <t>Define dispersivity (click brown cell and use pull down list)</t>
  </si>
  <si>
    <t>Liability: The Environment Agency does not promise that the worksheet will provide any particular facilities or functions. You must ensure that the worksheet meets your needs and you remain solely responsible for the competent use of the worksheet. You are entirely responsible for the consequences of any use of the worksheet and the Agency provides no warranty about the fitness for purpose or performance of any part of the worksheet. We do not promise that the media will always be free from defects, computer viruses, software locks or other similar code or that the operation of the worksheet will be uninterrupted or error free. You should carry out all necessary virus checks prior to installing on your computing system.</t>
  </si>
  <si>
    <t>Dispersivity based on Xu &amp; Eckstein (1995)</t>
  </si>
  <si>
    <t>User defined values for dispersivity</t>
  </si>
  <si>
    <t>Enter mixing zone thickness</t>
  </si>
  <si>
    <t>Calculated mixing zone thickness</t>
  </si>
  <si>
    <t>Distance m</t>
  </si>
  <si>
    <t>Calculate for ionic organic chemicals (acids)</t>
  </si>
  <si>
    <t>calculated</t>
  </si>
  <si>
    <t>Determine remedial target based on assumed concentration</t>
  </si>
  <si>
    <t>Note values of dispersivity must be &gt; 0</t>
  </si>
  <si>
    <t>Dilution</t>
  </si>
  <si>
    <t>Area of drainage field</t>
  </si>
  <si>
    <t>Width of drainage field perpendicular to groundwater flow</t>
  </si>
  <si>
    <t>Substance</t>
  </si>
  <si>
    <t>Concentration of substance in substance in discharge (entering infiltration system)</t>
  </si>
  <si>
    <t>Attenuation in saturated zone</t>
  </si>
  <si>
    <t>Infiltration System</t>
  </si>
  <si>
    <t>Number of persons</t>
  </si>
  <si>
    <t>Discharge rate</t>
  </si>
  <si>
    <t>Water use</t>
  </si>
  <si>
    <t>litres/person/day</t>
  </si>
  <si>
    <t>Calculated discharge</t>
  </si>
  <si>
    <t>Vp</t>
  </si>
  <si>
    <t>Percolation rate</t>
  </si>
  <si>
    <t>Type of treatment plant</t>
  </si>
  <si>
    <t>Septic tank</t>
  </si>
  <si>
    <t>Package treatment plant</t>
  </si>
  <si>
    <t>Specified discharge Q1</t>
  </si>
  <si>
    <t>Q1</t>
  </si>
  <si>
    <t>Q2</t>
  </si>
  <si>
    <t>Specify area of drainage field or calculate based on percolation rate</t>
  </si>
  <si>
    <t>Calculated area of drainage field</t>
  </si>
  <si>
    <t>Area of drainage fied and hydraulic loading</t>
  </si>
  <si>
    <t>Attenuation unsaturated zone</t>
  </si>
  <si>
    <t>Water filled porosity</t>
  </si>
  <si>
    <t>Infiltraton rate</t>
  </si>
  <si>
    <t>Calculated dispersivity</t>
  </si>
  <si>
    <t>Half life for degradation of  substance</t>
  </si>
  <si>
    <t>Concentration at base of unsaturated zone</t>
  </si>
  <si>
    <t>Unsaturated zone attenuation factor</t>
  </si>
  <si>
    <t>Concentration in groundwater below drainage field</t>
  </si>
  <si>
    <t>Width of drainage field</t>
  </si>
  <si>
    <t>Mixing zone thickness</t>
  </si>
  <si>
    <t>Saturated zone attenuation factor</t>
  </si>
  <si>
    <t>Concentration in groundwater at compliance point</t>
  </si>
  <si>
    <t>Attenuation factor - unsat zone</t>
  </si>
  <si>
    <t>Attenuation factor- sat zone</t>
  </si>
  <si>
    <t>d</t>
  </si>
  <si>
    <t>Source concentration</t>
  </si>
  <si>
    <t>Longitudinal dispersivity (m)</t>
  </si>
  <si>
    <t>Transverse dispersivity (m)</t>
  </si>
  <si>
    <t>Vertical dispersivity (m)</t>
  </si>
  <si>
    <t>Dispersivities 10%, 1%, 0.1% of pathway length</t>
  </si>
  <si>
    <t>Treatment plant</t>
  </si>
  <si>
    <t>Other</t>
  </si>
  <si>
    <t>AFu</t>
  </si>
  <si>
    <t>AFs</t>
  </si>
  <si>
    <t>Based on dilution and attenuation in unsaturated and saturated zone</t>
  </si>
  <si>
    <t>Based on attenuation in unsaturated zone and dilution</t>
  </si>
  <si>
    <t>Based on attenuation in unsaturated zone</t>
  </si>
  <si>
    <t>Effluent</t>
  </si>
  <si>
    <t>Base unsat zone</t>
  </si>
  <si>
    <t>Compliance borehole</t>
  </si>
  <si>
    <t>Site details entered on this page are automatically copied to each worksheet.</t>
  </si>
  <si>
    <t>Attenuation_unsatzone</t>
  </si>
  <si>
    <t>Attenuation_satzone</t>
  </si>
  <si>
    <t>Simple calcs</t>
  </si>
  <si>
    <t xml:space="preserve">Summary of calculations for concentration of substance in groundwater </t>
  </si>
  <si>
    <t>No input required,values taken from previous worksheets</t>
  </si>
  <si>
    <t>Effluent concentration</t>
  </si>
  <si>
    <t>Summary of compliance data, attenuation and dilution factors</t>
  </si>
  <si>
    <t>from dilution sheet</t>
  </si>
  <si>
    <t>For calculated value, assumes ax = 0.1 *x, az = 0.01 * x, ay = 0.001 * x</t>
  </si>
  <si>
    <t>Cgw</t>
  </si>
  <si>
    <t>Concentration</t>
  </si>
  <si>
    <r>
      <t>i</t>
    </r>
    <r>
      <rPr>
        <vertAlign val="subscript"/>
        <sz val="11"/>
        <rFont val="Arial"/>
        <family val="2"/>
      </rPr>
      <t>corr</t>
    </r>
  </si>
  <si>
    <t>From infiltration sheet</t>
  </si>
  <si>
    <t>From atten_unsatzone sheet</t>
  </si>
  <si>
    <t>Unretarded travel time (with dispersion)</t>
  </si>
  <si>
    <t>Unretarded travel time (no dispersion)</t>
  </si>
  <si>
    <t>Retarded travel time (with dispersion)</t>
  </si>
  <si>
    <t>B</t>
  </si>
  <si>
    <t xml:space="preserve"> Concentration mg/l</t>
  </si>
  <si>
    <t xml:space="preserve">Calculations for source located at top of aquifer (ie vertical dispersion in one direction) </t>
  </si>
  <si>
    <t>Calculation sheet for attenuation in saturated zone</t>
  </si>
  <si>
    <t>Water use and percolation rate (for use only with septic tanls and package treatment plants)</t>
  </si>
  <si>
    <t>Enter area of drainage field</t>
  </si>
  <si>
    <t>p</t>
  </si>
  <si>
    <t xml:space="preserve">Option to select degradation </t>
  </si>
  <si>
    <t>No degradation occurs</t>
  </si>
  <si>
    <t>Thickness of unsaturated zone below drainage field</t>
  </si>
  <si>
    <t>From introduction sheet</t>
  </si>
  <si>
    <t>and</t>
  </si>
  <si>
    <t>Bulk density of unsaturated zone</t>
  </si>
  <si>
    <t>calculated (very low value set if no degradation)</t>
  </si>
  <si>
    <t>Entry for organic chemicals (option)</t>
  </si>
  <si>
    <t xml:space="preserve">Attenuation factor </t>
  </si>
  <si>
    <t>Length of drainage field in direction of groundwater flow</t>
  </si>
  <si>
    <t>Background concentration of substance in groundwater up-gradient of site</t>
  </si>
  <si>
    <r>
      <t>C</t>
    </r>
    <r>
      <rPr>
        <b/>
        <vertAlign val="subscript"/>
        <sz val="11"/>
        <rFont val="Arial"/>
        <family val="2"/>
      </rPr>
      <t>wt</t>
    </r>
  </si>
  <si>
    <r>
      <t>C</t>
    </r>
    <r>
      <rPr>
        <b/>
        <vertAlign val="subscript"/>
        <sz val="11"/>
        <rFont val="Arial"/>
        <family val="2"/>
      </rPr>
      <t>e</t>
    </r>
  </si>
  <si>
    <t>Calc cells to be hidden</t>
  </si>
  <si>
    <t>This sheet allows user to enter effluent concentration and details of infitration system</t>
  </si>
  <si>
    <t>This sheet calculates attenuation factor for the unsaturated zone; concentration at base of unsaturated zone and discharge consent limit</t>
  </si>
  <si>
    <t>This sheet calculates the dilution factor for groundwater dilution below the drainage field. Substance concentration in groundwater and discharge consent limit</t>
  </si>
  <si>
    <t>from dilution sheet (adjusted)</t>
  </si>
  <si>
    <t xml:space="preserve">Calculated concentrations for </t>
  </si>
  <si>
    <t>Attenuation factor and discharge consent limit</t>
  </si>
  <si>
    <t>Dilution factor and discharge consent limit</t>
  </si>
  <si>
    <t>Attenuation and Dilution factors and discharge consent limit</t>
  </si>
  <si>
    <t>This sheet calculates attenuation factor for the saturated zone; substance concentration at downgradient compliance point and discharge consent limit</t>
  </si>
  <si>
    <t>Use steady state (recommended)</t>
  </si>
  <si>
    <t>Enter time (if validating model)</t>
  </si>
  <si>
    <t>Option to select time</t>
  </si>
  <si>
    <t>Enter time</t>
  </si>
  <si>
    <t>(These calculations are provided to allow additional hydrogeological calculations to be undertaken if required)</t>
  </si>
  <si>
    <t xml:space="preserve">Attenuation in unsaturated zone only </t>
  </si>
  <si>
    <r>
      <t>C</t>
    </r>
    <r>
      <rPr>
        <b/>
        <vertAlign val="subscript"/>
        <sz val="11"/>
        <rFont val="Arial"/>
        <family val="2"/>
      </rPr>
      <t>gw</t>
    </r>
  </si>
  <si>
    <r>
      <t>C</t>
    </r>
    <r>
      <rPr>
        <b/>
        <vertAlign val="subscript"/>
        <sz val="11"/>
        <rFont val="Arial"/>
        <family val="2"/>
      </rPr>
      <t>dcp</t>
    </r>
  </si>
  <si>
    <t>Summary</t>
  </si>
  <si>
    <t>The worksheet uses the following colour coding:</t>
  </si>
  <si>
    <t>Data entry</t>
  </si>
  <si>
    <t>Data carried forward from an earlier worksheet</t>
  </si>
  <si>
    <t>Worksheet option with pull down menu</t>
  </si>
  <si>
    <t>Calculated infiltration rate</t>
  </si>
  <si>
    <t>Soil water partition coefficient used in assessment</t>
  </si>
  <si>
    <t>Gw</t>
  </si>
  <si>
    <r>
      <t>m</t>
    </r>
    <r>
      <rPr>
        <vertAlign val="superscript"/>
        <sz val="10"/>
        <rFont val="Arial"/>
        <family val="2"/>
      </rPr>
      <t>3</t>
    </r>
    <r>
      <rPr>
        <sz val="10"/>
        <rFont val="Arial"/>
        <family val="2"/>
      </rPr>
      <t>/d</t>
    </r>
  </si>
  <si>
    <t>Value specifed by user and not calculated</t>
  </si>
  <si>
    <t>Value calculated and not specified by user</t>
  </si>
  <si>
    <t>Not valid for this treatment plant option</t>
  </si>
  <si>
    <t>Half life not required - No degradation occuring</t>
  </si>
  <si>
    <t>Not valid - User specified value used</t>
  </si>
  <si>
    <t>Not valid - Calculated value used</t>
  </si>
  <si>
    <t>Not valid - Value calculated</t>
  </si>
  <si>
    <t>Not valid - Value specified</t>
  </si>
  <si>
    <r>
      <t>m</t>
    </r>
    <r>
      <rPr>
        <vertAlign val="superscript"/>
        <sz val="10"/>
        <color indexed="8"/>
        <rFont val="Arial"/>
        <family val="2"/>
      </rPr>
      <t>3</t>
    </r>
    <r>
      <rPr>
        <sz val="10"/>
        <color indexed="8"/>
        <rFont val="Arial"/>
        <family val="2"/>
      </rPr>
      <t>/d</t>
    </r>
  </si>
  <si>
    <t xml:space="preserve">Calculation </t>
  </si>
  <si>
    <t>s/mm</t>
  </si>
  <si>
    <t>Specify discharge (Q1) or calculate based on use (Q2)</t>
  </si>
  <si>
    <t>Specify</t>
  </si>
  <si>
    <t>Fraction of rapid flow through unsaturated zone</t>
  </si>
  <si>
    <t>Groundwater flow (mixing zone) below drainage field</t>
  </si>
  <si>
    <t>Attenuation in saturated zone taken into account</t>
  </si>
  <si>
    <t>Porosity Calculator</t>
  </si>
  <si>
    <t>These results are not carried through to any of the other worksheets</t>
  </si>
  <si>
    <t>DRY BULK DENSITY DATA</t>
  </si>
  <si>
    <t>Natural Moisture Content</t>
  </si>
  <si>
    <t>% wt</t>
  </si>
  <si>
    <t>Particle Density</t>
  </si>
  <si>
    <t>(Change this number only if you have specific information)</t>
  </si>
  <si>
    <t>Dry Bulk Density</t>
  </si>
  <si>
    <t>Voids Ratio</t>
  </si>
  <si>
    <t>Initial Saturation</t>
  </si>
  <si>
    <t>%</t>
  </si>
  <si>
    <t>Total porosity</t>
  </si>
  <si>
    <t>Air Filled Porosity</t>
  </si>
  <si>
    <t>Water Filled Porosity</t>
  </si>
  <si>
    <t>WET BULK DENSITY DATA</t>
  </si>
  <si>
    <t>Moisture Content</t>
  </si>
  <si>
    <t>Actual (wet) Bulk Density ( i.e. at natural MC)</t>
  </si>
  <si>
    <t>dry bulk density</t>
  </si>
  <si>
    <t>Analytical solutions provided by David Hall, Golder Associates (UK) Ltd</t>
  </si>
  <si>
    <r>
      <t>tonnes/m</t>
    </r>
    <r>
      <rPr>
        <vertAlign val="superscript"/>
        <sz val="10"/>
        <rFont val="Arial"/>
        <family val="2"/>
      </rPr>
      <t>3</t>
    </r>
  </si>
  <si>
    <t>Ammonium calculator</t>
  </si>
  <si>
    <t>Ammonium as NH4</t>
  </si>
  <si>
    <t>Ammonium (NH4) as N</t>
  </si>
  <si>
    <t>This sheet allows the user to convert between different laboratory analysis for ammonium</t>
  </si>
  <si>
    <t>The ammonium ion (NH4) is typically the dominant ion at neutral pH , however in more alkaline water the ammonia (NH3) ion becomes increasingly dominant.</t>
  </si>
  <si>
    <t>Form of ammoniun (laboratory)</t>
  </si>
  <si>
    <t>Concentration (laboratory)</t>
  </si>
  <si>
    <t xml:space="preserve">Unit to convert to </t>
  </si>
  <si>
    <t>Converted concentration</t>
  </si>
  <si>
    <t>as N</t>
  </si>
  <si>
    <t>as NH4</t>
  </si>
  <si>
    <t>as NH3</t>
  </si>
  <si>
    <t>In this case NH4 may be been converted to NH3.</t>
  </si>
  <si>
    <t>Degradation occurs dissolved phase only</t>
  </si>
  <si>
    <t>Degradation occurs - sorbed and dissolved phases</t>
  </si>
  <si>
    <t>Total Ammonia as NH3</t>
  </si>
  <si>
    <t>Total Ammonia as N</t>
  </si>
  <si>
    <t>Laboratories may report the analysis for ammonium as (NH4) or as N (NH4-N). In some cases the laboratory may have reported the result as Total ammonia (as NH3) or as Total ammonoa as N. In this case total ammonia is likely to include ammonium (NH4) and ammonia (NH3).</t>
  </si>
  <si>
    <t>Compliance value or environmental standard</t>
  </si>
  <si>
    <r>
      <t>Environmental Standard (C</t>
    </r>
    <r>
      <rPr>
        <b/>
        <vertAlign val="subscript"/>
        <sz val="10"/>
        <color indexed="10"/>
        <rFont val="Arial"/>
        <family val="2"/>
      </rPr>
      <t>T</t>
    </r>
    <r>
      <rPr>
        <b/>
        <sz val="10"/>
        <color indexed="10"/>
        <rFont val="Arial"/>
        <family val="2"/>
      </rPr>
      <t>)</t>
    </r>
  </si>
  <si>
    <t>This spreadsheet has been developed as a tool to assist groundwater risk assessment for effluent discharges to infiltration systems. The following worksheets are available:</t>
  </si>
  <si>
    <t>Unsaturated Zone</t>
  </si>
  <si>
    <t>Drainage Layer</t>
  </si>
  <si>
    <t>Thickness of drainage layer</t>
  </si>
  <si>
    <r>
      <t>q</t>
    </r>
    <r>
      <rPr>
        <vertAlign val="subscript"/>
        <sz val="11"/>
        <rFont val="Symbol"/>
        <family val="1"/>
        <charset val="2"/>
      </rPr>
      <t>1</t>
    </r>
  </si>
  <si>
    <r>
      <t>r</t>
    </r>
    <r>
      <rPr>
        <vertAlign val="subscript"/>
        <sz val="11"/>
        <rFont val="Symbol"/>
        <family val="1"/>
        <charset val="2"/>
      </rPr>
      <t>2</t>
    </r>
  </si>
  <si>
    <r>
      <t>D</t>
    </r>
    <r>
      <rPr>
        <vertAlign val="subscript"/>
        <sz val="11"/>
        <rFont val="Arial"/>
        <family val="2"/>
      </rPr>
      <t>1</t>
    </r>
  </si>
  <si>
    <r>
      <t>Kd</t>
    </r>
    <r>
      <rPr>
        <vertAlign val="subscript"/>
        <sz val="10"/>
        <color indexed="8"/>
        <rFont val="Arial"/>
        <family val="2"/>
      </rPr>
      <t>1</t>
    </r>
  </si>
  <si>
    <r>
      <t>foc</t>
    </r>
    <r>
      <rPr>
        <vertAlign val="subscript"/>
        <sz val="10"/>
        <color indexed="8"/>
        <rFont val="Arial"/>
        <family val="2"/>
      </rPr>
      <t>1</t>
    </r>
  </si>
  <si>
    <r>
      <t>Koc</t>
    </r>
    <r>
      <rPr>
        <vertAlign val="subscript"/>
        <sz val="10"/>
        <color indexed="8"/>
        <rFont val="Arial"/>
        <family val="2"/>
      </rPr>
      <t>1</t>
    </r>
  </si>
  <si>
    <r>
      <t>Kd</t>
    </r>
    <r>
      <rPr>
        <b/>
        <vertAlign val="subscript"/>
        <sz val="10"/>
        <rFont val="Arial"/>
        <family val="2"/>
      </rPr>
      <t>1</t>
    </r>
  </si>
  <si>
    <r>
      <t>Rfu</t>
    </r>
    <r>
      <rPr>
        <vertAlign val="subscript"/>
        <sz val="11"/>
        <rFont val="Arial"/>
        <family val="2"/>
      </rPr>
      <t>1</t>
    </r>
  </si>
  <si>
    <r>
      <t>tu</t>
    </r>
    <r>
      <rPr>
        <vertAlign val="subscript"/>
        <sz val="10"/>
        <rFont val="Arial"/>
        <family val="2"/>
      </rPr>
      <t>1</t>
    </r>
  </si>
  <si>
    <r>
      <t>tr</t>
    </r>
    <r>
      <rPr>
        <vertAlign val="subscript"/>
        <sz val="10"/>
        <rFont val="Arial"/>
        <family val="2"/>
      </rPr>
      <t>1</t>
    </r>
  </si>
  <si>
    <r>
      <t>AFu</t>
    </r>
    <r>
      <rPr>
        <vertAlign val="subscript"/>
        <sz val="10"/>
        <rFont val="Arial"/>
        <family val="2"/>
      </rPr>
      <t>1</t>
    </r>
  </si>
  <si>
    <r>
      <t>AFu</t>
    </r>
    <r>
      <rPr>
        <b/>
        <vertAlign val="subscript"/>
        <sz val="11"/>
        <rFont val="Arial"/>
        <family val="2"/>
      </rPr>
      <t>1</t>
    </r>
  </si>
  <si>
    <t>Drainage layer attenuation factor</t>
  </si>
  <si>
    <t>Concentration at base of drainage layer</t>
  </si>
  <si>
    <r>
      <t>C</t>
    </r>
    <r>
      <rPr>
        <b/>
        <vertAlign val="subscript"/>
        <sz val="11"/>
        <rFont val="Arial"/>
        <family val="2"/>
      </rPr>
      <t>dl</t>
    </r>
  </si>
  <si>
    <r>
      <t>S</t>
    </r>
    <r>
      <rPr>
        <vertAlign val="subscript"/>
        <sz val="11"/>
        <rFont val="Arial"/>
        <family val="2"/>
      </rPr>
      <t>1</t>
    </r>
  </si>
  <si>
    <r>
      <t>r</t>
    </r>
    <r>
      <rPr>
        <vertAlign val="subscript"/>
        <sz val="11"/>
        <rFont val="Symbol"/>
        <family val="1"/>
        <charset val="2"/>
      </rPr>
      <t>1</t>
    </r>
  </si>
  <si>
    <r>
      <t>l</t>
    </r>
    <r>
      <rPr>
        <vertAlign val="subscript"/>
        <sz val="11"/>
        <rFont val="Symbol"/>
        <family val="1"/>
        <charset val="2"/>
      </rPr>
      <t>1</t>
    </r>
  </si>
  <si>
    <r>
      <t>S</t>
    </r>
    <r>
      <rPr>
        <vertAlign val="subscript"/>
        <sz val="11"/>
        <rFont val="Arial"/>
        <family val="2"/>
      </rPr>
      <t>2</t>
    </r>
  </si>
  <si>
    <r>
      <t>q</t>
    </r>
    <r>
      <rPr>
        <vertAlign val="subscript"/>
        <sz val="11"/>
        <rFont val="Symbol"/>
        <family val="1"/>
        <charset val="2"/>
      </rPr>
      <t>2</t>
    </r>
  </si>
  <si>
    <r>
      <t>D</t>
    </r>
    <r>
      <rPr>
        <vertAlign val="subscript"/>
        <sz val="11"/>
        <rFont val="Arial"/>
        <family val="2"/>
      </rPr>
      <t>2</t>
    </r>
  </si>
  <si>
    <r>
      <t>l</t>
    </r>
    <r>
      <rPr>
        <vertAlign val="subscript"/>
        <sz val="11"/>
        <rFont val="Symbol"/>
        <family val="1"/>
        <charset val="2"/>
      </rPr>
      <t>2</t>
    </r>
  </si>
  <si>
    <r>
      <t>Kd</t>
    </r>
    <r>
      <rPr>
        <vertAlign val="subscript"/>
        <sz val="10"/>
        <color indexed="8"/>
        <rFont val="Arial"/>
        <family val="2"/>
      </rPr>
      <t>2</t>
    </r>
  </si>
  <si>
    <r>
      <t>foc</t>
    </r>
    <r>
      <rPr>
        <vertAlign val="subscript"/>
        <sz val="10"/>
        <color indexed="8"/>
        <rFont val="Arial"/>
        <family val="2"/>
      </rPr>
      <t>2</t>
    </r>
  </si>
  <si>
    <r>
      <t>Koc</t>
    </r>
    <r>
      <rPr>
        <vertAlign val="subscript"/>
        <sz val="10"/>
        <color indexed="8"/>
        <rFont val="Arial"/>
        <family val="2"/>
      </rPr>
      <t>2</t>
    </r>
  </si>
  <si>
    <r>
      <t>Kd</t>
    </r>
    <r>
      <rPr>
        <b/>
        <vertAlign val="subscript"/>
        <sz val="10"/>
        <rFont val="Arial"/>
        <family val="2"/>
      </rPr>
      <t>2</t>
    </r>
  </si>
  <si>
    <r>
      <t>Rfu</t>
    </r>
    <r>
      <rPr>
        <vertAlign val="subscript"/>
        <sz val="11"/>
        <rFont val="Arial"/>
        <family val="2"/>
      </rPr>
      <t>2</t>
    </r>
  </si>
  <si>
    <r>
      <t>tu</t>
    </r>
    <r>
      <rPr>
        <vertAlign val="subscript"/>
        <sz val="10"/>
        <rFont val="Arial"/>
        <family val="2"/>
      </rPr>
      <t>2</t>
    </r>
  </si>
  <si>
    <r>
      <t>tr</t>
    </r>
    <r>
      <rPr>
        <vertAlign val="subscript"/>
        <sz val="10"/>
        <rFont val="Arial"/>
        <family val="2"/>
      </rPr>
      <t>2</t>
    </r>
  </si>
  <si>
    <r>
      <t>AFu</t>
    </r>
    <r>
      <rPr>
        <vertAlign val="subscript"/>
        <sz val="10"/>
        <rFont val="Arial"/>
        <family val="2"/>
      </rPr>
      <t>2</t>
    </r>
  </si>
  <si>
    <r>
      <t>AFu</t>
    </r>
    <r>
      <rPr>
        <b/>
        <vertAlign val="subscript"/>
        <sz val="10"/>
        <rFont val="Arial"/>
        <family val="2"/>
      </rPr>
      <t>2</t>
    </r>
  </si>
  <si>
    <t xml:space="preserve">Total unretarded travel time </t>
  </si>
  <si>
    <t xml:space="preserve">Total retarded travel time </t>
  </si>
  <si>
    <r>
      <t>tu</t>
    </r>
    <r>
      <rPr>
        <vertAlign val="subscript"/>
        <sz val="10"/>
        <rFont val="Arial"/>
        <family val="2"/>
      </rPr>
      <t xml:space="preserve">1 </t>
    </r>
    <r>
      <rPr>
        <sz val="10"/>
        <rFont val="Arial"/>
        <family val="2"/>
      </rPr>
      <t>+ tu</t>
    </r>
    <r>
      <rPr>
        <vertAlign val="subscript"/>
        <sz val="10"/>
        <rFont val="Arial"/>
        <family val="2"/>
      </rPr>
      <t>2</t>
    </r>
  </si>
  <si>
    <r>
      <t>tr</t>
    </r>
    <r>
      <rPr>
        <vertAlign val="subscript"/>
        <sz val="10"/>
        <rFont val="Arial"/>
        <family val="2"/>
      </rPr>
      <t xml:space="preserve">1 </t>
    </r>
    <r>
      <rPr>
        <sz val="10"/>
        <rFont val="Arial"/>
        <family val="2"/>
      </rPr>
      <t>+ tr</t>
    </r>
    <r>
      <rPr>
        <vertAlign val="subscript"/>
        <sz val="10"/>
        <rFont val="Arial"/>
        <family val="2"/>
      </rPr>
      <t>2</t>
    </r>
  </si>
  <si>
    <t>Bulk density</t>
  </si>
  <si>
    <t>Concentration of substance in discharge (entering infiltration system)</t>
  </si>
  <si>
    <t>Predicted concentrations at compliance point based on proposed effluent concentration</t>
  </si>
  <si>
    <t xml:space="preserve">w * L ( </t>
  </si>
  <si>
    <t xml:space="preserve"> ) - check parameters used (this may be OK if drainage field at angle to flow direction)</t>
  </si>
  <si>
    <t xml:space="preserve"> ) does not equal area (A) of drainage field ( </t>
  </si>
  <si>
    <r>
      <t xml:space="preserve">IMPORTANT: To enable MS Excel worksheet, click the Microsoft Office Button        click Excel Options, click Add-Ins. In the Manage box, select Excel Add-ins. Click Go. Select </t>
    </r>
    <r>
      <rPr>
        <b/>
        <sz val="14"/>
        <rFont val="Arial"/>
        <family val="2"/>
      </rPr>
      <t>Analysis ToolPak</t>
    </r>
    <r>
      <rPr>
        <sz val="14"/>
        <rFont val="Arial"/>
        <family val="2"/>
      </rPr>
      <t xml:space="preserve"> and </t>
    </r>
    <r>
      <rPr>
        <b/>
        <sz val="14"/>
        <rFont val="Arial"/>
        <family val="2"/>
      </rPr>
      <t>Analysis ToolPak-VBA</t>
    </r>
    <r>
      <rPr>
        <sz val="14"/>
        <rFont val="Arial"/>
        <family val="2"/>
      </rPr>
      <t xml:space="preserve"> (to calculate error functions)
</t>
    </r>
  </si>
  <si>
    <r>
      <t>Groundwater risk assessment for treated</t>
    </r>
    <r>
      <rPr>
        <b/>
        <sz val="16"/>
        <color rgb="FFFF0000"/>
        <rFont val="Arial"/>
        <family val="2"/>
      </rPr>
      <t xml:space="preserve"> </t>
    </r>
    <r>
      <rPr>
        <b/>
        <sz val="16"/>
        <rFont val="Arial"/>
        <family val="2"/>
      </rPr>
      <t>effluent discharges to infiltration systems</t>
    </r>
  </si>
  <si>
    <t>This worksheet has been produced in combination with the document: H1 Annex J5 User Manual version 2.0 (Environment Agency, 2014).</t>
  </si>
  <si>
    <t xml:space="preserve">Infiltration Worksheet </t>
  </si>
  <si>
    <t>Infiltration  Worksheet</t>
  </si>
  <si>
    <t xml:space="preserve">Infiltration  Worksheet </t>
  </si>
  <si>
    <t>Bgd</t>
  </si>
  <si>
    <t>Infiltration Worksheet , Release v3.0</t>
  </si>
  <si>
    <t>Date of Workbook Issue: March 2022</t>
  </si>
  <si>
    <t>© Environment Agency, 2021</t>
  </si>
  <si>
    <t xml:space="preserve">Headroom Factor </t>
  </si>
  <si>
    <t>HF</t>
  </si>
  <si>
    <t>Environmental Permit limit value</t>
  </si>
  <si>
    <r>
      <t>EPL</t>
    </r>
    <r>
      <rPr>
        <b/>
        <vertAlign val="subscript"/>
        <sz val="10"/>
        <rFont val="Arial"/>
        <family val="2"/>
      </rPr>
      <t>1</t>
    </r>
  </si>
  <si>
    <r>
      <t>EPL</t>
    </r>
    <r>
      <rPr>
        <b/>
        <vertAlign val="subscript"/>
        <sz val="11"/>
        <rFont val="Arial"/>
        <family val="2"/>
      </rPr>
      <t>2</t>
    </r>
  </si>
  <si>
    <r>
      <t>EPL</t>
    </r>
    <r>
      <rPr>
        <b/>
        <vertAlign val="subscript"/>
        <sz val="11"/>
        <rFont val="Arial"/>
        <family val="2"/>
      </rPr>
      <t>3</t>
    </r>
  </si>
  <si>
    <r>
      <t>EPL</t>
    </r>
    <r>
      <rPr>
        <b/>
        <vertAlign val="subscript"/>
        <sz val="11"/>
        <rFont val="Arial"/>
        <family val="2"/>
      </rPr>
      <t>1</t>
    </r>
  </si>
  <si>
    <t>Provisional Environmental Permit limit values</t>
  </si>
  <si>
    <t>Ammonia (N)</t>
  </si>
  <si>
    <t>Flows and Loads 4</t>
  </si>
  <si>
    <t>n/a</t>
  </si>
  <si>
    <t>ConSim Parameter Database</t>
  </si>
  <si>
    <t>Infiltration worksheet manual Appendix A</t>
  </si>
  <si>
    <t>Literature value</t>
  </si>
  <si>
    <t>Topographic contours</t>
  </si>
  <si>
    <t>UK DWS</t>
  </si>
  <si>
    <t>Hendre Farmhouse</t>
  </si>
  <si>
    <t>Will Owens</t>
  </si>
  <si>
    <t>Hendre Farmhouse, Orchard Campsite, Monmouth, NP25 4DJ</t>
  </si>
  <si>
    <t>NRW L1 Assessment</t>
  </si>
  <si>
    <t xml:space="preserve"> Maximum no. of people using the campsite</t>
  </si>
  <si>
    <t>Hydrogeo site investigation (09/01/25)</t>
  </si>
  <si>
    <t>WPL Diamond DMC9 PTP information</t>
  </si>
  <si>
    <t>Information provided by the Client</t>
  </si>
  <si>
    <t>BS 6297:2007 + A1:2008</t>
  </si>
  <si>
    <t>QGIS measurement</t>
  </si>
  <si>
    <t>Infiltration worksheet manual Appendix A (nitrification in saturated zone)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</si>
</sst>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
    <numFmt numFmtId="165" formatCode="0.0000"/>
    <numFmt numFmtId="166" formatCode="0.000"/>
    <numFmt numFmtId="167" formatCode="0.0E+00"/>
    <numFmt numFmtId="168" formatCode="0.000E+00"/>
  </numFmts>
  <fonts count="77" x14ac:knownFonts="1">
    <font>
      <sz val="10"/>
      <name val="Arial"/>
    </font>
    <font>
      <b/>
      <sz val="12"/>
      <name val="Arial"/>
      <family val="2"/>
    </font>
    <font>
      <b/>
      <sz val="10"/>
      <name val="Arial"/>
      <family val="2"/>
    </font>
    <font>
      <sz val="11"/>
      <name val="Arial"/>
      <family val="2"/>
    </font>
    <font>
      <sz val="11"/>
      <name val="Symbol"/>
      <family val="1"/>
      <charset val="2"/>
    </font>
    <font>
      <sz val="10"/>
      <color indexed="10"/>
      <name val="Arial"/>
      <family val="2"/>
    </font>
    <font>
      <sz val="10"/>
      <color indexed="12"/>
      <name val="Arial"/>
      <family val="2"/>
    </font>
    <font>
      <sz val="10"/>
      <color indexed="20"/>
      <name val="Arial"/>
      <family val="2"/>
    </font>
    <font>
      <b/>
      <sz val="16"/>
      <name val="Arial"/>
      <family val="2"/>
    </font>
    <font>
      <sz val="10"/>
      <name val="Arial"/>
      <family val="2"/>
    </font>
    <font>
      <vertAlign val="subscript"/>
      <sz val="10"/>
      <name val="Arial"/>
      <family val="2"/>
    </font>
    <font>
      <sz val="10"/>
      <color indexed="17"/>
      <name val="Arial"/>
      <family val="2"/>
    </font>
    <font>
      <b/>
      <sz val="16"/>
      <color indexed="8"/>
      <name val="Arial"/>
      <family val="2"/>
    </font>
    <font>
      <sz val="10"/>
      <color indexed="12"/>
      <name val="Arial"/>
      <family val="2"/>
    </font>
    <font>
      <sz val="10"/>
      <color indexed="18"/>
      <name val="Arial"/>
      <family val="2"/>
    </font>
    <font>
      <b/>
      <sz val="10"/>
      <color indexed="18"/>
      <name val="Arial"/>
      <family val="2"/>
    </font>
    <font>
      <b/>
      <sz val="12"/>
      <color indexed="20"/>
      <name val="Arial"/>
      <family val="2"/>
    </font>
    <font>
      <i/>
      <sz val="10"/>
      <name val="Arial"/>
      <family val="2"/>
    </font>
    <font>
      <sz val="11"/>
      <name val="Arial"/>
      <family val="2"/>
    </font>
    <font>
      <vertAlign val="superscript"/>
      <sz val="10"/>
      <name val="Arial"/>
      <family val="2"/>
    </font>
    <font>
      <sz val="10"/>
      <color indexed="8"/>
      <name val="Arial"/>
      <family val="2"/>
    </font>
    <font>
      <b/>
      <sz val="10"/>
      <color indexed="8"/>
      <name val="Arial"/>
      <family val="2"/>
    </font>
    <font>
      <b/>
      <sz val="12"/>
      <color indexed="8"/>
      <name val="Arial"/>
      <family val="2"/>
    </font>
    <font>
      <sz val="10"/>
      <color indexed="8"/>
      <name val="Arial"/>
      <family val="2"/>
    </font>
    <font>
      <vertAlign val="subscript"/>
      <sz val="11"/>
      <name val="Arial"/>
      <family val="2"/>
    </font>
    <font>
      <b/>
      <sz val="11"/>
      <name val="Arial"/>
      <family val="2"/>
    </font>
    <font>
      <b/>
      <vertAlign val="subscript"/>
      <sz val="11"/>
      <name val="Arial"/>
      <family val="2"/>
    </font>
    <font>
      <b/>
      <sz val="11"/>
      <color indexed="8"/>
      <name val="Arial"/>
      <family val="2"/>
    </font>
    <font>
      <sz val="11"/>
      <color indexed="10"/>
      <name val="Arial"/>
      <family val="2"/>
    </font>
    <font>
      <b/>
      <sz val="12"/>
      <color indexed="12"/>
      <name val="Arial"/>
      <family val="2"/>
    </font>
    <font>
      <sz val="12"/>
      <name val="Arial"/>
      <family val="2"/>
    </font>
    <font>
      <i/>
      <sz val="10"/>
      <color indexed="12"/>
      <name val="Arial"/>
      <family val="2"/>
    </font>
    <font>
      <i/>
      <sz val="11"/>
      <color indexed="8"/>
      <name val="Arial"/>
      <family val="2"/>
    </font>
    <font>
      <b/>
      <sz val="10"/>
      <color indexed="10"/>
      <name val="Arial"/>
      <family val="2"/>
    </font>
    <font>
      <sz val="11"/>
      <color indexed="8"/>
      <name val="Symbol"/>
      <family val="1"/>
      <charset val="2"/>
    </font>
    <font>
      <b/>
      <i/>
      <sz val="10"/>
      <color indexed="12"/>
      <name val="Arial"/>
      <family val="2"/>
    </font>
    <font>
      <b/>
      <i/>
      <sz val="10"/>
      <name val="Arial"/>
      <family val="2"/>
    </font>
    <font>
      <b/>
      <vertAlign val="subscript"/>
      <sz val="10"/>
      <color indexed="10"/>
      <name val="Arial"/>
      <family val="2"/>
    </font>
    <font>
      <sz val="10"/>
      <color indexed="9"/>
      <name val="Arial"/>
      <family val="2"/>
    </font>
    <font>
      <sz val="9"/>
      <name val="Arial"/>
      <family val="2"/>
    </font>
    <font>
      <b/>
      <sz val="8"/>
      <color indexed="81"/>
      <name val="Tahoma"/>
      <family val="2"/>
    </font>
    <font>
      <vertAlign val="superscript"/>
      <sz val="9"/>
      <name val="Arial"/>
      <family val="2"/>
    </font>
    <font>
      <b/>
      <sz val="8"/>
      <color indexed="81"/>
      <name val="Symbol"/>
      <family val="1"/>
      <charset val="2"/>
    </font>
    <font>
      <sz val="8"/>
      <name val="Arial"/>
      <family val="2"/>
    </font>
    <font>
      <b/>
      <sz val="14"/>
      <name val="Arial"/>
      <family val="2"/>
    </font>
    <font>
      <b/>
      <u/>
      <sz val="10"/>
      <color indexed="10"/>
      <name val="Arial"/>
      <family val="2"/>
    </font>
    <font>
      <sz val="10"/>
      <color indexed="81"/>
      <name val="Tahoma"/>
      <family val="2"/>
    </font>
    <font>
      <sz val="9"/>
      <name val="Symbol"/>
      <family val="1"/>
      <charset val="2"/>
    </font>
    <font>
      <vertAlign val="subscript"/>
      <sz val="10"/>
      <color indexed="81"/>
      <name val="Tahoma"/>
      <family val="2"/>
    </font>
    <font>
      <sz val="14"/>
      <name val="Arial"/>
      <family val="2"/>
    </font>
    <font>
      <b/>
      <sz val="8"/>
      <name val="Arial"/>
      <family val="2"/>
    </font>
    <font>
      <b/>
      <vertAlign val="subscript"/>
      <sz val="10"/>
      <name val="Arial"/>
      <family val="2"/>
    </font>
    <font>
      <b/>
      <sz val="10"/>
      <color indexed="20"/>
      <name val="Arial"/>
      <family val="2"/>
    </font>
    <font>
      <sz val="8"/>
      <color indexed="81"/>
      <name val="Tahoma"/>
      <family val="2"/>
    </font>
    <font>
      <b/>
      <sz val="10"/>
      <color indexed="81"/>
      <name val="Tahoma"/>
      <family val="2"/>
    </font>
    <font>
      <sz val="11"/>
      <color indexed="9"/>
      <name val="Arial"/>
      <family val="2"/>
    </font>
    <font>
      <b/>
      <i/>
      <sz val="10"/>
      <color indexed="20"/>
      <name val="Arial"/>
      <family val="2"/>
    </font>
    <font>
      <sz val="9"/>
      <color indexed="10"/>
      <name val="Arial"/>
      <family val="2"/>
    </font>
    <font>
      <sz val="8"/>
      <name val="Arial"/>
      <family val="2"/>
    </font>
    <font>
      <u/>
      <sz val="10"/>
      <color indexed="12"/>
      <name val="Arial"/>
      <family val="2"/>
    </font>
    <font>
      <sz val="10"/>
      <color indexed="61"/>
      <name val="Arial"/>
      <family val="2"/>
    </font>
    <font>
      <sz val="11"/>
      <color indexed="8"/>
      <name val="Arial"/>
      <family val="2"/>
    </font>
    <font>
      <b/>
      <sz val="10"/>
      <color indexed="12"/>
      <name val="Arial"/>
      <family val="2"/>
    </font>
    <font>
      <i/>
      <sz val="10"/>
      <color indexed="23"/>
      <name val="Arial"/>
      <family val="2"/>
    </font>
    <font>
      <sz val="10"/>
      <color indexed="9"/>
      <name val="Arial"/>
      <family val="2"/>
    </font>
    <font>
      <vertAlign val="superscript"/>
      <sz val="10"/>
      <color indexed="8"/>
      <name val="Arial"/>
      <family val="2"/>
    </font>
    <font>
      <b/>
      <vertAlign val="subscript"/>
      <sz val="8"/>
      <color indexed="81"/>
      <name val="Tahoma"/>
      <family val="2"/>
    </font>
    <font>
      <b/>
      <sz val="14"/>
      <color indexed="10"/>
      <name val="Arial"/>
      <family val="2"/>
    </font>
    <font>
      <i/>
      <sz val="10"/>
      <color indexed="20"/>
      <name val="Arial"/>
      <family val="2"/>
    </font>
    <font>
      <vertAlign val="subscript"/>
      <sz val="11"/>
      <name val="Symbol"/>
      <family val="1"/>
      <charset val="2"/>
    </font>
    <font>
      <vertAlign val="subscript"/>
      <sz val="10"/>
      <color indexed="8"/>
      <name val="Arial"/>
      <family val="2"/>
    </font>
    <font>
      <b/>
      <i/>
      <sz val="12"/>
      <color indexed="12"/>
      <name val="Arial"/>
      <family val="2"/>
    </font>
    <font>
      <b/>
      <sz val="16"/>
      <color rgb="FFFF0000"/>
      <name val="Arial"/>
      <family val="2"/>
    </font>
    <font>
      <vertAlign val="subscript"/>
      <sz val="12"/>
      <color indexed="81"/>
      <name val="Arial"/>
      <family val="2"/>
    </font>
    <font>
      <b/>
      <sz val="12"/>
      <color rgb="FF000000"/>
      <name val="Arial"/>
      <family val="2"/>
    </font>
    <font>
      <b/>
      <sz val="9"/>
      <color indexed="81"/>
      <name val="Tahoma"/>
      <family val="2"/>
    </font>
    <font>
      <sz val="9"/>
      <color indexed="81"/>
      <name val="Tahoma"/>
      <family val="2"/>
    </font>
  </fonts>
  <fills count="13">
    <fill>
      <patternFill patternType="none"/>
    </fill>
    <fill>
      <patternFill patternType="gray125"/>
    </fill>
    <fill>
      <patternFill patternType="solid">
        <fgColor indexed="41"/>
        <bgColor indexed="64"/>
      </patternFill>
    </fill>
    <fill>
      <patternFill patternType="solid">
        <fgColor indexed="27"/>
        <bgColor indexed="64"/>
      </patternFill>
    </fill>
    <fill>
      <patternFill patternType="solid">
        <fgColor indexed="26"/>
        <bgColor indexed="64"/>
      </patternFill>
    </fill>
    <fill>
      <patternFill patternType="solid">
        <fgColor indexed="22"/>
        <bgColor indexed="64"/>
      </patternFill>
    </fill>
    <fill>
      <patternFill patternType="solid">
        <fgColor indexed="47"/>
        <bgColor indexed="64"/>
      </patternFill>
    </fill>
    <fill>
      <patternFill patternType="solid">
        <fgColor indexed="42"/>
        <bgColor indexed="64"/>
      </patternFill>
    </fill>
    <fill>
      <patternFill patternType="solid">
        <fgColor indexed="43"/>
        <bgColor indexed="64"/>
      </patternFill>
    </fill>
    <fill>
      <patternFill patternType="solid">
        <fgColor indexed="9"/>
        <bgColor indexed="64"/>
      </patternFill>
    </fill>
    <fill>
      <patternFill patternType="solid">
        <fgColor indexed="13"/>
        <bgColor indexed="64"/>
      </patternFill>
    </fill>
    <fill>
      <patternFill patternType="solid">
        <fgColor indexed="26"/>
        <bgColor indexed="26"/>
      </patternFill>
    </fill>
    <fill>
      <patternFill patternType="solid">
        <fgColor theme="0" tint="-0.249977111117893"/>
        <bgColor indexed="64"/>
      </patternFill>
    </fill>
  </fills>
  <borders count="25">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23"/>
      </right>
      <top/>
      <bottom/>
      <diagonal/>
    </border>
  </borders>
  <cellStyleXfs count="2">
    <xf numFmtId="0" fontId="0" fillId="0" borderId="0"/>
    <xf numFmtId="0" fontId="59" fillId="0" borderId="0" applyNumberFormat="0" applyFill="0" applyBorder="0" applyAlignment="0" applyProtection="0">
      <alignment vertical="top"/>
      <protection locked="0"/>
    </xf>
  </cellStyleXfs>
  <cellXfs count="491">
    <xf numFmtId="0" fontId="0" fillId="0" borderId="0" xfId="0"/>
    <xf numFmtId="0" fontId="0" fillId="0" borderId="0" xfId="0" applyAlignment="1">
      <alignment horizontal="right"/>
    </xf>
    <xf numFmtId="0" fontId="0" fillId="0" borderId="0" xfId="0" applyAlignment="1">
      <alignment horizontal="center"/>
    </xf>
    <xf numFmtId="0" fontId="3" fillId="0" borderId="0" xfId="0" applyFont="1" applyAlignment="1">
      <alignment horizontal="center"/>
    </xf>
    <xf numFmtId="0" fontId="3" fillId="0" borderId="0" xfId="0" applyFont="1" applyAlignment="1">
      <alignment horizontal="center" vertical="center"/>
    </xf>
    <xf numFmtId="0" fontId="4" fillId="0" borderId="0" xfId="0" applyFont="1" applyAlignment="1">
      <alignment horizontal="center" vertical="center"/>
    </xf>
    <xf numFmtId="0" fontId="2" fillId="0" borderId="0" xfId="0" applyFont="1" applyAlignment="1">
      <alignment horizontal="center"/>
    </xf>
    <xf numFmtId="0" fontId="0" fillId="0" borderId="0" xfId="0" applyAlignment="1">
      <alignment horizontal="center" vertical="center"/>
    </xf>
    <xf numFmtId="0" fontId="1" fillId="0" borderId="0" xfId="0" applyFont="1" applyAlignment="1">
      <alignment horizontal="center"/>
    </xf>
    <xf numFmtId="0" fontId="5" fillId="0" borderId="0" xfId="0" applyFont="1" applyAlignment="1">
      <alignment horizontal="center"/>
    </xf>
    <xf numFmtId="0" fontId="6" fillId="0" borderId="0" xfId="0" applyFont="1" applyAlignment="1">
      <alignment horizontal="center"/>
    </xf>
    <xf numFmtId="0" fontId="2" fillId="0" borderId="0" xfId="0" applyFont="1"/>
    <xf numFmtId="0" fontId="13" fillId="0" borderId="0" xfId="0" applyFont="1" applyAlignment="1">
      <alignment horizontal="center"/>
    </xf>
    <xf numFmtId="0" fontId="0" fillId="0" borderId="0" xfId="0" applyAlignment="1">
      <alignment horizontal="left"/>
    </xf>
    <xf numFmtId="0" fontId="9" fillId="0" borderId="0" xfId="0" applyFont="1" applyAlignment="1">
      <alignment horizontal="left"/>
    </xf>
    <xf numFmtId="0" fontId="25" fillId="0" borderId="0" xfId="0" applyFont="1" applyAlignment="1">
      <alignment horizontal="center" vertical="center"/>
    </xf>
    <xf numFmtId="0" fontId="9" fillId="0" borderId="0" xfId="0" applyFont="1" applyAlignment="1">
      <alignment horizontal="center"/>
    </xf>
    <xf numFmtId="0" fontId="1" fillId="0" borderId="0" xfId="0" applyFont="1" applyAlignment="1">
      <alignment horizontal="center" vertical="center"/>
    </xf>
    <xf numFmtId="165" fontId="0" fillId="0" borderId="0" xfId="0" applyNumberFormat="1"/>
    <xf numFmtId="0" fontId="0" fillId="0" borderId="0" xfId="0" applyAlignment="1">
      <alignment horizontal="right" wrapText="1"/>
    </xf>
    <xf numFmtId="165" fontId="0" fillId="0" borderId="0" xfId="0" applyNumberFormat="1" applyAlignment="1">
      <alignment horizontal="center" vertical="center"/>
    </xf>
    <xf numFmtId="14" fontId="0" fillId="0" borderId="0" xfId="0" applyNumberFormat="1" applyAlignment="1">
      <alignment horizontal="left"/>
    </xf>
    <xf numFmtId="165" fontId="5" fillId="0" borderId="0" xfId="0" applyNumberFormat="1" applyFont="1" applyAlignment="1">
      <alignment horizontal="center"/>
    </xf>
    <xf numFmtId="0" fontId="2" fillId="0" borderId="0" xfId="0" applyFont="1" applyAlignment="1">
      <alignment horizontal="left"/>
    </xf>
    <xf numFmtId="0" fontId="16" fillId="0" borderId="0" xfId="0" applyFont="1"/>
    <xf numFmtId="0" fontId="16" fillId="0" borderId="0" xfId="0" applyFont="1" applyAlignment="1">
      <alignment horizontal="right"/>
    </xf>
    <xf numFmtId="0" fontId="13" fillId="0" borderId="0" xfId="0" applyFont="1"/>
    <xf numFmtId="0" fontId="17" fillId="0" borderId="0" xfId="0" applyFont="1" applyAlignment="1">
      <alignment horizontal="left"/>
    </xf>
    <xf numFmtId="0" fontId="2" fillId="0" borderId="0" xfId="0" applyFont="1" applyAlignment="1">
      <alignment horizontal="center" vertical="center"/>
    </xf>
    <xf numFmtId="11" fontId="9" fillId="0" borderId="0" xfId="0" applyNumberFormat="1" applyFont="1" applyAlignment="1">
      <alignment horizontal="center"/>
    </xf>
    <xf numFmtId="11" fontId="5" fillId="0" borderId="0" xfId="0" applyNumberFormat="1" applyFont="1" applyAlignment="1">
      <alignment horizontal="center"/>
    </xf>
    <xf numFmtId="11" fontId="13" fillId="0" borderId="0" xfId="0" applyNumberFormat="1" applyFont="1" applyAlignment="1">
      <alignment horizontal="center"/>
    </xf>
    <xf numFmtId="2" fontId="5" fillId="0" borderId="0" xfId="0" applyNumberFormat="1" applyFont="1" applyAlignment="1">
      <alignment horizontal="center"/>
    </xf>
    <xf numFmtId="11" fontId="23" fillId="2" borderId="1" xfId="0" applyNumberFormat="1" applyFont="1" applyFill="1" applyBorder="1" applyAlignment="1" applyProtection="1">
      <alignment horizontal="center"/>
      <protection locked="0"/>
    </xf>
    <xf numFmtId="11" fontId="23" fillId="2" borderId="1" xfId="0" applyNumberFormat="1" applyFont="1" applyFill="1" applyBorder="1" applyAlignment="1" applyProtection="1">
      <alignment horizontal="center" vertical="center"/>
      <protection locked="0"/>
    </xf>
    <xf numFmtId="11" fontId="39" fillId="3" borderId="1" xfId="0" applyNumberFormat="1" applyFont="1" applyFill="1" applyBorder="1" applyAlignment="1" applyProtection="1">
      <alignment horizontal="center"/>
      <protection locked="0"/>
    </xf>
    <xf numFmtId="0" fontId="0" fillId="4" borderId="1" xfId="0" applyFill="1" applyBorder="1" applyAlignment="1" applyProtection="1">
      <alignment horizontal="left"/>
      <protection locked="0"/>
    </xf>
    <xf numFmtId="0" fontId="17" fillId="4" borderId="1" xfId="0" applyFont="1" applyFill="1" applyBorder="1" applyAlignment="1" applyProtection="1">
      <alignment horizontal="left"/>
      <protection locked="0"/>
    </xf>
    <xf numFmtId="0" fontId="0" fillId="0" borderId="0" xfId="0" applyProtection="1">
      <protection locked="0"/>
    </xf>
    <xf numFmtId="0" fontId="2" fillId="0" borderId="0" xfId="0" applyFont="1" applyAlignment="1" applyProtection="1">
      <alignment horizontal="center"/>
      <protection locked="0"/>
    </xf>
    <xf numFmtId="168" fontId="0" fillId="0" borderId="0" xfId="0" applyNumberFormat="1" applyAlignment="1">
      <alignment horizontal="center" vertical="center"/>
    </xf>
    <xf numFmtId="0" fontId="0" fillId="0" borderId="0" xfId="0" applyProtection="1">
      <protection hidden="1"/>
    </xf>
    <xf numFmtId="0" fontId="2" fillId="0" borderId="0" xfId="0" applyFont="1" applyProtection="1">
      <protection hidden="1"/>
    </xf>
    <xf numFmtId="0" fontId="2" fillId="0" borderId="0" xfId="0" applyFont="1" applyAlignment="1" applyProtection="1">
      <alignment horizontal="center"/>
      <protection hidden="1"/>
    </xf>
    <xf numFmtId="0" fontId="0" fillId="0" borderId="0" xfId="0" applyAlignment="1" applyProtection="1">
      <alignment horizontal="center"/>
      <protection hidden="1"/>
    </xf>
    <xf numFmtId="0" fontId="0" fillId="0" borderId="0" xfId="0" applyAlignment="1" applyProtection="1">
      <alignment horizontal="left"/>
      <protection hidden="1"/>
    </xf>
    <xf numFmtId="0" fontId="12" fillId="0" borderId="0" xfId="0" applyFont="1" applyAlignment="1" applyProtection="1">
      <alignment horizontal="center"/>
      <protection hidden="1"/>
    </xf>
    <xf numFmtId="0" fontId="2" fillId="0" borderId="0" xfId="0" applyFont="1" applyAlignment="1" applyProtection="1">
      <alignment horizontal="right"/>
      <protection hidden="1"/>
    </xf>
    <xf numFmtId="0" fontId="2" fillId="0" borderId="0" xfId="0" applyFont="1" applyAlignment="1" applyProtection="1">
      <alignment horizontal="left"/>
      <protection hidden="1"/>
    </xf>
    <xf numFmtId="0" fontId="16" fillId="0" borderId="0" xfId="0" applyFont="1" applyAlignment="1" applyProtection="1">
      <alignment horizontal="right"/>
      <protection hidden="1"/>
    </xf>
    <xf numFmtId="0" fontId="13" fillId="0" borderId="0" xfId="0" applyFont="1" applyProtection="1">
      <protection hidden="1"/>
    </xf>
    <xf numFmtId="0" fontId="38" fillId="0" borderId="0" xfId="0" applyFont="1" applyAlignment="1" applyProtection="1">
      <alignment horizontal="left"/>
      <protection hidden="1"/>
    </xf>
    <xf numFmtId="0" fontId="25" fillId="0" borderId="0" xfId="0" applyFont="1" applyAlignment="1" applyProtection="1">
      <alignment horizontal="center" vertical="center"/>
      <protection hidden="1"/>
    </xf>
    <xf numFmtId="0" fontId="28" fillId="0" borderId="0" xfId="0" applyFont="1" applyAlignment="1" applyProtection="1">
      <alignment horizontal="center"/>
      <protection hidden="1"/>
    </xf>
    <xf numFmtId="0" fontId="18" fillId="0" borderId="0" xfId="0" applyFont="1" applyAlignment="1" applyProtection="1">
      <alignment horizontal="center" vertical="center"/>
      <protection hidden="1"/>
    </xf>
    <xf numFmtId="0" fontId="35" fillId="0" borderId="0" xfId="0" applyFont="1" applyAlignment="1" applyProtection="1">
      <alignment horizontal="right" vertical="center"/>
      <protection hidden="1"/>
    </xf>
    <xf numFmtId="0" fontId="0" fillId="0" borderId="0" xfId="0" applyAlignment="1" applyProtection="1">
      <alignment horizontal="right" vertical="center"/>
      <protection hidden="1"/>
    </xf>
    <xf numFmtId="0" fontId="4" fillId="0" borderId="0" xfId="0" applyFont="1" applyAlignment="1" applyProtection="1">
      <alignment horizontal="center" vertical="center"/>
      <protection hidden="1"/>
    </xf>
    <xf numFmtId="0" fontId="11" fillId="0" borderId="2" xfId="0" applyFont="1" applyBorder="1" applyAlignment="1" applyProtection="1">
      <alignment horizontal="center" vertical="center"/>
      <protection hidden="1"/>
    </xf>
    <xf numFmtId="0" fontId="2" fillId="0" borderId="0" xfId="0" applyFont="1" applyAlignment="1" applyProtection="1">
      <alignment horizontal="right" vertical="center"/>
      <protection hidden="1"/>
    </xf>
    <xf numFmtId="0" fontId="2" fillId="0" borderId="0" xfId="0" applyFont="1" applyAlignment="1" applyProtection="1">
      <alignment horizontal="center" vertical="center"/>
      <protection hidden="1"/>
    </xf>
    <xf numFmtId="0" fontId="12" fillId="0" borderId="0" xfId="0" applyFont="1" applyAlignment="1">
      <alignment horizontal="center"/>
    </xf>
    <xf numFmtId="0" fontId="2" fillId="0" borderId="0" xfId="0" applyFont="1" applyAlignment="1">
      <alignment horizontal="right"/>
    </xf>
    <xf numFmtId="0" fontId="28" fillId="0" borderId="0" xfId="0" applyFont="1" applyAlignment="1">
      <alignment horizontal="center"/>
    </xf>
    <xf numFmtId="0" fontId="14" fillId="0" borderId="0" xfId="0" applyFont="1"/>
    <xf numFmtId="0" fontId="14" fillId="0" borderId="0" xfId="0" applyFont="1" applyAlignment="1">
      <alignment horizontal="center"/>
    </xf>
    <xf numFmtId="0" fontId="31" fillId="0" borderId="0" xfId="0" applyFont="1"/>
    <xf numFmtId="0" fontId="18" fillId="0" borderId="0" xfId="0" applyFont="1" applyAlignment="1">
      <alignment horizontal="center"/>
    </xf>
    <xf numFmtId="0" fontId="0" fillId="0" borderId="3" xfId="0" applyBorder="1" applyAlignment="1">
      <alignment horizontal="left"/>
    </xf>
    <xf numFmtId="0" fontId="15" fillId="0" borderId="0" xfId="0" applyFont="1" applyAlignment="1">
      <alignment horizontal="center"/>
    </xf>
    <xf numFmtId="0" fontId="32" fillId="0" borderId="0" xfId="0" applyFont="1" applyAlignment="1">
      <alignment horizontal="left"/>
    </xf>
    <xf numFmtId="0" fontId="9" fillId="0" borderId="0" xfId="0" applyFont="1"/>
    <xf numFmtId="0" fontId="2" fillId="5" borderId="4" xfId="0" applyFont="1" applyFill="1" applyBorder="1" applyAlignment="1">
      <alignment horizontal="right"/>
    </xf>
    <xf numFmtId="0" fontId="25" fillId="5" borderId="5" xfId="0" applyFont="1" applyFill="1" applyBorder="1" applyAlignment="1">
      <alignment horizontal="center" vertical="center"/>
    </xf>
    <xf numFmtId="165" fontId="2" fillId="5" borderId="6" xfId="0" applyNumberFormat="1" applyFont="1" applyFill="1" applyBorder="1" applyAlignment="1">
      <alignment horizontal="center"/>
    </xf>
    <xf numFmtId="0" fontId="2" fillId="5" borderId="7" xfId="0" applyFont="1" applyFill="1" applyBorder="1" applyAlignment="1">
      <alignment horizontal="center"/>
    </xf>
    <xf numFmtId="0" fontId="25" fillId="5" borderId="8" xfId="0" applyFont="1" applyFill="1" applyBorder="1" applyAlignment="1">
      <alignment horizontal="right"/>
    </xf>
    <xf numFmtId="11" fontId="25" fillId="5" borderId="0" xfId="0" applyNumberFormat="1" applyFont="1" applyFill="1" applyAlignment="1">
      <alignment horizontal="center"/>
    </xf>
    <xf numFmtId="0" fontId="38" fillId="0" borderId="0" xfId="0" applyFont="1"/>
    <xf numFmtId="0" fontId="38" fillId="0" borderId="0" xfId="0" applyFont="1" applyProtection="1">
      <protection hidden="1"/>
    </xf>
    <xf numFmtId="11" fontId="11" fillId="0" borderId="0" xfId="0" applyNumberFormat="1" applyFont="1" applyAlignment="1">
      <alignment horizontal="center" vertical="center"/>
    </xf>
    <xf numFmtId="0" fontId="16" fillId="0" borderId="0" xfId="0" applyFont="1" applyAlignment="1">
      <alignment horizontal="left"/>
    </xf>
    <xf numFmtId="0" fontId="22" fillId="6" borderId="1" xfId="0" applyFont="1" applyFill="1" applyBorder="1" applyAlignment="1" applyProtection="1">
      <alignment horizontal="center"/>
      <protection locked="0"/>
    </xf>
    <xf numFmtId="0" fontId="25" fillId="0" borderId="0" xfId="0" applyFont="1"/>
    <xf numFmtId="0" fontId="2" fillId="0" borderId="0" xfId="0" applyFont="1" applyAlignment="1">
      <alignment horizontal="left" vertical="center"/>
    </xf>
    <xf numFmtId="0" fontId="25" fillId="5" borderId="0" xfId="0" applyFont="1" applyFill="1" applyAlignment="1">
      <alignment horizontal="center" vertical="center"/>
    </xf>
    <xf numFmtId="0" fontId="2" fillId="0" borderId="0" xfId="0" applyFont="1" applyAlignment="1">
      <alignment wrapText="1"/>
    </xf>
    <xf numFmtId="11" fontId="0" fillId="0" borderId="0" xfId="0" applyNumberFormat="1"/>
    <xf numFmtId="11" fontId="23" fillId="7" borderId="1" xfId="0" applyNumberFormat="1" applyFont="1" applyFill="1" applyBorder="1" applyAlignment="1">
      <alignment horizontal="center"/>
    </xf>
    <xf numFmtId="11" fontId="0" fillId="7" borderId="1" xfId="0" applyNumberFormat="1" applyFill="1" applyBorder="1" applyAlignment="1">
      <alignment horizontal="center"/>
    </xf>
    <xf numFmtId="0" fontId="2" fillId="2" borderId="3" xfId="0" applyFont="1" applyFill="1" applyBorder="1" applyAlignment="1" applyProtection="1">
      <alignment horizontal="left"/>
      <protection locked="0"/>
    </xf>
    <xf numFmtId="0" fontId="29" fillId="0" borderId="0" xfId="0" applyFont="1" applyAlignment="1">
      <alignment vertical="center"/>
    </xf>
    <xf numFmtId="0" fontId="14" fillId="0" borderId="0" xfId="0" applyFont="1" applyAlignment="1">
      <alignment horizontal="left"/>
    </xf>
    <xf numFmtId="0" fontId="15" fillId="0" borderId="0" xfId="0" applyFont="1" applyAlignment="1">
      <alignment horizontal="left"/>
    </xf>
    <xf numFmtId="0" fontId="13" fillId="0" borderId="0" xfId="0" applyFont="1" applyAlignment="1">
      <alignment horizontal="left"/>
    </xf>
    <xf numFmtId="0" fontId="23" fillId="0" borderId="8" xfId="0" applyFont="1" applyBorder="1" applyAlignment="1" applyProtection="1">
      <alignment horizontal="left" vertical="center" wrapText="1"/>
      <protection hidden="1"/>
    </xf>
    <xf numFmtId="0" fontId="23" fillId="0" borderId="0" xfId="0" applyFont="1" applyAlignment="1" applyProtection="1">
      <alignment horizontal="left" vertical="center" wrapText="1"/>
      <protection hidden="1"/>
    </xf>
    <xf numFmtId="0" fontId="7" fillId="0" borderId="0" xfId="0" applyFont="1" applyAlignment="1">
      <alignment horizontal="right" wrapText="1"/>
    </xf>
    <xf numFmtId="0" fontId="0" fillId="0" borderId="2" xfId="0" applyBorder="1"/>
    <xf numFmtId="0" fontId="31" fillId="0" borderId="0" xfId="0" applyFont="1" applyAlignment="1">
      <alignment horizontal="right"/>
    </xf>
    <xf numFmtId="0" fontId="60" fillId="0" borderId="0" xfId="0" applyFont="1" applyAlignment="1">
      <alignment horizontal="right"/>
    </xf>
    <xf numFmtId="0" fontId="52" fillId="0" borderId="0" xfId="0" applyFont="1" applyAlignment="1">
      <alignment horizontal="right"/>
    </xf>
    <xf numFmtId="0" fontId="11" fillId="0" borderId="3" xfId="0" applyFont="1" applyBorder="1" applyAlignment="1" applyProtection="1">
      <alignment horizontal="center" vertical="center"/>
      <protection hidden="1"/>
    </xf>
    <xf numFmtId="11" fontId="23" fillId="7" borderId="1" xfId="0" applyNumberFormat="1" applyFont="1" applyFill="1" applyBorder="1" applyAlignment="1" applyProtection="1">
      <alignment horizontal="center"/>
      <protection locked="0"/>
    </xf>
    <xf numFmtId="11" fontId="25" fillId="5" borderId="5" xfId="0" applyNumberFormat="1" applyFont="1" applyFill="1" applyBorder="1" applyAlignment="1">
      <alignment horizontal="center"/>
    </xf>
    <xf numFmtId="0" fontId="9" fillId="0" borderId="8" xfId="0" applyFont="1" applyBorder="1" applyAlignment="1">
      <alignment horizontal="right" vertical="center"/>
    </xf>
    <xf numFmtId="0" fontId="2" fillId="0" borderId="0" xfId="0" applyFont="1" applyAlignment="1">
      <alignment horizontal="left" wrapText="1"/>
    </xf>
    <xf numFmtId="0" fontId="25" fillId="0" borderId="8" xfId="0" applyFont="1" applyBorder="1" applyAlignment="1">
      <alignment horizontal="right" vertical="center"/>
    </xf>
    <xf numFmtId="11" fontId="0" fillId="0" borderId="0" xfId="0" applyNumberFormat="1" applyAlignment="1">
      <alignment horizontal="center"/>
    </xf>
    <xf numFmtId="0" fontId="31" fillId="0" borderId="0" xfId="0" applyFont="1" applyAlignment="1">
      <alignment horizontal="right" wrapText="1"/>
    </xf>
    <xf numFmtId="0" fontId="33" fillId="0" borderId="0" xfId="0" applyFont="1" applyAlignment="1">
      <alignment horizontal="left" vertical="center"/>
    </xf>
    <xf numFmtId="0" fontId="25" fillId="0" borderId="0" xfId="0" applyFont="1" applyAlignment="1">
      <alignment horizontal="left"/>
    </xf>
    <xf numFmtId="0" fontId="1" fillId="0" borderId="0" xfId="0" applyFont="1" applyAlignment="1">
      <alignment horizontal="left"/>
    </xf>
    <xf numFmtId="0" fontId="25" fillId="5" borderId="8" xfId="0" applyFont="1" applyFill="1" applyBorder="1" applyAlignment="1">
      <alignment horizontal="right" vertical="center"/>
    </xf>
    <xf numFmtId="11" fontId="27" fillId="5" borderId="0" xfId="0" applyNumberFormat="1" applyFont="1" applyFill="1" applyAlignment="1">
      <alignment horizontal="center" vertical="center"/>
    </xf>
    <xf numFmtId="0" fontId="25" fillId="5" borderId="9" xfId="0" applyFont="1" applyFill="1" applyBorder="1" applyAlignment="1">
      <alignment horizontal="right"/>
    </xf>
    <xf numFmtId="11" fontId="25" fillId="5" borderId="3" xfId="0" applyNumberFormat="1" applyFont="1" applyFill="1" applyBorder="1" applyAlignment="1">
      <alignment horizontal="center"/>
    </xf>
    <xf numFmtId="0" fontId="25" fillId="5" borderId="0" xfId="0" applyFont="1" applyFill="1" applyAlignment="1">
      <alignment horizontal="center"/>
    </xf>
    <xf numFmtId="0" fontId="25" fillId="5" borderId="7" xfId="0" applyFont="1" applyFill="1" applyBorder="1" applyAlignment="1">
      <alignment horizontal="center"/>
    </xf>
    <xf numFmtId="0" fontId="25" fillId="5" borderId="7" xfId="0" applyFont="1" applyFill="1" applyBorder="1" applyAlignment="1">
      <alignment horizontal="center" vertical="center"/>
    </xf>
    <xf numFmtId="0" fontId="25" fillId="5" borderId="10" xfId="0" applyFont="1" applyFill="1" applyBorder="1" applyAlignment="1">
      <alignment horizontal="center"/>
    </xf>
    <xf numFmtId="0" fontId="25" fillId="5" borderId="3" xfId="0" applyFont="1" applyFill="1" applyBorder="1" applyAlignment="1">
      <alignment horizontal="center" vertical="center"/>
    </xf>
    <xf numFmtId="0" fontId="2" fillId="5" borderId="10" xfId="0" applyFont="1" applyFill="1" applyBorder="1" applyAlignment="1">
      <alignment horizontal="center"/>
    </xf>
    <xf numFmtId="0" fontId="25" fillId="5" borderId="11" xfId="0" applyFont="1" applyFill="1" applyBorder="1" applyAlignment="1">
      <alignment horizontal="right" vertical="center"/>
    </xf>
    <xf numFmtId="11" fontId="27" fillId="5" borderId="2" xfId="0" applyNumberFormat="1" applyFont="1" applyFill="1" applyBorder="1" applyAlignment="1">
      <alignment horizontal="center" vertical="center"/>
    </xf>
    <xf numFmtId="0" fontId="33" fillId="0" borderId="0" xfId="0" applyFont="1"/>
    <xf numFmtId="0" fontId="25" fillId="5" borderId="3" xfId="0" applyFont="1" applyFill="1" applyBorder="1" applyAlignment="1">
      <alignment horizontal="center"/>
    </xf>
    <xf numFmtId="0" fontId="25" fillId="0" borderId="0" xfId="0" applyFont="1" applyAlignment="1">
      <alignment horizontal="center"/>
    </xf>
    <xf numFmtId="0" fontId="23" fillId="8" borderId="0" xfId="0" applyFont="1" applyFill="1"/>
    <xf numFmtId="0" fontId="23" fillId="8" borderId="0" xfId="0" applyFont="1" applyFill="1" applyAlignment="1" applyProtection="1">
      <alignment horizontal="left"/>
      <protection hidden="1"/>
    </xf>
    <xf numFmtId="0" fontId="0" fillId="8" borderId="0" xfId="0" applyFill="1" applyProtection="1">
      <protection hidden="1"/>
    </xf>
    <xf numFmtId="0" fontId="0" fillId="8" borderId="0" xfId="0" applyFill="1"/>
    <xf numFmtId="0" fontId="13" fillId="8" borderId="0" xfId="0" applyFont="1" applyFill="1" applyProtection="1">
      <protection hidden="1"/>
    </xf>
    <xf numFmtId="0" fontId="0" fillId="0" borderId="3" xfId="0" applyBorder="1"/>
    <xf numFmtId="0" fontId="2" fillId="0" borderId="3" xfId="0" applyFont="1" applyBorder="1" applyAlignment="1">
      <alignment horizontal="center" vertical="center"/>
    </xf>
    <xf numFmtId="0" fontId="17" fillId="4" borderId="0" xfId="0" applyFont="1" applyFill="1" applyAlignment="1" applyProtection="1">
      <alignment horizontal="left"/>
      <protection locked="0"/>
    </xf>
    <xf numFmtId="11" fontId="23" fillId="5" borderId="1" xfId="0" applyNumberFormat="1" applyFont="1" applyFill="1" applyBorder="1" applyAlignment="1">
      <alignment horizontal="center"/>
    </xf>
    <xf numFmtId="0" fontId="0" fillId="6" borderId="0" xfId="0" applyFill="1"/>
    <xf numFmtId="0" fontId="0" fillId="2" borderId="0" xfId="0" applyFill="1"/>
    <xf numFmtId="0" fontId="0" fillId="7" borderId="0" xfId="0" applyFill="1"/>
    <xf numFmtId="11" fontId="0" fillId="5" borderId="0" xfId="0" applyNumberFormat="1" applyFill="1" applyAlignment="1">
      <alignment horizontal="center"/>
    </xf>
    <xf numFmtId="11" fontId="23" fillId="5" borderId="1" xfId="0" applyNumberFormat="1" applyFont="1" applyFill="1" applyBorder="1" applyAlignment="1">
      <alignment horizontal="center" vertical="center"/>
    </xf>
    <xf numFmtId="0" fontId="9" fillId="0" borderId="0" xfId="0" applyFont="1" applyAlignment="1">
      <alignment horizontal="left" vertical="top" wrapText="1"/>
    </xf>
    <xf numFmtId="11" fontId="2" fillId="0" borderId="0" xfId="0" applyNumberFormat="1" applyFont="1" applyAlignment="1">
      <alignment horizontal="center"/>
    </xf>
    <xf numFmtId="2" fontId="61" fillId="5" borderId="1" xfId="0" applyNumberFormat="1" applyFont="1" applyFill="1" applyBorder="1" applyAlignment="1">
      <alignment horizontal="center"/>
    </xf>
    <xf numFmtId="0" fontId="23" fillId="7" borderId="4" xfId="0" applyFont="1" applyFill="1" applyBorder="1" applyProtection="1">
      <protection hidden="1"/>
    </xf>
    <xf numFmtId="0" fontId="23" fillId="7" borderId="5" xfId="0" applyFont="1" applyFill="1" applyBorder="1" applyProtection="1">
      <protection hidden="1"/>
    </xf>
    <xf numFmtId="0" fontId="23" fillId="7" borderId="5" xfId="0" applyFont="1" applyFill="1" applyBorder="1" applyAlignment="1" applyProtection="1">
      <alignment horizontal="left"/>
      <protection hidden="1"/>
    </xf>
    <xf numFmtId="0" fontId="23" fillId="7" borderId="0" xfId="0" applyFont="1" applyFill="1" applyProtection="1">
      <protection hidden="1"/>
    </xf>
    <xf numFmtId="0" fontId="23" fillId="7" borderId="6" xfId="0" applyFont="1" applyFill="1" applyBorder="1" applyProtection="1">
      <protection hidden="1"/>
    </xf>
    <xf numFmtId="0" fontId="23" fillId="7" borderId="8" xfId="0" applyFont="1" applyFill="1" applyBorder="1" applyProtection="1">
      <protection hidden="1"/>
    </xf>
    <xf numFmtId="0" fontId="23" fillId="7" borderId="0" xfId="0" applyFont="1" applyFill="1" applyAlignment="1" applyProtection="1">
      <alignment horizontal="left"/>
      <protection hidden="1"/>
    </xf>
    <xf numFmtId="0" fontId="23" fillId="7" borderId="7" xfId="0" applyFont="1" applyFill="1" applyBorder="1" applyProtection="1">
      <protection hidden="1"/>
    </xf>
    <xf numFmtId="15" fontId="23" fillId="7" borderId="0" xfId="0" applyNumberFormat="1" applyFont="1" applyFill="1" applyAlignment="1" applyProtection="1">
      <alignment horizontal="left"/>
      <protection hidden="1"/>
    </xf>
    <xf numFmtId="0" fontId="23" fillId="7" borderId="9" xfId="0" applyFont="1" applyFill="1" applyBorder="1" applyProtection="1">
      <protection hidden="1"/>
    </xf>
    <xf numFmtId="0" fontId="23" fillId="7" borderId="3" xfId="0" applyFont="1" applyFill="1" applyBorder="1" applyProtection="1">
      <protection hidden="1"/>
    </xf>
    <xf numFmtId="0" fontId="23" fillId="7" borderId="3" xfId="0" applyFont="1" applyFill="1" applyBorder="1" applyAlignment="1" applyProtection="1">
      <alignment horizontal="left"/>
      <protection hidden="1"/>
    </xf>
    <xf numFmtId="0" fontId="23" fillId="7" borderId="10" xfId="0" applyFont="1" applyFill="1" applyBorder="1" applyProtection="1">
      <protection hidden="1"/>
    </xf>
    <xf numFmtId="0" fontId="0" fillId="9" borderId="0" xfId="0" applyFill="1"/>
    <xf numFmtId="0" fontId="43" fillId="9" borderId="0" xfId="0" applyFont="1" applyFill="1"/>
    <xf numFmtId="15" fontId="2" fillId="2" borderId="0" xfId="0" applyNumberFormat="1" applyFont="1" applyFill="1" applyAlignment="1" applyProtection="1">
      <alignment horizontal="left"/>
      <protection locked="0"/>
    </xf>
    <xf numFmtId="0" fontId="2" fillId="3" borderId="0" xfId="0" applyFont="1" applyFill="1" applyProtection="1">
      <protection locked="0"/>
    </xf>
    <xf numFmtId="0" fontId="30" fillId="9" borderId="0" xfId="0" applyFont="1" applyFill="1"/>
    <xf numFmtId="0" fontId="25" fillId="9" borderId="0" xfId="0" applyFont="1" applyFill="1"/>
    <xf numFmtId="0" fontId="49" fillId="9" borderId="0" xfId="0" applyFont="1" applyFill="1"/>
    <xf numFmtId="11" fontId="23" fillId="0" borderId="1" xfId="0" applyNumberFormat="1" applyFont="1" applyBorder="1" applyAlignment="1" applyProtection="1">
      <alignment horizontal="center" vertical="center"/>
      <protection locked="0"/>
    </xf>
    <xf numFmtId="11" fontId="23" fillId="5" borderId="12" xfId="0" applyNumberFormat="1" applyFont="1" applyFill="1" applyBorder="1" applyAlignment="1">
      <alignment horizontal="center" vertical="center"/>
    </xf>
    <xf numFmtId="11" fontId="2" fillId="7" borderId="1" xfId="0" applyNumberFormat="1" applyFont="1" applyFill="1" applyBorder="1" applyAlignment="1" applyProtection="1">
      <alignment horizontal="center"/>
      <protection locked="0"/>
    </xf>
    <xf numFmtId="0" fontId="56" fillId="0" borderId="0" xfId="0" applyFont="1" applyAlignment="1">
      <alignment horizontal="left" vertical="center"/>
    </xf>
    <xf numFmtId="0" fontId="18" fillId="0" borderId="0" xfId="0" applyFont="1" applyAlignment="1">
      <alignment horizontal="center" vertical="center"/>
    </xf>
    <xf numFmtId="0" fontId="11" fillId="0" borderId="3" xfId="0" applyFont="1" applyBorder="1" applyAlignment="1">
      <alignment horizontal="center" vertical="center"/>
    </xf>
    <xf numFmtId="0" fontId="0" fillId="0" borderId="0" xfId="0" applyAlignment="1">
      <alignment horizontal="left" vertical="center"/>
    </xf>
    <xf numFmtId="11" fontId="21" fillId="7" borderId="1" xfId="0" applyNumberFormat="1" applyFont="1" applyFill="1" applyBorder="1" applyAlignment="1">
      <alignment horizontal="center"/>
    </xf>
    <xf numFmtId="0" fontId="11" fillId="0" borderId="2" xfId="0" applyFont="1" applyBorder="1" applyAlignment="1">
      <alignment horizontal="center" vertical="center"/>
    </xf>
    <xf numFmtId="0" fontId="23" fillId="0" borderId="0" xfId="0" applyFont="1" applyAlignment="1">
      <alignment horizontal="left"/>
    </xf>
    <xf numFmtId="0" fontId="23" fillId="0" borderId="0" xfId="0" applyFont="1" applyAlignment="1">
      <alignment horizontal="center"/>
    </xf>
    <xf numFmtId="11" fontId="0" fillId="5" borderId="0" xfId="0" applyNumberFormat="1" applyFill="1" applyAlignment="1">
      <alignment horizontal="center" vertical="center"/>
    </xf>
    <xf numFmtId="167" fontId="25" fillId="0" borderId="0" xfId="0" applyNumberFormat="1" applyFont="1" applyAlignment="1">
      <alignment horizontal="center"/>
    </xf>
    <xf numFmtId="0" fontId="38" fillId="0" borderId="0" xfId="0" applyFont="1" applyAlignment="1">
      <alignment horizontal="left"/>
    </xf>
    <xf numFmtId="164" fontId="25" fillId="0" borderId="0" xfId="0" applyNumberFormat="1" applyFont="1" applyAlignment="1">
      <alignment horizontal="center"/>
    </xf>
    <xf numFmtId="11" fontId="25" fillId="0" borderId="0" xfId="0" applyNumberFormat="1" applyFont="1" applyAlignment="1">
      <alignment horizontal="center"/>
    </xf>
    <xf numFmtId="0" fontId="52" fillId="0" borderId="0" xfId="0" applyFont="1"/>
    <xf numFmtId="0" fontId="4" fillId="0" borderId="0" xfId="0" applyFont="1" applyAlignment="1">
      <alignment horizontal="center"/>
    </xf>
    <xf numFmtId="0" fontId="15" fillId="0" borderId="0" xfId="0" applyFont="1"/>
    <xf numFmtId="0" fontId="0" fillId="0" borderId="0" xfId="0" applyAlignment="1">
      <alignment horizontal="left" vertical="top" wrapText="1"/>
    </xf>
    <xf numFmtId="0" fontId="21" fillId="0" borderId="0" xfId="0" applyFont="1"/>
    <xf numFmtId="0" fontId="55" fillId="0" borderId="0" xfId="0" applyFont="1" applyAlignment="1">
      <alignment horizontal="left"/>
    </xf>
    <xf numFmtId="0" fontId="17" fillId="0" borderId="0" xfId="0" applyFont="1" applyAlignment="1">
      <alignment horizontal="right" wrapText="1"/>
    </xf>
    <xf numFmtId="0" fontId="11" fillId="0" borderId="2" xfId="0" applyFont="1" applyBorder="1" applyAlignment="1">
      <alignment horizontal="center"/>
    </xf>
    <xf numFmtId="0" fontId="18" fillId="0" borderId="0" xfId="0" applyFont="1"/>
    <xf numFmtId="0" fontId="36" fillId="0" borderId="0" xfId="0" applyFont="1" applyAlignment="1">
      <alignment horizontal="left"/>
    </xf>
    <xf numFmtId="0" fontId="5" fillId="0" borderId="0" xfId="0" applyFont="1" applyAlignment="1">
      <alignment horizontal="left"/>
    </xf>
    <xf numFmtId="167" fontId="0" fillId="0" borderId="0" xfId="0" applyNumberFormat="1"/>
    <xf numFmtId="0" fontId="23" fillId="8" borderId="0" xfId="0" applyFont="1" applyFill="1" applyAlignment="1">
      <alignment horizontal="left" vertical="center"/>
    </xf>
    <xf numFmtId="0" fontId="61" fillId="8" borderId="0" xfId="0" applyFont="1" applyFill="1" applyAlignment="1">
      <alignment horizontal="left"/>
    </xf>
    <xf numFmtId="11" fontId="21" fillId="5" borderId="0" xfId="0" applyNumberFormat="1" applyFont="1" applyFill="1" applyAlignment="1">
      <alignment horizontal="center"/>
    </xf>
    <xf numFmtId="11" fontId="21" fillId="0" borderId="0" xfId="0" applyNumberFormat="1" applyFont="1" applyAlignment="1">
      <alignment horizontal="center"/>
    </xf>
    <xf numFmtId="11" fontId="0" fillId="0" borderId="0" xfId="0" applyNumberFormat="1" applyAlignment="1">
      <alignment horizontal="left"/>
    </xf>
    <xf numFmtId="0" fontId="25" fillId="0" borderId="0" xfId="0" applyFont="1" applyAlignment="1">
      <alignment horizontal="right"/>
    </xf>
    <xf numFmtId="165" fontId="0" fillId="0" borderId="0" xfId="0" applyNumberFormat="1" applyAlignment="1">
      <alignment horizontal="center"/>
    </xf>
    <xf numFmtId="4" fontId="0" fillId="0" borderId="0" xfId="0" applyNumberFormat="1"/>
    <xf numFmtId="4" fontId="0" fillId="0" borderId="0" xfId="0" applyNumberFormat="1" applyAlignment="1">
      <alignment horizontal="center"/>
    </xf>
    <xf numFmtId="4" fontId="2" fillId="0" borderId="0" xfId="0" applyNumberFormat="1" applyFont="1" applyAlignment="1">
      <alignment horizontal="left"/>
    </xf>
    <xf numFmtId="4" fontId="2" fillId="0" borderId="0" xfId="0" applyNumberFormat="1" applyFont="1" applyAlignment="1">
      <alignment horizontal="right"/>
    </xf>
    <xf numFmtId="11" fontId="9" fillId="7" borderId="1" xfId="0" applyNumberFormat="1" applyFont="1" applyFill="1" applyBorder="1" applyAlignment="1">
      <alignment horizontal="center" vertical="center"/>
    </xf>
    <xf numFmtId="4" fontId="0" fillId="0" borderId="0" xfId="0" applyNumberFormat="1" applyAlignment="1">
      <alignment horizontal="right"/>
    </xf>
    <xf numFmtId="4" fontId="3" fillId="0" borderId="0" xfId="0" applyNumberFormat="1" applyFont="1" applyAlignment="1">
      <alignment horizontal="center"/>
    </xf>
    <xf numFmtId="4" fontId="0" fillId="7" borderId="1" xfId="0" applyNumberFormat="1" applyFill="1" applyBorder="1" applyAlignment="1">
      <alignment horizontal="center"/>
    </xf>
    <xf numFmtId="4" fontId="2" fillId="0" borderId="0" xfId="0" applyNumberFormat="1" applyFont="1"/>
    <xf numFmtId="4" fontId="29" fillId="0" borderId="0" xfId="0" applyNumberFormat="1" applyFont="1"/>
    <xf numFmtId="0" fontId="8" fillId="0" borderId="0" xfId="0" applyFont="1"/>
    <xf numFmtId="0" fontId="1" fillId="0" borderId="0" xfId="0" applyFont="1"/>
    <xf numFmtId="0" fontId="39" fillId="0" borderId="0" xfId="0" applyFont="1" applyAlignment="1">
      <alignment horizontal="right"/>
    </xf>
    <xf numFmtId="0" fontId="39" fillId="0" borderId="0" xfId="0" applyFont="1" applyAlignment="1">
      <alignment horizontal="center"/>
    </xf>
    <xf numFmtId="0" fontId="39" fillId="0" borderId="0" xfId="0" applyFont="1"/>
    <xf numFmtId="0" fontId="47" fillId="0" borderId="0" xfId="0" applyFont="1" applyAlignment="1">
      <alignment horizontal="center"/>
    </xf>
    <xf numFmtId="0" fontId="39" fillId="5" borderId="1" xfId="0" applyFont="1" applyFill="1" applyBorder="1" applyAlignment="1">
      <alignment horizontal="center"/>
    </xf>
    <xf numFmtId="0" fontId="39" fillId="5" borderId="1" xfId="0" applyFont="1" applyFill="1" applyBorder="1" applyAlignment="1">
      <alignment horizontal="right"/>
    </xf>
    <xf numFmtId="11" fontId="39" fillId="5" borderId="11" xfId="0" applyNumberFormat="1" applyFont="1" applyFill="1" applyBorder="1" applyAlignment="1">
      <alignment horizontal="center"/>
    </xf>
    <xf numFmtId="0" fontId="0" fillId="5" borderId="13" xfId="0" applyFill="1" applyBorder="1"/>
    <xf numFmtId="0" fontId="39" fillId="9" borderId="0" xfId="0" applyFont="1" applyFill="1"/>
    <xf numFmtId="0" fontId="39" fillId="5" borderId="13" xfId="0" applyFont="1" applyFill="1" applyBorder="1"/>
    <xf numFmtId="11" fontId="39" fillId="0" borderId="0" xfId="0" applyNumberFormat="1" applyFont="1" applyAlignment="1">
      <alignment horizontal="center"/>
    </xf>
    <xf numFmtId="11" fontId="39" fillId="5" borderId="1" xfId="0" applyNumberFormat="1" applyFont="1" applyFill="1" applyBorder="1" applyAlignment="1">
      <alignment horizontal="center"/>
    </xf>
    <xf numFmtId="0" fontId="39" fillId="5" borderId="1" xfId="0" applyFont="1" applyFill="1" applyBorder="1"/>
    <xf numFmtId="0" fontId="50" fillId="9" borderId="0" xfId="0" applyFont="1" applyFill="1"/>
    <xf numFmtId="0" fontId="0" fillId="9" borderId="0" xfId="0" applyFill="1" applyAlignment="1">
      <alignment wrapText="1"/>
    </xf>
    <xf numFmtId="0" fontId="9" fillId="9" borderId="0" xfId="0" applyFont="1" applyFill="1" applyAlignment="1">
      <alignment horizontal="left"/>
    </xf>
    <xf numFmtId="0" fontId="9" fillId="9" borderId="0" xfId="0" applyFont="1" applyFill="1"/>
    <xf numFmtId="0" fontId="2" fillId="9" borderId="0" xfId="0" applyFont="1" applyFill="1"/>
    <xf numFmtId="0" fontId="45" fillId="9" borderId="4" xfId="0" applyFont="1" applyFill="1" applyBorder="1"/>
    <xf numFmtId="0" fontId="0" fillId="9" borderId="5" xfId="0" applyFill="1" applyBorder="1"/>
    <xf numFmtId="0" fontId="0" fillId="9" borderId="6" xfId="0" applyFill="1" applyBorder="1"/>
    <xf numFmtId="0" fontId="33" fillId="9" borderId="8" xfId="0" applyFont="1" applyFill="1" applyBorder="1"/>
    <xf numFmtId="0" fontId="0" fillId="9" borderId="7" xfId="0" applyFill="1" applyBorder="1"/>
    <xf numFmtId="0" fontId="2" fillId="9" borderId="0" xfId="0" applyFont="1" applyFill="1" applyAlignment="1">
      <alignment horizontal="center"/>
    </xf>
    <xf numFmtId="0" fontId="0" fillId="9" borderId="8" xfId="0" applyFill="1" applyBorder="1"/>
    <xf numFmtId="0" fontId="33" fillId="9" borderId="9" xfId="0" applyFont="1" applyFill="1" applyBorder="1" applyAlignment="1">
      <alignment horizontal="left"/>
    </xf>
    <xf numFmtId="0" fontId="2" fillId="9" borderId="3" xfId="0" applyFont="1" applyFill="1" applyBorder="1"/>
    <xf numFmtId="0" fontId="33" fillId="9" borderId="3" xfId="0" applyFont="1" applyFill="1" applyBorder="1"/>
    <xf numFmtId="0" fontId="0" fillId="9" borderId="0" xfId="0" applyFill="1" applyAlignment="1">
      <alignment horizontal="left"/>
    </xf>
    <xf numFmtId="0" fontId="59" fillId="9" borderId="0" xfId="1" applyFill="1" applyAlignment="1" applyProtection="1">
      <alignment horizontal="right" wrapText="1" indent="1"/>
      <protection locked="0"/>
    </xf>
    <xf numFmtId="2" fontId="23" fillId="0" borderId="0" xfId="0" applyNumberFormat="1" applyFont="1" applyAlignment="1" applyProtection="1">
      <alignment horizontal="right" vertical="center"/>
      <protection locked="0"/>
    </xf>
    <xf numFmtId="2" fontId="23" fillId="0" borderId="0" xfId="0" applyNumberFormat="1" applyFont="1" applyAlignment="1" applyProtection="1">
      <alignment horizontal="center" vertical="center"/>
      <protection locked="0"/>
    </xf>
    <xf numFmtId="2" fontId="23" fillId="0" borderId="0" xfId="0" applyNumberFormat="1" applyFont="1" applyAlignment="1" applyProtection="1">
      <alignment horizontal="center"/>
      <protection locked="0"/>
    </xf>
    <xf numFmtId="2" fontId="23" fillId="0" borderId="0" xfId="0" applyNumberFormat="1" applyFont="1" applyAlignment="1" applyProtection="1">
      <alignment horizontal="left"/>
      <protection locked="0"/>
    </xf>
    <xf numFmtId="2" fontId="23" fillId="0" borderId="1" xfId="0" applyNumberFormat="1" applyFont="1" applyBorder="1" applyAlignment="1">
      <alignment horizontal="center"/>
    </xf>
    <xf numFmtId="2" fontId="23" fillId="0" borderId="7" xfId="0" applyNumberFormat="1" applyFont="1" applyBorder="1" applyAlignment="1">
      <alignment horizontal="center"/>
    </xf>
    <xf numFmtId="2" fontId="23" fillId="0" borderId="0" xfId="0" applyNumberFormat="1" applyFont="1" applyAlignment="1">
      <alignment horizontal="right"/>
    </xf>
    <xf numFmtId="2" fontId="23" fillId="0" borderId="8" xfId="0" applyNumberFormat="1" applyFont="1" applyBorder="1" applyAlignment="1">
      <alignment horizontal="center"/>
    </xf>
    <xf numFmtId="11" fontId="23" fillId="0" borderId="12" xfId="0" applyNumberFormat="1" applyFont="1" applyBorder="1" applyAlignment="1" applyProtection="1">
      <alignment horizontal="center"/>
      <protection locked="0"/>
    </xf>
    <xf numFmtId="11" fontId="23" fillId="0" borderId="6" xfId="0" applyNumberFormat="1" applyFont="1" applyBorder="1" applyAlignment="1" applyProtection="1">
      <alignment horizontal="center"/>
      <protection locked="0"/>
    </xf>
    <xf numFmtId="11" fontId="23" fillId="0" borderId="0" xfId="0" applyNumberFormat="1" applyFont="1" applyAlignment="1" applyProtection="1">
      <alignment horizontal="right"/>
      <protection locked="0"/>
    </xf>
    <xf numFmtId="11" fontId="23" fillId="0" borderId="14" xfId="0" applyNumberFormat="1" applyFont="1" applyBorder="1" applyAlignment="1" applyProtection="1">
      <alignment horizontal="left"/>
      <protection locked="0"/>
    </xf>
    <xf numFmtId="11" fontId="23" fillId="0" borderId="7" xfId="0" applyNumberFormat="1" applyFont="1" applyBorder="1" applyAlignment="1" applyProtection="1">
      <alignment horizontal="center"/>
      <protection locked="0"/>
    </xf>
    <xf numFmtId="11" fontId="23" fillId="0" borderId="14" xfId="0" applyNumberFormat="1" applyFont="1" applyBorder="1" applyAlignment="1" applyProtection="1">
      <alignment horizontal="center"/>
      <protection locked="0"/>
    </xf>
    <xf numFmtId="2" fontId="23" fillId="0" borderId="0" xfId="0" applyNumberFormat="1" applyFont="1" applyAlignment="1">
      <alignment horizontal="center"/>
    </xf>
    <xf numFmtId="11" fontId="23" fillId="0" borderId="8" xfId="0" applyNumberFormat="1" applyFont="1" applyBorder="1" applyAlignment="1" applyProtection="1">
      <alignment horizontal="left"/>
      <protection locked="0"/>
    </xf>
    <xf numFmtId="2" fontId="23" fillId="0" borderId="8" xfId="0" applyNumberFormat="1" applyFont="1" applyBorder="1" applyAlignment="1">
      <alignment horizontal="left" vertical="center"/>
    </xf>
    <xf numFmtId="11" fontId="23" fillId="2" borderId="0" xfId="0" applyNumberFormat="1" applyFont="1" applyFill="1" applyAlignment="1" applyProtection="1">
      <alignment horizontal="right"/>
      <protection locked="0"/>
    </xf>
    <xf numFmtId="11" fontId="23" fillId="2" borderId="6" xfId="0" applyNumberFormat="1" applyFont="1" applyFill="1" applyBorder="1" applyAlignment="1" applyProtection="1">
      <alignment horizontal="center"/>
      <protection locked="0"/>
    </xf>
    <xf numFmtId="11" fontId="23" fillId="2" borderId="12" xfId="0" applyNumberFormat="1" applyFont="1" applyFill="1" applyBorder="1" applyAlignment="1" applyProtection="1">
      <alignment horizontal="center"/>
      <protection locked="0"/>
    </xf>
    <xf numFmtId="11" fontId="23" fillId="2" borderId="14" xfId="0" applyNumberFormat="1" applyFont="1" applyFill="1" applyBorder="1" applyAlignment="1" applyProtection="1">
      <alignment horizontal="center" vertical="center"/>
      <protection locked="0"/>
    </xf>
    <xf numFmtId="11" fontId="23" fillId="2" borderId="8" xfId="0" applyNumberFormat="1" applyFont="1" applyFill="1" applyBorder="1" applyAlignment="1" applyProtection="1">
      <alignment horizontal="left" vertical="center"/>
      <protection locked="0"/>
    </xf>
    <xf numFmtId="11" fontId="23" fillId="2" borderId="0" xfId="0" applyNumberFormat="1" applyFont="1" applyFill="1" applyAlignment="1" applyProtection="1">
      <alignment horizontal="right" vertical="center"/>
      <protection locked="0"/>
    </xf>
    <xf numFmtId="11" fontId="23" fillId="2" borderId="7" xfId="0" applyNumberFormat="1" applyFont="1" applyFill="1" applyBorder="1" applyAlignment="1" applyProtection="1">
      <alignment horizontal="center" vertical="center"/>
      <protection locked="0"/>
    </xf>
    <xf numFmtId="11" fontId="38" fillId="0" borderId="8" xfId="0" applyNumberFormat="1" applyFont="1" applyBorder="1" applyAlignment="1" applyProtection="1">
      <alignment horizontal="left" vertical="center"/>
      <protection locked="0"/>
    </xf>
    <xf numFmtId="11" fontId="23" fillId="0" borderId="7" xfId="0" applyNumberFormat="1" applyFont="1" applyBorder="1" applyAlignment="1" applyProtection="1">
      <alignment horizontal="center" vertical="center"/>
      <protection locked="0"/>
    </xf>
    <xf numFmtId="11" fontId="23" fillId="0" borderId="14" xfId="0" applyNumberFormat="1" applyFont="1" applyBorder="1" applyAlignment="1" applyProtection="1">
      <alignment horizontal="center" vertical="center"/>
      <protection locked="0"/>
    </xf>
    <xf numFmtId="11" fontId="23" fillId="0" borderId="0" xfId="0" applyNumberFormat="1" applyFont="1" applyAlignment="1" applyProtection="1">
      <alignment horizontal="center" vertical="center"/>
      <protection locked="0"/>
    </xf>
    <xf numFmtId="11" fontId="23" fillId="4" borderId="1" xfId="0" applyNumberFormat="1" applyFont="1" applyFill="1" applyBorder="1" applyAlignment="1" applyProtection="1">
      <alignment horizontal="center" vertical="center"/>
      <protection locked="0"/>
    </xf>
    <xf numFmtId="11" fontId="23" fillId="0" borderId="0" xfId="0" applyNumberFormat="1" applyFont="1" applyAlignment="1">
      <alignment horizontal="center" vertical="center"/>
    </xf>
    <xf numFmtId="11" fontId="23" fillId="0" borderId="7" xfId="0" applyNumberFormat="1" applyFont="1" applyBorder="1" applyAlignment="1">
      <alignment horizontal="center" vertical="center"/>
    </xf>
    <xf numFmtId="11" fontId="23" fillId="0" borderId="14" xfId="0" applyNumberFormat="1" applyFont="1" applyBorder="1" applyAlignment="1">
      <alignment horizontal="center" vertical="center"/>
    </xf>
    <xf numFmtId="11" fontId="23" fillId="4" borderId="1" xfId="0" applyNumberFormat="1" applyFont="1" applyFill="1" applyBorder="1" applyAlignment="1">
      <alignment horizontal="center" vertical="center"/>
    </xf>
    <xf numFmtId="11" fontId="38" fillId="0" borderId="5" xfId="0" applyNumberFormat="1" applyFont="1" applyBorder="1" applyAlignment="1" applyProtection="1">
      <alignment horizontal="left" vertical="center"/>
      <protection locked="0"/>
    </xf>
    <xf numFmtId="11" fontId="38" fillId="0" borderId="0" xfId="0" applyNumberFormat="1" applyFont="1" applyAlignment="1">
      <alignment horizontal="left" vertical="center"/>
    </xf>
    <xf numFmtId="11" fontId="23" fillId="2" borderId="0" xfId="0" applyNumberFormat="1" applyFont="1" applyFill="1" applyAlignment="1" applyProtection="1">
      <alignment horizontal="center" vertical="center"/>
      <protection locked="0"/>
    </xf>
    <xf numFmtId="11" fontId="23" fillId="2" borderId="6" xfId="0" applyNumberFormat="1" applyFont="1" applyFill="1" applyBorder="1" applyAlignment="1" applyProtection="1">
      <alignment horizontal="center" vertical="center"/>
      <protection locked="0"/>
    </xf>
    <xf numFmtId="11" fontId="23" fillId="2" borderId="12" xfId="0" applyNumberFormat="1" applyFont="1" applyFill="1" applyBorder="1" applyAlignment="1" applyProtection="1">
      <alignment horizontal="center" vertical="center"/>
      <protection locked="0"/>
    </xf>
    <xf numFmtId="0" fontId="23" fillId="7" borderId="4" xfId="0" applyFont="1" applyFill="1" applyBorder="1"/>
    <xf numFmtId="0" fontId="23" fillId="7" borderId="5" xfId="0" applyFont="1" applyFill="1" applyBorder="1"/>
    <xf numFmtId="0" fontId="23" fillId="7" borderId="6" xfId="0" applyFont="1" applyFill="1" applyBorder="1" applyAlignment="1">
      <alignment horizontal="left"/>
    </xf>
    <xf numFmtId="0" fontId="23" fillId="7" borderId="6" xfId="0" applyFont="1" applyFill="1" applyBorder="1"/>
    <xf numFmtId="0" fontId="23" fillId="7" borderId="8" xfId="0" applyFont="1" applyFill="1" applyBorder="1"/>
    <xf numFmtId="0" fontId="23" fillId="7" borderId="0" xfId="0" applyFont="1" applyFill="1"/>
    <xf numFmtId="0" fontId="23" fillId="7" borderId="0" xfId="0" applyFont="1" applyFill="1" applyAlignment="1">
      <alignment horizontal="left"/>
    </xf>
    <xf numFmtId="0" fontId="23" fillId="7" borderId="7" xfId="0" applyFont="1" applyFill="1" applyBorder="1"/>
    <xf numFmtId="15" fontId="23" fillId="7" borderId="0" xfId="0" applyNumberFormat="1" applyFont="1" applyFill="1" applyAlignment="1">
      <alignment horizontal="left"/>
    </xf>
    <xf numFmtId="0" fontId="23" fillId="7" borderId="9" xfId="0" applyFont="1" applyFill="1" applyBorder="1"/>
    <xf numFmtId="0" fontId="23" fillId="7" borderId="3" xfId="0" applyFont="1" applyFill="1" applyBorder="1"/>
    <xf numFmtId="0" fontId="23" fillId="7" borderId="3" xfId="0" applyFont="1" applyFill="1" applyBorder="1" applyAlignment="1">
      <alignment horizontal="left"/>
    </xf>
    <xf numFmtId="0" fontId="23" fillId="7" borderId="10" xfId="0" applyFont="1" applyFill="1" applyBorder="1"/>
    <xf numFmtId="0" fontId="0" fillId="7" borderId="4" xfId="0" applyFill="1" applyBorder="1" applyAlignment="1">
      <alignment horizontal="left"/>
    </xf>
    <xf numFmtId="14" fontId="0" fillId="7" borderId="6" xfId="0" applyNumberFormat="1" applyFill="1" applyBorder="1" applyAlignment="1">
      <alignment horizontal="left"/>
    </xf>
    <xf numFmtId="0" fontId="0" fillId="7" borderId="9" xfId="0" applyFill="1" applyBorder="1" applyAlignment="1">
      <alignment horizontal="left"/>
    </xf>
    <xf numFmtId="0" fontId="0" fillId="7" borderId="10" xfId="0" applyFill="1" applyBorder="1" applyAlignment="1">
      <alignment horizontal="left"/>
    </xf>
    <xf numFmtId="11" fontId="21" fillId="7" borderId="15" xfId="0" applyNumberFormat="1" applyFont="1" applyFill="1" applyBorder="1" applyAlignment="1" applyProtection="1">
      <alignment horizontal="center"/>
      <protection hidden="1"/>
    </xf>
    <xf numFmtId="11" fontId="23" fillId="0" borderId="1" xfId="0" applyNumberFormat="1" applyFont="1" applyBorder="1" applyAlignment="1">
      <alignment horizontal="center" vertical="center"/>
    </xf>
    <xf numFmtId="0" fontId="0" fillId="5" borderId="0" xfId="0" applyFill="1"/>
    <xf numFmtId="11" fontId="23" fillId="0" borderId="0" xfId="0" applyNumberFormat="1" applyFont="1" applyAlignment="1">
      <alignment horizontal="center"/>
    </xf>
    <xf numFmtId="11" fontId="21" fillId="7" borderId="15" xfId="0" applyNumberFormat="1" applyFont="1" applyFill="1" applyBorder="1" applyAlignment="1" applyProtection="1">
      <alignment horizontal="center" vertical="center"/>
      <protection hidden="1"/>
    </xf>
    <xf numFmtId="11" fontId="2" fillId="5" borderId="0" xfId="0" applyNumberFormat="1" applyFont="1" applyFill="1" applyAlignment="1" applyProtection="1">
      <alignment horizontal="center" vertical="center"/>
      <protection hidden="1"/>
    </xf>
    <xf numFmtId="11" fontId="21" fillId="7" borderId="15" xfId="0" applyNumberFormat="1" applyFont="1" applyFill="1" applyBorder="1" applyAlignment="1" applyProtection="1">
      <alignment horizontal="center"/>
      <protection locked="0"/>
    </xf>
    <xf numFmtId="0" fontId="25" fillId="5" borderId="13" xfId="0" applyFont="1" applyFill="1" applyBorder="1" applyAlignment="1">
      <alignment horizontal="center" vertical="center"/>
    </xf>
    <xf numFmtId="11" fontId="21" fillId="7" borderId="15" xfId="0" applyNumberFormat="1" applyFont="1" applyFill="1" applyBorder="1" applyAlignment="1">
      <alignment horizontal="center"/>
    </xf>
    <xf numFmtId="11" fontId="2" fillId="7" borderId="1" xfId="0" applyNumberFormat="1" applyFont="1" applyFill="1" applyBorder="1" applyAlignment="1">
      <alignment horizontal="center"/>
    </xf>
    <xf numFmtId="4" fontId="2" fillId="0" borderId="0" xfId="0" applyNumberFormat="1" applyFont="1" applyAlignment="1">
      <alignment horizontal="center"/>
    </xf>
    <xf numFmtId="4" fontId="25" fillId="0" borderId="0" xfId="0" applyNumberFormat="1" applyFont="1" applyAlignment="1">
      <alignment horizontal="center"/>
    </xf>
    <xf numFmtId="4" fontId="62" fillId="0" borderId="0" xfId="0" applyNumberFormat="1" applyFont="1" applyAlignment="1">
      <alignment horizontal="left"/>
    </xf>
    <xf numFmtId="0" fontId="67" fillId="9" borderId="0" xfId="0" applyFont="1" applyFill="1"/>
    <xf numFmtId="0" fontId="9" fillId="9" borderId="0" xfId="0" applyFont="1" applyFill="1" applyAlignment="1">
      <alignment horizontal="center"/>
    </xf>
    <xf numFmtId="2" fontId="17" fillId="9" borderId="0" xfId="0" applyNumberFormat="1" applyFont="1" applyFill="1" applyProtection="1">
      <protection hidden="1"/>
    </xf>
    <xf numFmtId="0" fontId="16" fillId="9" borderId="0" xfId="0" applyFont="1" applyFill="1" applyAlignment="1">
      <alignment horizontal="left"/>
    </xf>
    <xf numFmtId="0" fontId="2" fillId="9" borderId="0" xfId="0" applyFont="1" applyFill="1" applyAlignment="1" applyProtection="1">
      <alignment horizontal="right"/>
      <protection hidden="1"/>
    </xf>
    <xf numFmtId="0" fontId="2" fillId="9" borderId="0" xfId="0" applyFont="1" applyFill="1" applyAlignment="1" applyProtection="1">
      <alignment horizontal="center"/>
      <protection hidden="1"/>
    </xf>
    <xf numFmtId="0" fontId="2" fillId="9" borderId="0" xfId="0" applyFont="1" applyFill="1" applyAlignment="1" applyProtection="1">
      <alignment horizontal="left"/>
      <protection hidden="1"/>
    </xf>
    <xf numFmtId="0" fontId="9" fillId="9" borderId="0" xfId="0" applyFont="1" applyFill="1" applyProtection="1">
      <protection hidden="1"/>
    </xf>
    <xf numFmtId="0" fontId="9" fillId="9" borderId="0" xfId="0" applyFont="1" applyFill="1" applyAlignment="1">
      <alignment horizontal="right"/>
    </xf>
    <xf numFmtId="2" fontId="9" fillId="2" borderId="0" xfId="0" applyNumberFormat="1" applyFont="1" applyFill="1" applyAlignment="1" applyProtection="1">
      <alignment horizontal="center"/>
      <protection locked="0"/>
    </xf>
    <xf numFmtId="0" fontId="9" fillId="4" borderId="0" xfId="0" applyFont="1" applyFill="1"/>
    <xf numFmtId="0" fontId="9" fillId="2" borderId="0" xfId="0" applyFont="1" applyFill="1" applyAlignment="1" applyProtection="1">
      <alignment horizontal="center"/>
      <protection locked="0"/>
    </xf>
    <xf numFmtId="0" fontId="68" fillId="0" borderId="0" xfId="0" applyFont="1" applyAlignment="1">
      <alignment horizontal="right"/>
    </xf>
    <xf numFmtId="0" fontId="9" fillId="9" borderId="0" xfId="0" applyFont="1" applyFill="1" applyAlignment="1" applyProtection="1">
      <alignment horizontal="right"/>
      <protection hidden="1"/>
    </xf>
    <xf numFmtId="2" fontId="9" fillId="9" borderId="0" xfId="0" applyNumberFormat="1" applyFont="1" applyFill="1" applyAlignment="1">
      <alignment horizontal="center"/>
    </xf>
    <xf numFmtId="0" fontId="17" fillId="9" borderId="0" xfId="0" applyFont="1" applyFill="1" applyProtection="1">
      <protection hidden="1"/>
    </xf>
    <xf numFmtId="166" fontId="9" fillId="9" borderId="0" xfId="0" applyNumberFormat="1" applyFont="1" applyFill="1" applyAlignment="1" applyProtection="1">
      <alignment horizontal="center"/>
      <protection hidden="1"/>
    </xf>
    <xf numFmtId="0" fontId="2" fillId="5" borderId="16" xfId="0" applyFont="1" applyFill="1" applyBorder="1" applyAlignment="1" applyProtection="1">
      <alignment horizontal="right"/>
      <protection hidden="1"/>
    </xf>
    <xf numFmtId="166" fontId="2" fillId="5" borderId="17" xfId="0" applyNumberFormat="1" applyFont="1" applyFill="1" applyBorder="1" applyAlignment="1">
      <alignment horizontal="center"/>
    </xf>
    <xf numFmtId="0" fontId="2" fillId="5" borderId="18" xfId="0" applyFont="1" applyFill="1" applyBorder="1"/>
    <xf numFmtId="0" fontId="33" fillId="9" borderId="0" xfId="0" applyFont="1" applyFill="1"/>
    <xf numFmtId="0" fontId="9" fillId="0" borderId="0" xfId="0" applyFont="1" applyProtection="1">
      <protection hidden="1"/>
    </xf>
    <xf numFmtId="0" fontId="2" fillId="5" borderId="19" xfId="0" applyFont="1" applyFill="1" applyBorder="1" applyAlignment="1" applyProtection="1">
      <alignment horizontal="right"/>
      <protection hidden="1"/>
    </xf>
    <xf numFmtId="166" fontId="2" fillId="5" borderId="0" xfId="0" applyNumberFormat="1" applyFont="1" applyFill="1" applyAlignment="1">
      <alignment horizontal="center"/>
    </xf>
    <xf numFmtId="0" fontId="2" fillId="5" borderId="20" xfId="0" applyFont="1" applyFill="1" applyBorder="1"/>
    <xf numFmtId="166" fontId="2" fillId="0" borderId="0" xfId="0" applyNumberFormat="1" applyFont="1" applyAlignment="1">
      <alignment horizontal="center"/>
    </xf>
    <xf numFmtId="0" fontId="2" fillId="5" borderId="21" xfId="0" applyFont="1" applyFill="1" applyBorder="1" applyAlignment="1" applyProtection="1">
      <alignment horizontal="right"/>
      <protection hidden="1"/>
    </xf>
    <xf numFmtId="166" fontId="2" fillId="5" borderId="22" xfId="0" applyNumberFormat="1" applyFont="1" applyFill="1" applyBorder="1" applyAlignment="1">
      <alignment horizontal="center"/>
    </xf>
    <xf numFmtId="0" fontId="2" fillId="5" borderId="23" xfId="0" applyFont="1" applyFill="1" applyBorder="1"/>
    <xf numFmtId="166" fontId="2" fillId="9" borderId="0" xfId="0" applyNumberFormat="1" applyFont="1" applyFill="1" applyAlignment="1" applyProtection="1">
      <alignment horizontal="center"/>
      <protection hidden="1"/>
    </xf>
    <xf numFmtId="0" fontId="9" fillId="9" borderId="0" xfId="0" applyFont="1" applyFill="1" applyAlignment="1" applyProtection="1">
      <alignment horizontal="center"/>
      <protection hidden="1"/>
    </xf>
    <xf numFmtId="2" fontId="9" fillId="9" borderId="0" xfId="0" applyNumberFormat="1" applyFont="1" applyFill="1"/>
    <xf numFmtId="0" fontId="17" fillId="9" borderId="0" xfId="0" applyFont="1" applyFill="1"/>
    <xf numFmtId="0" fontId="21" fillId="6" borderId="1" xfId="0" applyFont="1" applyFill="1" applyBorder="1" applyAlignment="1" applyProtection="1">
      <alignment horizontal="center"/>
      <protection locked="0"/>
    </xf>
    <xf numFmtId="0" fontId="64" fillId="0" borderId="0" xfId="0" applyFont="1"/>
    <xf numFmtId="4" fontId="64" fillId="0" borderId="0" xfId="0" applyNumberFormat="1" applyFont="1"/>
    <xf numFmtId="0" fontId="71" fillId="0" borderId="0" xfId="0" applyFont="1" applyAlignment="1" applyProtection="1">
      <alignment horizontal="left" vertical="center"/>
      <protection hidden="1"/>
    </xf>
    <xf numFmtId="0" fontId="9" fillId="0" borderId="0" xfId="0" applyFont="1" applyAlignment="1" applyProtection="1">
      <alignment horizontal="right" vertical="center"/>
      <protection hidden="1"/>
    </xf>
    <xf numFmtId="11" fontId="2" fillId="0" borderId="0" xfId="0" applyNumberFormat="1" applyFont="1" applyAlignment="1">
      <alignment horizontal="left" wrapText="1"/>
    </xf>
    <xf numFmtId="0" fontId="0" fillId="0" borderId="0" xfId="0" applyAlignment="1" applyProtection="1">
      <alignment vertical="center"/>
      <protection hidden="1"/>
    </xf>
    <xf numFmtId="0" fontId="0" fillId="0" borderId="0" xfId="0" applyAlignment="1" applyProtection="1">
      <alignment horizontal="center" vertical="center"/>
      <protection hidden="1"/>
    </xf>
    <xf numFmtId="0" fontId="0" fillId="0" borderId="0" xfId="0" applyAlignment="1" applyProtection="1">
      <alignment horizontal="left" vertical="center"/>
      <protection hidden="1"/>
    </xf>
    <xf numFmtId="0" fontId="0" fillId="0" borderId="0" xfId="0" applyAlignment="1">
      <alignment vertical="center"/>
    </xf>
    <xf numFmtId="0" fontId="12" fillId="0" borderId="0" xfId="0" applyFont="1" applyAlignment="1" applyProtection="1">
      <alignment horizontal="center" vertical="center"/>
      <protection hidden="1"/>
    </xf>
    <xf numFmtId="0" fontId="9" fillId="0" borderId="0" xfId="0" applyFont="1" applyAlignment="1" applyProtection="1">
      <alignment horizontal="center" vertical="center"/>
      <protection hidden="1"/>
    </xf>
    <xf numFmtId="0" fontId="0" fillId="0" borderId="0" xfId="0" applyAlignment="1">
      <alignment horizontal="right" vertical="center" wrapText="1"/>
    </xf>
    <xf numFmtId="0" fontId="16" fillId="0" borderId="0" xfId="0" applyFont="1" applyAlignment="1" applyProtection="1">
      <alignment horizontal="right" vertical="center"/>
      <protection hidden="1"/>
    </xf>
    <xf numFmtId="0" fontId="2" fillId="0" borderId="0" xfId="0" applyFont="1" applyAlignment="1" applyProtection="1">
      <alignment horizontal="left" vertical="center"/>
      <protection hidden="1"/>
    </xf>
    <xf numFmtId="11" fontId="21" fillId="7" borderId="1" xfId="0" applyNumberFormat="1" applyFont="1" applyFill="1" applyBorder="1" applyAlignment="1" applyProtection="1">
      <alignment horizontal="center" vertical="center"/>
      <protection hidden="1"/>
    </xf>
    <xf numFmtId="0" fontId="13" fillId="0" borderId="0" xfId="0" applyFont="1" applyAlignment="1" applyProtection="1">
      <alignment vertical="center"/>
      <protection hidden="1"/>
    </xf>
    <xf numFmtId="0" fontId="23" fillId="8" borderId="0" xfId="0" applyFont="1" applyFill="1" applyAlignment="1">
      <alignment vertical="center"/>
    </xf>
    <xf numFmtId="0" fontId="23" fillId="8" borderId="0" xfId="0" applyFont="1" applyFill="1" applyAlignment="1" applyProtection="1">
      <alignment horizontal="left" vertical="center"/>
      <protection hidden="1"/>
    </xf>
    <xf numFmtId="0" fontId="0" fillId="8" borderId="0" xfId="0" applyFill="1" applyAlignment="1">
      <alignment vertical="center"/>
    </xf>
    <xf numFmtId="0" fontId="0" fillId="4" borderId="1" xfId="0" applyFill="1" applyBorder="1" applyAlignment="1" applyProtection="1">
      <alignment horizontal="left" vertical="center"/>
      <protection locked="0"/>
    </xf>
    <xf numFmtId="0" fontId="0" fillId="0" borderId="8" xfId="0" applyBorder="1" applyAlignment="1" applyProtection="1">
      <alignment horizontal="left" vertical="center" wrapText="1"/>
      <protection hidden="1"/>
    </xf>
    <xf numFmtId="0" fontId="0" fillId="0" borderId="0" xfId="0" applyAlignment="1" applyProtection="1">
      <alignment horizontal="left" vertical="center" wrapText="1"/>
      <protection hidden="1"/>
    </xf>
    <xf numFmtId="0" fontId="0" fillId="8" borderId="0" xfId="0" applyFill="1" applyAlignment="1" applyProtection="1">
      <alignment vertical="center"/>
      <protection hidden="1"/>
    </xf>
    <xf numFmtId="0" fontId="0" fillId="10" borderId="0" xfId="0" applyFill="1" applyAlignment="1" applyProtection="1">
      <alignment vertical="center"/>
      <protection hidden="1"/>
    </xf>
    <xf numFmtId="0" fontId="0" fillId="10" borderId="0" xfId="0" applyFill="1" applyAlignment="1">
      <alignment vertical="center"/>
    </xf>
    <xf numFmtId="0" fontId="9" fillId="4" borderId="1" xfId="0" applyFont="1" applyFill="1" applyBorder="1" applyAlignment="1" applyProtection="1">
      <alignment horizontal="left" vertical="center"/>
      <protection locked="0"/>
    </xf>
    <xf numFmtId="0" fontId="9" fillId="0" borderId="0" xfId="0" applyFont="1" applyAlignment="1">
      <alignment horizontal="left" vertical="center"/>
    </xf>
    <xf numFmtId="0" fontId="52" fillId="0" borderId="0" xfId="0" applyFont="1" applyAlignment="1">
      <alignment horizontal="right" vertical="center"/>
    </xf>
    <xf numFmtId="0" fontId="38" fillId="0" borderId="0" xfId="0" applyFont="1" applyAlignment="1">
      <alignment horizontal="left" vertical="center"/>
    </xf>
    <xf numFmtId="0" fontId="0" fillId="0" borderId="0" xfId="0" applyAlignment="1">
      <alignment horizontal="right" vertical="center"/>
    </xf>
    <xf numFmtId="0" fontId="63" fillId="0" borderId="0" xfId="0" applyFont="1" applyAlignment="1" applyProtection="1">
      <alignment horizontal="left" vertical="center"/>
      <protection hidden="1"/>
    </xf>
    <xf numFmtId="0" fontId="23" fillId="0" borderId="0" xfId="0" applyFont="1" applyAlignment="1" applyProtection="1">
      <alignment horizontal="left" vertical="center"/>
      <protection hidden="1"/>
    </xf>
    <xf numFmtId="11" fontId="23" fillId="5" borderId="0" xfId="0" applyNumberFormat="1" applyFont="1" applyFill="1" applyAlignment="1">
      <alignment horizontal="center" vertical="center"/>
    </xf>
    <xf numFmtId="0" fontId="17" fillId="0" borderId="0" xfId="0" applyFont="1" applyAlignment="1" applyProtection="1">
      <alignment horizontal="left" vertical="center"/>
      <protection locked="0" hidden="1"/>
    </xf>
    <xf numFmtId="0" fontId="13" fillId="8" borderId="0" xfId="0" applyFont="1" applyFill="1" applyAlignment="1" applyProtection="1">
      <alignment vertical="center"/>
      <protection hidden="1"/>
    </xf>
    <xf numFmtId="0" fontId="17" fillId="0" borderId="0" xfId="0" applyFont="1" applyAlignment="1" applyProtection="1">
      <alignment horizontal="left" vertical="center"/>
      <protection hidden="1"/>
    </xf>
    <xf numFmtId="0" fontId="64" fillId="0" borderId="0" xfId="0" applyFont="1" applyAlignment="1" applyProtection="1">
      <alignment horizontal="left" vertical="center"/>
      <protection hidden="1"/>
    </xf>
    <xf numFmtId="11" fontId="23" fillId="0" borderId="0" xfId="0" applyNumberFormat="1" applyFont="1" applyAlignment="1" applyProtection="1">
      <alignment horizontal="right" vertical="center"/>
      <protection locked="0"/>
    </xf>
    <xf numFmtId="11" fontId="23" fillId="11" borderId="1" xfId="0" applyNumberFormat="1" applyFont="1" applyFill="1" applyBorder="1" applyAlignment="1" applyProtection="1">
      <alignment horizontal="center" vertical="center"/>
      <protection locked="0"/>
    </xf>
    <xf numFmtId="0" fontId="2" fillId="0" borderId="0" xfId="0" applyFont="1" applyAlignment="1" applyProtection="1">
      <alignment vertical="center"/>
      <protection hidden="1"/>
    </xf>
    <xf numFmtId="0" fontId="20" fillId="0" borderId="0" xfId="0" applyFont="1" applyAlignment="1">
      <alignment vertical="center"/>
    </xf>
    <xf numFmtId="0" fontId="17" fillId="4" borderId="1" xfId="0" applyFont="1" applyFill="1" applyBorder="1" applyAlignment="1" applyProtection="1">
      <alignment horizontal="left" vertical="center"/>
      <protection locked="0"/>
    </xf>
    <xf numFmtId="0" fontId="34" fillId="0" borderId="0" xfId="0" applyFont="1" applyAlignment="1">
      <alignment horizontal="center" vertical="center"/>
    </xf>
    <xf numFmtId="11" fontId="23" fillId="9" borderId="2" xfId="0" applyNumberFormat="1" applyFont="1" applyFill="1" applyBorder="1" applyAlignment="1">
      <alignment horizontal="center" vertical="center"/>
    </xf>
    <xf numFmtId="0" fontId="20" fillId="0" borderId="0" xfId="0" applyFont="1" applyAlignment="1">
      <alignment horizontal="center" vertical="center"/>
    </xf>
    <xf numFmtId="0" fontId="23" fillId="0" borderId="0" xfId="0" applyFont="1" applyAlignment="1">
      <alignment horizontal="left" vertical="center"/>
    </xf>
    <xf numFmtId="0" fontId="0" fillId="0" borderId="3" xfId="0" applyBorder="1" applyAlignment="1">
      <alignment vertical="center"/>
    </xf>
    <xf numFmtId="0" fontId="17" fillId="0" borderId="0" xfId="0" applyFont="1" applyAlignment="1">
      <alignment horizontal="left" vertical="center"/>
    </xf>
    <xf numFmtId="0" fontId="23" fillId="7" borderId="4" xfId="0" applyFont="1" applyFill="1" applyBorder="1" applyAlignment="1" applyProtection="1">
      <alignment vertical="center"/>
      <protection hidden="1"/>
    </xf>
    <xf numFmtId="0" fontId="23" fillId="7" borderId="5" xfId="0" applyFont="1" applyFill="1" applyBorder="1" applyAlignment="1" applyProtection="1">
      <alignment vertical="center"/>
      <protection hidden="1"/>
    </xf>
    <xf numFmtId="0" fontId="23" fillId="7" borderId="5" xfId="0" applyFont="1" applyFill="1" applyBorder="1" applyAlignment="1" applyProtection="1">
      <alignment horizontal="left" vertical="center"/>
      <protection hidden="1"/>
    </xf>
    <xf numFmtId="0" fontId="23" fillId="7" borderId="0" xfId="0" applyFont="1" applyFill="1" applyAlignment="1" applyProtection="1">
      <alignment vertical="center"/>
      <protection hidden="1"/>
    </xf>
    <xf numFmtId="0" fontId="23" fillId="7" borderId="6" xfId="0" applyFont="1" applyFill="1" applyBorder="1" applyAlignment="1" applyProtection="1">
      <alignment vertical="center"/>
      <protection hidden="1"/>
    </xf>
    <xf numFmtId="0" fontId="23" fillId="7" borderId="8" xfId="0" applyFont="1" applyFill="1" applyBorder="1" applyAlignment="1" applyProtection="1">
      <alignment vertical="center"/>
      <protection hidden="1"/>
    </xf>
    <xf numFmtId="0" fontId="23" fillId="7" borderId="0" xfId="0" applyFont="1" applyFill="1" applyAlignment="1" applyProtection="1">
      <alignment horizontal="left" vertical="center"/>
      <protection hidden="1"/>
    </xf>
    <xf numFmtId="0" fontId="23" fillId="7" borderId="7" xfId="0" applyFont="1" applyFill="1" applyBorder="1" applyAlignment="1" applyProtection="1">
      <alignment vertical="center"/>
      <protection hidden="1"/>
    </xf>
    <xf numFmtId="0" fontId="2" fillId="5" borderId="2" xfId="0" applyFont="1" applyFill="1" applyBorder="1" applyAlignment="1">
      <alignment horizontal="center" vertical="center"/>
    </xf>
    <xf numFmtId="15" fontId="23" fillId="7" borderId="0" xfId="0" applyNumberFormat="1" applyFont="1" applyFill="1" applyAlignment="1" applyProtection="1">
      <alignment horizontal="left" vertical="center"/>
      <protection hidden="1"/>
    </xf>
    <xf numFmtId="0" fontId="23" fillId="7" borderId="9" xfId="0" applyFont="1" applyFill="1" applyBorder="1" applyAlignment="1" applyProtection="1">
      <alignment vertical="center"/>
      <protection hidden="1"/>
    </xf>
    <xf numFmtId="0" fontId="23" fillId="7" borderId="3" xfId="0" applyFont="1" applyFill="1" applyBorder="1" applyAlignment="1" applyProtection="1">
      <alignment vertical="center"/>
      <protection hidden="1"/>
    </xf>
    <xf numFmtId="0" fontId="23" fillId="7" borderId="3" xfId="0" applyFont="1" applyFill="1" applyBorder="1" applyAlignment="1" applyProtection="1">
      <alignment horizontal="left" vertical="center"/>
      <protection hidden="1"/>
    </xf>
    <xf numFmtId="0" fontId="23" fillId="7" borderId="10" xfId="0" applyFont="1" applyFill="1" applyBorder="1" applyAlignment="1" applyProtection="1">
      <alignment vertical="center"/>
      <protection hidden="1"/>
    </xf>
    <xf numFmtId="0" fontId="25" fillId="5" borderId="9" xfId="0" applyFont="1" applyFill="1" applyBorder="1" applyAlignment="1">
      <alignment horizontal="right" vertical="center"/>
    </xf>
    <xf numFmtId="0" fontId="2" fillId="5" borderId="3" xfId="0" applyFont="1" applyFill="1" applyBorder="1" applyAlignment="1">
      <alignment horizontal="center" vertical="center"/>
    </xf>
    <xf numFmtId="11" fontId="25" fillId="5" borderId="3" xfId="0" applyNumberFormat="1" applyFont="1" applyFill="1" applyBorder="1" applyAlignment="1">
      <alignment horizontal="center" vertical="center"/>
    </xf>
    <xf numFmtId="0" fontId="25" fillId="5" borderId="10" xfId="0" applyFont="1" applyFill="1" applyBorder="1" applyAlignment="1">
      <alignment horizontal="center" vertical="center"/>
    </xf>
    <xf numFmtId="0" fontId="1" fillId="0" borderId="0" xfId="0" applyFont="1" applyAlignment="1">
      <alignment horizontal="left" vertical="center"/>
    </xf>
    <xf numFmtId="11" fontId="0" fillId="0" borderId="0" xfId="0" applyNumberFormat="1" applyAlignment="1">
      <alignment horizontal="center" vertical="center"/>
    </xf>
    <xf numFmtId="11" fontId="20" fillId="0" borderId="1" xfId="0" applyNumberFormat="1" applyFont="1" applyBorder="1" applyAlignment="1" applyProtection="1">
      <alignment horizontal="center" vertical="center"/>
      <protection locked="0"/>
    </xf>
    <xf numFmtId="11" fontId="20" fillId="2" borderId="1" xfId="0" applyNumberFormat="1" applyFont="1" applyFill="1" applyBorder="1" applyAlignment="1" applyProtection="1">
      <alignment horizontal="center"/>
      <protection locked="0"/>
    </xf>
    <xf numFmtId="11" fontId="20" fillId="2" borderId="1" xfId="0" applyNumberFormat="1" applyFont="1" applyFill="1" applyBorder="1" applyAlignment="1" applyProtection="1">
      <alignment horizontal="center" vertical="center"/>
      <protection locked="0"/>
    </xf>
    <xf numFmtId="0" fontId="2" fillId="2" borderId="0" xfId="0" applyFont="1" applyFill="1" applyAlignment="1" applyProtection="1">
      <alignment horizontal="left"/>
      <protection locked="0"/>
    </xf>
    <xf numFmtId="0" fontId="0" fillId="2" borderId="1" xfId="0" applyFill="1" applyBorder="1" applyAlignment="1">
      <alignment horizontal="center"/>
    </xf>
    <xf numFmtId="2" fontId="0" fillId="5" borderId="1" xfId="0" applyNumberFormat="1" applyFill="1" applyBorder="1" applyAlignment="1">
      <alignment horizontal="center"/>
    </xf>
    <xf numFmtId="0" fontId="33" fillId="0" borderId="8" xfId="0" applyFont="1" applyBorder="1" applyAlignment="1">
      <alignment horizontal="left" wrapText="1"/>
    </xf>
    <xf numFmtId="0" fontId="5" fillId="0" borderId="0" xfId="0" applyFont="1"/>
    <xf numFmtId="0" fontId="25" fillId="5" borderId="5" xfId="0" applyFont="1" applyFill="1" applyBorder="1" applyAlignment="1">
      <alignment horizontal="center"/>
    </xf>
    <xf numFmtId="165" fontId="2" fillId="5" borderId="7" xfId="0" applyNumberFormat="1" applyFont="1" applyFill="1" applyBorder="1" applyAlignment="1">
      <alignment horizontal="center"/>
    </xf>
    <xf numFmtId="0" fontId="25" fillId="5" borderId="4" xfId="0" applyFont="1" applyFill="1" applyBorder="1" applyAlignment="1">
      <alignment horizontal="right"/>
    </xf>
    <xf numFmtId="0" fontId="25" fillId="5" borderId="0" xfId="0" applyFont="1" applyFill="1" applyAlignment="1">
      <alignment horizontal="right"/>
    </xf>
    <xf numFmtId="0" fontId="25" fillId="12" borderId="0" xfId="0" applyFont="1" applyFill="1" applyAlignment="1">
      <alignment horizontal="center"/>
    </xf>
    <xf numFmtId="0" fontId="9" fillId="4" borderId="1" xfId="0" applyFont="1" applyFill="1" applyBorder="1" applyAlignment="1" applyProtection="1">
      <alignment horizontal="left"/>
      <protection locked="0"/>
    </xf>
    <xf numFmtId="2" fontId="20" fillId="0" borderId="1" xfId="0" applyNumberFormat="1" applyFont="1" applyBorder="1" applyAlignment="1" applyProtection="1">
      <alignment horizontal="center" vertical="center"/>
      <protection locked="0"/>
    </xf>
    <xf numFmtId="11" fontId="20" fillId="0" borderId="1" xfId="0" applyNumberFormat="1" applyFont="1" applyBorder="1" applyAlignment="1" applyProtection="1">
      <alignment horizontal="center"/>
      <protection locked="0"/>
    </xf>
    <xf numFmtId="11" fontId="20" fillId="0" borderId="4" xfId="0" applyNumberFormat="1" applyFont="1" applyBorder="1" applyAlignment="1" applyProtection="1">
      <alignment horizontal="center"/>
      <protection locked="0"/>
    </xf>
    <xf numFmtId="2" fontId="20" fillId="0" borderId="0" xfId="0" applyNumberFormat="1" applyFont="1" applyAlignment="1" applyProtection="1">
      <alignment horizontal="right" vertical="center"/>
      <protection locked="0"/>
    </xf>
    <xf numFmtId="0" fontId="0" fillId="9" borderId="0" xfId="0" applyFill="1" applyAlignment="1">
      <alignment horizontal="left"/>
    </xf>
    <xf numFmtId="0" fontId="44" fillId="9" borderId="0" xfId="0" applyFont="1" applyFill="1" applyAlignment="1">
      <alignment horizontal="left"/>
    </xf>
    <xf numFmtId="0" fontId="0" fillId="0" borderId="0" xfId="0"/>
    <xf numFmtId="0" fontId="0" fillId="9" borderId="0" xfId="0" applyFill="1" applyAlignment="1">
      <alignment wrapText="1"/>
    </xf>
    <xf numFmtId="0" fontId="43" fillId="9" borderId="0" xfId="0" applyFont="1" applyFill="1" applyAlignment="1">
      <alignment horizontal="left" wrapText="1"/>
    </xf>
    <xf numFmtId="0" fontId="2" fillId="2" borderId="0" xfId="0" applyFont="1" applyFill="1" applyAlignment="1" applyProtection="1">
      <alignment horizontal="left"/>
      <protection locked="0"/>
    </xf>
    <xf numFmtId="0" fontId="2" fillId="2" borderId="7" xfId="0" applyFont="1" applyFill="1" applyBorder="1" applyAlignment="1" applyProtection="1">
      <alignment horizontal="left"/>
      <protection locked="0"/>
    </xf>
    <xf numFmtId="0" fontId="49" fillId="10" borderId="1" xfId="0" applyFont="1" applyFill="1" applyBorder="1" applyAlignment="1">
      <alignment wrapText="1"/>
    </xf>
    <xf numFmtId="0" fontId="8" fillId="9" borderId="0" xfId="0" applyFont="1" applyFill="1" applyAlignment="1">
      <alignment horizontal="left"/>
    </xf>
    <xf numFmtId="0" fontId="2" fillId="2" borderId="3" xfId="0" applyFont="1" applyFill="1" applyBorder="1" applyAlignment="1" applyProtection="1">
      <alignment horizontal="left"/>
      <protection locked="0"/>
    </xf>
    <xf numFmtId="0" fontId="2" fillId="2" borderId="10" xfId="0" applyFont="1" applyFill="1" applyBorder="1" applyAlignment="1" applyProtection="1">
      <alignment horizontal="left"/>
      <protection locked="0"/>
    </xf>
    <xf numFmtId="0" fontId="9" fillId="9" borderId="0" xfId="0" applyFont="1" applyFill="1" applyAlignment="1">
      <alignment horizontal="left"/>
    </xf>
    <xf numFmtId="0" fontId="43" fillId="9" borderId="0" xfId="0" applyFont="1" applyFill="1" applyAlignment="1">
      <alignment horizontal="left"/>
    </xf>
    <xf numFmtId="0" fontId="25" fillId="9" borderId="0" xfId="0" applyFont="1" applyFill="1" applyAlignment="1">
      <alignment horizontal="left" vertical="center"/>
    </xf>
    <xf numFmtId="0" fontId="9" fillId="9" borderId="0" xfId="0" applyFont="1" applyFill="1" applyAlignment="1">
      <alignment horizontal="left" vertical="center" wrapText="1"/>
    </xf>
    <xf numFmtId="0" fontId="7" fillId="0" borderId="0" xfId="0" applyFont="1" applyAlignment="1">
      <alignment horizontal="right" wrapText="1"/>
    </xf>
    <xf numFmtId="0" fontId="44" fillId="0" borderId="0" xfId="0" applyFont="1" applyAlignment="1" applyProtection="1">
      <alignment horizontal="left"/>
      <protection hidden="1"/>
    </xf>
    <xf numFmtId="0" fontId="44" fillId="0" borderId="24" xfId="0" applyFont="1" applyBorder="1" applyAlignment="1" applyProtection="1">
      <alignment horizontal="left"/>
      <protection hidden="1"/>
    </xf>
    <xf numFmtId="0" fontId="2" fillId="7" borderId="11" xfId="0" applyFont="1" applyFill="1" applyBorder="1" applyAlignment="1" applyProtection="1">
      <alignment horizontal="left"/>
      <protection hidden="1"/>
    </xf>
    <xf numFmtId="0" fontId="2" fillId="7" borderId="13" xfId="0" applyFont="1" applyFill="1" applyBorder="1" applyAlignment="1" applyProtection="1">
      <alignment horizontal="left"/>
      <protection hidden="1"/>
    </xf>
    <xf numFmtId="0" fontId="22" fillId="6" borderId="11" xfId="0" applyFont="1" applyFill="1" applyBorder="1" applyAlignment="1" applyProtection="1">
      <alignment horizontal="center"/>
      <protection locked="0"/>
    </xf>
    <xf numFmtId="0" fontId="0" fillId="0" borderId="2" xfId="0" applyBorder="1" applyAlignment="1" applyProtection="1">
      <alignment horizontal="center"/>
      <protection locked="0"/>
    </xf>
    <xf numFmtId="0" fontId="0" fillId="0" borderId="13" xfId="0" applyBorder="1" applyAlignment="1" applyProtection="1">
      <alignment horizontal="center"/>
      <protection locked="0"/>
    </xf>
    <xf numFmtId="0" fontId="0" fillId="0" borderId="0" xfId="0" applyAlignment="1">
      <alignment vertical="top" wrapText="1"/>
    </xf>
    <xf numFmtId="0" fontId="21" fillId="6" borderId="11" xfId="0" applyFont="1" applyFill="1" applyBorder="1" applyAlignment="1" applyProtection="1">
      <alignment horizontal="center" vertical="center"/>
      <protection locked="0"/>
    </xf>
    <xf numFmtId="0" fontId="21" fillId="6" borderId="2" xfId="0" applyFont="1" applyFill="1" applyBorder="1" applyAlignment="1" applyProtection="1">
      <alignment horizontal="center" vertical="center"/>
      <protection locked="0"/>
    </xf>
    <xf numFmtId="0" fontId="9" fillId="0" borderId="13" xfId="0" applyFont="1" applyBorder="1" applyAlignment="1" applyProtection="1">
      <alignment vertical="center"/>
      <protection locked="0"/>
    </xf>
    <xf numFmtId="0" fontId="44" fillId="0" borderId="0" xfId="0" applyFont="1" applyAlignment="1" applyProtection="1">
      <alignment horizontal="left" vertical="center"/>
      <protection hidden="1"/>
    </xf>
    <xf numFmtId="0" fontId="0" fillId="0" borderId="0" xfId="0" applyAlignment="1">
      <alignment vertical="center"/>
    </xf>
    <xf numFmtId="0" fontId="2" fillId="7" borderId="11" xfId="0" applyFont="1" applyFill="1" applyBorder="1" applyAlignment="1" applyProtection="1">
      <alignment horizontal="left" vertical="center"/>
      <protection hidden="1"/>
    </xf>
    <xf numFmtId="0" fontId="2" fillId="7" borderId="13" xfId="0" applyFont="1" applyFill="1" applyBorder="1" applyAlignment="1" applyProtection="1">
      <alignment horizontal="left" vertical="center"/>
      <protection hidden="1"/>
    </xf>
    <xf numFmtId="0" fontId="33" fillId="0" borderId="8" xfId="0" applyFont="1" applyBorder="1" applyAlignment="1">
      <alignment horizontal="left" vertical="center" wrapText="1"/>
    </xf>
    <xf numFmtId="0" fontId="5" fillId="0" borderId="0" xfId="0" applyFont="1" applyAlignment="1">
      <alignment vertical="center"/>
    </xf>
    <xf numFmtId="0" fontId="23" fillId="0" borderId="0" xfId="0" applyFont="1" applyAlignment="1" applyProtection="1">
      <alignment horizontal="left" vertical="center" wrapText="1"/>
      <protection hidden="1"/>
    </xf>
    <xf numFmtId="0" fontId="23" fillId="0" borderId="0" xfId="0" applyFont="1" applyAlignment="1">
      <alignment vertical="center" wrapText="1"/>
    </xf>
    <xf numFmtId="0" fontId="2" fillId="4" borderId="11" xfId="0" applyFont="1" applyFill="1" applyBorder="1" applyAlignment="1" applyProtection="1">
      <alignment horizontal="center"/>
      <protection locked="0"/>
    </xf>
    <xf numFmtId="0" fontId="2" fillId="4" borderId="2" xfId="0" applyFont="1" applyFill="1" applyBorder="1" applyAlignment="1" applyProtection="1">
      <alignment horizontal="center"/>
      <protection locked="0"/>
    </xf>
    <xf numFmtId="0" fontId="2" fillId="4" borderId="13" xfId="0" applyFont="1" applyFill="1" applyBorder="1" applyAlignment="1" applyProtection="1">
      <alignment horizontal="center"/>
      <protection locked="0"/>
    </xf>
    <xf numFmtId="0" fontId="2" fillId="4" borderId="6" xfId="0" applyFont="1" applyFill="1" applyBorder="1" applyAlignment="1" applyProtection="1">
      <alignment horizontal="center"/>
      <protection locked="0"/>
    </xf>
    <xf numFmtId="0" fontId="21" fillId="7" borderId="11" xfId="0" applyFont="1" applyFill="1" applyBorder="1" applyAlignment="1" applyProtection="1">
      <alignment horizontal="left"/>
      <protection locked="0"/>
    </xf>
    <xf numFmtId="0" fontId="0" fillId="7" borderId="13" xfId="0" applyFill="1" applyBorder="1" applyAlignment="1" applyProtection="1">
      <alignment horizontal="left"/>
      <protection locked="0"/>
    </xf>
    <xf numFmtId="0" fontId="9" fillId="0" borderId="0" xfId="0" applyFont="1" applyAlignment="1">
      <alignment horizontal="left" vertical="top" wrapText="1"/>
    </xf>
    <xf numFmtId="0" fontId="27" fillId="6" borderId="11" xfId="0" applyFont="1" applyFill="1" applyBorder="1" applyAlignment="1" applyProtection="1">
      <alignment horizontal="center"/>
      <protection locked="0"/>
    </xf>
    <xf numFmtId="0" fontId="27" fillId="6" borderId="2" xfId="0" applyFont="1" applyFill="1" applyBorder="1" applyAlignment="1" applyProtection="1">
      <alignment horizontal="center"/>
      <protection locked="0"/>
    </xf>
    <xf numFmtId="0" fontId="27" fillId="6" borderId="13" xfId="0" applyFont="1" applyFill="1" applyBorder="1" applyAlignment="1" applyProtection="1">
      <alignment horizontal="center"/>
      <protection locked="0"/>
    </xf>
    <xf numFmtId="0" fontId="57" fillId="0" borderId="0" xfId="0" applyFont="1"/>
    <xf numFmtId="0" fontId="21" fillId="7" borderId="11" xfId="0" applyFont="1" applyFill="1" applyBorder="1" applyAlignment="1">
      <alignment horizontal="left"/>
    </xf>
    <xf numFmtId="0" fontId="21" fillId="7" borderId="13" xfId="0" applyFont="1" applyFill="1" applyBorder="1" applyAlignment="1">
      <alignment horizontal="left"/>
    </xf>
    <xf numFmtId="0" fontId="33" fillId="0" borderId="8" xfId="0" applyFont="1" applyBorder="1" applyAlignment="1">
      <alignment horizontal="left" wrapText="1"/>
    </xf>
    <xf numFmtId="0" fontId="33" fillId="0" borderId="0" xfId="0" applyFont="1" applyAlignment="1">
      <alignment horizontal="left" wrapText="1"/>
    </xf>
    <xf numFmtId="0" fontId="5" fillId="0" borderId="0" xfId="0" applyFont="1"/>
    <xf numFmtId="0" fontId="21" fillId="6" borderId="11" xfId="0" applyFont="1" applyFill="1" applyBorder="1" applyAlignment="1" applyProtection="1">
      <alignment horizontal="center"/>
      <protection locked="0"/>
    </xf>
    <xf numFmtId="0" fontId="21" fillId="6" borderId="2" xfId="0" applyFont="1" applyFill="1" applyBorder="1" applyAlignment="1" applyProtection="1">
      <alignment horizontal="center"/>
      <protection locked="0"/>
    </xf>
    <xf numFmtId="0" fontId="9" fillId="0" borderId="13" xfId="0" applyFont="1" applyBorder="1" applyProtection="1">
      <protection locked="0"/>
    </xf>
    <xf numFmtId="0" fontId="23" fillId="0" borderId="0" xfId="0" applyFont="1" applyAlignment="1" applyProtection="1">
      <alignment horizontal="left" vertical="top" wrapText="1"/>
      <protection hidden="1"/>
    </xf>
    <xf numFmtId="0" fontId="23" fillId="0" borderId="0" xfId="0" applyFont="1" applyAlignment="1">
      <alignment vertical="top" wrapText="1"/>
    </xf>
    <xf numFmtId="4" fontId="8" fillId="0" borderId="0" xfId="0" applyNumberFormat="1" applyFont="1" applyAlignment="1">
      <alignment horizontal="left"/>
    </xf>
    <xf numFmtId="4" fontId="44" fillId="0" borderId="0" xfId="0" applyNumberFormat="1" applyFont="1" applyAlignment="1">
      <alignment horizontal="left"/>
    </xf>
    <xf numFmtId="0" fontId="0" fillId="4" borderId="11" xfId="0" applyFill="1" applyBorder="1" applyAlignment="1" applyProtection="1">
      <alignment horizontal="center"/>
      <protection locked="0"/>
    </xf>
    <xf numFmtId="0" fontId="0" fillId="4" borderId="2" xfId="0" applyFill="1" applyBorder="1" applyAlignment="1" applyProtection="1">
      <alignment horizontal="center"/>
      <protection locked="0"/>
    </xf>
    <xf numFmtId="0" fontId="0" fillId="4" borderId="13" xfId="0" applyFill="1" applyBorder="1" applyAlignment="1" applyProtection="1">
      <alignment horizontal="center"/>
      <protection locked="0"/>
    </xf>
  </cellXfs>
  <cellStyles count="2">
    <cellStyle name="Hyperlink" xfId="1" builtinId="8"/>
    <cellStyle name="Normal" xfId="0" builtinId="0"/>
  </cellStyles>
  <dxfs count="130">
    <dxf>
      <font>
        <condense val="0"/>
        <extend val="0"/>
        <color indexed="9"/>
      </font>
      <fill>
        <patternFill>
          <bgColor indexed="9"/>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ont>
        <condense val="0"/>
        <extend val="0"/>
        <color indexed="23"/>
      </font>
      <fill>
        <patternFill patternType="lightDown">
          <fgColor indexed="23"/>
          <bgColor indexed="65"/>
        </patternFill>
      </fill>
    </dxf>
    <dxf>
      <fill>
        <patternFill>
          <bgColor indexed="26"/>
        </patternFill>
      </fill>
    </dxf>
    <dxf>
      <font>
        <condense val="0"/>
        <extend val="0"/>
        <color indexed="23"/>
      </font>
      <fill>
        <patternFill patternType="lightDown">
          <fgColor indexed="23"/>
          <bgColor indexed="65"/>
        </patternFill>
      </fill>
    </dxf>
    <dxf>
      <fill>
        <patternFill>
          <bgColor indexed="26"/>
        </patternFill>
      </fill>
    </dxf>
    <dxf>
      <font>
        <b/>
        <i val="0"/>
        <condense val="0"/>
        <extend val="0"/>
        <color indexed="10"/>
      </font>
    </dxf>
    <dxf>
      <fill>
        <patternFill>
          <bgColor indexed="63"/>
        </patternFill>
      </fill>
    </dxf>
    <dxf>
      <font>
        <condense val="0"/>
        <extend val="0"/>
        <color indexed="23"/>
      </font>
      <fill>
        <patternFill patternType="lightDown">
          <fgColor indexed="23"/>
          <bgColor indexed="65"/>
        </patternFill>
      </fill>
    </dxf>
    <dxf>
      <fill>
        <patternFill>
          <bgColor indexed="41"/>
        </patternFill>
      </fill>
    </dxf>
    <dxf>
      <fill>
        <patternFill>
          <fgColor indexed="64"/>
          <bgColor indexed="42"/>
        </patternFill>
      </fill>
    </dxf>
    <dxf>
      <fill>
        <patternFill>
          <bgColor indexed="42"/>
        </patternFill>
      </fill>
    </dxf>
    <dxf>
      <font>
        <condense val="0"/>
        <extend val="0"/>
        <color indexed="23"/>
      </font>
      <fill>
        <patternFill patternType="lightDown">
          <fgColor indexed="23"/>
          <bgColor indexed="65"/>
        </patternFill>
      </fill>
    </dxf>
    <dxf>
      <fill>
        <patternFill>
          <bgColor indexed="41"/>
        </patternFill>
      </fill>
    </dxf>
    <dxf>
      <font>
        <condense val="0"/>
        <extend val="0"/>
        <color indexed="23"/>
      </font>
      <fill>
        <patternFill patternType="lightDown">
          <fgColor indexed="23"/>
          <bgColor indexed="65"/>
        </patternFill>
      </fill>
    </dxf>
    <dxf>
      <fill>
        <patternFill patternType="none">
          <bgColor indexed="65"/>
        </patternFill>
      </fill>
    </dxf>
    <dxf>
      <font>
        <condense val="0"/>
        <extend val="0"/>
        <color indexed="23"/>
      </font>
      <fill>
        <patternFill patternType="lightDown">
          <fgColor indexed="23"/>
          <bgColor indexed="65"/>
        </patternFill>
      </fill>
    </dxf>
    <dxf>
      <fill>
        <patternFill patternType="none">
          <bgColor indexed="65"/>
        </patternFill>
      </fill>
    </dxf>
    <dxf>
      <font>
        <b val="0"/>
        <i/>
        <condense val="0"/>
        <extend val="0"/>
        <color indexed="23"/>
      </font>
      <fill>
        <patternFill patternType="none">
          <fgColor indexed="64"/>
          <bgColor indexed="65"/>
        </patternFill>
      </fill>
    </dxf>
    <dxf>
      <font>
        <b val="0"/>
        <i/>
        <condense val="0"/>
        <extend val="0"/>
        <color indexed="23"/>
      </font>
      <fill>
        <patternFill patternType="none">
          <fgColor indexed="64"/>
          <bgColor indexed="65"/>
        </patternFill>
      </fill>
    </dxf>
    <dxf>
      <font>
        <b val="0"/>
        <i/>
        <condense val="0"/>
        <extend val="0"/>
        <color indexed="23"/>
      </font>
      <fill>
        <patternFill patternType="none">
          <fgColor indexed="64"/>
          <bgColor indexed="65"/>
        </patternFill>
      </fill>
    </dxf>
    <dxf>
      <font>
        <b val="0"/>
        <i/>
        <condense val="0"/>
        <extend val="0"/>
        <color indexed="23"/>
      </font>
      <fill>
        <patternFill patternType="none">
          <fgColor indexed="64"/>
          <bgColor indexed="65"/>
        </patternFill>
      </fill>
    </dxf>
    <dxf>
      <font>
        <b val="0"/>
        <i/>
        <condense val="0"/>
        <extend val="0"/>
        <color indexed="23"/>
      </font>
      <fill>
        <patternFill patternType="none">
          <fgColor indexed="64"/>
          <bgColor indexed="65"/>
        </patternFill>
      </fill>
    </dxf>
    <dxf>
      <font>
        <condense val="0"/>
        <extend val="0"/>
        <color indexed="9"/>
      </font>
      <fill>
        <patternFill>
          <bgColor indexed="9"/>
        </patternFill>
      </fill>
    </dxf>
    <dxf>
      <font>
        <condense val="0"/>
        <extend val="0"/>
        <color indexed="10"/>
      </font>
      <fill>
        <patternFill>
          <bgColor indexed="9"/>
        </patternFill>
      </fill>
    </dxf>
    <dxf>
      <fill>
        <patternFill>
          <bgColor indexed="8"/>
        </patternFill>
      </fill>
    </dxf>
    <dxf>
      <fill>
        <patternFill>
          <bgColor indexed="8"/>
        </patternFill>
      </fill>
    </dxf>
    <dxf>
      <fill>
        <patternFill>
          <bgColor indexed="8"/>
        </patternFill>
      </fill>
    </dxf>
    <dxf>
      <fill>
        <patternFill>
          <bgColor indexed="8"/>
        </patternFill>
      </fill>
    </dxf>
    <dxf>
      <font>
        <condense val="0"/>
        <extend val="0"/>
        <color indexed="23"/>
      </font>
      <fill>
        <patternFill patternType="lightDown">
          <fgColor indexed="23"/>
          <bgColor indexed="65"/>
        </patternFill>
      </fill>
    </dxf>
    <dxf>
      <font>
        <condense val="0"/>
        <extend val="0"/>
        <color indexed="23"/>
      </font>
      <fill>
        <patternFill patternType="lightDown">
          <fgColor indexed="23"/>
          <bgColor indexed="65"/>
        </patternFill>
      </fill>
    </dxf>
    <dxf>
      <font>
        <condense val="0"/>
        <extend val="0"/>
        <color indexed="23"/>
      </font>
      <fill>
        <patternFill patternType="lightDown">
          <fgColor indexed="23"/>
          <bgColor indexed="65"/>
        </patternFill>
      </fill>
    </dxf>
    <dxf>
      <font>
        <condense val="0"/>
        <extend val="0"/>
        <color indexed="23"/>
      </font>
      <fill>
        <patternFill patternType="lightDown">
          <fgColor indexed="23"/>
          <bgColor indexed="65"/>
        </patternFill>
      </fill>
    </dxf>
    <dxf>
      <font>
        <condense val="0"/>
        <extend val="0"/>
        <color indexed="23"/>
      </font>
      <fill>
        <patternFill patternType="lightDown">
          <fgColor indexed="23"/>
          <bgColor indexed="65"/>
        </patternFill>
      </fill>
    </dxf>
    <dxf>
      <font>
        <b val="0"/>
        <i/>
        <condense val="0"/>
        <extend val="0"/>
        <color indexed="23"/>
      </font>
      <fill>
        <patternFill patternType="none">
          <fgColor indexed="64"/>
          <bgColor indexed="65"/>
        </patternFill>
      </fill>
    </dxf>
    <dxf>
      <font>
        <b val="0"/>
        <i/>
        <condense val="0"/>
        <extend val="0"/>
        <color indexed="23"/>
      </font>
      <fill>
        <patternFill patternType="none">
          <fgColor indexed="64"/>
          <bgColor indexed="65"/>
        </patternFill>
      </fill>
    </dxf>
    <dxf>
      <font>
        <b val="0"/>
        <i/>
        <condense val="0"/>
        <extend val="0"/>
        <color indexed="23"/>
      </font>
      <fill>
        <patternFill patternType="none">
          <fgColor indexed="64"/>
          <bgColor indexed="65"/>
        </patternFill>
      </fill>
    </dxf>
    <dxf>
      <font>
        <condense val="0"/>
        <extend val="0"/>
        <color indexed="9"/>
      </font>
      <fill>
        <patternFill patternType="none">
          <bgColor indexed="65"/>
        </patternFill>
      </fill>
    </dxf>
    <dxf>
      <font>
        <b val="0"/>
        <i/>
        <condense val="0"/>
        <extend val="0"/>
        <color indexed="23"/>
      </font>
      <fill>
        <patternFill patternType="none">
          <fgColor indexed="64"/>
          <bgColor indexed="65"/>
        </patternFill>
      </fill>
    </dxf>
    <dxf>
      <font>
        <condense val="0"/>
        <extend val="0"/>
        <color indexed="9"/>
      </font>
      <fill>
        <patternFill patternType="none">
          <bgColor indexed="65"/>
        </patternFill>
      </fill>
    </dxf>
    <dxf>
      <font>
        <condense val="0"/>
        <extend val="0"/>
        <color indexed="23"/>
      </font>
      <fill>
        <patternFill patternType="lightDown">
          <fgColor indexed="23"/>
          <bgColor indexed="65"/>
        </patternFill>
      </fill>
    </dxf>
    <dxf>
      <fill>
        <patternFill>
          <bgColor indexed="26"/>
        </patternFill>
      </fill>
    </dxf>
    <dxf>
      <font>
        <condense val="0"/>
        <extend val="0"/>
        <color indexed="23"/>
      </font>
      <fill>
        <patternFill patternType="lightDown">
          <fgColor indexed="23"/>
          <bgColor indexed="65"/>
        </patternFill>
      </fill>
    </dxf>
    <dxf>
      <fill>
        <patternFill>
          <bgColor indexed="26"/>
        </patternFill>
      </fill>
    </dxf>
    <dxf>
      <font>
        <condense val="0"/>
        <extend val="0"/>
        <color indexed="23"/>
      </font>
      <fill>
        <patternFill patternType="lightDown">
          <fgColor indexed="23"/>
          <bgColor indexed="65"/>
        </patternFill>
      </fill>
    </dxf>
    <dxf>
      <fill>
        <patternFill>
          <bgColor indexed="26"/>
        </patternFill>
      </fill>
    </dxf>
    <dxf>
      <font>
        <condense val="0"/>
        <extend val="0"/>
        <color indexed="23"/>
      </font>
      <fill>
        <patternFill patternType="lightDown">
          <fgColor indexed="23"/>
          <bgColor indexed="65"/>
        </patternFill>
      </fill>
    </dxf>
    <dxf>
      <fill>
        <patternFill>
          <bgColor indexed="41"/>
        </patternFill>
      </fill>
    </dxf>
    <dxf>
      <fill>
        <patternFill>
          <bgColor indexed="63"/>
        </patternFill>
      </fill>
    </dxf>
    <dxf>
      <font>
        <condense val="0"/>
        <extend val="0"/>
        <color indexed="23"/>
      </font>
      <fill>
        <patternFill patternType="lightDown">
          <fgColor indexed="23"/>
          <bgColor indexed="65"/>
        </patternFill>
      </fill>
    </dxf>
    <dxf>
      <fill>
        <patternFill>
          <bgColor indexed="41"/>
        </patternFill>
      </fill>
    </dxf>
    <dxf>
      <font>
        <condense val="0"/>
        <extend val="0"/>
        <color indexed="23"/>
      </font>
      <fill>
        <patternFill patternType="lightDown">
          <fgColor indexed="23"/>
          <bgColor indexed="65"/>
        </patternFill>
      </fill>
    </dxf>
    <dxf>
      <fill>
        <patternFill>
          <bgColor indexed="41"/>
        </patternFill>
      </fill>
    </dxf>
    <dxf>
      <fill>
        <patternFill>
          <bgColor indexed="17"/>
        </patternFill>
      </fill>
    </dxf>
    <dxf>
      <fill>
        <patternFill>
          <bgColor indexed="17"/>
        </patternFill>
      </fill>
    </dxf>
    <dxf>
      <font>
        <condense val="0"/>
        <extend val="0"/>
        <color indexed="23"/>
      </font>
      <fill>
        <patternFill patternType="lightDown">
          <fgColor indexed="23"/>
          <bgColor indexed="65"/>
        </patternFill>
      </fill>
    </dxf>
    <dxf>
      <font>
        <condense val="0"/>
        <extend val="0"/>
        <color indexed="23"/>
      </font>
      <fill>
        <patternFill patternType="lightDown">
          <fgColor indexed="23"/>
          <bgColor indexed="65"/>
        </patternFill>
      </fill>
    </dxf>
    <dxf>
      <font>
        <condense val="0"/>
        <extend val="0"/>
        <color indexed="23"/>
      </font>
      <fill>
        <patternFill patternType="lightDown">
          <fgColor indexed="23"/>
          <bgColor indexed="65"/>
        </patternFill>
      </fill>
    </dxf>
    <dxf>
      <fill>
        <patternFill patternType="none">
          <bgColor indexed="65"/>
        </patternFill>
      </fill>
    </dxf>
    <dxf>
      <font>
        <condense val="0"/>
        <extend val="0"/>
        <color indexed="23"/>
      </font>
      <fill>
        <patternFill patternType="lightDown">
          <fgColor indexed="23"/>
          <bgColor indexed="65"/>
        </patternFill>
      </fill>
    </dxf>
    <dxf>
      <fill>
        <patternFill patternType="none">
          <bgColor indexed="65"/>
        </patternFill>
      </fill>
    </dxf>
    <dxf>
      <font>
        <condense val="0"/>
        <extend val="0"/>
        <color indexed="23"/>
      </font>
      <fill>
        <patternFill patternType="lightDown">
          <fgColor indexed="23"/>
          <bgColor indexed="65"/>
        </patternFill>
      </fill>
    </dxf>
    <dxf>
      <font>
        <condense val="0"/>
        <extend val="0"/>
        <color indexed="23"/>
      </font>
      <fill>
        <patternFill patternType="lightDown">
          <fgColor indexed="23"/>
          <bgColor indexed="65"/>
        </patternFill>
      </fill>
    </dxf>
    <dxf>
      <font>
        <condense val="0"/>
        <extend val="0"/>
        <color indexed="23"/>
      </font>
      <fill>
        <patternFill patternType="lightDown">
          <fgColor indexed="23"/>
          <bgColor indexed="65"/>
        </patternFill>
      </fill>
    </dxf>
    <dxf>
      <fill>
        <patternFill patternType="none">
          <bgColor indexed="65"/>
        </patternFill>
      </fill>
    </dxf>
    <dxf>
      <font>
        <b val="0"/>
        <i/>
        <condense val="0"/>
        <extend val="0"/>
        <color indexed="23"/>
      </font>
      <fill>
        <patternFill patternType="none">
          <fgColor indexed="64"/>
          <bgColor indexed="65"/>
        </patternFill>
      </fill>
    </dxf>
    <dxf>
      <font>
        <b val="0"/>
        <i/>
        <condense val="0"/>
        <extend val="0"/>
        <color indexed="23"/>
      </font>
      <fill>
        <patternFill patternType="none">
          <fgColor indexed="64"/>
          <bgColor indexed="65"/>
        </patternFill>
      </fill>
    </dxf>
    <dxf>
      <font>
        <condense val="0"/>
        <extend val="0"/>
        <color indexed="9"/>
      </font>
      <fill>
        <patternFill patternType="none">
          <bgColor indexed="65"/>
        </patternFill>
      </fill>
    </dxf>
    <dxf>
      <font>
        <b val="0"/>
        <i/>
        <condense val="0"/>
        <extend val="0"/>
        <color indexed="23"/>
      </font>
      <fill>
        <patternFill patternType="none">
          <fgColor indexed="64"/>
          <bgColor indexed="65"/>
        </patternFill>
      </fill>
    </dxf>
    <dxf>
      <font>
        <b val="0"/>
        <i/>
        <condense val="0"/>
        <extend val="0"/>
        <color indexed="23"/>
      </font>
      <fill>
        <patternFill patternType="none">
          <fgColor indexed="64"/>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b val="0"/>
        <i/>
        <condense val="0"/>
        <extend val="0"/>
        <color indexed="23"/>
      </font>
      <fill>
        <patternFill patternType="none">
          <fgColor indexed="64"/>
          <bgColor indexed="65"/>
        </patternFill>
      </fill>
    </dxf>
    <dxf>
      <font>
        <b val="0"/>
        <i/>
        <condense val="0"/>
        <extend val="0"/>
        <color indexed="23"/>
      </font>
      <fill>
        <patternFill patternType="none">
          <fgColor indexed="64"/>
          <bgColor indexed="65"/>
        </patternFill>
      </fill>
    </dxf>
    <dxf>
      <font>
        <b val="0"/>
        <i/>
        <condense val="0"/>
        <extend val="0"/>
        <color indexed="23"/>
      </font>
      <fill>
        <patternFill patternType="none">
          <fgColor indexed="64"/>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b val="0"/>
        <i/>
        <condense val="0"/>
        <extend val="0"/>
        <color indexed="23"/>
      </font>
      <fill>
        <patternFill patternType="none">
          <fgColor indexed="64"/>
          <bgColor indexed="65"/>
        </patternFill>
      </fill>
    </dxf>
    <dxf>
      <font>
        <b val="0"/>
        <i/>
        <condense val="0"/>
        <extend val="0"/>
        <color indexed="23"/>
      </font>
      <fill>
        <patternFill patternType="none">
          <fgColor indexed="64"/>
          <bgColor indexed="65"/>
        </patternFill>
      </fill>
    </dxf>
    <dxf>
      <font>
        <condense val="0"/>
        <extend val="0"/>
        <color indexed="23"/>
      </font>
      <fill>
        <patternFill patternType="lightDown">
          <fgColor indexed="23"/>
          <bgColor indexed="65"/>
        </patternFill>
      </fill>
    </dxf>
    <dxf>
      <font>
        <condense val="0"/>
        <extend val="0"/>
        <color indexed="23"/>
      </font>
      <fill>
        <patternFill patternType="lightDown">
          <fgColor indexed="23"/>
          <bgColor indexed="65"/>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23"/>
      </font>
      <fill>
        <patternFill patternType="lightDown">
          <fgColor indexed="23"/>
          <bgColor indexed="65"/>
        </patternFill>
      </fill>
    </dxf>
    <dxf>
      <font>
        <condense val="0"/>
        <extend val="0"/>
        <color indexed="23"/>
      </font>
      <fill>
        <patternFill patternType="lightDown">
          <fgColor indexed="23"/>
          <bgColor indexed="65"/>
        </patternFill>
      </fill>
    </dxf>
    <dxf>
      <font>
        <condense val="0"/>
        <extend val="0"/>
        <color indexed="23"/>
      </font>
      <fill>
        <patternFill patternType="lightDown">
          <fgColor indexed="23"/>
          <bgColor indexed="65"/>
        </patternFill>
      </fill>
    </dxf>
    <dxf>
      <font>
        <condense val="0"/>
        <extend val="0"/>
        <color indexed="8"/>
      </font>
      <fill>
        <patternFill patternType="solid">
          <bgColor indexed="26"/>
        </patternFill>
      </fill>
    </dxf>
    <dxf>
      <font>
        <condense val="0"/>
        <extend val="0"/>
        <color indexed="8"/>
      </font>
      <fill>
        <patternFill>
          <bgColor indexed="26"/>
        </patternFill>
      </fill>
    </dxf>
    <dxf>
      <font>
        <condense val="0"/>
        <extend val="0"/>
        <color indexed="23"/>
      </font>
      <fill>
        <patternFill patternType="lightDown">
          <fgColor indexed="23"/>
          <bgColor indexed="9"/>
        </patternFill>
      </fill>
    </dxf>
    <dxf>
      <font>
        <condense val="0"/>
        <extend val="0"/>
        <color indexed="23"/>
      </font>
      <fill>
        <patternFill patternType="lightDown">
          <fgColor indexed="23"/>
          <bgColor indexed="9"/>
        </patternFill>
      </fill>
    </dxf>
    <dxf>
      <font>
        <condense val="0"/>
        <extend val="0"/>
        <color indexed="8"/>
      </font>
      <fill>
        <patternFill patternType="solid">
          <bgColor indexed="22"/>
        </patternFill>
      </fill>
    </dxf>
    <dxf>
      <font>
        <condense val="0"/>
        <extend val="0"/>
        <color indexed="23"/>
      </font>
      <fill>
        <patternFill patternType="lightDown">
          <fgColor indexed="23"/>
          <bgColor indexed="65"/>
        </patternFill>
      </fill>
    </dxf>
    <dxf>
      <font>
        <condense val="0"/>
        <extend val="0"/>
        <color indexed="8"/>
      </font>
      <fill>
        <patternFill>
          <bgColor indexed="41"/>
        </patternFill>
      </fill>
    </dxf>
    <dxf>
      <font>
        <condense val="0"/>
        <extend val="0"/>
        <color indexed="23"/>
      </font>
      <fill>
        <patternFill patternType="lightDown">
          <fgColor indexed="23"/>
          <bgColor indexed="65"/>
        </patternFill>
      </fill>
    </dxf>
    <dxf>
      <font>
        <condense val="0"/>
        <extend val="0"/>
        <color indexed="23"/>
      </font>
      <fill>
        <patternFill patternType="lightDown">
          <fgColor indexed="23"/>
          <bgColor indexed="65"/>
        </patternFill>
      </fill>
    </dxf>
    <dxf>
      <font>
        <condense val="0"/>
        <extend val="0"/>
        <color indexed="23"/>
      </font>
      <fill>
        <patternFill patternType="lightDown">
          <fgColor indexed="23"/>
          <bgColor indexed="65"/>
        </patternFill>
      </fill>
    </dxf>
    <dxf>
      <font>
        <condense val="0"/>
        <extend val="0"/>
        <color indexed="8"/>
      </font>
      <fill>
        <patternFill>
          <bgColor indexed="22"/>
        </patternFill>
      </fill>
    </dxf>
    <dxf>
      <font>
        <condense val="0"/>
        <extend val="0"/>
        <color indexed="23"/>
      </font>
      <fill>
        <patternFill patternType="lightDown">
          <fgColor indexed="23"/>
          <bgColor indexed="65"/>
        </patternFill>
      </fill>
    </dxf>
    <dxf>
      <font>
        <condense val="0"/>
        <extend val="0"/>
        <color indexed="23"/>
      </font>
      <fill>
        <patternFill patternType="lightDown">
          <fgColor indexed="23"/>
          <bgColor indexed="65"/>
        </patternFill>
      </fill>
    </dxf>
    <dxf>
      <font>
        <condense val="0"/>
        <extend val="0"/>
        <color indexed="8"/>
      </font>
      <fill>
        <patternFill>
          <bgColor indexed="41"/>
        </patternFill>
      </fill>
    </dxf>
    <dxf>
      <font>
        <condense val="0"/>
        <extend val="0"/>
        <color indexed="23"/>
      </font>
      <fill>
        <patternFill patternType="lightDown">
          <fgColor indexed="23"/>
          <bgColor indexed="9"/>
        </patternFill>
      </fill>
    </dxf>
    <dxf>
      <font>
        <condense val="0"/>
        <extend val="0"/>
        <color indexed="23"/>
      </font>
      <fill>
        <patternFill patternType="lightDown">
          <fgColor indexed="23"/>
          <bgColor indexed="9"/>
        </patternFill>
      </fill>
    </dxf>
    <dxf>
      <font>
        <condense val="0"/>
        <extend val="0"/>
        <color indexed="8"/>
      </font>
      <fill>
        <patternFill>
          <bgColor indexed="41"/>
        </patternFill>
      </fill>
    </dxf>
    <dxf>
      <font>
        <condense val="0"/>
        <extend val="0"/>
        <color indexed="23"/>
      </font>
      <fill>
        <patternFill patternType="lightDown">
          <fgColor indexed="23"/>
          <bgColor indexed="9"/>
        </patternFill>
      </fill>
    </dxf>
    <dxf>
      <font>
        <condense val="0"/>
        <extend val="0"/>
        <color indexed="23"/>
      </font>
      <fill>
        <patternFill patternType="lightDown">
          <fgColor indexed="23"/>
          <bgColor indexed="9"/>
        </patternFill>
      </fill>
    </dxf>
    <dxf>
      <font>
        <condense val="0"/>
        <extend val="0"/>
        <color indexed="8"/>
      </font>
      <fill>
        <patternFill>
          <bgColor indexed="41"/>
        </patternFill>
      </fill>
    </dxf>
    <dxf>
      <fill>
        <patternFill>
          <bgColor indexed="17"/>
        </patternFill>
      </fill>
    </dxf>
    <dxf>
      <fill>
        <patternFill>
          <bgColor indexed="17"/>
        </patternFill>
      </fill>
    </dxf>
    <dxf>
      <font>
        <condense val="0"/>
        <extend val="0"/>
        <color indexed="23"/>
      </font>
      <fill>
        <patternFill patternType="lightDown">
          <fgColor indexed="23"/>
          <bgColor indexed="65"/>
        </patternFill>
      </fill>
    </dxf>
    <dxf>
      <font>
        <condense val="0"/>
        <extend val="0"/>
        <color indexed="8"/>
      </font>
      <fill>
        <patternFill patternType="none">
          <bgColor indexed="65"/>
        </patternFill>
      </fill>
    </dxf>
    <dxf>
      <font>
        <condense val="0"/>
        <extend val="0"/>
        <color indexed="8"/>
      </font>
      <fill>
        <patternFill patternType="none">
          <bgColor indexed="65"/>
        </patternFill>
      </fill>
    </dxf>
    <dxf>
      <font>
        <condense val="0"/>
        <extend val="0"/>
        <color indexed="23"/>
      </font>
      <fill>
        <patternFill patternType="lightDown">
          <fgColor indexed="23"/>
          <bgColor indexed="65"/>
        </patternFill>
      </fill>
    </dxf>
    <dxf>
      <font>
        <condense val="0"/>
        <extend val="0"/>
        <color indexed="23"/>
      </font>
      <fill>
        <patternFill patternType="lightDown">
          <fgColor indexed="23"/>
          <bgColor indexed="65"/>
        </patternFill>
      </fill>
    </dxf>
    <dxf>
      <font>
        <condense val="0"/>
        <extend val="0"/>
        <color indexed="23"/>
      </font>
      <fill>
        <patternFill patternType="lightDown">
          <fgColor indexed="23"/>
          <bgColor indexed="65"/>
        </patternFill>
      </fill>
    </dxf>
    <dxf>
      <font>
        <condense val="0"/>
        <extend val="0"/>
        <color indexed="8"/>
      </font>
      <fill>
        <patternFill patternType="none">
          <bgColor indexed="65"/>
        </patternFill>
      </fill>
    </dxf>
    <dxf>
      <font>
        <condense val="0"/>
        <extend val="0"/>
        <color indexed="23"/>
      </font>
      <fill>
        <patternFill patternType="lightDown">
          <fgColor indexed="23"/>
          <bgColor indexed="65"/>
        </patternFill>
      </fill>
    </dxf>
    <dxf>
      <font>
        <condense val="0"/>
        <extend val="0"/>
        <color indexed="23"/>
      </font>
      <fill>
        <patternFill patternType="lightDown">
          <fgColor indexed="23"/>
          <bgColor indexed="65"/>
        </patternFill>
      </fill>
    </dxf>
    <dxf>
      <font>
        <condense val="0"/>
        <extend val="0"/>
        <color indexed="8"/>
      </font>
      <fill>
        <patternFill patternType="none">
          <bgColor indexed="65"/>
        </patternFill>
      </fill>
    </dxf>
    <dxf>
      <font>
        <condense val="0"/>
        <extend val="0"/>
        <color indexed="23"/>
      </font>
      <fill>
        <patternFill patternType="lightDown">
          <fgColor indexed="23"/>
          <bgColor indexed="9"/>
        </patternFill>
      </fill>
    </dxf>
    <dxf>
      <font>
        <condense val="0"/>
        <extend val="0"/>
        <color indexed="23"/>
      </font>
      <fill>
        <patternFill patternType="lightDown">
          <fgColor indexed="23"/>
          <bgColor indexed="9"/>
        </patternFill>
      </fill>
    </dxf>
    <dxf>
      <font>
        <condense val="0"/>
        <extend val="0"/>
        <color indexed="8"/>
      </font>
      <fill>
        <patternFill patternType="none">
          <bgColor indexed="6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20" Type="http://schemas.openxmlformats.org/officeDocument/2006/relationships/customXml" Target="../customXml/item5.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customXml" Target="../customXml/item4.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4555779030839291"/>
          <c:y val="5.3571521992749012E-2"/>
          <c:w val="0.83742988450153355"/>
          <c:h val="0.7714299166955888"/>
        </c:manualLayout>
      </c:layout>
      <c:scatterChart>
        <c:scatterStyle val="lineMarker"/>
        <c:varyColors val="0"/>
        <c:ser>
          <c:idx val="1"/>
          <c:order val="0"/>
          <c:spPr>
            <a:ln w="12700">
              <a:solidFill>
                <a:srgbClr val="000000"/>
              </a:solidFill>
              <a:prstDash val="solid"/>
            </a:ln>
          </c:spPr>
          <c:marker>
            <c:symbol val="none"/>
          </c:marker>
          <c:xVal>
            <c:numRef>
              <c:f>Attenuation_satzone!$W$14:$W$34</c:f>
              <c:numCache>
                <c:formatCode>0.0</c:formatCode>
                <c:ptCount val="21"/>
                <c:pt idx="0" formatCode="General">
                  <c:v>0</c:v>
                </c:pt>
                <c:pt idx="1">
                  <c:v>5.35</c:v>
                </c:pt>
                <c:pt idx="2">
                  <c:v>10.7</c:v>
                </c:pt>
                <c:pt idx="3">
                  <c:v>16.049999999999997</c:v>
                </c:pt>
                <c:pt idx="4">
                  <c:v>21.4</c:v>
                </c:pt>
                <c:pt idx="5">
                  <c:v>26.75</c:v>
                </c:pt>
                <c:pt idx="6">
                  <c:v>32.099999999999994</c:v>
                </c:pt>
                <c:pt idx="7">
                  <c:v>37.449999999999996</c:v>
                </c:pt>
                <c:pt idx="8">
                  <c:v>42.8</c:v>
                </c:pt>
                <c:pt idx="9">
                  <c:v>48.15</c:v>
                </c:pt>
                <c:pt idx="10">
                  <c:v>53.5</c:v>
                </c:pt>
                <c:pt idx="11">
                  <c:v>58.849999999999994</c:v>
                </c:pt>
                <c:pt idx="12">
                  <c:v>64.199999999999989</c:v>
                </c:pt>
                <c:pt idx="13">
                  <c:v>69.55</c:v>
                </c:pt>
                <c:pt idx="14">
                  <c:v>74.899999999999991</c:v>
                </c:pt>
                <c:pt idx="15">
                  <c:v>80.25</c:v>
                </c:pt>
                <c:pt idx="16">
                  <c:v>85.6</c:v>
                </c:pt>
                <c:pt idx="17">
                  <c:v>90.949999999999989</c:v>
                </c:pt>
                <c:pt idx="18">
                  <c:v>96.3</c:v>
                </c:pt>
                <c:pt idx="19">
                  <c:v>101.64999999999999</c:v>
                </c:pt>
                <c:pt idx="20">
                  <c:v>107</c:v>
                </c:pt>
              </c:numCache>
            </c:numRef>
          </c:xVal>
          <c:yVal>
            <c:numRef>
              <c:f>Attenuation_satzone!$X$14:$X$34</c:f>
              <c:numCache>
                <c:formatCode>0.00E+00</c:formatCode>
                <c:ptCount val="21"/>
                <c:pt idx="0" formatCode="0.0E+00">
                  <c:v>11.197999654787523</c:v>
                </c:pt>
                <c:pt idx="1">
                  <c:v>1.9633226992303194</c:v>
                </c:pt>
                <c:pt idx="2">
                  <c:v>1.3682070414151679</c:v>
                </c:pt>
                <c:pt idx="3">
                  <c:v>1.0978895957854722</c:v>
                </c:pt>
                <c:pt idx="4">
                  <c:v>0.93376014675118679</c:v>
                </c:pt>
                <c:pt idx="5">
                  <c:v>0.81998075090243394</c:v>
                </c:pt>
                <c:pt idx="6">
                  <c:v>0.73480986434613482</c:v>
                </c:pt>
                <c:pt idx="7">
                  <c:v>0.66777235478557673</c:v>
                </c:pt>
                <c:pt idx="8">
                  <c:v>0.61310855707999001</c:v>
                </c:pt>
                <c:pt idx="9">
                  <c:v>0.56735045057092892</c:v>
                </c:pt>
                <c:pt idx="10">
                  <c:v>0.52826605597120835</c:v>
                </c:pt>
                <c:pt idx="11">
                  <c:v>0.49434365168581512</c:v>
                </c:pt>
                <c:pt idx="12">
                  <c:v>0.46451708498653349</c:v>
                </c:pt>
                <c:pt idx="13">
                  <c:v>0.43800932034578344</c:v>
                </c:pt>
                <c:pt idx="14">
                  <c:v>0.41423839074885921</c:v>
                </c:pt>
                <c:pt idx="15">
                  <c:v>0.39275829673117812</c:v>
                </c:pt>
                <c:pt idx="16">
                  <c:v>0.37322046051067587</c:v>
                </c:pt>
                <c:pt idx="17">
                  <c:v>0.35534777885631208</c:v>
                </c:pt>
                <c:pt idx="18">
                  <c:v>0.33891667467978165</c:v>
                </c:pt>
                <c:pt idx="19">
                  <c:v>0.32374438372166842</c:v>
                </c:pt>
                <c:pt idx="20">
                  <c:v>0.30967975979125167</c:v>
                </c:pt>
              </c:numCache>
            </c:numRef>
          </c:yVal>
          <c:smooth val="0"/>
          <c:extLst>
            <c:ext xmlns:c16="http://schemas.microsoft.com/office/drawing/2014/chart" uri="{C3380CC4-5D6E-409C-BE32-E72D297353CC}">
              <c16:uniqueId val="{00000000-4E40-4B50-A4A3-E7BB2DFB05A9}"/>
            </c:ext>
          </c:extLst>
        </c:ser>
        <c:dLbls>
          <c:showLegendKey val="0"/>
          <c:showVal val="0"/>
          <c:showCatName val="0"/>
          <c:showSerName val="0"/>
          <c:showPercent val="0"/>
          <c:showBubbleSize val="0"/>
        </c:dLbls>
        <c:axId val="476895176"/>
        <c:axId val="476896744"/>
      </c:scatterChart>
      <c:valAx>
        <c:axId val="476895176"/>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9527449900520543"/>
              <c:y val="0.9107157855268091"/>
            </c:manualLayout>
          </c:layout>
          <c:overlay val="0"/>
          <c:spPr>
            <a:noFill/>
            <a:ln w="25400">
              <a:noFill/>
            </a:ln>
          </c:spPr>
        </c:title>
        <c:numFmt formatCode="#,##0" sourceLinked="0"/>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476896744"/>
        <c:crosses val="autoZero"/>
        <c:crossBetween val="midCat"/>
      </c:valAx>
      <c:valAx>
        <c:axId val="476896744"/>
        <c:scaling>
          <c:orientation val="minMax"/>
          <c:max val="100"/>
          <c:min val="0"/>
        </c:scaling>
        <c:delete val="0"/>
        <c:axPos val="l"/>
        <c:title>
          <c:tx>
            <c:rich>
              <a:bodyPr/>
              <a:lstStyle/>
              <a:p>
                <a:pPr>
                  <a:defRPr sz="800" b="1" i="0" u="none" strike="noStrike" baseline="0">
                    <a:solidFill>
                      <a:srgbClr val="000000"/>
                    </a:solidFill>
                    <a:latin typeface="Arial"/>
                    <a:ea typeface="Arial"/>
                    <a:cs typeface="Arial"/>
                  </a:defRPr>
                </a:pPr>
                <a:r>
                  <a:rPr lang="en-GB"/>
                  <a:t>Concentration mg/l</a:t>
                </a:r>
              </a:p>
            </c:rich>
          </c:tx>
          <c:layout>
            <c:manualLayout>
              <c:xMode val="edge"/>
              <c:yMode val="edge"/>
              <c:x val="1.3232514177693762E-2"/>
              <c:y val="0.24642894638170254"/>
            </c:manualLayout>
          </c:layout>
          <c:overlay val="0"/>
          <c:spPr>
            <a:noFill/>
            <a:ln w="25400">
              <a:noFill/>
            </a:ln>
          </c:spPr>
        </c:title>
        <c:numFmt formatCode="0.0E+00" sourceLinked="0"/>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476895176"/>
        <c:crosses val="autoZero"/>
        <c:crossBetween val="midCat"/>
        <c:majorUnit val="10"/>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en-US"/>
    </a:p>
  </c:txPr>
  <c:printSettings>
    <c:headerFooter alignWithMargins="0"/>
    <c:pageMargins b="1" l="0.750000000000001" r="0.750000000000001" t="1" header="0.5" footer="0.5"/>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b="1" i="0" u="none" strike="noStrike" baseline="0">
                <a:solidFill>
                  <a:srgbClr val="000000"/>
                </a:solidFill>
                <a:latin typeface="Arial"/>
                <a:ea typeface="Arial"/>
                <a:cs typeface="Arial"/>
              </a:defRPr>
            </a:pPr>
            <a:r>
              <a:rPr lang="en-GB"/>
              <a:t>Predicted concentration</a:t>
            </a:r>
          </a:p>
        </c:rich>
      </c:tx>
      <c:layout>
        <c:manualLayout>
          <c:xMode val="edge"/>
          <c:yMode val="edge"/>
          <c:x val="0.35725222896756231"/>
          <c:y val="3.3536585365853661E-2"/>
        </c:manualLayout>
      </c:layout>
      <c:overlay val="0"/>
      <c:spPr>
        <a:noFill/>
        <a:ln w="25400">
          <a:noFill/>
        </a:ln>
      </c:spPr>
    </c:title>
    <c:autoTitleDeleted val="0"/>
    <c:plotArea>
      <c:layout>
        <c:manualLayout>
          <c:layoutTarget val="inner"/>
          <c:xMode val="edge"/>
          <c:yMode val="edge"/>
          <c:x val="0.16335890040471465"/>
          <c:y val="0.11585383100382141"/>
          <c:w val="0.81526778332820149"/>
          <c:h val="0.75914747157767293"/>
        </c:manualLayout>
      </c:layout>
      <c:barChart>
        <c:barDir val="col"/>
        <c:grouping val="clustered"/>
        <c:varyColors val="0"/>
        <c:ser>
          <c:idx val="1"/>
          <c:order val="1"/>
          <c:spPr>
            <a:solidFill>
              <a:srgbClr val="00FFFF"/>
            </a:solidFill>
            <a:ln w="12700">
              <a:solidFill>
                <a:srgbClr val="000000"/>
              </a:solidFill>
              <a:prstDash val="solid"/>
            </a:ln>
          </c:spPr>
          <c:invertIfNegative val="0"/>
          <c:cat>
            <c:strRef>
              <c:f>Summary!$S$22:$S$25</c:f>
              <c:strCache>
                <c:ptCount val="4"/>
                <c:pt idx="0">
                  <c:v>Effluent</c:v>
                </c:pt>
                <c:pt idx="1">
                  <c:v>Base unsat zone</c:v>
                </c:pt>
                <c:pt idx="2">
                  <c:v>Dilution</c:v>
                </c:pt>
                <c:pt idx="3">
                  <c:v>Compliance borehole</c:v>
                </c:pt>
              </c:strCache>
            </c:strRef>
          </c:cat>
          <c:val>
            <c:numRef>
              <c:f>Summary!$T$22:$T$25</c:f>
              <c:numCache>
                <c:formatCode>#,##0.00</c:formatCode>
                <c:ptCount val="4"/>
                <c:pt idx="0">
                  <c:v>20</c:v>
                </c:pt>
                <c:pt idx="1">
                  <c:v>19.888312471082994</c:v>
                </c:pt>
                <c:pt idx="2">
                  <c:v>11.197999654787523</c:v>
                </c:pt>
                <c:pt idx="3">
                  <c:v>0.30967975979125167</c:v>
                </c:pt>
              </c:numCache>
            </c:numRef>
          </c:val>
          <c:extLst>
            <c:ext xmlns:c16="http://schemas.microsoft.com/office/drawing/2014/chart" uri="{C3380CC4-5D6E-409C-BE32-E72D297353CC}">
              <c16:uniqueId val="{00000000-3F3B-498E-96FE-00F3F01A7537}"/>
            </c:ext>
          </c:extLst>
        </c:ser>
        <c:dLbls>
          <c:showLegendKey val="0"/>
          <c:showVal val="0"/>
          <c:showCatName val="0"/>
          <c:showSerName val="0"/>
          <c:showPercent val="0"/>
          <c:showBubbleSize val="0"/>
        </c:dLbls>
        <c:gapWidth val="150"/>
        <c:axId val="217409544"/>
        <c:axId val="217932592"/>
      </c:barChart>
      <c:lineChart>
        <c:grouping val="standard"/>
        <c:varyColors val="0"/>
        <c:ser>
          <c:idx val="0"/>
          <c:order val="0"/>
          <c:spPr>
            <a:ln w="25400">
              <a:solidFill>
                <a:srgbClr val="FF0000"/>
              </a:solidFill>
              <a:prstDash val="lgDash"/>
            </a:ln>
          </c:spPr>
          <c:marker>
            <c:symbol val="none"/>
          </c:marker>
          <c:cat>
            <c:strRef>
              <c:f>Summary!$S$22:$S$25</c:f>
              <c:strCache>
                <c:ptCount val="4"/>
                <c:pt idx="0">
                  <c:v>Effluent</c:v>
                </c:pt>
                <c:pt idx="1">
                  <c:v>Base unsat zone</c:v>
                </c:pt>
                <c:pt idx="2">
                  <c:v>Dilution</c:v>
                </c:pt>
                <c:pt idx="3">
                  <c:v>Compliance borehole</c:v>
                </c:pt>
              </c:strCache>
            </c:strRef>
          </c:cat>
          <c:val>
            <c:numRef>
              <c:f>Summary!$U$22:$U$25</c:f>
              <c:numCache>
                <c:formatCode>#,##0.00</c:formatCode>
                <c:ptCount val="4"/>
                <c:pt idx="0">
                  <c:v>0.5</c:v>
                </c:pt>
                <c:pt idx="1">
                  <c:v>0.5</c:v>
                </c:pt>
                <c:pt idx="2">
                  <c:v>0.5</c:v>
                </c:pt>
                <c:pt idx="3">
                  <c:v>0.5</c:v>
                </c:pt>
              </c:numCache>
            </c:numRef>
          </c:val>
          <c:smooth val="0"/>
          <c:extLst>
            <c:ext xmlns:c16="http://schemas.microsoft.com/office/drawing/2014/chart" uri="{C3380CC4-5D6E-409C-BE32-E72D297353CC}">
              <c16:uniqueId val="{00000001-3F3B-498E-96FE-00F3F01A7537}"/>
            </c:ext>
          </c:extLst>
        </c:ser>
        <c:dLbls>
          <c:showLegendKey val="0"/>
          <c:showVal val="0"/>
          <c:showCatName val="0"/>
          <c:showSerName val="0"/>
          <c:showPercent val="0"/>
          <c:showBubbleSize val="0"/>
        </c:dLbls>
        <c:marker val="1"/>
        <c:smooth val="0"/>
        <c:axId val="217409544"/>
        <c:axId val="217932592"/>
      </c:lineChart>
      <c:catAx>
        <c:axId val="217409544"/>
        <c:scaling>
          <c:orientation val="minMax"/>
        </c:scaling>
        <c:delete val="0"/>
        <c:axPos val="b"/>
        <c:numFmt formatCode="General" sourceLinked="1"/>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217932592"/>
        <c:crossesAt val="1.0000000000000018E-3"/>
        <c:auto val="0"/>
        <c:lblAlgn val="ctr"/>
        <c:lblOffset val="100"/>
        <c:tickLblSkip val="1"/>
        <c:tickMarkSkip val="1"/>
        <c:noMultiLvlLbl val="0"/>
      </c:catAx>
      <c:valAx>
        <c:axId val="217932592"/>
        <c:scaling>
          <c:logBase val="10"/>
          <c:orientation val="minMax"/>
          <c:max val="1000"/>
          <c:min val="1.0000000000000018E-3"/>
        </c:scaling>
        <c:delete val="0"/>
        <c:axPos val="l"/>
        <c:title>
          <c:tx>
            <c:rich>
              <a:bodyPr/>
              <a:lstStyle/>
              <a:p>
                <a:pPr>
                  <a:defRPr sz="1000" b="1" i="0" u="none" strike="noStrike" baseline="0">
                    <a:solidFill>
                      <a:srgbClr val="000000"/>
                    </a:solidFill>
                    <a:latin typeface="Arial"/>
                    <a:ea typeface="Arial"/>
                    <a:cs typeface="Arial"/>
                  </a:defRPr>
                </a:pPr>
                <a:r>
                  <a:rPr lang="en-GB"/>
                  <a:t>Log Concentration mg/l</a:t>
                </a:r>
              </a:p>
            </c:rich>
          </c:tx>
          <c:layout>
            <c:manualLayout>
              <c:xMode val="edge"/>
              <c:yMode val="edge"/>
              <c:x val="2.2900763358778626E-2"/>
              <c:y val="0.26219544203315986"/>
            </c:manualLayout>
          </c:layout>
          <c:overlay val="0"/>
          <c:spPr>
            <a:noFill/>
            <a:ln w="25400">
              <a:noFill/>
            </a:ln>
          </c:spPr>
        </c:title>
        <c:numFmt formatCode="#,##0.000" sourceLinked="0"/>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Arial"/>
                <a:ea typeface="Arial"/>
                <a:cs typeface="Arial"/>
              </a:defRPr>
            </a:pPr>
            <a:endParaRPr lang="en-US"/>
          </a:p>
        </c:txPr>
        <c:crossAx val="217409544"/>
        <c:crosses val="autoZero"/>
        <c:crossBetween val="between"/>
        <c:minorUnit val="10"/>
      </c:valAx>
      <c:spPr>
        <a:solidFill>
          <a:srgbClr val="FFFFFF"/>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1000" b="0" i="0" u="none" strike="noStrike" baseline="0">
          <a:solidFill>
            <a:srgbClr val="000000"/>
          </a:solidFill>
          <a:latin typeface="Arial"/>
          <a:ea typeface="Arial"/>
          <a:cs typeface="Arial"/>
        </a:defRPr>
      </a:pPr>
      <a:endParaRPr lang="en-US"/>
    </a:p>
  </c:txPr>
  <c:printSettings>
    <c:headerFooter alignWithMargins="0">
      <c:oddHeader>&amp;A</c:oddHeader>
      <c:oddFooter>Page &amp;P</c:oddFooter>
    </c:headerFooter>
    <c:pageMargins b="1" l="0.750000000000001" r="0.750000000000001" t="1" header="0.5" footer="0.5"/>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Ogata Banks - Time Variant</a:t>
            </a:r>
          </a:p>
        </c:rich>
      </c:tx>
      <c:layout>
        <c:manualLayout>
          <c:xMode val="edge"/>
          <c:yMode val="edge"/>
          <c:x val="0.26100694960299781"/>
          <c:y val="3.3240997229916962E-2"/>
        </c:manualLayout>
      </c:layout>
      <c:overlay val="0"/>
      <c:spPr>
        <a:noFill/>
        <a:ln w="25400">
          <a:noFill/>
        </a:ln>
      </c:spPr>
    </c:title>
    <c:autoTitleDeleted val="0"/>
    <c:plotArea>
      <c:layout>
        <c:manualLayout>
          <c:layoutTarget val="inner"/>
          <c:xMode val="edge"/>
          <c:yMode val="edge"/>
          <c:x val="0.16352251474828849"/>
          <c:y val="8.5872692326940628E-2"/>
          <c:w val="0.78931060003500897"/>
          <c:h val="0.80609527313354101"/>
        </c:manualLayout>
      </c:layout>
      <c:scatterChart>
        <c:scatterStyle val="lineMarker"/>
        <c:varyColors val="0"/>
        <c:ser>
          <c:idx val="0"/>
          <c:order val="0"/>
          <c:spPr>
            <a:ln w="12700">
              <a:solidFill>
                <a:srgbClr val="003366"/>
              </a:solidFill>
              <a:prstDash val="solid"/>
            </a:ln>
          </c:spPr>
          <c:marker>
            <c:symbol val="none"/>
          </c:marker>
          <c:xVal>
            <c:numRef>
              <c:f>'Attenuation calc_sat_zone'!$F$6:$F$25</c:f>
              <c:numCache>
                <c:formatCode>General</c:formatCode>
                <c:ptCount val="20"/>
                <c:pt idx="0">
                  <c:v>5.35</c:v>
                </c:pt>
                <c:pt idx="1">
                  <c:v>10.7</c:v>
                </c:pt>
                <c:pt idx="2">
                  <c:v>16.049999999999997</c:v>
                </c:pt>
                <c:pt idx="3">
                  <c:v>21.4</c:v>
                </c:pt>
                <c:pt idx="4">
                  <c:v>26.75</c:v>
                </c:pt>
                <c:pt idx="5">
                  <c:v>32.099999999999994</c:v>
                </c:pt>
                <c:pt idx="6">
                  <c:v>37.449999999999996</c:v>
                </c:pt>
                <c:pt idx="7">
                  <c:v>42.8</c:v>
                </c:pt>
                <c:pt idx="8">
                  <c:v>48.15</c:v>
                </c:pt>
                <c:pt idx="9">
                  <c:v>53.5</c:v>
                </c:pt>
                <c:pt idx="10">
                  <c:v>58.849999999999994</c:v>
                </c:pt>
                <c:pt idx="11">
                  <c:v>64.199999999999989</c:v>
                </c:pt>
                <c:pt idx="12">
                  <c:v>69.55</c:v>
                </c:pt>
                <c:pt idx="13">
                  <c:v>74.899999999999991</c:v>
                </c:pt>
                <c:pt idx="14">
                  <c:v>80.25</c:v>
                </c:pt>
                <c:pt idx="15">
                  <c:v>85.6</c:v>
                </c:pt>
                <c:pt idx="16">
                  <c:v>90.949999999999989</c:v>
                </c:pt>
                <c:pt idx="17">
                  <c:v>96.3</c:v>
                </c:pt>
                <c:pt idx="18">
                  <c:v>101.64999999999999</c:v>
                </c:pt>
                <c:pt idx="19">
                  <c:v>107</c:v>
                </c:pt>
              </c:numCache>
            </c:numRef>
          </c:xVal>
          <c:yVal>
            <c:numRef>
              <c:f>'Attenuation calc_sat_zone'!$X$6:$X$25</c:f>
              <c:numCache>
                <c:formatCode>0.00E+00</c:formatCode>
                <c:ptCount val="20"/>
                <c:pt idx="0">
                  <c:v>0.17532798354668036</c:v>
                </c:pt>
                <c:pt idx="1">
                  <c:v>0.12218316517184508</c:v>
                </c:pt>
                <c:pt idx="2">
                  <c:v>9.8043367532708162E-2</c:v>
                </c:pt>
                <c:pt idx="3">
                  <c:v>8.3386334661295761E-2</c:v>
                </c:pt>
                <c:pt idx="4">
                  <c:v>7.3225645309951806E-2</c:v>
                </c:pt>
                <c:pt idx="5">
                  <c:v>6.56197434362287E-2</c:v>
                </c:pt>
                <c:pt idx="6">
                  <c:v>5.9633182297883128E-2</c:v>
                </c:pt>
                <c:pt idx="7">
                  <c:v>5.4751614215121487E-2</c:v>
                </c:pt>
                <c:pt idx="8">
                  <c:v>5.0665339173177011E-2</c:v>
                </c:pt>
                <c:pt idx="9">
                  <c:v>4.7175037708217536E-2</c:v>
                </c:pt>
                <c:pt idx="10">
                  <c:v>4.4145710566660584E-2</c:v>
                </c:pt>
                <c:pt idx="11">
                  <c:v>4.1482148536050076E-2</c:v>
                </c:pt>
                <c:pt idx="12">
                  <c:v>3.9114961050969461E-2</c:v>
                </c:pt>
                <c:pt idx="13">
                  <c:v>3.6992177488749813E-2</c:v>
                </c:pt>
                <c:pt idx="14">
                  <c:v>3.5073969355166101E-2</c:v>
                </c:pt>
                <c:pt idx="15">
                  <c:v>3.3329208074328841E-2</c:v>
                </c:pt>
                <c:pt idx="16">
                  <c:v>3.1733147866671786E-2</c:v>
                </c:pt>
                <c:pt idx="17">
                  <c:v>3.0265822926229802E-2</c:v>
                </c:pt>
                <c:pt idx="18">
                  <c:v>2.8910912100560456E-2</c:v>
                </c:pt>
                <c:pt idx="19">
                  <c:v>2.7654917783360811E-2</c:v>
                </c:pt>
              </c:numCache>
            </c:numRef>
          </c:yVal>
          <c:smooth val="0"/>
          <c:extLst>
            <c:ext xmlns:c16="http://schemas.microsoft.com/office/drawing/2014/chart" uri="{C3380CC4-5D6E-409C-BE32-E72D297353CC}">
              <c16:uniqueId val="{00000000-0096-40FB-96C5-F1E937208165}"/>
            </c:ext>
          </c:extLst>
        </c:ser>
        <c:dLbls>
          <c:showLegendKey val="0"/>
          <c:showVal val="0"/>
          <c:showCatName val="0"/>
          <c:showSerName val="0"/>
          <c:showPercent val="0"/>
          <c:showBubbleSize val="0"/>
        </c:dLbls>
        <c:axId val="476090552"/>
        <c:axId val="621238520"/>
      </c:scatterChart>
      <c:valAx>
        <c:axId val="476090552"/>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5597616335693941"/>
              <c:y val="0.93074908572716497"/>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621238520"/>
        <c:crosses val="autoZero"/>
        <c:crossBetween val="midCat"/>
      </c:valAx>
      <c:valAx>
        <c:axId val="621238520"/>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Relative Concentration</a:t>
                </a:r>
              </a:p>
            </c:rich>
          </c:tx>
          <c:layout>
            <c:manualLayout>
              <c:xMode val="edge"/>
              <c:yMode val="edge"/>
              <c:x val="1.5723270440251583E-2"/>
              <c:y val="0.31024959830159726"/>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476090552"/>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50" b="0" i="0" u="none" strike="noStrike" baseline="0">
          <a:solidFill>
            <a:srgbClr val="000000"/>
          </a:solidFill>
          <a:latin typeface="Arial"/>
          <a:ea typeface="Arial"/>
          <a:cs typeface="Arial"/>
        </a:defRPr>
      </a:pPr>
      <a:endParaRPr lang="en-US"/>
    </a:p>
  </c:txPr>
  <c:printSettings>
    <c:headerFooter alignWithMargins="0"/>
    <c:pageMargins b="1" l="0.750000000000001" r="0.750000000000001" t="1" header="0.5" footer="0.5"/>
    <c:pageSetup/>
  </c:printSettings>
</c:chartSpace>
</file>

<file path=xl/ctrlProps/ctrlProp1.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1" Type="http://schemas.openxmlformats.org/officeDocument/2006/relationships/image" Target="../media/image1.emf"/></Relationships>
</file>

<file path=xl/drawings/_rels/drawing4.xml.rels><?xml version="1.0" encoding="UTF-8" standalone="yes"?>
<Relationships xmlns="http://schemas.openxmlformats.org/package/2006/relationships"><Relationship Id="rId1" Type="http://schemas.openxmlformats.org/officeDocument/2006/relationships/image" Target="../media/image1.emf"/></Relationships>
</file>

<file path=xl/drawings/_rels/drawing5.xml.rels><?xml version="1.0" encoding="UTF-8" standalone="yes"?>
<Relationships xmlns="http://schemas.openxmlformats.org/package/2006/relationships"><Relationship Id="rId1" Type="http://schemas.openxmlformats.org/officeDocument/2006/relationships/image" Target="../media/image1.emf"/></Relationships>
</file>

<file path=xl/drawings/_rels/drawing6.xml.rels><?xml version="1.0" encoding="UTF-8" standalone="yes"?>
<Relationships xmlns="http://schemas.openxmlformats.org/package/2006/relationships"><Relationship Id="rId2" Type="http://schemas.openxmlformats.org/officeDocument/2006/relationships/chart" Target="../charts/chart1.xml"/><Relationship Id="rId1" Type="http://schemas.openxmlformats.org/officeDocument/2006/relationships/image" Target="../media/image1.emf"/></Relationships>
</file>

<file path=xl/drawings/_rels/drawing7.xml.rels><?xml version="1.0" encoding="UTF-8" standalone="yes"?>
<Relationships xmlns="http://schemas.openxmlformats.org/package/2006/relationships"><Relationship Id="rId1" Type="http://schemas.openxmlformats.org/officeDocument/2006/relationships/chart" Target="../charts/chart2.xml"/></Relationships>
</file>

<file path=xl/drawings/_rels/drawing8.xml.rels><?xml version="1.0" encoding="UTF-8" standalone="yes"?>
<Relationships xmlns="http://schemas.openxmlformats.org/package/2006/relationships"><Relationship Id="rId1" Type="http://schemas.openxmlformats.org/officeDocument/2006/relationships/chart" Target="../charts/chart3.xml"/></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342900</xdr:colOff>
          <xdr:row>1</xdr:row>
          <xdr:rowOff>22860</xdr:rowOff>
        </xdr:from>
        <xdr:to>
          <xdr:col>7</xdr:col>
          <xdr:colOff>228600</xdr:colOff>
          <xdr:row>19</xdr:row>
          <xdr:rowOff>106680</xdr:rowOff>
        </xdr:to>
        <xdr:sp macro="" textlink="">
          <xdr:nvSpPr>
            <xdr:cNvPr id="19457" name="Button 1" hidden="1">
              <a:extLst>
                <a:ext uri="{63B3BB69-23CF-44E3-9099-C40C66FF867C}">
                  <a14:compatExt spid="_x0000_s19457"/>
                </a:ext>
                <a:ext uri="{FF2B5EF4-FFF2-40B4-BE49-F238E27FC236}">
                  <a16:creationId xmlns:a16="http://schemas.microsoft.com/office/drawing/2014/main" id="{00000000-0008-0000-0000-0000014C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GB" sz="1200" b="1" i="0" u="none" strike="noStrike" baseline="0">
                  <a:solidFill>
                    <a:srgbClr val="000000"/>
                  </a:solidFill>
                  <a:latin typeface="Arial"/>
                  <a:cs typeface="Arial"/>
                </a:rPr>
                <a:t>Click here to name and save</a:t>
              </a:r>
            </a:p>
            <a:p>
              <a:pPr algn="ctr" rtl="0">
                <a:defRPr sz="1000"/>
              </a:pPr>
              <a:r>
                <a:rPr lang="en-GB" sz="1200" b="1" i="0" u="none" strike="noStrike" baseline="0">
                  <a:solidFill>
                    <a:srgbClr val="000000"/>
                  </a:solidFill>
                  <a:latin typeface="Arial"/>
                  <a:cs typeface="Arial"/>
                </a:rPr>
                <a:t> new spreadsheet in to </a:t>
              </a:r>
            </a:p>
            <a:p>
              <a:pPr algn="ctr" rtl="0">
                <a:defRPr sz="1000"/>
              </a:pPr>
              <a:r>
                <a:rPr lang="en-GB" sz="1200" b="1" i="0" u="none" strike="noStrike" baseline="0">
                  <a:solidFill>
                    <a:srgbClr val="000000"/>
                  </a:solidFill>
                  <a:latin typeface="Arial"/>
                  <a:cs typeface="Arial"/>
                </a:rPr>
                <a:t>the current active directory</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495300</xdr:colOff>
      <xdr:row>5</xdr:row>
      <xdr:rowOff>152400</xdr:rowOff>
    </xdr:to>
    <xdr:pic>
      <xdr:nvPicPr>
        <xdr:cNvPr id="13345" name="Picture 11">
          <a:extLst>
            <a:ext uri="{FF2B5EF4-FFF2-40B4-BE49-F238E27FC236}">
              <a16:creationId xmlns:a16="http://schemas.microsoft.com/office/drawing/2014/main" id="{00000000-0008-0000-0100-00002134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0" y="0"/>
          <a:ext cx="2305050" cy="923925"/>
        </a:xfrm>
        <a:prstGeom prst="rect">
          <a:avLst/>
        </a:prstGeom>
        <a:noFill/>
        <a:ln w="9525">
          <a:noFill/>
          <a:miter lim="800000"/>
          <a:headEnd/>
          <a:tailEnd/>
        </a:ln>
      </xdr:spPr>
    </xdr:pic>
    <xdr:clientData/>
  </xdr:twoCellAnchor>
  <xdr:twoCellAnchor>
    <xdr:from>
      <xdr:col>6</xdr:col>
      <xdr:colOff>771752</xdr:colOff>
      <xdr:row>21</xdr:row>
      <xdr:rowOff>133577</xdr:rowOff>
    </xdr:from>
    <xdr:to>
      <xdr:col>6</xdr:col>
      <xdr:colOff>1034792</xdr:colOff>
      <xdr:row>21</xdr:row>
      <xdr:rowOff>409802</xdr:rowOff>
    </xdr:to>
    <xdr:pic>
      <xdr:nvPicPr>
        <xdr:cNvPr id="29697" name="Picture 1" descr="Button image">
          <a:extLst>
            <a:ext uri="{FF2B5EF4-FFF2-40B4-BE49-F238E27FC236}">
              <a16:creationId xmlns:a16="http://schemas.microsoft.com/office/drawing/2014/main" id="{00000000-0008-0000-0100-00000174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6391502" y="4095977"/>
          <a:ext cx="263040" cy="276225"/>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8</xdr:col>
      <xdr:colOff>800100</xdr:colOff>
      <xdr:row>0</xdr:row>
      <xdr:rowOff>0</xdr:rowOff>
    </xdr:from>
    <xdr:to>
      <xdr:col>12</xdr:col>
      <xdr:colOff>0</xdr:colOff>
      <xdr:row>4</xdr:row>
      <xdr:rowOff>114300</xdr:rowOff>
    </xdr:to>
    <xdr:pic>
      <xdr:nvPicPr>
        <xdr:cNvPr id="23609" name="Picture 7">
          <a:extLst>
            <a:ext uri="{FF2B5EF4-FFF2-40B4-BE49-F238E27FC236}">
              <a16:creationId xmlns:a16="http://schemas.microsoft.com/office/drawing/2014/main" id="{00000000-0008-0000-0200-0000395C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11477625" y="0"/>
          <a:ext cx="2305050" cy="923925"/>
        </a:xfrm>
        <a:prstGeom prst="rect">
          <a:avLst/>
        </a:prstGeom>
        <a:noFill/>
        <a:ln w="9525">
          <a:noFill/>
          <a:miter lim="800000"/>
          <a:headEnd/>
          <a:tailEnd/>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8</xdr:col>
      <xdr:colOff>800100</xdr:colOff>
      <xdr:row>0</xdr:row>
      <xdr:rowOff>0</xdr:rowOff>
    </xdr:from>
    <xdr:to>
      <xdr:col>12</xdr:col>
      <xdr:colOff>0</xdr:colOff>
      <xdr:row>4</xdr:row>
      <xdr:rowOff>114300</xdr:rowOff>
    </xdr:to>
    <xdr:pic>
      <xdr:nvPicPr>
        <xdr:cNvPr id="6279" name="Picture 69">
          <a:extLst>
            <a:ext uri="{FF2B5EF4-FFF2-40B4-BE49-F238E27FC236}">
              <a16:creationId xmlns:a16="http://schemas.microsoft.com/office/drawing/2014/main" id="{00000000-0008-0000-0300-00008718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12668250" y="0"/>
          <a:ext cx="2305050" cy="923925"/>
        </a:xfrm>
        <a:prstGeom prst="rect">
          <a:avLst/>
        </a:prstGeom>
        <a:noFill/>
        <a:ln w="9525">
          <a:noFill/>
          <a:miter lim="800000"/>
          <a:headEnd/>
          <a:tailEnd/>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10</xdr:col>
      <xdr:colOff>0</xdr:colOff>
      <xdr:row>0</xdr:row>
      <xdr:rowOff>0</xdr:rowOff>
    </xdr:from>
    <xdr:to>
      <xdr:col>13</xdr:col>
      <xdr:colOff>457200</xdr:colOff>
      <xdr:row>4</xdr:row>
      <xdr:rowOff>104775</xdr:rowOff>
    </xdr:to>
    <xdr:pic>
      <xdr:nvPicPr>
        <xdr:cNvPr id="8286" name="Picture 51">
          <a:extLst>
            <a:ext uri="{FF2B5EF4-FFF2-40B4-BE49-F238E27FC236}">
              <a16:creationId xmlns:a16="http://schemas.microsoft.com/office/drawing/2014/main" id="{00000000-0008-0000-0400-00005E2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12096750" y="0"/>
          <a:ext cx="2305050" cy="923925"/>
        </a:xfrm>
        <a:prstGeom prst="rect">
          <a:avLst/>
        </a:prstGeom>
        <a:noFill/>
        <a:ln w="9525">
          <a:noFill/>
          <a:miter lim="800000"/>
          <a:headEnd/>
          <a:tailEnd/>
        </a:ln>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17</xdr:col>
      <xdr:colOff>276225</xdr:colOff>
      <xdr:row>0</xdr:row>
      <xdr:rowOff>0</xdr:rowOff>
    </xdr:from>
    <xdr:to>
      <xdr:col>21</xdr:col>
      <xdr:colOff>120650</xdr:colOff>
      <xdr:row>4</xdr:row>
      <xdr:rowOff>0</xdr:rowOff>
    </xdr:to>
    <xdr:pic>
      <xdr:nvPicPr>
        <xdr:cNvPr id="4277" name="Picture 107">
          <a:extLst>
            <a:ext uri="{FF2B5EF4-FFF2-40B4-BE49-F238E27FC236}">
              <a16:creationId xmlns:a16="http://schemas.microsoft.com/office/drawing/2014/main" id="{00000000-0008-0000-0500-0000B51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17487900" y="0"/>
          <a:ext cx="2305050" cy="923925"/>
        </a:xfrm>
        <a:prstGeom prst="rect">
          <a:avLst/>
        </a:prstGeom>
        <a:noFill/>
        <a:ln w="9525">
          <a:noFill/>
          <a:miter lim="800000"/>
          <a:headEnd/>
          <a:tailEnd/>
        </a:ln>
      </xdr:spPr>
    </xdr:pic>
    <xdr:clientData/>
  </xdr:twoCellAnchor>
  <xdr:twoCellAnchor>
    <xdr:from>
      <xdr:col>14</xdr:col>
      <xdr:colOff>0</xdr:colOff>
      <xdr:row>5</xdr:row>
      <xdr:rowOff>0</xdr:rowOff>
    </xdr:from>
    <xdr:to>
      <xdr:col>21</xdr:col>
      <xdr:colOff>742950</xdr:colOff>
      <xdr:row>19</xdr:row>
      <xdr:rowOff>0</xdr:rowOff>
    </xdr:to>
    <xdr:graphicFrame macro="">
      <xdr:nvGraphicFramePr>
        <xdr:cNvPr id="4278" name="Chart 125">
          <a:extLst>
            <a:ext uri="{FF2B5EF4-FFF2-40B4-BE49-F238E27FC236}">
              <a16:creationId xmlns:a16="http://schemas.microsoft.com/office/drawing/2014/main" id="{00000000-0008-0000-0500-0000B61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33</xdr:row>
      <xdr:rowOff>28575</xdr:rowOff>
    </xdr:from>
    <xdr:to>
      <xdr:col>4</xdr:col>
      <xdr:colOff>0</xdr:colOff>
      <xdr:row>52</xdr:row>
      <xdr:rowOff>76200</xdr:rowOff>
    </xdr:to>
    <xdr:graphicFrame macro="">
      <xdr:nvGraphicFramePr>
        <xdr:cNvPr id="17435" name="Chart 5">
          <a:extLst>
            <a:ext uri="{FF2B5EF4-FFF2-40B4-BE49-F238E27FC236}">
              <a16:creationId xmlns:a16="http://schemas.microsoft.com/office/drawing/2014/main" id="{00000000-0008-0000-0600-00001B4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8.xml><?xml version="1.0" encoding="utf-8"?>
<xdr:wsDr xmlns:xdr="http://schemas.openxmlformats.org/drawingml/2006/spreadsheetDrawing" xmlns:a="http://schemas.openxmlformats.org/drawingml/2006/main">
  <xdr:twoCellAnchor>
    <xdr:from>
      <xdr:col>25</xdr:col>
      <xdr:colOff>508000</xdr:colOff>
      <xdr:row>5</xdr:row>
      <xdr:rowOff>0</xdr:rowOff>
    </xdr:from>
    <xdr:to>
      <xdr:col>30</xdr:col>
      <xdr:colOff>488950</xdr:colOff>
      <xdr:row>23</xdr:row>
      <xdr:rowOff>133350</xdr:rowOff>
    </xdr:to>
    <xdr:graphicFrame macro="">
      <xdr:nvGraphicFramePr>
        <xdr:cNvPr id="1068" name="Chart 22">
          <a:extLst>
            <a:ext uri="{FF2B5EF4-FFF2-40B4-BE49-F238E27FC236}">
              <a16:creationId xmlns:a16="http://schemas.microsoft.com/office/drawing/2014/main" id="{00000000-0008-0000-0A00-00002C0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3.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4.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comments" Target="../comments5.xml"/><Relationship Id="rId1" Type="http://schemas.openxmlformats.org/officeDocument/2006/relationships/vmlDrawing" Target="../drawings/vmlDrawing6.vml"/></Relationships>
</file>

<file path=xl/worksheets/_rels/sheet10.xml.rels><?xml version="1.0" encoding="UTF-8" standalone="yes"?>
<Relationships xmlns="http://schemas.openxmlformats.org/package/2006/relationships"><Relationship Id="rId2" Type="http://schemas.openxmlformats.org/officeDocument/2006/relationships/comments" Target="../comments6.xml"/><Relationship Id="rId1" Type="http://schemas.openxmlformats.org/officeDocument/2006/relationships/vmlDrawing" Target="../drawings/vmlDrawing7.v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8.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6"/>
  <dimension ref="E10"/>
  <sheetViews>
    <sheetView workbookViewId="0">
      <selection activeCell="F31" sqref="F31"/>
    </sheetView>
  </sheetViews>
  <sheetFormatPr defaultRowHeight="13.2" x14ac:dyDescent="0.25"/>
  <cols>
    <col min="1" max="1" width="4.33203125" customWidth="1"/>
  </cols>
  <sheetData>
    <row r="10" spans="5:5" x14ac:dyDescent="0.25">
      <c r="E10" s="79" t="s">
        <v>157</v>
      </c>
    </row>
  </sheetData>
  <sheetProtection password="CA8F" sheet="1" objects="1" scenarios="1"/>
  <phoneticPr fontId="58" type="noConversion"/>
  <pageMargins left="0.75" right="0.75" top="1" bottom="1" header="0.5" footer="0.5"/>
  <pageSetup paperSize="9"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9457" r:id="rId4" name="Button 1">
              <controlPr defaultSize="0" print="0" autoFill="0" autoPict="0" macro="[0]!launch">
                <anchor moveWithCells="1" sizeWithCells="1">
                  <from>
                    <xdr:col>0</xdr:col>
                    <xdr:colOff>342900</xdr:colOff>
                    <xdr:row>1</xdr:row>
                    <xdr:rowOff>22860</xdr:rowOff>
                  </from>
                  <to>
                    <xdr:col>7</xdr:col>
                    <xdr:colOff>228600</xdr:colOff>
                    <xdr:row>19</xdr:row>
                    <xdr:rowOff>106680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pageSetUpPr fitToPage="1"/>
  </sheetPr>
  <dimension ref="A3:O55"/>
  <sheetViews>
    <sheetView topLeftCell="A13" zoomScaleNormal="100" workbookViewId="0">
      <selection activeCell="K29" sqref="K29"/>
    </sheetView>
  </sheetViews>
  <sheetFormatPr defaultColWidth="9.109375" defaultRowHeight="13.2" x14ac:dyDescent="0.25"/>
  <cols>
    <col min="1" max="1" width="27.109375" style="158" customWidth="1"/>
    <col min="2" max="2" width="16.44140625" style="158" customWidth="1"/>
    <col min="3" max="3" width="9.109375" style="158"/>
    <col min="4" max="4" width="14" style="158" bestFit="1" customWidth="1"/>
    <col min="5" max="5" width="8.44140625" style="158" customWidth="1"/>
    <col min="6" max="6" width="9.109375" style="158"/>
    <col min="7" max="7" width="30.109375" style="158" customWidth="1"/>
    <col min="8" max="9" width="9.109375" style="158"/>
    <col min="10" max="10" width="10.6640625" style="158" customWidth="1"/>
    <col min="11" max="16384" width="9.109375" style="158"/>
  </cols>
  <sheetData>
    <row r="3" spans="1:13" s="159" customFormat="1" ht="10.199999999999999" x14ac:dyDescent="0.2"/>
    <row r="5" spans="1:13" s="159" customFormat="1" ht="10.199999999999999" x14ac:dyDescent="0.2"/>
    <row r="7" spans="1:13" ht="20.25" customHeight="1" x14ac:dyDescent="0.4">
      <c r="A7" s="438" t="s">
        <v>393</v>
      </c>
      <c r="B7" s="438"/>
      <c r="C7" s="438"/>
      <c r="D7" s="438"/>
      <c r="E7" s="438"/>
      <c r="F7" s="438"/>
      <c r="G7" s="438"/>
      <c r="H7" s="438"/>
      <c r="I7" s="438"/>
      <c r="J7" s="438"/>
      <c r="K7" s="438"/>
      <c r="L7" s="438"/>
      <c r="M7" s="438"/>
    </row>
    <row r="8" spans="1:13" s="162" customFormat="1" ht="18" customHeight="1" x14ac:dyDescent="0.3">
      <c r="A8" s="431" t="s">
        <v>399</v>
      </c>
      <c r="B8" s="432"/>
      <c r="C8" s="432"/>
      <c r="D8" s="432"/>
    </row>
    <row r="9" spans="1:13" s="163" customFormat="1" ht="13.8" x14ac:dyDescent="0.25">
      <c r="A9" s="443" t="s">
        <v>400</v>
      </c>
      <c r="B9" s="443"/>
    </row>
    <row r="10" spans="1:13" ht="12.75" customHeight="1" x14ac:dyDescent="0.25">
      <c r="A10" s="444" t="s">
        <v>394</v>
      </c>
      <c r="B10" s="444"/>
      <c r="C10" s="444"/>
      <c r="D10" s="444"/>
      <c r="E10" s="444"/>
      <c r="F10" s="444"/>
      <c r="G10" s="444"/>
      <c r="H10" s="444"/>
      <c r="I10" s="444"/>
      <c r="J10" s="444"/>
      <c r="K10" s="444"/>
      <c r="L10" s="444"/>
      <c r="M10" s="444"/>
    </row>
    <row r="11" spans="1:13" x14ac:dyDescent="0.25">
      <c r="A11" s="444"/>
      <c r="B11" s="444"/>
      <c r="C11" s="444"/>
      <c r="D11" s="444"/>
      <c r="E11" s="444"/>
      <c r="F11" s="444"/>
      <c r="G11" s="444"/>
      <c r="H11" s="444"/>
      <c r="I11" s="444"/>
      <c r="J11" s="444"/>
      <c r="K11" s="444"/>
      <c r="L11" s="444"/>
      <c r="M11" s="444"/>
    </row>
    <row r="12" spans="1:13" s="159" customFormat="1" ht="10.199999999999999" x14ac:dyDescent="0.2">
      <c r="A12" s="225"/>
    </row>
    <row r="13" spans="1:13" s="159" customFormat="1" ht="10.199999999999999" x14ac:dyDescent="0.2">
      <c r="A13" s="225"/>
    </row>
    <row r="14" spans="1:13" x14ac:dyDescent="0.25">
      <c r="A14" s="441" t="s">
        <v>401</v>
      </c>
      <c r="B14" s="441"/>
      <c r="C14" s="441"/>
      <c r="D14" s="441"/>
      <c r="E14" s="441"/>
      <c r="F14" s="441"/>
      <c r="G14" s="441"/>
      <c r="H14" s="441"/>
    </row>
    <row r="15" spans="1:13" x14ac:dyDescent="0.25">
      <c r="A15" s="228"/>
    </row>
    <row r="16" spans="1:13" x14ac:dyDescent="0.25">
      <c r="A16" s="441"/>
      <c r="B16" s="441"/>
      <c r="C16" s="441"/>
      <c r="D16" s="441"/>
      <c r="E16" s="441"/>
      <c r="F16" s="441"/>
      <c r="G16" s="441"/>
    </row>
    <row r="17" spans="1:15" s="159" customFormat="1" ht="12.75" customHeight="1" x14ac:dyDescent="0.2">
      <c r="A17" s="442" t="s">
        <v>127</v>
      </c>
      <c r="B17" s="442"/>
      <c r="C17" s="442"/>
      <c r="D17" s="442"/>
      <c r="E17" s="442"/>
    </row>
    <row r="18" spans="1:15" s="159" customFormat="1" ht="9.9" customHeight="1" x14ac:dyDescent="0.2">
      <c r="A18" s="434" t="s">
        <v>163</v>
      </c>
      <c r="B18" s="434"/>
      <c r="C18" s="434"/>
      <c r="D18" s="434"/>
      <c r="E18" s="434"/>
      <c r="F18" s="434"/>
      <c r="G18" s="434"/>
      <c r="H18" s="434"/>
      <c r="I18" s="434"/>
    </row>
    <row r="19" spans="1:15" s="159" customFormat="1" ht="9.9" customHeight="1" x14ac:dyDescent="0.2">
      <c r="A19" s="434"/>
      <c r="B19" s="434"/>
      <c r="C19" s="434"/>
      <c r="D19" s="434"/>
      <c r="E19" s="434"/>
      <c r="F19" s="434"/>
      <c r="G19" s="434"/>
      <c r="H19" s="434"/>
      <c r="I19" s="434"/>
    </row>
    <row r="20" spans="1:15" s="159" customFormat="1" ht="9.9" customHeight="1" x14ac:dyDescent="0.2">
      <c r="A20" s="434"/>
      <c r="B20" s="434"/>
      <c r="C20" s="434"/>
      <c r="D20" s="434"/>
      <c r="E20" s="434"/>
      <c r="F20" s="434"/>
      <c r="G20" s="434"/>
      <c r="H20" s="434"/>
      <c r="I20" s="434"/>
    </row>
    <row r="21" spans="1:15" s="159" customFormat="1" ht="31.5" customHeight="1" x14ac:dyDescent="0.2">
      <c r="A21" s="434"/>
      <c r="B21" s="434"/>
      <c r="C21" s="434"/>
      <c r="D21" s="434"/>
      <c r="E21" s="434"/>
      <c r="F21" s="434"/>
      <c r="G21" s="434"/>
      <c r="H21" s="434"/>
      <c r="I21" s="434"/>
    </row>
    <row r="22" spans="1:15" s="164" customFormat="1" ht="87" customHeight="1" x14ac:dyDescent="0.3">
      <c r="A22" s="437" t="s">
        <v>392</v>
      </c>
      <c r="B22" s="437"/>
      <c r="C22" s="437"/>
      <c r="D22" s="437"/>
      <c r="E22" s="437"/>
      <c r="F22" s="437"/>
      <c r="G22" s="437"/>
      <c r="H22" s="437"/>
      <c r="I22" s="437"/>
      <c r="J22" s="158"/>
      <c r="K22" s="158"/>
      <c r="L22" s="158"/>
      <c r="M22" s="158"/>
      <c r="N22" s="158"/>
      <c r="O22" s="158"/>
    </row>
    <row r="23" spans="1:15" x14ac:dyDescent="0.25">
      <c r="A23" s="229"/>
    </row>
    <row r="24" spans="1:15" x14ac:dyDescent="0.25">
      <c r="A24" s="230" t="s">
        <v>95</v>
      </c>
      <c r="B24" s="231"/>
      <c r="C24" s="231"/>
      <c r="D24" s="231"/>
      <c r="E24" s="231"/>
      <c r="F24" s="231"/>
      <c r="G24" s="232"/>
    </row>
    <row r="25" spans="1:15" x14ac:dyDescent="0.25">
      <c r="A25" s="233"/>
      <c r="G25" s="234"/>
    </row>
    <row r="26" spans="1:15" x14ac:dyDescent="0.25">
      <c r="A26" s="233" t="s">
        <v>84</v>
      </c>
      <c r="B26" s="435" t="s">
        <v>418</v>
      </c>
      <c r="C26" s="435"/>
      <c r="D26" s="435"/>
      <c r="E26" s="435"/>
      <c r="F26" s="435"/>
      <c r="G26" s="436"/>
    </row>
    <row r="27" spans="1:15" x14ac:dyDescent="0.25">
      <c r="A27" s="233" t="s">
        <v>85</v>
      </c>
      <c r="B27" s="435" t="s">
        <v>420</v>
      </c>
      <c r="C27" s="435"/>
      <c r="D27" s="435"/>
      <c r="E27" s="435"/>
      <c r="F27" s="435"/>
      <c r="G27" s="436"/>
    </row>
    <row r="28" spans="1:15" x14ac:dyDescent="0.25">
      <c r="A28" s="233"/>
      <c r="B28" s="235"/>
      <c r="C28" s="229"/>
      <c r="G28" s="234"/>
    </row>
    <row r="29" spans="1:15" x14ac:dyDescent="0.25">
      <c r="A29" s="233" t="s">
        <v>86</v>
      </c>
      <c r="B29" s="435" t="s">
        <v>419</v>
      </c>
      <c r="C29" s="435"/>
      <c r="D29" s="435"/>
      <c r="G29" s="234"/>
    </row>
    <row r="30" spans="1:15" x14ac:dyDescent="0.25">
      <c r="A30" s="233" t="s">
        <v>87</v>
      </c>
      <c r="B30" s="160">
        <v>45685</v>
      </c>
      <c r="C30" s="11"/>
      <c r="D30" s="125" t="s">
        <v>96</v>
      </c>
      <c r="E30" s="161">
        <v>1</v>
      </c>
      <c r="G30" s="234"/>
    </row>
    <row r="31" spans="1:15" x14ac:dyDescent="0.25">
      <c r="A31" s="236"/>
      <c r="B31" s="6"/>
      <c r="C31" s="229"/>
      <c r="G31" s="234"/>
    </row>
    <row r="32" spans="1:15" x14ac:dyDescent="0.25">
      <c r="A32" s="233" t="s">
        <v>176</v>
      </c>
      <c r="B32" s="415" t="s">
        <v>410</v>
      </c>
      <c r="C32" s="229"/>
      <c r="G32" s="234"/>
    </row>
    <row r="33" spans="1:10" ht="15.6" x14ac:dyDescent="0.35">
      <c r="A33" s="237" t="s">
        <v>346</v>
      </c>
      <c r="B33" s="90">
        <v>0.5</v>
      </c>
      <c r="C33" s="238" t="s">
        <v>18</v>
      </c>
      <c r="D33" s="239" t="s">
        <v>137</v>
      </c>
      <c r="E33" s="439" t="s">
        <v>417</v>
      </c>
      <c r="F33" s="439"/>
      <c r="G33" s="440"/>
    </row>
    <row r="35" spans="1:10" ht="26.25" customHeight="1" x14ac:dyDescent="0.25">
      <c r="A35" s="433" t="s">
        <v>347</v>
      </c>
      <c r="B35" s="433"/>
      <c r="C35" s="433"/>
      <c r="D35" s="433"/>
      <c r="E35" s="433"/>
      <c r="F35" s="433"/>
      <c r="G35" s="433"/>
      <c r="H35" s="226"/>
      <c r="I35" s="226"/>
      <c r="J35" s="226"/>
    </row>
    <row r="36" spans="1:10" ht="14.25" customHeight="1" x14ac:dyDescent="0.25">
      <c r="A36" s="241" t="s">
        <v>179</v>
      </c>
      <c r="B36" s="226"/>
      <c r="C36" s="226"/>
      <c r="D36" s="226"/>
      <c r="E36" s="226"/>
      <c r="F36" s="226"/>
      <c r="G36" s="226"/>
      <c r="H36" s="226"/>
      <c r="I36" s="226"/>
      <c r="J36" s="226"/>
    </row>
    <row r="37" spans="1:10" ht="14.25" customHeight="1" x14ac:dyDescent="0.25">
      <c r="A37" s="241" t="s">
        <v>227</v>
      </c>
      <c r="B37" s="226"/>
      <c r="C37" s="226"/>
      <c r="D37" s="226"/>
      <c r="E37" s="226"/>
      <c r="F37" s="226"/>
      <c r="G37" s="226"/>
      <c r="H37" s="226"/>
      <c r="I37" s="226"/>
      <c r="J37" s="226"/>
    </row>
    <row r="38" spans="1:10" ht="14.25" customHeight="1" x14ac:dyDescent="0.25">
      <c r="A38" s="241" t="s">
        <v>173</v>
      </c>
      <c r="B38" s="226"/>
      <c r="C38" s="226"/>
      <c r="D38" s="226"/>
      <c r="E38" s="226"/>
      <c r="F38" s="226"/>
      <c r="G38" s="226"/>
      <c r="H38" s="226"/>
      <c r="I38" s="226"/>
      <c r="J38" s="226"/>
    </row>
    <row r="39" spans="1:10" ht="14.25" customHeight="1" x14ac:dyDescent="0.25">
      <c r="A39" s="241" t="s">
        <v>228</v>
      </c>
      <c r="B39" s="226"/>
      <c r="C39" s="226"/>
      <c r="D39" s="226"/>
      <c r="E39" s="226"/>
      <c r="F39" s="226"/>
      <c r="G39" s="226"/>
      <c r="H39" s="226"/>
      <c r="I39" s="226"/>
      <c r="J39" s="226"/>
    </row>
    <row r="40" spans="1:10" x14ac:dyDescent="0.25">
      <c r="A40" s="241" t="s">
        <v>282</v>
      </c>
      <c r="B40" s="226"/>
      <c r="C40" s="226"/>
      <c r="D40" s="226"/>
      <c r="E40" s="226"/>
      <c r="F40" s="226"/>
      <c r="G40" s="226"/>
      <c r="H40" s="226"/>
      <c r="I40" s="226"/>
      <c r="J40" s="226"/>
    </row>
    <row r="41" spans="1:10" x14ac:dyDescent="0.25">
      <c r="A41" s="241" t="s">
        <v>229</v>
      </c>
      <c r="B41" s="226"/>
      <c r="C41" s="226"/>
      <c r="D41" s="226"/>
      <c r="E41" s="226"/>
      <c r="F41" s="226"/>
      <c r="G41" s="226"/>
      <c r="H41" s="226"/>
      <c r="I41" s="226"/>
      <c r="J41" s="226"/>
    </row>
    <row r="42" spans="1:10" x14ac:dyDescent="0.25">
      <c r="A42"/>
      <c r="B42" s="226"/>
      <c r="C42" s="226"/>
      <c r="D42" s="226"/>
      <c r="E42" s="226"/>
      <c r="F42" s="226"/>
      <c r="G42" s="226"/>
      <c r="H42" s="226"/>
      <c r="I42" s="226"/>
      <c r="J42" s="226"/>
    </row>
    <row r="43" spans="1:10" x14ac:dyDescent="0.25">
      <c r="A43" s="430" t="s">
        <v>226</v>
      </c>
      <c r="B43" s="430"/>
      <c r="C43" s="430"/>
      <c r="D43" s="430"/>
      <c r="E43" s="430"/>
      <c r="F43" s="430"/>
      <c r="G43" s="430"/>
      <c r="H43" s="430"/>
      <c r="I43" s="430"/>
      <c r="J43" s="430"/>
    </row>
    <row r="44" spans="1:10" x14ac:dyDescent="0.25">
      <c r="A44" s="240" t="s">
        <v>283</v>
      </c>
      <c r="B44" s="240"/>
      <c r="C44" s="240"/>
      <c r="D44" s="240"/>
      <c r="E44" s="240"/>
      <c r="F44" s="240"/>
      <c r="G44" s="240"/>
      <c r="H44" s="240"/>
      <c r="I44" s="240"/>
      <c r="J44" s="240"/>
    </row>
    <row r="45" spans="1:10" x14ac:dyDescent="0.25">
      <c r="A45" s="137"/>
      <c r="B45" s="227" t="s">
        <v>286</v>
      </c>
      <c r="C45" s="240"/>
      <c r="D45" s="240"/>
      <c r="E45" s="240"/>
      <c r="F45" s="240"/>
      <c r="G45" s="240"/>
      <c r="H45" s="240"/>
      <c r="I45" s="240"/>
      <c r="J45" s="240"/>
    </row>
    <row r="46" spans="1:10" x14ac:dyDescent="0.25">
      <c r="A46" s="138"/>
      <c r="B46" s="227" t="s">
        <v>284</v>
      </c>
      <c r="C46" s="240"/>
      <c r="D46" s="240"/>
      <c r="E46" s="240"/>
      <c r="F46" s="240"/>
      <c r="G46" s="240"/>
      <c r="H46" s="240"/>
      <c r="I46" s="240"/>
      <c r="J46" s="240"/>
    </row>
    <row r="47" spans="1:10" x14ac:dyDescent="0.25">
      <c r="A47" s="131"/>
      <c r="B47" s="227" t="s">
        <v>138</v>
      </c>
      <c r="C47" s="240"/>
      <c r="D47" s="240"/>
      <c r="E47" s="240"/>
      <c r="F47" s="240"/>
      <c r="G47" s="240"/>
      <c r="H47" s="240"/>
      <c r="I47" s="240"/>
      <c r="J47" s="240"/>
    </row>
    <row r="48" spans="1:10" x14ac:dyDescent="0.25">
      <c r="A48" s="139"/>
      <c r="B48" s="227" t="s">
        <v>285</v>
      </c>
      <c r="C48" s="240"/>
      <c r="D48" s="240"/>
      <c r="E48" s="240"/>
      <c r="F48" s="240"/>
      <c r="G48" s="240"/>
      <c r="H48" s="240"/>
      <c r="I48" s="240"/>
      <c r="J48" s="240"/>
    </row>
    <row r="49" spans="1:10" x14ac:dyDescent="0.25">
      <c r="A49" s="299"/>
      <c r="B49" s="227" t="s">
        <v>300</v>
      </c>
      <c r="C49" s="240"/>
      <c r="D49" s="240"/>
      <c r="E49" s="240"/>
      <c r="F49" s="240"/>
      <c r="G49" s="240"/>
      <c r="H49" s="240"/>
      <c r="I49" s="240"/>
      <c r="J49" s="240"/>
    </row>
    <row r="50" spans="1:10" x14ac:dyDescent="0.25">
      <c r="A50" s="430" t="s">
        <v>128</v>
      </c>
      <c r="B50" s="430"/>
      <c r="C50" s="430"/>
      <c r="D50" s="430"/>
      <c r="E50" s="430"/>
      <c r="F50" s="430"/>
      <c r="G50" s="430"/>
      <c r="H50" s="430"/>
      <c r="I50" s="430"/>
      <c r="J50" s="430"/>
    </row>
    <row r="51" spans="1:10" s="159" customFormat="1" ht="10.199999999999999" x14ac:dyDescent="0.2"/>
    <row r="52" spans="1:10" ht="24.75" customHeight="1" x14ac:dyDescent="0.25">
      <c r="A52" s="240"/>
      <c r="B52" s="240"/>
      <c r="C52" s="240"/>
      <c r="D52" s="240"/>
      <c r="E52" s="240"/>
    </row>
    <row r="55" spans="1:10" x14ac:dyDescent="0.25">
      <c r="H55" s="226"/>
    </row>
  </sheetData>
  <sheetProtection algorithmName="SHA-512" hashValue="CWgfXuxlqxTooJHsDIYaANp49fcw7uWUTT4LDlP29YrLn+e7lxUagdGluXodhWPyBQ+4GN/BZvmxPV9NAALocw==" saltValue="o66wOHH5ByFFBTl7C8RfsQ==" spinCount="100000" sheet="1" objects="1" scenarios="1"/>
  <mergeCells count="16">
    <mergeCell ref="A7:M7"/>
    <mergeCell ref="E33:G33"/>
    <mergeCell ref="B29:D29"/>
    <mergeCell ref="A14:H14"/>
    <mergeCell ref="A16:G16"/>
    <mergeCell ref="A17:E17"/>
    <mergeCell ref="A9:B9"/>
    <mergeCell ref="A10:M11"/>
    <mergeCell ref="A50:J50"/>
    <mergeCell ref="A8:D8"/>
    <mergeCell ref="A43:J43"/>
    <mergeCell ref="A35:G35"/>
    <mergeCell ref="A18:I21"/>
    <mergeCell ref="B26:G26"/>
    <mergeCell ref="B27:G27"/>
    <mergeCell ref="A22:I22"/>
  </mergeCells>
  <phoneticPr fontId="58" type="noConversion"/>
  <dataValidations count="2">
    <dataValidation type="textLength" operator="greaterThan" showInputMessage="1" showErrorMessage="1" errorTitle="MUST COMPLETE ALL FIELDS" sqref="B26:G26" xr:uid="{00000000-0002-0000-0100-000000000000}">
      <formula1>1</formula1>
    </dataValidation>
    <dataValidation type="decimal" operator="greaterThanOrEqual" allowBlank="1" showInputMessage="1" showErrorMessage="1" errorTitle="Invalid Value Entered" error="Please enter any number greater than or equal to zero" sqref="B33" xr:uid="{00000000-0002-0000-0100-000001000000}">
      <formula1>0</formula1>
    </dataValidation>
  </dataValidations>
  <hyperlinks>
    <hyperlink ref="A36" location="'Infiltration System'!A1" tooltip="Hyperlink to worksheet" display="Infiltration System" xr:uid="{00000000-0004-0000-0100-000000000000}"/>
    <hyperlink ref="A37" location="Attenuation_unsatzone!A1" tooltip="Hyperlink to worksheet" display="Attenuation_unsatzone" xr:uid="{00000000-0004-0000-0100-000001000000}"/>
    <hyperlink ref="A38" location="Dilution!A1" display="Dilution" xr:uid="{00000000-0004-0000-0100-000002000000}"/>
    <hyperlink ref="A39" location="Attenuation_satzone!A1" tooltip="Hyperlink to worksheet" display="Attenuation_satzone" xr:uid="{00000000-0004-0000-0100-000003000000}"/>
    <hyperlink ref="A40" location="Summary!A1" tooltip="Hyperlink to worksheet" display="Summary" xr:uid="{00000000-0004-0000-0100-000004000000}"/>
    <hyperlink ref="A41" location="'Simple calcs'!A1" tooltip="Hyperlink to worksheet" display="Simple calcs" xr:uid="{00000000-0004-0000-0100-000005000000}"/>
  </hyperlinks>
  <pageMargins left="0.74803149606299213" right="0.74803149606299213" top="0.98425196850393704" bottom="0.98425196850393704" header="0.51181102362204722" footer="0.51181102362204722"/>
  <pageSetup paperSize="9" scale="59" orientation="landscape" horizontalDpi="4294967292" r:id="rId1"/>
  <headerFooter alignWithMargins="0">
    <oddFooter>&amp;LEnvironment Agency Publication, Infiltration worksheet v1.2&amp;R&amp;D, &amp;T
&amp;F&amp;A</oddFooter>
  </headerFooter>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7">
    <pageSetUpPr fitToPage="1"/>
  </sheetPr>
  <dimension ref="A1:T52"/>
  <sheetViews>
    <sheetView tabSelected="1" topLeftCell="A13" workbookViewId="0">
      <selection activeCell="E31" sqref="E31"/>
    </sheetView>
  </sheetViews>
  <sheetFormatPr defaultColWidth="9.109375" defaultRowHeight="13.2" x14ac:dyDescent="0.25"/>
  <cols>
    <col min="1" max="1" width="3.109375" customWidth="1"/>
    <col min="2" max="2" width="53.88671875" customWidth="1"/>
    <col min="3" max="3" width="11" style="2" customWidth="1"/>
    <col min="4" max="4" width="13.33203125" style="2" customWidth="1"/>
    <col min="5" max="5" width="15.6640625" style="2" customWidth="1"/>
    <col min="6" max="6" width="42.44140625" style="13" customWidth="1"/>
    <col min="7" max="7" width="11.5546875" customWidth="1"/>
    <col min="9" max="9" width="17.33203125" customWidth="1"/>
    <col min="10" max="10" width="11" customWidth="1"/>
    <col min="13" max="13" width="3.33203125" customWidth="1"/>
    <col min="15" max="20" width="0" hidden="1" customWidth="1"/>
  </cols>
  <sheetData>
    <row r="1" spans="1:20" x14ac:dyDescent="0.25">
      <c r="A1" s="41"/>
      <c r="B1" s="41"/>
      <c r="C1" s="44"/>
      <c r="D1" s="44"/>
      <c r="E1" s="44"/>
      <c r="F1" s="45"/>
      <c r="G1" s="41"/>
      <c r="H1" s="41"/>
      <c r="I1" s="41"/>
      <c r="J1" s="41"/>
      <c r="K1" s="41"/>
      <c r="L1" s="41"/>
      <c r="M1" s="41"/>
      <c r="N1" s="41"/>
      <c r="O1" s="41"/>
      <c r="P1" s="41"/>
      <c r="Q1" s="41"/>
    </row>
    <row r="2" spans="1:20" ht="17.399999999999999" x14ac:dyDescent="0.3">
      <c r="A2" s="41"/>
      <c r="B2" s="446" t="s">
        <v>395</v>
      </c>
      <c r="C2" s="446"/>
      <c r="D2" s="446"/>
      <c r="E2" s="447"/>
      <c r="F2"/>
      <c r="G2" s="41"/>
      <c r="H2" s="41"/>
      <c r="I2" s="41"/>
      <c r="J2" s="41"/>
      <c r="K2" s="41"/>
      <c r="L2" s="41"/>
      <c r="M2" s="41"/>
      <c r="N2" s="41"/>
      <c r="O2" s="41"/>
      <c r="P2" s="41"/>
      <c r="Q2" s="41"/>
    </row>
    <row r="3" spans="1:20" x14ac:dyDescent="0.25">
      <c r="A3" s="41"/>
      <c r="B3" s="41"/>
      <c r="C3" s="44"/>
      <c r="D3" s="44"/>
      <c r="E3" s="44"/>
      <c r="F3" s="45"/>
      <c r="G3" s="41"/>
      <c r="H3" s="41"/>
      <c r="I3" s="41"/>
      <c r="J3" s="41"/>
      <c r="K3" s="41"/>
      <c r="L3" s="41"/>
      <c r="M3" s="41"/>
      <c r="N3" s="41"/>
      <c r="O3" s="41"/>
      <c r="P3" s="41"/>
      <c r="Q3" s="41"/>
    </row>
    <row r="4" spans="1:20" ht="21" x14ac:dyDescent="0.4">
      <c r="A4" s="41"/>
      <c r="B4" s="46" t="s">
        <v>179</v>
      </c>
      <c r="C4" s="44"/>
      <c r="D4" s="44"/>
      <c r="E4" s="44"/>
      <c r="F4"/>
      <c r="I4" s="41"/>
      <c r="J4" s="41"/>
      <c r="K4" s="41"/>
      <c r="L4" s="41"/>
      <c r="M4" s="41"/>
      <c r="N4" s="41"/>
      <c r="O4" s="41"/>
      <c r="P4" s="41"/>
      <c r="Q4" s="41"/>
    </row>
    <row r="5" spans="1:20" ht="18.75" customHeight="1" x14ac:dyDescent="0.25">
      <c r="A5" s="41"/>
      <c r="B5" s="47"/>
      <c r="C5" s="44"/>
      <c r="D5" s="43"/>
      <c r="E5" s="44"/>
      <c r="F5"/>
      <c r="I5" s="45"/>
      <c r="J5" s="41" t="str">
        <f>CHAR(32)</f>
        <v xml:space="preserve"> </v>
      </c>
      <c r="K5" s="41"/>
      <c r="L5" s="41"/>
      <c r="M5" s="41"/>
      <c r="N5" s="41"/>
      <c r="O5" s="41"/>
      <c r="P5" s="41"/>
      <c r="Q5" s="41"/>
    </row>
    <row r="6" spans="1:20" ht="18.75" customHeight="1" x14ac:dyDescent="0.25">
      <c r="A6" s="41"/>
      <c r="B6" s="47" t="s">
        <v>176</v>
      </c>
      <c r="C6" s="44"/>
      <c r="D6" s="448" t="str">
        <f>Introduction!B32</f>
        <v>Ammonia (N)</v>
      </c>
      <c r="E6" s="449"/>
      <c r="F6" t="s">
        <v>254</v>
      </c>
      <c r="H6" s="453" t="s">
        <v>265</v>
      </c>
      <c r="I6" s="453"/>
      <c r="J6" s="453"/>
      <c r="K6" s="453"/>
      <c r="L6" s="453"/>
      <c r="M6" s="41"/>
      <c r="N6" s="41"/>
      <c r="O6" s="41"/>
      <c r="P6" s="41"/>
      <c r="Q6" s="41"/>
    </row>
    <row r="7" spans="1:20" ht="18.75" customHeight="1" x14ac:dyDescent="0.25">
      <c r="A7" s="41"/>
      <c r="B7" s="47" t="s">
        <v>345</v>
      </c>
      <c r="C7" s="52" t="s">
        <v>63</v>
      </c>
      <c r="D7" s="297">
        <f>Introduction!B33</f>
        <v>0.5</v>
      </c>
      <c r="E7" s="42" t="s">
        <v>18</v>
      </c>
      <c r="F7" t="s">
        <v>254</v>
      </c>
      <c r="G7" s="45"/>
      <c r="H7" s="453"/>
      <c r="I7" s="453"/>
      <c r="J7" s="453"/>
      <c r="K7" s="453"/>
      <c r="L7" s="453"/>
      <c r="M7" s="50"/>
      <c r="N7" s="41"/>
      <c r="O7" s="41"/>
      <c r="P7" s="41"/>
      <c r="Q7" s="41"/>
    </row>
    <row r="8" spans="1:20" ht="18.75" customHeight="1" x14ac:dyDescent="0.25">
      <c r="A8" s="41"/>
      <c r="B8" s="41"/>
      <c r="C8" s="44"/>
      <c r="D8" s="44"/>
      <c r="E8" s="44"/>
      <c r="F8" s="51" t="s">
        <v>169</v>
      </c>
      <c r="G8" s="53" t="str">
        <f>IF(SUM(H5:H7)&gt;1,"only one option can be selected","")</f>
        <v/>
      </c>
      <c r="H8" s="41"/>
      <c r="I8" s="41"/>
      <c r="J8" s="41"/>
      <c r="K8" s="41"/>
      <c r="L8" s="50"/>
      <c r="M8" s="41"/>
      <c r="O8" s="41"/>
      <c r="P8" s="41"/>
      <c r="Q8" s="41"/>
    </row>
    <row r="9" spans="1:20" ht="19.5" customHeight="1" x14ac:dyDescent="0.3">
      <c r="A9" s="41"/>
      <c r="B9" s="49" t="s">
        <v>3</v>
      </c>
      <c r="C9" s="43" t="s">
        <v>30</v>
      </c>
      <c r="D9" s="43" t="s">
        <v>7</v>
      </c>
      <c r="E9" s="43" t="s">
        <v>6</v>
      </c>
      <c r="F9" s="48" t="s">
        <v>66</v>
      </c>
      <c r="G9" s="41"/>
      <c r="H9" s="41"/>
      <c r="I9" s="41"/>
      <c r="J9" s="41"/>
      <c r="K9" s="41"/>
      <c r="L9" s="50"/>
      <c r="M9" s="41"/>
      <c r="N9" s="41"/>
      <c r="O9" s="41" t="s">
        <v>264</v>
      </c>
      <c r="P9" s="41"/>
      <c r="Q9" s="41"/>
    </row>
    <row r="10" spans="1:20" ht="19.5" customHeight="1" x14ac:dyDescent="0.25">
      <c r="A10" s="41"/>
      <c r="B10" s="55" t="s">
        <v>65</v>
      </c>
      <c r="C10" s="43"/>
      <c r="D10" s="43"/>
      <c r="E10" s="43"/>
      <c r="F10" s="48"/>
      <c r="G10" s="41"/>
      <c r="H10" s="41"/>
      <c r="I10" s="41"/>
      <c r="J10" s="41"/>
      <c r="K10" s="41"/>
      <c r="L10" s="50"/>
      <c r="M10" s="41"/>
      <c r="N10" s="41"/>
      <c r="O10" s="41"/>
      <c r="P10" s="41"/>
      <c r="Q10" s="41"/>
    </row>
    <row r="11" spans="1:20" ht="28.5" customHeight="1" x14ac:dyDescent="0.35">
      <c r="A11" s="41"/>
      <c r="B11" s="19" t="s">
        <v>387</v>
      </c>
      <c r="C11" s="127" t="s">
        <v>263</v>
      </c>
      <c r="D11" s="279">
        <v>20</v>
      </c>
      <c r="E11" s="2" t="s">
        <v>18</v>
      </c>
      <c r="F11" s="425" t="s">
        <v>424</v>
      </c>
      <c r="G11" s="41"/>
      <c r="H11" s="41"/>
      <c r="I11" s="41"/>
      <c r="O11" s="128">
        <f>IF($C$12=P11,1,0)</f>
        <v>0</v>
      </c>
      <c r="P11" s="130" t="s">
        <v>188</v>
      </c>
      <c r="Q11" s="132"/>
      <c r="R11" s="130"/>
      <c r="S11" s="130"/>
      <c r="T11" s="130"/>
    </row>
    <row r="12" spans="1:20" ht="19.5" customHeight="1" x14ac:dyDescent="0.3">
      <c r="A12" s="41"/>
      <c r="B12" s="100" t="s">
        <v>187</v>
      </c>
      <c r="C12" s="450" t="s">
        <v>189</v>
      </c>
      <c r="D12" s="451"/>
      <c r="E12" s="452"/>
      <c r="F12" s="98"/>
      <c r="O12" s="128">
        <f>IF($C$12=P12,2,0)</f>
        <v>2</v>
      </c>
      <c r="P12" s="131" t="s">
        <v>189</v>
      </c>
      <c r="Q12" s="131"/>
      <c r="R12" s="130"/>
      <c r="S12" s="130"/>
      <c r="T12" s="130"/>
    </row>
    <row r="13" spans="1:20" ht="19.5" customHeight="1" x14ac:dyDescent="0.25">
      <c r="A13" s="41"/>
      <c r="C13"/>
      <c r="D13"/>
      <c r="E13"/>
      <c r="F13"/>
      <c r="O13" s="128">
        <f>IF($C$12=P13,3,0)</f>
        <v>0</v>
      </c>
      <c r="P13" s="131" t="s">
        <v>216</v>
      </c>
      <c r="Q13" s="131"/>
      <c r="R13" s="130"/>
      <c r="S13" s="130"/>
      <c r="T13" s="130"/>
    </row>
    <row r="14" spans="1:20" ht="26.4" x14ac:dyDescent="0.25">
      <c r="B14" s="109" t="s">
        <v>248</v>
      </c>
      <c r="O14" s="128">
        <f>IF($C$12=P14,4,0)</f>
        <v>0</v>
      </c>
      <c r="P14" s="130" t="s">
        <v>217</v>
      </c>
      <c r="Q14" s="131"/>
      <c r="R14" s="131"/>
      <c r="S14" s="131"/>
      <c r="T14" s="131"/>
    </row>
    <row r="15" spans="1:20" ht="19.5" customHeight="1" x14ac:dyDescent="0.25">
      <c r="A15" s="41"/>
      <c r="B15" s="242" t="s">
        <v>180</v>
      </c>
      <c r="C15" s="243" t="s">
        <v>250</v>
      </c>
      <c r="D15" s="412">
        <v>70</v>
      </c>
      <c r="E15" s="244" t="s">
        <v>62</v>
      </c>
      <c r="F15" s="426" t="s">
        <v>422</v>
      </c>
      <c r="G15" s="245" t="s">
        <v>293</v>
      </c>
      <c r="O15" s="131">
        <f>SUM(O11:O14)</f>
        <v>2</v>
      </c>
      <c r="P15" s="131"/>
      <c r="Q15" s="131"/>
      <c r="R15" s="130"/>
      <c r="S15" s="130"/>
      <c r="T15" s="130"/>
    </row>
    <row r="16" spans="1:20" ht="18.75" customHeight="1" x14ac:dyDescent="0.25">
      <c r="A16" s="41"/>
      <c r="B16" s="242" t="s">
        <v>182</v>
      </c>
      <c r="C16" s="243" t="s">
        <v>62</v>
      </c>
      <c r="D16" s="412">
        <v>150</v>
      </c>
      <c r="E16" s="244" t="s">
        <v>183</v>
      </c>
      <c r="F16" s="426" t="s">
        <v>411</v>
      </c>
      <c r="G16" s="245" t="s">
        <v>293</v>
      </c>
      <c r="O16" s="131"/>
      <c r="P16" s="131"/>
      <c r="Q16" s="131"/>
      <c r="R16" s="130"/>
      <c r="S16" s="130"/>
      <c r="T16" s="130"/>
    </row>
    <row r="17" spans="1:20" ht="18.75" customHeight="1" x14ac:dyDescent="0.25">
      <c r="A17" s="41"/>
      <c r="B17" s="429" t="s">
        <v>186</v>
      </c>
      <c r="C17" s="243" t="s">
        <v>185</v>
      </c>
      <c r="D17" s="412">
        <v>57.5</v>
      </c>
      <c r="E17" s="244" t="s">
        <v>301</v>
      </c>
      <c r="F17" s="426" t="s">
        <v>421</v>
      </c>
      <c r="G17" s="245" t="s">
        <v>293</v>
      </c>
      <c r="O17" s="131"/>
      <c r="P17" s="131"/>
      <c r="Q17" s="131"/>
      <c r="R17" s="130"/>
      <c r="S17" s="130"/>
      <c r="T17" s="130"/>
    </row>
    <row r="18" spans="1:20" ht="18.75" customHeight="1" x14ac:dyDescent="0.25">
      <c r="A18" s="41"/>
      <c r="B18" s="1"/>
      <c r="D18"/>
      <c r="E18"/>
      <c r="F18"/>
      <c r="O18" s="131"/>
      <c r="P18" s="131"/>
      <c r="Q18" s="131"/>
      <c r="R18" s="130"/>
      <c r="S18" s="130"/>
      <c r="T18" s="130"/>
    </row>
    <row r="19" spans="1:20" ht="18.75" customHeight="1" x14ac:dyDescent="0.3">
      <c r="A19" s="445" t="s">
        <v>302</v>
      </c>
      <c r="B19" s="445"/>
      <c r="C19" s="450" t="s">
        <v>190</v>
      </c>
      <c r="D19" s="451"/>
      <c r="E19" s="452"/>
      <c r="F19" s="36"/>
      <c r="O19" s="128">
        <f>IF($C$19=P19,1,0)</f>
        <v>1</v>
      </c>
      <c r="P19" s="131" t="s">
        <v>190</v>
      </c>
      <c r="Q19" s="131"/>
      <c r="R19" s="130"/>
      <c r="S19" s="130"/>
      <c r="T19" s="131">
        <f>IF(O19=1,D20,D21)</f>
        <v>3.75</v>
      </c>
    </row>
    <row r="20" spans="1:20" ht="18.75" customHeight="1" x14ac:dyDescent="0.25">
      <c r="A20" s="97"/>
      <c r="B20" s="252" t="s">
        <v>181</v>
      </c>
      <c r="C20" s="251" t="s">
        <v>191</v>
      </c>
      <c r="D20" s="165">
        <v>3.75</v>
      </c>
      <c r="E20" s="250" t="s">
        <v>299</v>
      </c>
      <c r="F20" s="428" t="s">
        <v>424</v>
      </c>
      <c r="G20" s="253" t="s">
        <v>292</v>
      </c>
      <c r="O20" s="128">
        <f>IF(O15&gt;2,0,IF($C$19=P20,1,0))</f>
        <v>0</v>
      </c>
      <c r="P20" s="131" t="str">
        <f>IF(O15&lt;3,"Calculated discharge Q2","")</f>
        <v>Calculated discharge Q2</v>
      </c>
      <c r="Q20" s="131"/>
      <c r="R20" s="130"/>
      <c r="S20" s="130"/>
      <c r="T20" s="130"/>
    </row>
    <row r="21" spans="1:20" ht="18.75" customHeight="1" x14ac:dyDescent="0.25">
      <c r="A21" s="41"/>
      <c r="B21" s="248" t="s">
        <v>184</v>
      </c>
      <c r="C21" s="247" t="s">
        <v>192</v>
      </c>
      <c r="D21" s="298">
        <f>0.001*D15*D16</f>
        <v>10.500000000000002</v>
      </c>
      <c r="E21" s="249" t="s">
        <v>299</v>
      </c>
      <c r="F21" s="246"/>
      <c r="G21" s="245" t="s">
        <v>291</v>
      </c>
      <c r="O21" s="131"/>
      <c r="P21" s="131"/>
      <c r="Q21" s="131"/>
      <c r="R21" s="130"/>
      <c r="S21" s="130"/>
      <c r="T21" s="130"/>
    </row>
    <row r="22" spans="1:20" ht="18.75" customHeight="1" x14ac:dyDescent="0.25">
      <c r="A22" s="41"/>
      <c r="B22" s="1"/>
      <c r="D22" s="125" t="str">
        <f>IF(O19=1,"",IF(O15&gt;2,"Can only specify discharge for treatment or other discharges",""))</f>
        <v/>
      </c>
      <c r="F22"/>
      <c r="O22" s="131"/>
      <c r="P22" s="131"/>
      <c r="Q22" s="131"/>
      <c r="R22" s="130"/>
      <c r="S22" s="130"/>
      <c r="T22" s="130"/>
    </row>
    <row r="23" spans="1:20" ht="18.75" customHeight="1" x14ac:dyDescent="0.25">
      <c r="A23" s="41"/>
      <c r="B23" s="99" t="s">
        <v>195</v>
      </c>
      <c r="D23"/>
      <c r="E23"/>
      <c r="F23"/>
      <c r="O23" s="131"/>
      <c r="P23" s="131"/>
      <c r="Q23" s="131"/>
      <c r="R23" s="130"/>
      <c r="S23" s="130"/>
      <c r="T23" s="130"/>
    </row>
    <row r="24" spans="1:20" ht="15" customHeight="1" x14ac:dyDescent="0.3">
      <c r="A24" s="445" t="s">
        <v>193</v>
      </c>
      <c r="B24" s="445"/>
      <c r="C24" s="67"/>
      <c r="D24" s="82" t="s">
        <v>303</v>
      </c>
      <c r="F24" s="36"/>
      <c r="I24" s="65"/>
      <c r="O24" s="128">
        <f>IF($D$24=P24,1,0)</f>
        <v>1</v>
      </c>
      <c r="P24" s="131" t="s">
        <v>303</v>
      </c>
      <c r="Q24" s="131"/>
      <c r="R24" s="131"/>
      <c r="S24" s="131"/>
      <c r="T24" s="131"/>
    </row>
    <row r="25" spans="1:20" ht="15" customHeight="1" x14ac:dyDescent="0.25">
      <c r="B25" s="252" t="s">
        <v>249</v>
      </c>
      <c r="C25" s="254" t="s">
        <v>52</v>
      </c>
      <c r="D25" s="165">
        <v>25</v>
      </c>
      <c r="E25" s="255" t="s">
        <v>136</v>
      </c>
      <c r="F25" s="427" t="s">
        <v>425</v>
      </c>
      <c r="G25" s="257" t="s">
        <v>292</v>
      </c>
      <c r="H25" s="26"/>
      <c r="I25" s="65"/>
      <c r="O25" s="128">
        <f>IF(O15&gt;2,0,IF($D$24=P25,1,0))</f>
        <v>0</v>
      </c>
      <c r="P25" s="131" t="str">
        <f>IF(O15&lt;3,"Calculate","")</f>
        <v>Calculate</v>
      </c>
      <c r="Q25" s="131"/>
      <c r="R25" s="131"/>
      <c r="S25" s="131"/>
      <c r="T25" s="131"/>
    </row>
    <row r="26" spans="1:20" ht="15" customHeight="1" x14ac:dyDescent="0.25">
      <c r="B26" s="248" t="s">
        <v>194</v>
      </c>
      <c r="C26" s="256" t="s">
        <v>52</v>
      </c>
      <c r="D26" s="300">
        <f>IF(O11=1,0.25*D17*D15,0.2*D17*D15)</f>
        <v>805</v>
      </c>
      <c r="E26" s="256" t="s">
        <v>136</v>
      </c>
      <c r="F26" s="256" t="str">
        <f>IF(O15&gt;2,IF(O25=1,"This option only applies to septic tanks and package treatment plants - specify area "," ")," ")</f>
        <v xml:space="preserve"> </v>
      </c>
      <c r="G26" s="258" t="s">
        <v>291</v>
      </c>
      <c r="H26" s="71"/>
      <c r="I26" s="65"/>
    </row>
    <row r="27" spans="1:20" ht="18.75" customHeight="1" x14ac:dyDescent="0.25">
      <c r="A27" s="41"/>
      <c r="B27" s="1" t="s">
        <v>287</v>
      </c>
      <c r="C27" s="67" t="s">
        <v>50</v>
      </c>
      <c r="D27" s="136">
        <f>IF(O24=0,T19/D26,T19/D25)</f>
        <v>0.15</v>
      </c>
      <c r="E27" s="2" t="s">
        <v>21</v>
      </c>
      <c r="F27" s="36"/>
      <c r="M27" s="41"/>
      <c r="N27" s="41"/>
      <c r="O27" s="41"/>
      <c r="P27" s="41"/>
      <c r="Q27" s="41"/>
    </row>
    <row r="28" spans="1:20" ht="18.75" customHeight="1" x14ac:dyDescent="0.25">
      <c r="A28" s="41"/>
      <c r="D28"/>
      <c r="E28"/>
      <c r="F28"/>
      <c r="M28" s="41"/>
      <c r="N28" s="41"/>
      <c r="O28" t="s">
        <v>62</v>
      </c>
      <c r="P28" s="41"/>
      <c r="Q28" s="41"/>
    </row>
    <row r="29" spans="1:20" ht="18.75" customHeight="1" x14ac:dyDescent="0.25">
      <c r="A29" s="41"/>
      <c r="D29"/>
      <c r="E29"/>
      <c r="F29"/>
      <c r="M29" s="41"/>
      <c r="N29" s="41"/>
      <c r="O29" s="41"/>
      <c r="P29" s="41"/>
    </row>
    <row r="30" spans="1:20" ht="18.75" customHeight="1" x14ac:dyDescent="0.25">
      <c r="A30" s="41"/>
      <c r="D30"/>
      <c r="E30"/>
      <c r="F30"/>
      <c r="J30" s="133"/>
      <c r="M30" s="41"/>
      <c r="N30" s="41"/>
      <c r="O30" s="41"/>
      <c r="P30" s="41"/>
      <c r="Q30" s="41"/>
    </row>
    <row r="31" spans="1:20" ht="18.75" customHeight="1" x14ac:dyDescent="0.25">
      <c r="A31" s="41"/>
      <c r="D31"/>
      <c r="E31"/>
      <c r="F31"/>
      <c r="G31" s="145" t="s">
        <v>88</v>
      </c>
      <c r="H31" s="146"/>
      <c r="I31" s="147" t="str">
        <f>Introduction!$B$26</f>
        <v>Hendre Farmhouse</v>
      </c>
      <c r="J31" s="148"/>
      <c r="K31" s="146"/>
      <c r="L31" s="149"/>
      <c r="M31" s="41"/>
      <c r="N31" s="41"/>
      <c r="O31" s="41"/>
      <c r="P31" s="41"/>
      <c r="Q31" s="41"/>
    </row>
    <row r="32" spans="1:20" ht="18.75" customHeight="1" x14ac:dyDescent="0.25">
      <c r="A32" s="41"/>
      <c r="D32"/>
      <c r="E32"/>
      <c r="F32"/>
      <c r="G32" s="150" t="s">
        <v>86</v>
      </c>
      <c r="H32" s="148"/>
      <c r="I32" s="151" t="str">
        <f>Introduction!B29</f>
        <v>Will Owens</v>
      </c>
      <c r="J32" s="148"/>
      <c r="K32" s="148"/>
      <c r="L32" s="152"/>
      <c r="M32" s="41"/>
      <c r="N32" s="41"/>
      <c r="O32" s="41"/>
      <c r="P32" s="41"/>
      <c r="Q32" s="41"/>
    </row>
    <row r="33" spans="1:17" ht="18.75" customHeight="1" x14ac:dyDescent="0.25">
      <c r="A33" s="41"/>
      <c r="D33"/>
      <c r="E33"/>
      <c r="F33"/>
      <c r="G33" s="150" t="s">
        <v>87</v>
      </c>
      <c r="H33" s="148"/>
      <c r="I33" s="153">
        <f>Introduction!B30</f>
        <v>45685</v>
      </c>
      <c r="J33" s="148"/>
      <c r="K33" s="148"/>
      <c r="L33" s="152"/>
      <c r="M33" s="41"/>
      <c r="N33" s="41"/>
      <c r="O33" s="41"/>
      <c r="P33" s="41"/>
      <c r="Q33" s="41"/>
    </row>
    <row r="34" spans="1:17" ht="18.75" customHeight="1" x14ac:dyDescent="0.25">
      <c r="A34" s="41"/>
      <c r="D34"/>
      <c r="E34"/>
      <c r="F34"/>
      <c r="G34" s="154" t="s">
        <v>96</v>
      </c>
      <c r="H34" s="155"/>
      <c r="I34" s="156">
        <f>Introduction!E30</f>
        <v>1</v>
      </c>
      <c r="J34" s="155"/>
      <c r="K34" s="155"/>
      <c r="L34" s="157"/>
      <c r="M34" s="41"/>
      <c r="N34" s="41"/>
      <c r="O34" s="41"/>
      <c r="P34" s="41"/>
      <c r="Q34" s="41"/>
    </row>
    <row r="35" spans="1:17" ht="18.75" customHeight="1" x14ac:dyDescent="0.25">
      <c r="A35" s="41"/>
      <c r="D35"/>
      <c r="E35"/>
      <c r="F35"/>
      <c r="M35" s="41"/>
      <c r="N35" s="41"/>
      <c r="O35" s="41"/>
      <c r="P35" s="41"/>
      <c r="Q35" s="41"/>
    </row>
    <row r="36" spans="1:17" ht="18.75" customHeight="1" x14ac:dyDescent="0.25">
      <c r="A36" s="42"/>
      <c r="D36"/>
      <c r="E36"/>
      <c r="F36"/>
      <c r="M36" s="41"/>
      <c r="N36" s="41"/>
      <c r="O36" s="41"/>
      <c r="P36" s="41"/>
      <c r="Q36" s="41"/>
    </row>
    <row r="37" spans="1:17" ht="18.75" customHeight="1" x14ac:dyDescent="0.25">
      <c r="A37" s="41"/>
      <c r="D37"/>
      <c r="E37"/>
      <c r="F37"/>
      <c r="M37" s="41"/>
      <c r="N37" s="41"/>
      <c r="O37" s="41"/>
      <c r="P37" s="41"/>
      <c r="Q37" s="41"/>
    </row>
    <row r="38" spans="1:17" ht="18.75" customHeight="1" x14ac:dyDescent="0.25">
      <c r="A38" s="41"/>
      <c r="C38"/>
      <c r="D38"/>
      <c r="E38"/>
      <c r="F38"/>
      <c r="G38" s="41"/>
      <c r="H38" s="41"/>
      <c r="I38" s="41"/>
      <c r="J38" s="41"/>
      <c r="K38" s="41"/>
      <c r="L38" s="50"/>
      <c r="M38" s="41"/>
      <c r="N38" s="41"/>
      <c r="O38" s="41"/>
      <c r="P38" s="41"/>
      <c r="Q38" s="41"/>
    </row>
    <row r="39" spans="1:17" ht="18.75" customHeight="1" x14ac:dyDescent="0.25">
      <c r="C39"/>
      <c r="D39"/>
      <c r="E39"/>
      <c r="F39"/>
      <c r="L39" s="26"/>
    </row>
    <row r="40" spans="1:17" ht="18.75" customHeight="1" x14ac:dyDescent="0.25">
      <c r="C40"/>
      <c r="D40"/>
      <c r="E40"/>
      <c r="F40"/>
    </row>
    <row r="41" spans="1:17" ht="18.75" customHeight="1" x14ac:dyDescent="0.25">
      <c r="C41"/>
      <c r="D41"/>
      <c r="E41"/>
      <c r="F41"/>
    </row>
    <row r="42" spans="1:17" ht="18.75" customHeight="1" x14ac:dyDescent="0.25">
      <c r="C42"/>
      <c r="D42"/>
      <c r="E42"/>
      <c r="F42"/>
    </row>
    <row r="43" spans="1:17" x14ac:dyDescent="0.25">
      <c r="C43"/>
      <c r="D43"/>
      <c r="E43"/>
      <c r="F43"/>
    </row>
    <row r="44" spans="1:17" x14ac:dyDescent="0.25">
      <c r="C44"/>
      <c r="D44"/>
      <c r="E44"/>
      <c r="F44"/>
    </row>
    <row r="45" spans="1:17" x14ac:dyDescent="0.25">
      <c r="C45"/>
      <c r="D45"/>
      <c r="E45"/>
      <c r="F45"/>
    </row>
    <row r="46" spans="1:17" x14ac:dyDescent="0.25">
      <c r="C46"/>
      <c r="D46"/>
      <c r="E46"/>
      <c r="F46"/>
    </row>
    <row r="47" spans="1:17" x14ac:dyDescent="0.25">
      <c r="C47"/>
      <c r="D47"/>
      <c r="E47"/>
      <c r="F47"/>
    </row>
    <row r="48" spans="1:17" x14ac:dyDescent="0.25">
      <c r="C48"/>
      <c r="D48"/>
      <c r="E48"/>
      <c r="F48"/>
    </row>
    <row r="49" spans="3:6" x14ac:dyDescent="0.25">
      <c r="C49"/>
      <c r="D49"/>
      <c r="E49"/>
      <c r="F49"/>
    </row>
    <row r="50" spans="3:6" x14ac:dyDescent="0.25">
      <c r="C50" s="80"/>
      <c r="D50" s="80"/>
      <c r="E50" s="80"/>
    </row>
    <row r="51" spans="3:6" x14ac:dyDescent="0.25">
      <c r="C51" s="80"/>
      <c r="D51" s="80"/>
      <c r="E51" s="80"/>
    </row>
    <row r="52" spans="3:6" x14ac:dyDescent="0.25">
      <c r="C52" s="80"/>
      <c r="D52" s="80"/>
      <c r="E52" s="80"/>
    </row>
  </sheetData>
  <sheetProtection algorithmName="SHA-512" hashValue="8buPFUxJNBtKoljHJwf1Ukbh403LPLm6QWojBKz9RSm+D6PtgerM2E6P5ZelF88GCxV/E6IjM08OPZS9YiXDwQ==" saltValue="TMaAPPuqglzZ894tE0AkdQ==" spinCount="100000" sheet="1" objects="1" scenarios="1"/>
  <mergeCells count="7">
    <mergeCell ref="A24:B24"/>
    <mergeCell ref="B2:E2"/>
    <mergeCell ref="D6:E6"/>
    <mergeCell ref="C12:E12"/>
    <mergeCell ref="H6:L7"/>
    <mergeCell ref="A19:B19"/>
    <mergeCell ref="C19:E19"/>
  </mergeCells>
  <phoneticPr fontId="58" type="noConversion"/>
  <conditionalFormatting sqref="B15:C17 E15:E17">
    <cfRule type="expression" dxfId="129" priority="9" stopIfTrue="1">
      <formula>$O$15&lt;3</formula>
    </cfRule>
    <cfRule type="expression" dxfId="128" priority="10" stopIfTrue="1">
      <formula>$O$15=3</formula>
    </cfRule>
    <cfRule type="expression" dxfId="127" priority="11" stopIfTrue="1">
      <formula>$O$15=4</formula>
    </cfRule>
  </conditionalFormatting>
  <conditionalFormatting sqref="B20:C20 E20">
    <cfRule type="expression" dxfId="126" priority="29" stopIfTrue="1">
      <formula>$O$19=1</formula>
    </cfRule>
    <cfRule type="expression" dxfId="125" priority="31" stopIfTrue="1">
      <formula>$O$20=1</formula>
    </cfRule>
    <cfRule type="expression" dxfId="124" priority="30" stopIfTrue="1">
      <formula>$O$28=1</formula>
    </cfRule>
  </conditionalFormatting>
  <conditionalFormatting sqref="B21:C21 E21">
    <cfRule type="expression" dxfId="123" priority="20" stopIfTrue="1">
      <formula>$O$20=1</formula>
    </cfRule>
    <cfRule type="expression" dxfId="122" priority="21" stopIfTrue="1">
      <formula>$O$19=1</formula>
    </cfRule>
  </conditionalFormatting>
  <conditionalFormatting sqref="B25:C25 E25">
    <cfRule type="expression" dxfId="121" priority="43" stopIfTrue="1">
      <formula>$O$25=1</formula>
    </cfRule>
    <cfRule type="expression" dxfId="120" priority="42" stopIfTrue="1">
      <formula>$O$28=1</formula>
    </cfRule>
    <cfRule type="expression" dxfId="119" priority="41" stopIfTrue="1">
      <formula>$O$24=1</formula>
    </cfRule>
  </conditionalFormatting>
  <conditionalFormatting sqref="B26:C26 E26:F26">
    <cfRule type="expression" dxfId="118" priority="53" stopIfTrue="1">
      <formula>$O$25=1</formula>
    </cfRule>
    <cfRule type="expression" dxfId="117" priority="54" stopIfTrue="1">
      <formula>$O$24=1</formula>
    </cfRule>
  </conditionalFormatting>
  <conditionalFormatting sqref="C50:E52">
    <cfRule type="expression" dxfId="116" priority="4" stopIfTrue="1">
      <formula>#REF!="User specified value for partition coefficient"</formula>
    </cfRule>
    <cfRule type="expression" dxfId="115" priority="5" stopIfTrue="1">
      <formula>#REF!="Calculate for non-polar organic chemicals"</formula>
    </cfRule>
  </conditionalFormatting>
  <conditionalFormatting sqref="D15:D17">
    <cfRule type="expression" dxfId="114" priority="1" stopIfTrue="1">
      <formula>$O$15&lt;3</formula>
    </cfRule>
    <cfRule type="expression" dxfId="113" priority="2" stopIfTrue="1">
      <formula>$O$15=3</formula>
    </cfRule>
    <cfRule type="expression" dxfId="112" priority="3" stopIfTrue="1">
      <formula>$O$15=4</formula>
    </cfRule>
    <cfRule type="expression" dxfId="111" priority="6" stopIfTrue="1">
      <formula>$O$15&lt;3</formula>
    </cfRule>
    <cfRule type="expression" dxfId="110" priority="7" stopIfTrue="1">
      <formula>$O$15=3</formula>
    </cfRule>
    <cfRule type="expression" dxfId="109" priority="8" stopIfTrue="1">
      <formula>$O$15=4</formula>
    </cfRule>
  </conditionalFormatting>
  <conditionalFormatting sqref="D20">
    <cfRule type="expression" dxfId="108" priority="26" stopIfTrue="1">
      <formula>$O$19=1</formula>
    </cfRule>
    <cfRule type="expression" dxfId="107" priority="27" stopIfTrue="1">
      <formula>$O$28=1</formula>
    </cfRule>
    <cfRule type="expression" dxfId="106" priority="28" stopIfTrue="1">
      <formula>$O$20=1</formula>
    </cfRule>
  </conditionalFormatting>
  <conditionalFormatting sqref="D21">
    <cfRule type="expression" dxfId="105" priority="18" stopIfTrue="1">
      <formula>$O$20=1</formula>
    </cfRule>
    <cfRule type="expression" dxfId="104" priority="19" stopIfTrue="1">
      <formula>$O$19=1</formula>
    </cfRule>
  </conditionalFormatting>
  <conditionalFormatting sqref="D25">
    <cfRule type="expression" dxfId="103" priority="40" stopIfTrue="1">
      <formula>$O$25=1</formula>
    </cfRule>
    <cfRule type="expression" dxfId="102" priority="39" stopIfTrue="1">
      <formula>$O$28=1</formula>
    </cfRule>
    <cfRule type="expression" dxfId="101" priority="38" stopIfTrue="1">
      <formula>$O$24=1</formula>
    </cfRule>
  </conditionalFormatting>
  <conditionalFormatting sqref="D26">
    <cfRule type="expression" dxfId="100" priority="56" stopIfTrue="1">
      <formula>$O$24=1</formula>
    </cfRule>
    <cfRule type="expression" dxfId="99" priority="55" stopIfTrue="1">
      <formula>$O$25=1</formula>
    </cfRule>
  </conditionalFormatting>
  <conditionalFormatting sqref="F15:F17">
    <cfRule type="expression" dxfId="98" priority="14" stopIfTrue="1">
      <formula>$O$15=4</formula>
    </cfRule>
    <cfRule type="expression" dxfId="97" priority="13" stopIfTrue="1">
      <formula>$O$15=3</formula>
    </cfRule>
    <cfRule type="expression" dxfId="96" priority="12" stopIfTrue="1">
      <formula>$O$15&lt;3</formula>
    </cfRule>
  </conditionalFormatting>
  <conditionalFormatting sqref="F20">
    <cfRule type="expression" dxfId="95" priority="32" stopIfTrue="1">
      <formula>$O$19=1</formula>
    </cfRule>
    <cfRule type="expression" dxfId="94" priority="33" stopIfTrue="1">
      <formula>$O$28=1</formula>
    </cfRule>
    <cfRule type="expression" dxfId="93" priority="34" stopIfTrue="1">
      <formula>$O$20=1</formula>
    </cfRule>
  </conditionalFormatting>
  <conditionalFormatting sqref="F21">
    <cfRule type="expression" dxfId="92" priority="23" stopIfTrue="1">
      <formula>$O$19=1</formula>
    </cfRule>
    <cfRule type="expression" dxfId="91" priority="22" stopIfTrue="1">
      <formula>$O$20=1</formula>
    </cfRule>
  </conditionalFormatting>
  <conditionalFormatting sqref="F25">
    <cfRule type="expression" dxfId="90" priority="44" stopIfTrue="1">
      <formula>$O$24=1</formula>
    </cfRule>
    <cfRule type="expression" dxfId="89" priority="45" stopIfTrue="1">
      <formula>$O$28=1</formula>
    </cfRule>
    <cfRule type="expression" dxfId="88" priority="46" stopIfTrue="1">
      <formula>$O$25=1</formula>
    </cfRule>
  </conditionalFormatting>
  <conditionalFormatting sqref="G15:G17">
    <cfRule type="expression" dxfId="87" priority="17" stopIfTrue="1">
      <formula>$O$15=4</formula>
    </cfRule>
    <cfRule type="expression" dxfId="86" priority="16" stopIfTrue="1">
      <formula>$O$15=3</formula>
    </cfRule>
    <cfRule type="expression" dxfId="85" priority="15" stopIfTrue="1">
      <formula>$O$15&lt;3</formula>
    </cfRule>
  </conditionalFormatting>
  <conditionalFormatting sqref="G20">
    <cfRule type="expression" dxfId="84" priority="35" stopIfTrue="1">
      <formula>$O$19=1</formula>
    </cfRule>
    <cfRule type="expression" dxfId="83" priority="36" stopIfTrue="1">
      <formula>$O$28=1</formula>
    </cfRule>
    <cfRule type="expression" dxfId="82" priority="37" stopIfTrue="1">
      <formula>$O$20=1</formula>
    </cfRule>
  </conditionalFormatting>
  <conditionalFormatting sqref="G21">
    <cfRule type="expression" dxfId="81" priority="25" stopIfTrue="1">
      <formula>$O$19=1</formula>
    </cfRule>
    <cfRule type="expression" dxfId="80" priority="24" stopIfTrue="1">
      <formula>$O$20=1</formula>
    </cfRule>
  </conditionalFormatting>
  <conditionalFormatting sqref="G25">
    <cfRule type="expression" dxfId="79" priority="47" stopIfTrue="1">
      <formula>$O$24=1</formula>
    </cfRule>
    <cfRule type="expression" dxfId="78" priority="48" stopIfTrue="1">
      <formula>$O$28=1</formula>
    </cfRule>
    <cfRule type="expression" dxfId="77" priority="49" stopIfTrue="1">
      <formula>$O$25=1</formula>
    </cfRule>
  </conditionalFormatting>
  <conditionalFormatting sqref="G26">
    <cfRule type="expression" dxfId="76" priority="50" stopIfTrue="1">
      <formula>$O$25=1</formula>
    </cfRule>
    <cfRule type="expression" dxfId="75" priority="51" stopIfTrue="1">
      <formula>$O$24=1</formula>
    </cfRule>
    <cfRule type="expression" dxfId="74" priority="52" stopIfTrue="1">
      <formula>$O$28=0</formula>
    </cfRule>
  </conditionalFormatting>
  <dataValidations count="4">
    <dataValidation type="list" allowBlank="1" showInputMessage="1" showErrorMessage="1" sqref="C19" xr:uid="{00000000-0002-0000-0200-000000000000}">
      <formula1>$P$19:$P$20</formula1>
    </dataValidation>
    <dataValidation type="list" allowBlank="1" showInputMessage="1" showErrorMessage="1" sqref="D24" xr:uid="{00000000-0002-0000-0200-000001000000}">
      <formula1>$P$24:$P$25</formula1>
    </dataValidation>
    <dataValidation type="list" allowBlank="1" showInputMessage="1" showErrorMessage="1" sqref="C12:E12" xr:uid="{00000000-0002-0000-0200-000002000000}">
      <formula1>$P$11:$P$14</formula1>
    </dataValidation>
    <dataValidation type="decimal" operator="greaterThanOrEqual" allowBlank="1" showInputMessage="1" showErrorMessage="1" errorTitle="Invalid Value Entered" error="Please enter any number greater than or equal to zero" sqref="D11 D25 D20 D15:D17" xr:uid="{00000000-0002-0000-0200-000003000000}">
      <formula1>0</formula1>
    </dataValidation>
  </dataValidations>
  <pageMargins left="0.74803149606299213" right="0.74803149606299213" top="0.98425196850393704" bottom="0.98425196850393704" header="0.51181102362204722" footer="0.51181102362204722"/>
  <pageSetup paperSize="9" scale="58" firstPageNumber="20" orientation="landscape" useFirstPageNumber="1" horizontalDpi="300" verticalDpi="300" r:id="rId1"/>
  <headerFooter alignWithMargins="0">
    <oddFooter xml:space="preserve">&amp;LInfiltration Worksheet v1.2
&amp;R&amp;D, &amp;T
&amp;F&amp;A </oddFoot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
    <pageSetUpPr fitToPage="1"/>
  </sheetPr>
  <dimension ref="A1:S80"/>
  <sheetViews>
    <sheetView topLeftCell="A13" workbookViewId="0">
      <selection activeCell="F22" sqref="F22"/>
    </sheetView>
  </sheetViews>
  <sheetFormatPr defaultColWidth="9.109375" defaultRowHeight="13.2" x14ac:dyDescent="0.25"/>
  <cols>
    <col min="1" max="1" width="3.109375" style="352" customWidth="1"/>
    <col min="2" max="2" width="61.109375" style="352" customWidth="1"/>
    <col min="3" max="3" width="11" style="7" customWidth="1"/>
    <col min="4" max="4" width="22" style="7" customWidth="1"/>
    <col min="5" max="5" width="17.5546875" style="7" customWidth="1"/>
    <col min="6" max="6" width="42.44140625" style="171" customWidth="1"/>
    <col min="7" max="7" width="11.5546875" style="352" customWidth="1"/>
    <col min="8" max="8" width="9.109375" style="352"/>
    <col min="9" max="9" width="17.33203125" style="352" customWidth="1"/>
    <col min="10" max="10" width="11" style="352" customWidth="1"/>
    <col min="11" max="12" width="9.109375" style="352"/>
    <col min="13" max="13" width="3.33203125" style="352" customWidth="1"/>
    <col min="14" max="16384" width="9.109375" style="352"/>
  </cols>
  <sheetData>
    <row r="1" spans="1:19" x14ac:dyDescent="0.25">
      <c r="A1" s="349"/>
      <c r="B1" s="349"/>
      <c r="C1" s="350"/>
      <c r="D1" s="350"/>
      <c r="E1" s="350"/>
      <c r="F1" s="351"/>
      <c r="G1" s="349"/>
      <c r="H1" s="349"/>
      <c r="I1" s="349"/>
      <c r="J1" s="349"/>
      <c r="K1" s="349"/>
      <c r="L1" s="349"/>
      <c r="M1" s="349"/>
      <c r="N1" s="349"/>
      <c r="O1" s="349"/>
      <c r="P1" s="349"/>
      <c r="Q1" s="349"/>
    </row>
    <row r="2" spans="1:19" ht="17.399999999999999" x14ac:dyDescent="0.25">
      <c r="A2" s="349"/>
      <c r="B2" s="457" t="s">
        <v>395</v>
      </c>
      <c r="C2" s="457"/>
      <c r="D2" s="458"/>
      <c r="E2" s="458"/>
      <c r="F2" s="352"/>
      <c r="G2" s="349"/>
      <c r="H2" s="349"/>
      <c r="I2" s="349"/>
      <c r="J2" s="349"/>
      <c r="K2" s="349"/>
      <c r="L2" s="349"/>
      <c r="M2" s="349"/>
      <c r="N2" s="349"/>
      <c r="O2" s="349"/>
      <c r="P2" s="349"/>
      <c r="Q2" s="349"/>
    </row>
    <row r="3" spans="1:19" x14ac:dyDescent="0.25">
      <c r="A3" s="349"/>
      <c r="B3" s="349"/>
      <c r="C3" s="350"/>
      <c r="D3" s="350"/>
      <c r="E3" s="350"/>
      <c r="F3" s="351"/>
      <c r="G3" s="349"/>
      <c r="H3" s="349"/>
      <c r="I3" s="349"/>
      <c r="J3" s="349"/>
      <c r="K3" s="349"/>
      <c r="L3" s="349"/>
      <c r="M3" s="349"/>
      <c r="N3" s="349"/>
      <c r="O3" s="349"/>
      <c r="P3" s="349"/>
      <c r="Q3" s="349"/>
    </row>
    <row r="4" spans="1:19" ht="21" x14ac:dyDescent="0.25">
      <c r="A4" s="349"/>
      <c r="B4" s="353" t="s">
        <v>196</v>
      </c>
      <c r="C4" s="350"/>
      <c r="D4" s="350"/>
      <c r="E4" s="350"/>
      <c r="F4" s="352"/>
      <c r="H4" s="349"/>
      <c r="I4" s="349"/>
      <c r="J4" s="349"/>
      <c r="K4" s="349"/>
      <c r="L4" s="349"/>
      <c r="M4" s="349"/>
      <c r="N4" s="349"/>
      <c r="O4" s="349" t="s">
        <v>264</v>
      </c>
      <c r="P4" s="349"/>
      <c r="Q4" s="349"/>
    </row>
    <row r="5" spans="1:19" ht="18.75" customHeight="1" x14ac:dyDescent="0.25">
      <c r="A5" s="349"/>
      <c r="B5" s="59"/>
      <c r="C5" s="349"/>
      <c r="D5" s="60"/>
      <c r="E5" s="350"/>
      <c r="I5" s="351"/>
      <c r="J5" s="349" t="str">
        <f>CHAR(32)</f>
        <v xml:space="preserve"> </v>
      </c>
      <c r="K5" s="349"/>
      <c r="L5" s="349"/>
      <c r="M5" s="349"/>
      <c r="N5" s="349"/>
      <c r="O5" s="349"/>
      <c r="P5" s="349"/>
      <c r="Q5" s="349"/>
    </row>
    <row r="6" spans="1:19" ht="18.75" customHeight="1" x14ac:dyDescent="0.25">
      <c r="A6" s="349"/>
      <c r="B6" s="59" t="s">
        <v>59</v>
      </c>
      <c r="C6" s="349"/>
      <c r="D6" s="459" t="str">
        <f>Introduction!B32</f>
        <v>Ammonia (N)</v>
      </c>
      <c r="E6" s="460"/>
      <c r="F6" s="352" t="s">
        <v>254</v>
      </c>
      <c r="G6" s="351"/>
      <c r="H6" s="463" t="s">
        <v>266</v>
      </c>
      <c r="I6" s="464"/>
      <c r="J6" s="464"/>
      <c r="K6" s="464"/>
      <c r="L6" s="464"/>
    </row>
    <row r="7" spans="1:19" ht="18.75" customHeight="1" x14ac:dyDescent="0.25">
      <c r="A7" s="349"/>
      <c r="B7" s="59" t="s">
        <v>345</v>
      </c>
      <c r="C7" s="52" t="s">
        <v>63</v>
      </c>
      <c r="D7" s="301">
        <f>Introduction!B33</f>
        <v>0.5</v>
      </c>
      <c r="E7" s="354" t="s">
        <v>18</v>
      </c>
      <c r="F7" s="352" t="s">
        <v>254</v>
      </c>
      <c r="G7" s="351"/>
      <c r="H7" s="464"/>
      <c r="I7" s="464"/>
      <c r="J7" s="464"/>
      <c r="K7" s="464"/>
      <c r="L7" s="464"/>
    </row>
    <row r="8" spans="1:19" ht="28.5" customHeight="1" x14ac:dyDescent="0.25">
      <c r="A8" s="349"/>
      <c r="B8" s="355" t="s">
        <v>177</v>
      </c>
      <c r="C8" s="15" t="s">
        <v>263</v>
      </c>
      <c r="D8" s="301">
        <f>'Infiltration System'!$D$11</f>
        <v>20</v>
      </c>
      <c r="E8" s="7" t="s">
        <v>18</v>
      </c>
      <c r="F8" s="352" t="s">
        <v>239</v>
      </c>
      <c r="G8" s="349"/>
      <c r="H8" s="349"/>
      <c r="I8" s="349"/>
      <c r="J8" s="349"/>
    </row>
    <row r="9" spans="1:19" ht="17.25" customHeight="1" x14ac:dyDescent="0.25">
      <c r="C9" s="352"/>
      <c r="D9" s="352"/>
      <c r="F9" s="352"/>
    </row>
    <row r="10" spans="1:19" ht="19.5" customHeight="1" x14ac:dyDescent="0.25">
      <c r="A10" s="349"/>
      <c r="B10" s="356" t="s">
        <v>3</v>
      </c>
      <c r="C10" s="60" t="s">
        <v>30</v>
      </c>
      <c r="D10" s="60" t="s">
        <v>7</v>
      </c>
      <c r="E10" s="60" t="s">
        <v>6</v>
      </c>
      <c r="F10" s="357" t="s">
        <v>66</v>
      </c>
      <c r="G10" s="349"/>
      <c r="H10" s="349"/>
      <c r="I10" s="349"/>
      <c r="J10" s="349"/>
    </row>
    <row r="11" spans="1:19" ht="19.5" customHeight="1" x14ac:dyDescent="0.25">
      <c r="A11" s="349"/>
      <c r="B11" s="55" t="s">
        <v>65</v>
      </c>
      <c r="C11" s="60"/>
      <c r="D11" s="60"/>
      <c r="E11" s="60"/>
      <c r="F11" s="357"/>
      <c r="G11" s="349"/>
      <c r="H11" s="349"/>
      <c r="I11" s="349"/>
      <c r="J11" s="349"/>
    </row>
    <row r="12" spans="1:19" ht="19.5" customHeight="1" x14ac:dyDescent="0.25">
      <c r="A12" s="349"/>
      <c r="B12" s="346" t="s">
        <v>349</v>
      </c>
      <c r="C12" s="60"/>
      <c r="D12" s="60"/>
      <c r="E12" s="60"/>
      <c r="F12" s="357"/>
      <c r="G12" s="349"/>
      <c r="H12" s="349"/>
      <c r="I12" s="349"/>
      <c r="J12" s="349"/>
    </row>
    <row r="13" spans="1:19" ht="19.5" customHeight="1" x14ac:dyDescent="0.25">
      <c r="A13" s="349"/>
      <c r="B13" s="59" t="s">
        <v>198</v>
      </c>
      <c r="C13" s="52" t="s">
        <v>50</v>
      </c>
      <c r="D13" s="358">
        <f>'Infiltration System'!$D$27</f>
        <v>0.15</v>
      </c>
      <c r="E13" s="60" t="s">
        <v>21</v>
      </c>
      <c r="F13" s="352" t="s">
        <v>239</v>
      </c>
      <c r="G13" s="349"/>
      <c r="H13" s="349"/>
      <c r="I13" s="349"/>
      <c r="J13" s="349"/>
      <c r="K13" s="349"/>
      <c r="L13" s="359"/>
      <c r="M13" s="349"/>
      <c r="N13" s="349"/>
      <c r="O13" s="360">
        <f>IF($C$18=P13,1,0)</f>
        <v>0</v>
      </c>
      <c r="P13" s="361" t="s">
        <v>252</v>
      </c>
      <c r="Q13" s="362"/>
      <c r="R13" s="362"/>
      <c r="S13" s="362"/>
    </row>
    <row r="14" spans="1:19" ht="18.75" customHeight="1" x14ac:dyDescent="0.25">
      <c r="A14" s="349"/>
      <c r="B14" s="56" t="s">
        <v>350</v>
      </c>
      <c r="C14" s="54" t="s">
        <v>366</v>
      </c>
      <c r="D14" s="413">
        <v>0.6</v>
      </c>
      <c r="E14" s="350" t="s">
        <v>22</v>
      </c>
      <c r="F14" s="369" t="s">
        <v>426</v>
      </c>
      <c r="G14" s="364"/>
      <c r="H14" s="365"/>
      <c r="I14" s="365"/>
      <c r="J14" s="365"/>
      <c r="K14" s="365"/>
      <c r="L14" s="365"/>
      <c r="M14" s="349"/>
      <c r="N14" s="349"/>
      <c r="O14" s="360">
        <f>IF($C$18=P14,1,0)</f>
        <v>0</v>
      </c>
      <c r="P14" s="361" t="s">
        <v>341</v>
      </c>
      <c r="Q14" s="366"/>
      <c r="R14" s="366"/>
      <c r="S14" s="362"/>
    </row>
    <row r="15" spans="1:19" ht="18.75" customHeight="1" x14ac:dyDescent="0.25">
      <c r="A15" s="349"/>
      <c r="B15" s="56" t="s">
        <v>197</v>
      </c>
      <c r="C15" s="57" t="s">
        <v>351</v>
      </c>
      <c r="D15" s="414">
        <v>0.3</v>
      </c>
      <c r="E15" s="350" t="s">
        <v>56</v>
      </c>
      <c r="F15" s="369" t="s">
        <v>413</v>
      </c>
      <c r="G15" s="364"/>
      <c r="H15" s="365"/>
      <c r="I15" s="365"/>
      <c r="J15" s="365"/>
      <c r="K15" s="365"/>
      <c r="L15" s="365"/>
      <c r="M15" s="349"/>
      <c r="N15" s="349"/>
      <c r="O15" s="360">
        <f>IF($C$18=P15,1,0)</f>
        <v>1</v>
      </c>
      <c r="P15" s="361" t="s">
        <v>340</v>
      </c>
      <c r="Q15" s="367"/>
      <c r="R15" s="367"/>
      <c r="S15" s="368"/>
    </row>
    <row r="16" spans="1:19" ht="18.75" customHeight="1" x14ac:dyDescent="0.25">
      <c r="A16" s="349"/>
      <c r="B16" s="347" t="s">
        <v>386</v>
      </c>
      <c r="C16" s="57" t="s">
        <v>367</v>
      </c>
      <c r="D16" s="414">
        <v>1.78</v>
      </c>
      <c r="E16" s="350" t="s">
        <v>57</v>
      </c>
      <c r="F16" s="369" t="s">
        <v>413</v>
      </c>
      <c r="G16" s="95"/>
      <c r="H16" s="96"/>
      <c r="I16" s="96"/>
      <c r="J16" s="96"/>
      <c r="K16" s="96"/>
      <c r="L16" s="96"/>
      <c r="M16" s="349"/>
      <c r="N16" s="349"/>
      <c r="O16" s="360"/>
      <c r="P16" s="361"/>
      <c r="Q16" s="367"/>
      <c r="R16" s="367"/>
      <c r="S16" s="368"/>
    </row>
    <row r="17" spans="1:19" ht="18.75" customHeight="1" x14ac:dyDescent="0.25">
      <c r="A17" s="349"/>
      <c r="B17" s="56" t="s">
        <v>199</v>
      </c>
      <c r="C17" s="54" t="s">
        <v>353</v>
      </c>
      <c r="D17" s="166">
        <f>+D14*0.1</f>
        <v>0.06</v>
      </c>
      <c r="E17" s="350" t="s">
        <v>22</v>
      </c>
      <c r="F17" s="370" t="s">
        <v>170</v>
      </c>
      <c r="G17" s="95"/>
      <c r="H17" s="96"/>
      <c r="I17" s="96"/>
      <c r="J17" s="96"/>
      <c r="K17" s="96"/>
      <c r="L17" s="96"/>
      <c r="M17" s="349"/>
      <c r="N17" s="349"/>
      <c r="O17" s="367">
        <f>1/10^99</f>
        <v>1E-99</v>
      </c>
      <c r="P17" s="367"/>
      <c r="Q17" s="367"/>
      <c r="R17" s="368"/>
      <c r="S17" s="368"/>
    </row>
    <row r="18" spans="1:19" ht="18.75" customHeight="1" x14ac:dyDescent="0.25">
      <c r="A18" s="349"/>
      <c r="B18" s="371" t="s">
        <v>251</v>
      </c>
      <c r="C18" s="454" t="s">
        <v>340</v>
      </c>
      <c r="D18" s="455"/>
      <c r="E18" s="456"/>
      <c r="F18" s="370"/>
      <c r="G18" s="96"/>
      <c r="H18" s="96"/>
      <c r="I18" s="96"/>
      <c r="J18" s="96"/>
      <c r="K18" s="96"/>
      <c r="L18" s="96"/>
      <c r="M18" s="349"/>
      <c r="N18" s="349"/>
    </row>
    <row r="19" spans="1:19" ht="18.75" customHeight="1" x14ac:dyDescent="0.25">
      <c r="A19" s="372" t="s">
        <v>171</v>
      </c>
      <c r="B19" s="264" t="s">
        <v>200</v>
      </c>
      <c r="C19" s="278" t="s">
        <v>92</v>
      </c>
      <c r="D19" s="34">
        <v>730</v>
      </c>
      <c r="E19" s="279" t="s">
        <v>17</v>
      </c>
      <c r="F19" s="414" t="s">
        <v>414</v>
      </c>
      <c r="G19" s="263" t="s">
        <v>294</v>
      </c>
      <c r="H19" s="96"/>
      <c r="I19" s="96"/>
      <c r="J19" s="96"/>
      <c r="K19" s="96"/>
      <c r="L19" s="96"/>
      <c r="M19" s="349"/>
      <c r="N19" s="349"/>
    </row>
    <row r="20" spans="1:19" ht="18.75" customHeight="1" x14ac:dyDescent="0.25">
      <c r="B20" s="373" t="s">
        <v>69</v>
      </c>
      <c r="C20" s="5" t="s">
        <v>368</v>
      </c>
      <c r="D20" s="141">
        <f>IF(O13=1,O17,IF(O14=1,0.693147/D19,0.693147/(D19*D31)))</f>
        <v>1.1281383426013831E-4</v>
      </c>
      <c r="E20" s="7" t="s">
        <v>91</v>
      </c>
      <c r="F20" s="370" t="s">
        <v>257</v>
      </c>
      <c r="G20" s="374" t="str">
        <f>IF(O13=1,"Default value of 1/10^99 used","Calculated from half life (above)")</f>
        <v>Calculated from half life (above)</v>
      </c>
      <c r="H20" s="96"/>
      <c r="I20" s="96"/>
      <c r="J20" s="96"/>
      <c r="K20" s="96"/>
      <c r="L20" s="96"/>
      <c r="M20" s="349"/>
      <c r="N20" s="349"/>
      <c r="O20" s="375">
        <f>IF(C22="User specified value for partition coefficient",1,0)</f>
        <v>1</v>
      </c>
    </row>
    <row r="21" spans="1:19" ht="18.75" customHeight="1" x14ac:dyDescent="0.25">
      <c r="B21" s="373"/>
      <c r="C21" s="5"/>
      <c r="D21" s="376"/>
      <c r="F21" s="370"/>
      <c r="G21" s="374"/>
      <c r="H21" s="96"/>
      <c r="I21" s="96"/>
      <c r="J21" s="96"/>
      <c r="K21" s="96"/>
      <c r="L21" s="96"/>
      <c r="M21" s="349"/>
      <c r="N21" s="349"/>
      <c r="O21" s="360">
        <f>IF($C$22=P21,1,0)</f>
        <v>1</v>
      </c>
      <c r="P21" s="361" t="s">
        <v>153</v>
      </c>
      <c r="Q21" s="366"/>
      <c r="R21" s="366"/>
      <c r="S21" s="362"/>
    </row>
    <row r="22" spans="1:19" ht="18.75" customHeight="1" x14ac:dyDescent="0.25">
      <c r="A22" s="349"/>
      <c r="B22" s="371" t="s">
        <v>159</v>
      </c>
      <c r="C22" s="454" t="s">
        <v>153</v>
      </c>
      <c r="D22" s="455"/>
      <c r="E22" s="456"/>
      <c r="F22" s="377"/>
      <c r="G22" s="96"/>
      <c r="H22" s="96"/>
      <c r="I22" s="96"/>
      <c r="J22" s="96"/>
      <c r="K22" s="96"/>
      <c r="L22" s="96"/>
      <c r="M22" s="349"/>
      <c r="N22" s="349"/>
      <c r="O22" s="360">
        <f>IF($C$22=P22,1,0)</f>
        <v>0</v>
      </c>
      <c r="P22" s="361" t="s">
        <v>61</v>
      </c>
      <c r="Q22" s="378"/>
      <c r="R22" s="366"/>
      <c r="S22" s="362"/>
    </row>
    <row r="23" spans="1:19" ht="18.75" customHeight="1" x14ac:dyDescent="0.25">
      <c r="A23" s="349"/>
      <c r="B23" s="55" t="s">
        <v>67</v>
      </c>
      <c r="C23" s="54"/>
      <c r="D23" s="102"/>
      <c r="E23" s="350"/>
      <c r="F23" s="379"/>
      <c r="H23" s="349"/>
      <c r="I23" s="349"/>
      <c r="J23" s="349"/>
      <c r="K23" s="349"/>
      <c r="L23" s="359"/>
      <c r="M23" s="349"/>
      <c r="N23" s="349"/>
      <c r="O23" s="366"/>
      <c r="P23" s="360"/>
      <c r="Q23" s="366"/>
      <c r="R23" s="366"/>
      <c r="S23" s="362"/>
    </row>
    <row r="24" spans="1:19" ht="18.75" customHeight="1" x14ac:dyDescent="0.25">
      <c r="A24" s="349"/>
      <c r="B24" s="264" t="s">
        <v>60</v>
      </c>
      <c r="C24" s="265" t="s">
        <v>354</v>
      </c>
      <c r="D24" s="34">
        <v>1.25</v>
      </c>
      <c r="E24" s="262" t="s">
        <v>19</v>
      </c>
      <c r="F24" s="34" t="s">
        <v>414</v>
      </c>
      <c r="G24" s="266" t="s">
        <v>296</v>
      </c>
      <c r="H24" s="349"/>
      <c r="I24" s="349"/>
      <c r="J24" s="349"/>
      <c r="K24" s="349"/>
      <c r="L24" s="359"/>
      <c r="M24" s="349"/>
      <c r="N24" s="349"/>
      <c r="O24" s="349"/>
      <c r="P24" s="349"/>
      <c r="Q24" s="349"/>
    </row>
    <row r="25" spans="1:19" ht="18.75" customHeight="1" x14ac:dyDescent="0.25">
      <c r="A25" s="349"/>
      <c r="B25" s="55" t="s">
        <v>258</v>
      </c>
      <c r="C25" s="54"/>
      <c r="D25" s="58"/>
      <c r="E25" s="350"/>
      <c r="F25" s="379"/>
      <c r="G25" s="380"/>
      <c r="H25" s="349"/>
      <c r="I25" s="349"/>
      <c r="J25" s="349"/>
      <c r="K25" s="349"/>
      <c r="L25" s="359"/>
      <c r="M25" s="349"/>
      <c r="N25" s="349"/>
      <c r="O25" s="349"/>
      <c r="P25" s="349"/>
      <c r="Q25" s="349"/>
    </row>
    <row r="26" spans="1:19" ht="18.75" customHeight="1" x14ac:dyDescent="0.25">
      <c r="A26" s="349"/>
      <c r="B26" s="381" t="s">
        <v>103</v>
      </c>
      <c r="C26" s="267" t="s">
        <v>355</v>
      </c>
      <c r="D26" s="34">
        <v>0.01</v>
      </c>
      <c r="E26" s="268" t="s">
        <v>56</v>
      </c>
      <c r="F26" s="382"/>
      <c r="G26" s="266" t="s">
        <v>295</v>
      </c>
      <c r="H26" s="349"/>
      <c r="I26" s="349"/>
      <c r="J26" s="349"/>
      <c r="K26" s="349"/>
      <c r="L26" s="359"/>
      <c r="M26" s="349"/>
      <c r="N26" s="349"/>
      <c r="O26" s="349"/>
      <c r="P26" s="349"/>
      <c r="Q26" s="349"/>
    </row>
    <row r="27" spans="1:19" ht="18.75" customHeight="1" x14ac:dyDescent="0.25">
      <c r="A27" s="349"/>
      <c r="B27" s="381" t="s">
        <v>44</v>
      </c>
      <c r="C27" s="267" t="s">
        <v>356</v>
      </c>
      <c r="D27" s="34">
        <v>10</v>
      </c>
      <c r="E27" s="268" t="s">
        <v>19</v>
      </c>
      <c r="F27" s="382"/>
      <c r="G27" s="266" t="s">
        <v>295</v>
      </c>
      <c r="H27" s="349"/>
      <c r="I27" s="349"/>
      <c r="J27" s="349"/>
      <c r="K27" s="349"/>
      <c r="L27" s="359"/>
      <c r="M27" s="349"/>
      <c r="N27" s="349"/>
      <c r="O27" s="349"/>
      <c r="P27" s="349"/>
      <c r="Q27" s="349"/>
    </row>
    <row r="28" spans="1:19" ht="18.75" customHeight="1" x14ac:dyDescent="0.25">
      <c r="C28" s="352"/>
      <c r="D28" s="352"/>
      <c r="F28" s="352"/>
    </row>
    <row r="29" spans="1:19" ht="18.75" customHeight="1" x14ac:dyDescent="0.25">
      <c r="A29" s="349"/>
      <c r="B29" s="59" t="s">
        <v>288</v>
      </c>
      <c r="C29" s="60" t="s">
        <v>357</v>
      </c>
      <c r="D29" s="302">
        <f>IF(O21=1,$D$24,D26*D27)</f>
        <v>1.25</v>
      </c>
      <c r="E29" s="60" t="s">
        <v>19</v>
      </c>
      <c r="F29" s="379" t="str">
        <f>IF(O20=1,"Specified value","Calculated value")</f>
        <v>Specified value</v>
      </c>
      <c r="M29" s="349"/>
      <c r="N29" s="349"/>
      <c r="O29" s="349"/>
      <c r="P29" s="349"/>
      <c r="Q29" s="349"/>
    </row>
    <row r="30" spans="1:19" ht="18.75" customHeight="1" x14ac:dyDescent="0.25">
      <c r="C30" s="352"/>
      <c r="D30" s="352"/>
      <c r="F30" s="352"/>
    </row>
    <row r="31" spans="1:19" ht="18.75" customHeight="1" x14ac:dyDescent="0.25">
      <c r="B31" s="373" t="s">
        <v>32</v>
      </c>
      <c r="C31" s="4" t="s">
        <v>358</v>
      </c>
      <c r="D31" s="176">
        <f>1+(D29*D16)/D15</f>
        <v>8.4166666666666679</v>
      </c>
      <c r="E31" s="7" t="s">
        <v>62</v>
      </c>
      <c r="F31" s="352"/>
    </row>
    <row r="32" spans="1:19" ht="18.75" customHeight="1" x14ac:dyDescent="0.25">
      <c r="B32" s="373" t="s">
        <v>242</v>
      </c>
      <c r="C32" s="7" t="s">
        <v>359</v>
      </c>
      <c r="D32" s="176">
        <f>D15*D14/D13</f>
        <v>1.2</v>
      </c>
      <c r="E32" s="7" t="s">
        <v>210</v>
      </c>
      <c r="F32" s="352"/>
    </row>
    <row r="33" spans="1:19" ht="18.75" customHeight="1" x14ac:dyDescent="0.25">
      <c r="B33" s="373" t="s">
        <v>241</v>
      </c>
      <c r="C33" s="7" t="s">
        <v>359</v>
      </c>
      <c r="D33" s="176">
        <f>(D14-D17)*D15/D13</f>
        <v>1.08</v>
      </c>
      <c r="E33" s="7" t="s">
        <v>210</v>
      </c>
      <c r="F33" s="352"/>
    </row>
    <row r="34" spans="1:19" ht="18.75" customHeight="1" x14ac:dyDescent="0.25">
      <c r="B34" s="373" t="s">
        <v>243</v>
      </c>
      <c r="C34" s="7" t="s">
        <v>360</v>
      </c>
      <c r="D34" s="176">
        <f>D33*D31</f>
        <v>9.0900000000000016</v>
      </c>
      <c r="E34" s="7" t="s">
        <v>210</v>
      </c>
      <c r="F34" s="352"/>
    </row>
    <row r="35" spans="1:19" ht="18.75" customHeight="1" x14ac:dyDescent="0.25">
      <c r="A35" s="383"/>
      <c r="B35" s="373" t="s">
        <v>259</v>
      </c>
      <c r="C35" s="7" t="s">
        <v>361</v>
      </c>
      <c r="D35" s="176">
        <f>1/EXP(0.5*D14/D17-(0.5*D14/D17*(1+(4*D17*D20/(D13/D15/D31)))^0.5))</f>
        <v>1.0011399391651761</v>
      </c>
      <c r="E35" s="350"/>
      <c r="F35" s="379"/>
      <c r="M35" s="349"/>
      <c r="N35" s="349"/>
    </row>
    <row r="36" spans="1:19" ht="18.75" customHeight="1" x14ac:dyDescent="0.25">
      <c r="B36" s="373"/>
      <c r="C36" s="5"/>
      <c r="D36" s="376"/>
      <c r="F36" s="370"/>
      <c r="G36" s="374"/>
      <c r="H36" s="96"/>
      <c r="I36" s="96"/>
      <c r="J36" s="96"/>
      <c r="K36" s="96"/>
      <c r="L36" s="96"/>
      <c r="M36" s="349"/>
      <c r="N36" s="349"/>
    </row>
    <row r="37" spans="1:19" ht="19.5" customHeight="1" x14ac:dyDescent="0.25">
      <c r="A37" s="349"/>
      <c r="B37" s="346" t="s">
        <v>348</v>
      </c>
      <c r="C37" s="60"/>
      <c r="D37" s="60"/>
      <c r="E37" s="60"/>
      <c r="F37" s="357"/>
      <c r="G37" s="349"/>
      <c r="H37" s="349"/>
      <c r="I37" s="349"/>
      <c r="J37" s="349"/>
    </row>
    <row r="38" spans="1:19" ht="19.5" customHeight="1" x14ac:dyDescent="0.25">
      <c r="A38" s="349"/>
      <c r="C38" s="352"/>
      <c r="D38" s="352"/>
      <c r="E38" s="352"/>
      <c r="F38" s="352"/>
      <c r="G38" s="349"/>
      <c r="H38" s="349"/>
      <c r="I38" s="349"/>
      <c r="J38" s="349"/>
      <c r="K38" s="349"/>
      <c r="L38" s="359"/>
      <c r="M38" s="349"/>
      <c r="N38" s="349"/>
    </row>
    <row r="39" spans="1:19" ht="18.75" customHeight="1" x14ac:dyDescent="0.25">
      <c r="A39" s="349"/>
      <c r="B39" s="56" t="s">
        <v>253</v>
      </c>
      <c r="C39" s="54" t="s">
        <v>369</v>
      </c>
      <c r="D39" s="413">
        <v>3</v>
      </c>
      <c r="E39" s="350" t="s">
        <v>22</v>
      </c>
      <c r="F39" s="369" t="s">
        <v>423</v>
      </c>
      <c r="G39" s="364"/>
      <c r="H39" s="365"/>
      <c r="I39" s="365"/>
      <c r="J39" s="365"/>
      <c r="K39" s="365"/>
      <c r="L39" s="365"/>
      <c r="M39" s="349"/>
      <c r="N39" s="349"/>
    </row>
    <row r="40" spans="1:19" ht="18.75" customHeight="1" x14ac:dyDescent="0.25">
      <c r="A40" s="349"/>
      <c r="B40" s="56" t="s">
        <v>197</v>
      </c>
      <c r="C40" s="57" t="s">
        <v>370</v>
      </c>
      <c r="D40" s="414">
        <v>0.23499999999999999</v>
      </c>
      <c r="E40" s="350" t="s">
        <v>56</v>
      </c>
      <c r="F40" s="363" t="s">
        <v>413</v>
      </c>
      <c r="G40" s="364"/>
      <c r="H40" s="365"/>
      <c r="I40" s="365"/>
      <c r="J40" s="365"/>
      <c r="K40" s="365"/>
      <c r="L40" s="365"/>
      <c r="M40" s="349"/>
      <c r="N40" s="349"/>
    </row>
    <row r="41" spans="1:19" ht="18.75" customHeight="1" x14ac:dyDescent="0.25">
      <c r="A41" s="349"/>
      <c r="B41" s="56" t="s">
        <v>256</v>
      </c>
      <c r="C41" s="57" t="s">
        <v>352</v>
      </c>
      <c r="D41" s="414">
        <v>1.7</v>
      </c>
      <c r="E41" s="350" t="s">
        <v>57</v>
      </c>
      <c r="F41" s="369" t="s">
        <v>413</v>
      </c>
      <c r="G41" s="95"/>
      <c r="H41" s="96"/>
      <c r="I41" s="96"/>
      <c r="J41" s="96"/>
      <c r="K41" s="96"/>
      <c r="L41" s="96"/>
      <c r="M41" s="349"/>
      <c r="N41" s="349"/>
      <c r="O41" s="384"/>
    </row>
    <row r="42" spans="1:19" ht="18.75" customHeight="1" x14ac:dyDescent="0.25">
      <c r="A42" s="349"/>
      <c r="B42" s="56" t="s">
        <v>199</v>
      </c>
      <c r="C42" s="54" t="s">
        <v>371</v>
      </c>
      <c r="D42" s="166">
        <f>+D39*0.1</f>
        <v>0.30000000000000004</v>
      </c>
      <c r="E42" s="350" t="s">
        <v>22</v>
      </c>
      <c r="F42" s="370" t="s">
        <v>170</v>
      </c>
      <c r="G42" s="95"/>
      <c r="H42" s="96"/>
      <c r="I42" s="96"/>
      <c r="J42" s="96"/>
      <c r="K42" s="96"/>
      <c r="L42" s="96"/>
      <c r="M42" s="349"/>
      <c r="N42" s="349"/>
      <c r="O42" s="360">
        <f>IF($C$43=P42,1,0)</f>
        <v>0</v>
      </c>
      <c r="P42" s="361" t="s">
        <v>252</v>
      </c>
      <c r="Q42" s="362"/>
      <c r="R42" s="362"/>
      <c r="S42" s="362"/>
    </row>
    <row r="43" spans="1:19" ht="18.75" customHeight="1" x14ac:dyDescent="0.25">
      <c r="A43" s="349"/>
      <c r="B43" s="371" t="s">
        <v>251</v>
      </c>
      <c r="C43" s="454" t="s">
        <v>340</v>
      </c>
      <c r="D43" s="455"/>
      <c r="E43" s="456"/>
      <c r="F43" s="370"/>
      <c r="G43" s="96"/>
      <c r="H43" s="96"/>
      <c r="I43" s="96"/>
      <c r="J43" s="96"/>
      <c r="K43" s="96"/>
      <c r="L43" s="96"/>
      <c r="M43" s="349"/>
      <c r="N43" s="349"/>
      <c r="O43" s="360">
        <f>IF($C$43=P43,1,0)</f>
        <v>0</v>
      </c>
      <c r="P43" s="361" t="s">
        <v>341</v>
      </c>
      <c r="Q43" s="366"/>
      <c r="R43" s="366"/>
      <c r="S43" s="362"/>
    </row>
    <row r="44" spans="1:19" ht="18.75" customHeight="1" x14ac:dyDescent="0.25">
      <c r="A44" s="372" t="s">
        <v>171</v>
      </c>
      <c r="B44" s="264" t="s">
        <v>200</v>
      </c>
      <c r="C44" s="278" t="s">
        <v>92</v>
      </c>
      <c r="D44" s="34">
        <v>730</v>
      </c>
      <c r="E44" s="279" t="s">
        <v>17</v>
      </c>
      <c r="F44" s="34" t="s">
        <v>414</v>
      </c>
      <c r="G44" s="263" t="s">
        <v>294</v>
      </c>
      <c r="H44" s="96"/>
      <c r="I44" s="96"/>
      <c r="J44" s="96"/>
      <c r="K44" s="96"/>
      <c r="L44" s="96"/>
      <c r="M44" s="349"/>
      <c r="N44" s="349"/>
      <c r="O44" s="360">
        <f>IF($C$43=P44,1,0)</f>
        <v>1</v>
      </c>
      <c r="P44" s="361" t="s">
        <v>340</v>
      </c>
      <c r="Q44" s="367"/>
      <c r="R44" s="367"/>
      <c r="S44" s="368"/>
    </row>
    <row r="45" spans="1:19" ht="18.75" customHeight="1" x14ac:dyDescent="0.25">
      <c r="B45" s="373" t="s">
        <v>69</v>
      </c>
      <c r="C45" s="5" t="s">
        <v>372</v>
      </c>
      <c r="D45" s="141">
        <f>IF(O42=1,O46,IF(O43=1,0.693147/D44,0.693147/(D44*D57)))</f>
        <v>9.4549306361736698E-5</v>
      </c>
      <c r="E45" s="7" t="s">
        <v>91</v>
      </c>
      <c r="F45" s="370" t="s">
        <v>257</v>
      </c>
      <c r="G45" s="374" t="str">
        <f>IF(O43=1,"Default value of 1/10^99 used","Calculated from half life (above)")</f>
        <v>Calculated from half life (above)</v>
      </c>
      <c r="H45" s="96"/>
      <c r="I45" s="96"/>
      <c r="J45" s="96"/>
      <c r="K45" s="96"/>
      <c r="L45" s="96"/>
      <c r="M45" s="349"/>
      <c r="N45" s="349"/>
      <c r="O45" s="360"/>
      <c r="P45" s="361"/>
      <c r="Q45" s="367"/>
      <c r="R45" s="367"/>
      <c r="S45" s="368"/>
    </row>
    <row r="46" spans="1:19" ht="18.75" customHeight="1" x14ac:dyDescent="0.25">
      <c r="B46" s="373" t="s">
        <v>304</v>
      </c>
      <c r="C46" s="5" t="s">
        <v>244</v>
      </c>
      <c r="D46" s="34">
        <v>0</v>
      </c>
      <c r="E46" s="7" t="s">
        <v>56</v>
      </c>
      <c r="F46" s="385" t="s">
        <v>412</v>
      </c>
      <c r="G46" s="96"/>
      <c r="H46" s="96"/>
      <c r="I46" s="96"/>
      <c r="J46" s="96"/>
      <c r="K46" s="96"/>
      <c r="L46" s="96"/>
      <c r="M46" s="349"/>
      <c r="N46" s="349"/>
      <c r="O46" s="367">
        <f>1/10^99</f>
        <v>1E-99</v>
      </c>
      <c r="P46" s="367"/>
      <c r="Q46" s="367"/>
      <c r="R46" s="368"/>
      <c r="S46" s="368"/>
    </row>
    <row r="47" spans="1:19" ht="18.75" customHeight="1" x14ac:dyDescent="0.25">
      <c r="B47" s="373"/>
      <c r="C47" s="386"/>
      <c r="D47" s="387"/>
      <c r="E47" s="388"/>
      <c r="F47" s="389"/>
      <c r="G47" s="96"/>
      <c r="H47" s="96"/>
      <c r="I47" s="96"/>
      <c r="J47" s="96"/>
      <c r="K47" s="96"/>
      <c r="L47" s="96"/>
      <c r="M47" s="349"/>
      <c r="N47" s="349"/>
      <c r="O47" s="375">
        <f>IF(C48="User specified value for partition coefficient",1,0)</f>
        <v>1</v>
      </c>
    </row>
    <row r="48" spans="1:19" ht="18.75" customHeight="1" x14ac:dyDescent="0.25">
      <c r="A48" s="349"/>
      <c r="B48" s="371" t="s">
        <v>159</v>
      </c>
      <c r="C48" s="454" t="s">
        <v>153</v>
      </c>
      <c r="D48" s="455"/>
      <c r="E48" s="456"/>
      <c r="F48" s="377"/>
      <c r="G48" s="96"/>
      <c r="H48" s="96"/>
      <c r="I48" s="96"/>
      <c r="J48" s="96"/>
      <c r="K48" s="96"/>
      <c r="L48" s="96"/>
      <c r="M48" s="349"/>
      <c r="N48" s="349"/>
      <c r="O48" s="360">
        <f>IF($C$48=P48,1,0)</f>
        <v>1</v>
      </c>
      <c r="P48" s="361" t="s">
        <v>153</v>
      </c>
      <c r="Q48" s="366"/>
      <c r="R48" s="366"/>
      <c r="S48" s="362"/>
    </row>
    <row r="49" spans="1:19" ht="18.75" customHeight="1" x14ac:dyDescent="0.25">
      <c r="A49" s="349"/>
      <c r="B49" s="55" t="s">
        <v>67</v>
      </c>
      <c r="C49" s="54"/>
      <c r="D49" s="102"/>
      <c r="E49" s="350"/>
      <c r="F49" s="379"/>
      <c r="H49" s="349"/>
      <c r="I49" s="349"/>
      <c r="J49" s="349"/>
      <c r="K49" s="349"/>
      <c r="L49" s="359"/>
      <c r="M49" s="349"/>
      <c r="N49" s="349"/>
      <c r="O49" s="360">
        <f>IF($C$48=P49,1,0)</f>
        <v>0</v>
      </c>
      <c r="P49" s="361" t="s">
        <v>61</v>
      </c>
      <c r="Q49" s="378"/>
      <c r="R49" s="366"/>
      <c r="S49" s="362"/>
    </row>
    <row r="50" spans="1:19" ht="18.75" customHeight="1" x14ac:dyDescent="0.25">
      <c r="A50" s="349"/>
      <c r="B50" s="264" t="s">
        <v>60</v>
      </c>
      <c r="C50" s="265" t="s">
        <v>373</v>
      </c>
      <c r="D50" s="34">
        <v>1.25</v>
      </c>
      <c r="E50" s="262" t="s">
        <v>19</v>
      </c>
      <c r="F50" s="34" t="s">
        <v>414</v>
      </c>
      <c r="G50" s="266" t="s">
        <v>296</v>
      </c>
      <c r="H50" s="349"/>
      <c r="I50" s="349"/>
      <c r="J50" s="349"/>
      <c r="K50" s="349"/>
      <c r="L50" s="359"/>
      <c r="M50" s="349"/>
      <c r="N50" s="349"/>
      <c r="O50" s="349"/>
      <c r="P50" s="349"/>
      <c r="Q50" s="349"/>
    </row>
    <row r="51" spans="1:19" ht="18.75" customHeight="1" x14ac:dyDescent="0.25">
      <c r="A51" s="349"/>
      <c r="B51" s="55" t="s">
        <v>258</v>
      </c>
      <c r="C51" s="54"/>
      <c r="D51" s="58"/>
      <c r="E51" s="350"/>
      <c r="F51" s="379"/>
      <c r="G51" s="380"/>
      <c r="H51" s="349"/>
      <c r="I51" s="349"/>
      <c r="J51" s="349"/>
      <c r="K51" s="349"/>
      <c r="L51" s="359"/>
      <c r="M51" s="349"/>
      <c r="N51" s="349"/>
      <c r="O51" s="349"/>
      <c r="P51" s="349"/>
      <c r="Q51" s="349"/>
    </row>
    <row r="52" spans="1:19" ht="18.75" customHeight="1" x14ac:dyDescent="0.25">
      <c r="A52" s="349"/>
      <c r="B52" s="381" t="s">
        <v>103</v>
      </c>
      <c r="C52" s="267" t="s">
        <v>374</v>
      </c>
      <c r="D52" s="34">
        <v>0.01</v>
      </c>
      <c r="E52" s="269" t="s">
        <v>56</v>
      </c>
      <c r="F52" s="382"/>
      <c r="G52" s="266" t="s">
        <v>295</v>
      </c>
      <c r="H52" s="349"/>
      <c r="I52" s="349"/>
      <c r="J52" s="349"/>
      <c r="K52" s="349"/>
      <c r="L52" s="359"/>
      <c r="M52" s="349"/>
      <c r="N52" s="349"/>
      <c r="O52" s="349"/>
      <c r="P52" s="349"/>
      <c r="Q52" s="349"/>
    </row>
    <row r="53" spans="1:19" ht="18.75" customHeight="1" x14ac:dyDescent="0.25">
      <c r="A53" s="349"/>
      <c r="B53" s="381" t="s">
        <v>44</v>
      </c>
      <c r="C53" s="267" t="s">
        <v>375</v>
      </c>
      <c r="D53" s="34">
        <v>10</v>
      </c>
      <c r="E53" s="269" t="s">
        <v>19</v>
      </c>
      <c r="F53" s="382"/>
      <c r="G53" s="266" t="s">
        <v>295</v>
      </c>
      <c r="H53" s="349"/>
      <c r="I53" s="349"/>
      <c r="J53" s="349"/>
      <c r="K53" s="349"/>
      <c r="L53" s="359"/>
      <c r="M53" s="349"/>
      <c r="N53" s="349"/>
      <c r="O53" s="349"/>
      <c r="P53" s="349"/>
      <c r="Q53" s="349"/>
    </row>
    <row r="54" spans="1:19" ht="18.75" customHeight="1" x14ac:dyDescent="0.25">
      <c r="C54" s="352"/>
      <c r="D54" s="352"/>
      <c r="F54" s="352"/>
    </row>
    <row r="55" spans="1:19" ht="18.75" customHeight="1" x14ac:dyDescent="0.25">
      <c r="A55" s="349"/>
      <c r="B55" s="59" t="s">
        <v>288</v>
      </c>
      <c r="C55" s="60" t="s">
        <v>376</v>
      </c>
      <c r="D55" s="302">
        <f>IF(O48=1,$D$50,D52*D53)</f>
        <v>1.25</v>
      </c>
      <c r="E55" s="60" t="s">
        <v>19</v>
      </c>
      <c r="F55" s="379" t="str">
        <f>IF(O20=1,"Specified value","Calculated value")</f>
        <v>Specified value</v>
      </c>
      <c r="M55" s="349"/>
      <c r="N55" s="349"/>
      <c r="O55" s="349"/>
      <c r="P55" s="349"/>
      <c r="Q55" s="349"/>
    </row>
    <row r="56" spans="1:19" ht="18.75" customHeight="1" x14ac:dyDescent="0.25">
      <c r="C56" s="352"/>
      <c r="D56" s="352"/>
      <c r="F56" s="352"/>
    </row>
    <row r="57" spans="1:19" ht="18.75" customHeight="1" x14ac:dyDescent="0.25">
      <c r="B57" s="373" t="s">
        <v>32</v>
      </c>
      <c r="C57" s="4" t="s">
        <v>377</v>
      </c>
      <c r="D57" s="176">
        <f>1+(D55*D41)/D40</f>
        <v>10.042553191489363</v>
      </c>
      <c r="E57" s="7" t="s">
        <v>62</v>
      </c>
      <c r="F57" s="352"/>
    </row>
    <row r="58" spans="1:19" ht="18.75" customHeight="1" x14ac:dyDescent="0.25">
      <c r="B58" s="373" t="s">
        <v>242</v>
      </c>
      <c r="C58" s="7" t="s">
        <v>378</v>
      </c>
      <c r="D58" s="176">
        <f>D39*D40/D13</f>
        <v>4.7</v>
      </c>
      <c r="E58" s="7" t="s">
        <v>210</v>
      </c>
      <c r="F58" s="352"/>
    </row>
    <row r="59" spans="1:19" ht="18.75" customHeight="1" x14ac:dyDescent="0.25">
      <c r="B59" s="373" t="s">
        <v>241</v>
      </c>
      <c r="C59" s="7" t="s">
        <v>378</v>
      </c>
      <c r="D59" s="176">
        <f>(D39-D42)*D40/D13</f>
        <v>4.2299999999999995</v>
      </c>
      <c r="E59" s="7" t="s">
        <v>210</v>
      </c>
      <c r="F59" s="352"/>
    </row>
    <row r="60" spans="1:19" ht="18.75" customHeight="1" x14ac:dyDescent="0.25">
      <c r="B60" s="373" t="s">
        <v>243</v>
      </c>
      <c r="C60" s="7" t="s">
        <v>379</v>
      </c>
      <c r="D60" s="176">
        <f>D59*D57</f>
        <v>42.48</v>
      </c>
      <c r="E60" s="7" t="s">
        <v>210</v>
      </c>
      <c r="F60" s="352"/>
    </row>
    <row r="61" spans="1:19" ht="18.75" customHeight="1" x14ac:dyDescent="0.25">
      <c r="A61" s="383"/>
      <c r="B61" s="373" t="s">
        <v>259</v>
      </c>
      <c r="C61" s="7" t="s">
        <v>380</v>
      </c>
      <c r="D61" s="176">
        <f>1/EXP(0.5*D39/D42-(0.5*D39/D42*(1+(4*D42*D45/(D13/D40/D57)))^0.5))</f>
        <v>1.004470701341623</v>
      </c>
      <c r="E61" s="350"/>
      <c r="F61" s="379"/>
      <c r="M61" s="349"/>
      <c r="N61" s="349"/>
      <c r="O61" s="349"/>
      <c r="P61" s="349"/>
      <c r="Q61" s="349"/>
    </row>
    <row r="62" spans="1:19" ht="18.75" customHeight="1" x14ac:dyDescent="0.25">
      <c r="A62" s="383"/>
      <c r="B62" s="373" t="s">
        <v>382</v>
      </c>
      <c r="C62" s="7" t="s">
        <v>384</v>
      </c>
      <c r="D62" s="176">
        <f>D32+D58</f>
        <v>5.9</v>
      </c>
      <c r="E62" s="7" t="s">
        <v>210</v>
      </c>
      <c r="F62" s="379"/>
      <c r="M62" s="349"/>
      <c r="N62" s="349"/>
      <c r="O62" s="349"/>
      <c r="P62" s="349"/>
      <c r="Q62" s="349"/>
    </row>
    <row r="63" spans="1:19" ht="18.75" customHeight="1" x14ac:dyDescent="0.25">
      <c r="A63" s="383"/>
      <c r="B63" s="373" t="s">
        <v>383</v>
      </c>
      <c r="C63" s="7" t="s">
        <v>385</v>
      </c>
      <c r="D63" s="176">
        <f>D31*D32+D57*D58</f>
        <v>57.300000000000011</v>
      </c>
      <c r="E63" s="7" t="s">
        <v>210</v>
      </c>
      <c r="F63" s="379"/>
      <c r="M63" s="349"/>
      <c r="N63" s="349"/>
      <c r="O63" s="349"/>
      <c r="P63" s="349"/>
      <c r="Q63" s="349"/>
    </row>
    <row r="64" spans="1:19" x14ac:dyDescent="0.25">
      <c r="C64" s="352"/>
      <c r="D64" s="352"/>
      <c r="E64" s="352"/>
      <c r="F64" s="352"/>
      <c r="J64" s="390"/>
    </row>
    <row r="65" spans="2:12" ht="18.75" customHeight="1" x14ac:dyDescent="0.25">
      <c r="B65" s="91" t="s">
        <v>270</v>
      </c>
      <c r="C65" s="134" t="s">
        <v>62</v>
      </c>
      <c r="D65" s="28"/>
      <c r="F65" s="391"/>
      <c r="G65" s="392" t="s">
        <v>88</v>
      </c>
      <c r="H65" s="393"/>
      <c r="I65" s="394" t="str">
        <f>Introduction!$B$26</f>
        <v>Hendre Farmhouse</v>
      </c>
      <c r="J65" s="395"/>
      <c r="K65" s="393"/>
      <c r="L65" s="396"/>
    </row>
    <row r="66" spans="2:12" ht="18.75" customHeight="1" x14ac:dyDescent="0.25">
      <c r="B66" s="123" t="s">
        <v>363</v>
      </c>
      <c r="C66" s="121" t="s">
        <v>362</v>
      </c>
      <c r="D66" s="124">
        <f>D35</f>
        <v>1.0011399391651761</v>
      </c>
      <c r="E66" s="304" t="s">
        <v>62</v>
      </c>
      <c r="F66" s="391"/>
      <c r="G66" s="397"/>
      <c r="H66" s="395"/>
      <c r="I66" s="398"/>
      <c r="J66" s="395"/>
      <c r="K66" s="395"/>
      <c r="L66" s="399"/>
    </row>
    <row r="67" spans="2:12" ht="18.75" customHeight="1" x14ac:dyDescent="0.25">
      <c r="B67" s="123" t="s">
        <v>202</v>
      </c>
      <c r="C67" s="400" t="s">
        <v>381</v>
      </c>
      <c r="D67" s="124">
        <f>D61</f>
        <v>1.004470701341623</v>
      </c>
      <c r="E67" s="304" t="s">
        <v>62</v>
      </c>
      <c r="F67" s="84" t="s">
        <v>62</v>
      </c>
      <c r="G67" s="397" t="s">
        <v>86</v>
      </c>
      <c r="H67" s="395"/>
      <c r="I67" s="398" t="str">
        <f>Introduction!B29</f>
        <v>Will Owens</v>
      </c>
      <c r="J67" s="395"/>
      <c r="K67" s="395"/>
      <c r="L67" s="399"/>
    </row>
    <row r="68" spans="2:12" ht="18.75" customHeight="1" x14ac:dyDescent="0.25">
      <c r="B68" s="113" t="s">
        <v>364</v>
      </c>
      <c r="C68" s="85" t="s">
        <v>365</v>
      </c>
      <c r="D68" s="114">
        <f>D8/D66</f>
        <v>19.977227176330082</v>
      </c>
      <c r="E68" s="119" t="s">
        <v>18</v>
      </c>
      <c r="F68" s="84" t="str">
        <f>IF(D68&lt;D7,"below compliance value","")</f>
        <v/>
      </c>
      <c r="G68" s="397" t="s">
        <v>87</v>
      </c>
      <c r="H68" s="395"/>
      <c r="I68" s="401">
        <f>Introduction!B30</f>
        <v>45685</v>
      </c>
      <c r="J68" s="395"/>
      <c r="K68" s="395"/>
      <c r="L68" s="399"/>
    </row>
    <row r="69" spans="2:12" ht="18.75" customHeight="1" x14ac:dyDescent="0.25">
      <c r="B69" s="113" t="s">
        <v>201</v>
      </c>
      <c r="C69" s="85" t="s">
        <v>262</v>
      </c>
      <c r="D69" s="114">
        <f>D68*D46+(1-D46)*D68/D61</f>
        <v>19.888312471082994</v>
      </c>
      <c r="E69" s="119" t="s">
        <v>18</v>
      </c>
      <c r="F69" s="84"/>
      <c r="G69" s="397"/>
      <c r="H69" s="395"/>
      <c r="I69" s="401"/>
      <c r="J69" s="395"/>
      <c r="K69" s="395"/>
      <c r="L69" s="399"/>
    </row>
    <row r="70" spans="2:12" ht="13.8" x14ac:dyDescent="0.25">
      <c r="B70" s="113"/>
      <c r="C70" s="85"/>
      <c r="D70" s="114" t="s">
        <v>255</v>
      </c>
      <c r="E70" s="119"/>
      <c r="F70" s="84" t="s">
        <v>62</v>
      </c>
      <c r="G70" s="402" t="s">
        <v>96</v>
      </c>
      <c r="H70" s="403"/>
      <c r="I70" s="404">
        <f>Introduction!E30</f>
        <v>1</v>
      </c>
      <c r="J70" s="403"/>
      <c r="K70" s="403"/>
      <c r="L70" s="405"/>
    </row>
    <row r="71" spans="2:12" ht="15.6" x14ac:dyDescent="0.25">
      <c r="B71" s="406" t="s">
        <v>404</v>
      </c>
      <c r="C71" s="407" t="s">
        <v>405</v>
      </c>
      <c r="D71" s="408">
        <f>D7*D8/D69</f>
        <v>0.50280786841717706</v>
      </c>
      <c r="E71" s="409" t="s">
        <v>18</v>
      </c>
      <c r="F71" s="461" t="str">
        <f>IF(D71&gt;D8,"Discharge limit for discussion with Environment Agency","")</f>
        <v/>
      </c>
      <c r="G71" s="462"/>
      <c r="H71" s="462"/>
      <c r="I71" s="462"/>
    </row>
    <row r="72" spans="2:12" x14ac:dyDescent="0.25">
      <c r="F72" s="84"/>
    </row>
    <row r="73" spans="2:12" ht="15.6" x14ac:dyDescent="0.25">
      <c r="B73" s="410" t="str">
        <f>IF(D69&gt;D7, "Concentration at base of unsaturated zone exceeds target concentration","Concentration at base of unsaturated zone below target concentration")</f>
        <v>Concentration at base of unsaturated zone exceeds target concentration</v>
      </c>
    </row>
    <row r="74" spans="2:12" x14ac:dyDescent="0.25">
      <c r="B74" s="373"/>
    </row>
    <row r="75" spans="2:12" x14ac:dyDescent="0.25">
      <c r="B75" s="373"/>
    </row>
    <row r="76" spans="2:12" x14ac:dyDescent="0.25">
      <c r="B76" s="373"/>
      <c r="D76" s="411"/>
    </row>
    <row r="77" spans="2:12" x14ac:dyDescent="0.25">
      <c r="B77" s="373"/>
    </row>
    <row r="78" spans="2:12" x14ac:dyDescent="0.25">
      <c r="C78" s="80"/>
      <c r="D78" s="80"/>
      <c r="E78" s="80"/>
    </row>
    <row r="79" spans="2:12" x14ac:dyDescent="0.25">
      <c r="C79" s="80"/>
      <c r="D79" s="80"/>
      <c r="E79" s="80"/>
    </row>
    <row r="80" spans="2:12" x14ac:dyDescent="0.25">
      <c r="C80" s="80"/>
      <c r="D80" s="80"/>
      <c r="E80" s="80"/>
    </row>
  </sheetData>
  <sheetProtection algorithmName="SHA-512" hashValue="P2exWV/KrRP9m/m1R7xZnjY1XLJsPHIFSOP9zIBnsh0pt7HvEC9jo7uko3oYenvT7aMTS7mdZRfuG6XqKYOfkg==" saltValue="mNOPGrDnpT4kqIuvCfWAzA==" spinCount="100000" sheet="1" objects="1" scenarios="1"/>
  <mergeCells count="8">
    <mergeCell ref="C48:E48"/>
    <mergeCell ref="B2:E2"/>
    <mergeCell ref="D6:E6"/>
    <mergeCell ref="F71:I71"/>
    <mergeCell ref="C43:E43"/>
    <mergeCell ref="H6:L7"/>
    <mergeCell ref="C18:E18"/>
    <mergeCell ref="C22:E22"/>
  </mergeCells>
  <phoneticPr fontId="58" type="noConversion"/>
  <conditionalFormatting sqref="B50 E50">
    <cfRule type="expression" dxfId="73" priority="24" stopIfTrue="1">
      <formula>$O$48=1</formula>
    </cfRule>
    <cfRule type="expression" dxfId="72" priority="25" stopIfTrue="1">
      <formula>$O$49=1</formula>
    </cfRule>
  </conditionalFormatting>
  <conditionalFormatting sqref="B52:B53 D52:F53">
    <cfRule type="expression" dxfId="71" priority="30" stopIfTrue="1">
      <formula>$O$47=1</formula>
    </cfRule>
    <cfRule type="expression" dxfId="70" priority="31" stopIfTrue="1">
      <formula>$O$49=0</formula>
    </cfRule>
  </conditionalFormatting>
  <conditionalFormatting sqref="B19:C19 E19 B44:C44 E44">
    <cfRule type="expression" dxfId="69" priority="6" stopIfTrue="1">
      <formula>$O$14=1</formula>
    </cfRule>
    <cfRule type="expression" dxfId="68" priority="7" stopIfTrue="1">
      <formula>$O$13=1</formula>
    </cfRule>
  </conditionalFormatting>
  <conditionalFormatting sqref="B24:C24 E24 C50">
    <cfRule type="expression" dxfId="67" priority="14" stopIfTrue="1">
      <formula>$O$21=1</formula>
    </cfRule>
    <cfRule type="expression" dxfId="66" priority="15" stopIfTrue="1">
      <formula>$O$22=1</formula>
    </cfRule>
  </conditionalFormatting>
  <conditionalFormatting sqref="B26:F27 C52:C53">
    <cfRule type="expression" dxfId="65" priority="18" stopIfTrue="1">
      <formula>$O$20=1</formula>
    </cfRule>
    <cfRule type="expression" dxfId="64" priority="19" stopIfTrue="1">
      <formula>$H$7=1</formula>
    </cfRule>
  </conditionalFormatting>
  <conditionalFormatting sqref="C78:E80">
    <cfRule type="expression" dxfId="63" priority="1" stopIfTrue="1">
      <formula>#REF!="User specified value for partition coefficient"</formula>
    </cfRule>
    <cfRule type="expression" dxfId="62" priority="2" stopIfTrue="1">
      <formula>#REF!="Calculate for non-polar organic chemicals"</formula>
    </cfRule>
  </conditionalFormatting>
  <conditionalFormatting sqref="D19 D44">
    <cfRule type="expression" dxfId="61" priority="4" stopIfTrue="1">
      <formula>$O$14=1</formula>
    </cfRule>
    <cfRule type="expression" dxfId="60" priority="5" stopIfTrue="1">
      <formula>$O$13=1</formula>
    </cfRule>
  </conditionalFormatting>
  <conditionalFormatting sqref="D24">
    <cfRule type="expression" dxfId="59" priority="12" stopIfTrue="1">
      <formula>$O$21=1</formula>
    </cfRule>
    <cfRule type="expression" dxfId="58" priority="13" stopIfTrue="1">
      <formula>$O$22=1</formula>
    </cfRule>
  </conditionalFormatting>
  <conditionalFormatting sqref="D46">
    <cfRule type="expression" dxfId="57" priority="3" stopIfTrue="1">
      <formula>$J$73=1</formula>
    </cfRule>
  </conditionalFormatting>
  <conditionalFormatting sqref="D50">
    <cfRule type="expression" dxfId="56" priority="26" stopIfTrue="1">
      <formula>$O$48=1</formula>
    </cfRule>
    <cfRule type="expression" dxfId="55" priority="27" stopIfTrue="1">
      <formula>$O$49=1</formula>
    </cfRule>
  </conditionalFormatting>
  <conditionalFormatting sqref="F19 F44">
    <cfRule type="expression" dxfId="54" priority="8" stopIfTrue="1">
      <formula>$O$14=1</formula>
    </cfRule>
    <cfRule type="expression" dxfId="53" priority="9" stopIfTrue="1">
      <formula>$O$13=1</formula>
    </cfRule>
  </conditionalFormatting>
  <conditionalFormatting sqref="F24">
    <cfRule type="expression" dxfId="52" priority="16" stopIfTrue="1">
      <formula>$O$21=1</formula>
    </cfRule>
    <cfRule type="expression" dxfId="51" priority="17" stopIfTrue="1">
      <formula>$O$22=1</formula>
    </cfRule>
  </conditionalFormatting>
  <conditionalFormatting sqref="F50">
    <cfRule type="expression" dxfId="50" priority="28" stopIfTrue="1">
      <formula>$O$48=1</formula>
    </cfRule>
    <cfRule type="expression" dxfId="49" priority="29" stopIfTrue="1">
      <formula>$O$49=1</formula>
    </cfRule>
  </conditionalFormatting>
  <conditionalFormatting sqref="G19 G44">
    <cfRule type="expression" dxfId="48" priority="10" stopIfTrue="1">
      <formula>$O$14=1</formula>
    </cfRule>
    <cfRule type="expression" dxfId="47" priority="11" stopIfTrue="1">
      <formula>$O$13=1</formula>
    </cfRule>
  </conditionalFormatting>
  <conditionalFormatting sqref="G24 G50">
    <cfRule type="expression" dxfId="46" priority="20" stopIfTrue="1">
      <formula>$O$21=1</formula>
    </cfRule>
    <cfRule type="expression" dxfId="45" priority="21" stopIfTrue="1">
      <formula>$O$22=1</formula>
    </cfRule>
  </conditionalFormatting>
  <conditionalFormatting sqref="G26:G27 G52:G53">
    <cfRule type="expression" dxfId="44" priority="22" stopIfTrue="1">
      <formula>$O$20=1</formula>
    </cfRule>
    <cfRule type="expression" dxfId="43" priority="23" stopIfTrue="1">
      <formula>$H$7=1</formula>
    </cfRule>
  </conditionalFormatting>
  <dataValidations count="6">
    <dataValidation type="list" allowBlank="1" showInputMessage="1" showErrorMessage="1" sqref="C48:D48 C22:D22" xr:uid="{00000000-0002-0000-0300-000000000000}">
      <formula1>$P$21:$P$22</formula1>
    </dataValidation>
    <dataValidation type="decimal" operator="lessThan" allowBlank="1" showInputMessage="1" showErrorMessage="1" errorTitle="Foc must be less than 1" error="Fraction of organic carbon, foc, must be less than 1. Typically it will be less than 1% of the rock mass (i.e. 0.01)" promptTitle="Enter foc as a fraction" sqref="D52 D26" xr:uid="{00000000-0002-0000-0300-000001000000}">
      <formula1>1</formula1>
    </dataValidation>
    <dataValidation type="decimal" operator="lessThan" allowBlank="1" showInputMessage="1" showErrorMessage="1" errorTitle="Porosity as a fraction" error="Air filled porosity must be entered as a fraction between 0 and 1." sqref="D15 D40" xr:uid="{00000000-0002-0000-0300-000002000000}">
      <formula1>1</formula1>
    </dataValidation>
    <dataValidation type="list" allowBlank="1" showInputMessage="1" showErrorMessage="1" sqref="C43:E43 C18:E18" xr:uid="{00000000-0002-0000-0300-000003000000}">
      <formula1>$P$13:$P$15</formula1>
    </dataValidation>
    <dataValidation type="decimal" operator="greaterThanOrEqual" allowBlank="1" showInputMessage="1" showErrorMessage="1" errorTitle="Invalid Value Entered" error="Please enter any number greater than or equal to zero" sqref="D16 D44 D14 D39 D27 D24 D50 D53 D41 D19" xr:uid="{00000000-0002-0000-0300-000004000000}">
      <formula1>0</formula1>
    </dataValidation>
    <dataValidation type="decimal" operator="lessThan" allowBlank="1" showInputMessage="1" showErrorMessage="1" errorTitle="Value must be less than 1" error="Percent flow through unsaturated zone must be entered as a fraction between 0 and 1." sqref="D46" xr:uid="{00000000-0002-0000-0300-000005000000}">
      <formula1>1</formula1>
    </dataValidation>
  </dataValidations>
  <pageMargins left="0.74803149606299213" right="0.74803149606299213" top="0.98425196850393704" bottom="0.98425196850393704" header="0.51181102362204722" footer="0.51181102362204722"/>
  <pageSetup paperSize="9" scale="36" firstPageNumber="20" orientation="landscape" useFirstPageNumber="1" horizontalDpi="300" verticalDpi="300" r:id="rId1"/>
  <headerFooter alignWithMargins="0">
    <oddFooter xml:space="preserve">&amp;LInfiltration Worksheet v1.2
&amp;R&amp;D, &amp;T
&amp;F&amp;A </oddFooter>
  </headerFooter>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3">
    <pageSetUpPr fitToPage="1"/>
  </sheetPr>
  <dimension ref="A1:R107"/>
  <sheetViews>
    <sheetView topLeftCell="A4" workbookViewId="0">
      <selection activeCell="L22" sqref="L22"/>
    </sheetView>
  </sheetViews>
  <sheetFormatPr defaultColWidth="9.109375" defaultRowHeight="13.2" x14ac:dyDescent="0.25"/>
  <cols>
    <col min="1" max="1" width="2.6640625" customWidth="1"/>
    <col min="2" max="2" width="67.88671875" customWidth="1"/>
    <col min="3" max="3" width="11" style="2" customWidth="1"/>
    <col min="4" max="4" width="17.5546875" style="2" customWidth="1"/>
    <col min="5" max="5" width="9.33203125" style="2" bestFit="1" customWidth="1"/>
    <col min="6" max="6" width="25.109375" style="13" customWidth="1"/>
    <col min="7" max="7" width="3.5546875" customWidth="1"/>
    <col min="8" max="8" width="17.33203125" customWidth="1"/>
    <col min="9" max="9" width="17.88671875" customWidth="1"/>
    <col min="11" max="11" width="9.44140625" bestFit="1" customWidth="1"/>
    <col min="15" max="15" width="4.44140625" customWidth="1"/>
    <col min="17" max="19" width="0" hidden="1" customWidth="1"/>
  </cols>
  <sheetData>
    <row r="1" spans="1:13" ht="13.5" customHeight="1" x14ac:dyDescent="0.25">
      <c r="A1" t="s">
        <v>62</v>
      </c>
    </row>
    <row r="2" spans="1:13" ht="17.399999999999999" x14ac:dyDescent="0.3">
      <c r="B2" s="446" t="s">
        <v>396</v>
      </c>
      <c r="C2" s="446"/>
      <c r="D2" s="432"/>
      <c r="E2" s="432"/>
      <c r="F2"/>
    </row>
    <row r="4" spans="1:13" ht="21" x14ac:dyDescent="0.4">
      <c r="B4" s="61" t="s">
        <v>173</v>
      </c>
    </row>
    <row r="5" spans="1:13" ht="15" customHeight="1" x14ac:dyDescent="0.25"/>
    <row r="6" spans="1:13" ht="15" customHeight="1" x14ac:dyDescent="0.25">
      <c r="B6" s="62" t="s">
        <v>176</v>
      </c>
      <c r="C6" s="11"/>
      <c r="D6" s="469" t="str">
        <f>Introduction!B32</f>
        <v>Ammonia (N)</v>
      </c>
      <c r="E6" s="470"/>
      <c r="F6" t="s">
        <v>254</v>
      </c>
      <c r="H6" s="471" t="s">
        <v>267</v>
      </c>
      <c r="I6" s="471"/>
      <c r="J6" s="471"/>
      <c r="K6" s="471"/>
      <c r="L6" s="471"/>
      <c r="M6" s="471"/>
    </row>
    <row r="7" spans="1:13" ht="15" customHeight="1" x14ac:dyDescent="0.25">
      <c r="B7" s="47" t="s">
        <v>345</v>
      </c>
      <c r="C7" s="15" t="s">
        <v>63</v>
      </c>
      <c r="D7" s="303">
        <f>Introduction!B33</f>
        <v>0.5</v>
      </c>
      <c r="E7" s="6" t="s">
        <v>18</v>
      </c>
      <c r="F7" t="s">
        <v>254</v>
      </c>
      <c r="H7" s="471"/>
      <c r="I7" s="471"/>
      <c r="J7" s="471"/>
      <c r="K7" s="471"/>
      <c r="L7" s="471"/>
      <c r="M7" s="471"/>
    </row>
    <row r="8" spans="1:13" ht="15" customHeight="1" x14ac:dyDescent="0.35">
      <c r="B8" s="62" t="s">
        <v>211</v>
      </c>
      <c r="C8" s="127" t="s">
        <v>263</v>
      </c>
      <c r="D8" s="167">
        <f>'Infiltration System'!$D$11</f>
        <v>20</v>
      </c>
      <c r="E8" s="6" t="s">
        <v>18</v>
      </c>
      <c r="F8" t="s">
        <v>239</v>
      </c>
      <c r="H8" s="471"/>
      <c r="I8" s="471"/>
      <c r="J8" s="471"/>
      <c r="K8" s="471"/>
      <c r="L8" s="471"/>
      <c r="M8" s="471"/>
    </row>
    <row r="9" spans="1:13" ht="15" customHeight="1" x14ac:dyDescent="0.25">
      <c r="B9" s="62" t="str">
        <f>Attenuation_unsatzone!B68</f>
        <v>Concentration at base of drainage layer</v>
      </c>
      <c r="C9" s="15" t="s">
        <v>262</v>
      </c>
      <c r="D9" s="167">
        <f>Attenuation_unsatzone!D69</f>
        <v>19.888312471082994</v>
      </c>
      <c r="E9" s="6" t="s">
        <v>18</v>
      </c>
      <c r="F9" t="s">
        <v>240</v>
      </c>
      <c r="H9" s="471"/>
      <c r="I9" s="471"/>
      <c r="J9" s="471"/>
      <c r="K9" s="471"/>
      <c r="L9" s="471"/>
      <c r="M9" s="471"/>
    </row>
    <row r="10" spans="1:13" ht="15.6" x14ac:dyDescent="0.3">
      <c r="B10" s="81"/>
      <c r="H10" s="471"/>
      <c r="I10" s="471"/>
      <c r="J10" s="471"/>
      <c r="K10" s="471"/>
      <c r="L10" s="471"/>
      <c r="M10" s="471"/>
    </row>
    <row r="11" spans="1:13" ht="15.6" x14ac:dyDescent="0.3">
      <c r="B11" s="25" t="s">
        <v>3</v>
      </c>
      <c r="C11" s="6" t="s">
        <v>30</v>
      </c>
      <c r="D11" s="6" t="s">
        <v>7</v>
      </c>
      <c r="E11" s="6" t="s">
        <v>6</v>
      </c>
      <c r="F11" s="23" t="s">
        <v>66</v>
      </c>
      <c r="H11" s="64"/>
      <c r="I11" s="65"/>
      <c r="K11" s="26"/>
    </row>
    <row r="12" spans="1:13" ht="15" customHeight="1" x14ac:dyDescent="0.25">
      <c r="B12" s="66" t="s">
        <v>65</v>
      </c>
      <c r="C12" s="6"/>
      <c r="D12" s="39"/>
      <c r="E12" s="6"/>
      <c r="F12" s="23"/>
      <c r="H12" s="64"/>
      <c r="I12" s="65"/>
    </row>
    <row r="13" spans="1:13" ht="15" customHeight="1" x14ac:dyDescent="0.25">
      <c r="B13" s="1" t="s">
        <v>55</v>
      </c>
      <c r="C13" s="67" t="s">
        <v>50</v>
      </c>
      <c r="D13" s="103">
        <f>'Infiltration System'!$D$27</f>
        <v>0.15</v>
      </c>
      <c r="E13" s="2" t="s">
        <v>21</v>
      </c>
      <c r="F13" t="s">
        <v>239</v>
      </c>
      <c r="I13" s="65"/>
    </row>
    <row r="14" spans="1:13" ht="15" customHeight="1" x14ac:dyDescent="0.25">
      <c r="B14" s="1" t="s">
        <v>174</v>
      </c>
      <c r="C14" s="67" t="s">
        <v>52</v>
      </c>
      <c r="D14" s="103">
        <f>IF('Infiltration System'!$O$25=1,'Infiltration System'!$D$26,'Infiltration System'!$D$25)</f>
        <v>25</v>
      </c>
      <c r="E14" s="2" t="s">
        <v>136</v>
      </c>
      <c r="F14" t="s">
        <v>239</v>
      </c>
      <c r="H14" s="87"/>
      <c r="I14" s="92"/>
    </row>
    <row r="15" spans="1:13" ht="15" customHeight="1" x14ac:dyDescent="0.25">
      <c r="C15" s="3"/>
      <c r="G15" s="64"/>
      <c r="H15" s="64"/>
      <c r="I15" s="92"/>
    </row>
    <row r="16" spans="1:13" ht="15" customHeight="1" x14ac:dyDescent="0.25">
      <c r="B16" s="66" t="s">
        <v>64</v>
      </c>
      <c r="F16" s="68"/>
      <c r="H16" s="64"/>
      <c r="I16" s="92"/>
    </row>
    <row r="17" spans="1:18" ht="15" customHeight="1" x14ac:dyDescent="0.25">
      <c r="B17" s="1" t="s">
        <v>260</v>
      </c>
      <c r="C17" s="67" t="s">
        <v>48</v>
      </c>
      <c r="D17" s="414">
        <v>25</v>
      </c>
      <c r="E17" s="2" t="s">
        <v>22</v>
      </c>
      <c r="F17" s="465" t="s">
        <v>423</v>
      </c>
      <c r="G17" s="466"/>
      <c r="H17" s="467"/>
      <c r="I17" s="92"/>
      <c r="J17" s="78">
        <f>IF($D$23=K17,1,0)</f>
        <v>1</v>
      </c>
      <c r="K17" s="78" t="s">
        <v>154</v>
      </c>
    </row>
    <row r="18" spans="1:18" ht="15" customHeight="1" x14ac:dyDescent="0.25">
      <c r="B18" s="1" t="s">
        <v>89</v>
      </c>
      <c r="C18" s="67" t="s">
        <v>49</v>
      </c>
      <c r="D18" s="414">
        <v>40</v>
      </c>
      <c r="E18" s="2" t="s">
        <v>22</v>
      </c>
      <c r="F18" s="465" t="s">
        <v>415</v>
      </c>
      <c r="G18" s="466"/>
      <c r="H18" s="467"/>
      <c r="I18" s="93"/>
      <c r="J18" s="69"/>
      <c r="K18" s="26"/>
    </row>
    <row r="19" spans="1:18" ht="15" customHeight="1" x14ac:dyDescent="0.25">
      <c r="B19" s="1" t="s">
        <v>151</v>
      </c>
      <c r="C19" s="67" t="s">
        <v>108</v>
      </c>
      <c r="D19" s="414">
        <v>1.28</v>
      </c>
      <c r="E19" s="2" t="s">
        <v>21</v>
      </c>
      <c r="F19" s="465" t="s">
        <v>415</v>
      </c>
      <c r="G19" s="466"/>
      <c r="H19" s="467"/>
      <c r="I19" s="94"/>
      <c r="J19" s="26"/>
      <c r="K19" s="26"/>
    </row>
    <row r="20" spans="1:18" ht="15" customHeight="1" x14ac:dyDescent="0.25">
      <c r="B20" s="1" t="s">
        <v>152</v>
      </c>
      <c r="C20" s="67" t="s">
        <v>35</v>
      </c>
      <c r="D20" s="414">
        <v>9.2999999999999999E-2</v>
      </c>
      <c r="E20" s="2" t="s">
        <v>56</v>
      </c>
      <c r="F20" s="465" t="s">
        <v>416</v>
      </c>
      <c r="G20" s="466"/>
      <c r="H20" s="467"/>
      <c r="I20" s="94"/>
      <c r="J20" s="26"/>
      <c r="K20" s="26"/>
      <c r="R20" s="41"/>
    </row>
    <row r="21" spans="1:18" ht="15" customHeight="1" x14ac:dyDescent="0.25">
      <c r="B21" s="19" t="s">
        <v>175</v>
      </c>
      <c r="C21" s="67" t="s">
        <v>54</v>
      </c>
      <c r="D21" s="414">
        <v>1</v>
      </c>
      <c r="E21" s="2" t="s">
        <v>22</v>
      </c>
      <c r="F21" s="465" t="s">
        <v>425</v>
      </c>
      <c r="G21" s="466"/>
      <c r="H21" s="467"/>
      <c r="I21" s="92"/>
      <c r="J21" s="26"/>
      <c r="K21" s="26"/>
      <c r="Q21" s="41" t="s">
        <v>264</v>
      </c>
    </row>
    <row r="22" spans="1:18" ht="15" customHeight="1" x14ac:dyDescent="0.25">
      <c r="B22" s="19" t="s">
        <v>261</v>
      </c>
      <c r="C22" s="67" t="s">
        <v>53</v>
      </c>
      <c r="D22" s="414">
        <v>0</v>
      </c>
      <c r="E22" s="2" t="s">
        <v>18</v>
      </c>
      <c r="F22" s="465" t="s">
        <v>412</v>
      </c>
      <c r="G22" s="466" t="str">
        <f>IF(D22&gt;D$7,"Note - background concentration exceeds target concentration",CHAR(32))</f>
        <v xml:space="preserve"> </v>
      </c>
      <c r="H22" s="467"/>
      <c r="I22" s="26"/>
      <c r="J22" s="26"/>
      <c r="K22" s="26"/>
    </row>
    <row r="23" spans="1:18" ht="20.25" customHeight="1" x14ac:dyDescent="0.3">
      <c r="A23" s="445" t="s">
        <v>158</v>
      </c>
      <c r="B23" s="445"/>
      <c r="C23" s="67"/>
      <c r="D23" s="82" t="s">
        <v>154</v>
      </c>
      <c r="F23" s="465"/>
      <c r="G23" s="466" t="str">
        <f>IF(D22&gt;D$7,"This will give a negative dilution factor for this calculation",CHAR(32))</f>
        <v xml:space="preserve"> </v>
      </c>
      <c r="H23" s="468"/>
      <c r="I23" s="26"/>
      <c r="J23" s="26"/>
      <c r="K23" s="26"/>
      <c r="Q23" s="128">
        <f>IF($D$23=R23,1,0)</f>
        <v>0</v>
      </c>
      <c r="R23" s="128" t="s">
        <v>155</v>
      </c>
    </row>
    <row r="24" spans="1:18" ht="15" customHeight="1" x14ac:dyDescent="0.3">
      <c r="B24" s="381" t="s">
        <v>166</v>
      </c>
      <c r="C24" s="267" t="s">
        <v>47</v>
      </c>
      <c r="D24" s="34">
        <v>5</v>
      </c>
      <c r="E24" s="268" t="s">
        <v>22</v>
      </c>
      <c r="F24" s="270"/>
      <c r="G24" s="70"/>
      <c r="H24" s="275" t="s">
        <v>297</v>
      </c>
      <c r="I24" s="26"/>
      <c r="J24" s="26"/>
      <c r="K24" s="26"/>
      <c r="Q24" s="128">
        <f>IF($D$23=R24,1,0)</f>
        <v>1</v>
      </c>
      <c r="R24" s="128" t="s">
        <v>154</v>
      </c>
    </row>
    <row r="25" spans="1:18" ht="15" customHeight="1" x14ac:dyDescent="0.25">
      <c r="B25" s="271" t="s">
        <v>167</v>
      </c>
      <c r="C25" s="272" t="s">
        <v>47</v>
      </c>
      <c r="D25" s="141">
        <f>IF((0.0112*D17^2)^0.5+D18*(1-EXP((-D17*D13)/(D19*D20*D18)))&gt;D18,D18,(0.0112*D17^2)^0.5+D18*(1-EXP(-D17*D13/(D19*D20*D18))))</f>
        <v>24.44743551927446</v>
      </c>
      <c r="E25" s="273" t="s">
        <v>22</v>
      </c>
      <c r="F25" s="274"/>
      <c r="H25" s="276" t="s">
        <v>298</v>
      </c>
      <c r="I25" s="26"/>
      <c r="J25" s="26"/>
      <c r="K25" s="26"/>
    </row>
    <row r="26" spans="1:18" ht="15" customHeight="1" x14ac:dyDescent="0.25">
      <c r="B26" s="1"/>
      <c r="C26" s="3"/>
      <c r="D26" s="63" t="str">
        <f>IF(B102=D14,"",B101)</f>
        <v/>
      </c>
      <c r="F26" s="14"/>
      <c r="H26" s="26"/>
      <c r="I26" s="26"/>
      <c r="J26" s="26"/>
      <c r="K26" s="26"/>
    </row>
    <row r="27" spans="1:18" ht="15" customHeight="1" x14ac:dyDescent="0.25">
      <c r="B27" s="1" t="s">
        <v>305</v>
      </c>
      <c r="C27" s="3" t="s">
        <v>289</v>
      </c>
      <c r="D27" s="144">
        <f>IF(Q23=1,D19*D20*D21*D24,D19*D20*D21*D25)</f>
        <v>2.9102227242144321</v>
      </c>
      <c r="E27" s="2" t="s">
        <v>290</v>
      </c>
      <c r="F27" s="14"/>
      <c r="H27" s="26"/>
      <c r="I27" s="26"/>
      <c r="J27" s="26"/>
      <c r="K27" s="26"/>
    </row>
    <row r="28" spans="1:18" ht="14.25" customHeight="1" x14ac:dyDescent="0.3">
      <c r="B28" s="25"/>
      <c r="C28" s="6" t="s">
        <v>62</v>
      </c>
      <c r="D28" s="143"/>
      <c r="F28" s="27"/>
    </row>
    <row r="29" spans="1:18" ht="15.6" x14ac:dyDescent="0.25">
      <c r="B29" s="91" t="s">
        <v>271</v>
      </c>
      <c r="F29" s="27"/>
    </row>
    <row r="30" spans="1:18" ht="13.8" x14ac:dyDescent="0.25">
      <c r="B30" s="422" t="s">
        <v>58</v>
      </c>
      <c r="C30" s="73" t="s">
        <v>5</v>
      </c>
      <c r="D30" s="420">
        <f>1+(D27/(D13*D14))</f>
        <v>1.7760593931238486</v>
      </c>
      <c r="E30" s="74"/>
      <c r="F30" s="23"/>
      <c r="G30" s="13"/>
      <c r="I30" s="280" t="s">
        <v>88</v>
      </c>
      <c r="J30" s="281"/>
      <c r="K30" s="282" t="str">
        <f>Introduction!$B$26</f>
        <v>Hendre Farmhouse</v>
      </c>
      <c r="L30" s="280"/>
      <c r="M30" s="281"/>
      <c r="N30" s="283"/>
    </row>
    <row r="31" spans="1:18" ht="13.8" x14ac:dyDescent="0.25">
      <c r="B31" s="423" t="s">
        <v>402</v>
      </c>
      <c r="C31" s="85" t="s">
        <v>403</v>
      </c>
      <c r="D31" s="424">
        <f>((D27+D13*D14)*D7-D27*D22)/(D13*D14*D7)</f>
        <v>1.7760593931238484</v>
      </c>
      <c r="E31" s="421"/>
      <c r="F31" s="23"/>
      <c r="G31" s="13"/>
      <c r="I31" s="284" t="s">
        <v>86</v>
      </c>
      <c r="J31" s="285"/>
      <c r="K31" s="286" t="str">
        <f>Introduction!B29</f>
        <v>Will Owens</v>
      </c>
      <c r="L31" s="285"/>
      <c r="M31" s="285"/>
      <c r="N31" s="287"/>
    </row>
    <row r="32" spans="1:18" ht="13.8" x14ac:dyDescent="0.25">
      <c r="B32" s="115" t="s">
        <v>202</v>
      </c>
      <c r="C32" s="121" t="s">
        <v>218</v>
      </c>
      <c r="D32" s="116">
        <f>Attenuation_unsatzone!$D$67</f>
        <v>1.004470701341623</v>
      </c>
      <c r="E32" s="122"/>
      <c r="F32" t="s">
        <v>239</v>
      </c>
      <c r="I32" s="284" t="s">
        <v>87</v>
      </c>
      <c r="J32" s="285"/>
      <c r="K32" s="288">
        <f>Introduction!B30</f>
        <v>45685</v>
      </c>
      <c r="L32" s="285"/>
      <c r="M32" s="285"/>
      <c r="N32" s="287"/>
    </row>
    <row r="33" spans="2:14" ht="16.2" x14ac:dyDescent="0.35">
      <c r="B33" s="113" t="s">
        <v>203</v>
      </c>
      <c r="C33" s="117" t="s">
        <v>280</v>
      </c>
      <c r="D33" s="77">
        <f>((D9*D13*D14)+(D27*D22))/(D13*D14+D27)</f>
        <v>11.197999654787523</v>
      </c>
      <c r="E33" s="118" t="s">
        <v>18</v>
      </c>
      <c r="F33" s="84" t="str">
        <f>IF(D33&lt;D7,"below compliance value","")</f>
        <v/>
      </c>
      <c r="G33" s="23"/>
      <c r="H33" s="23"/>
      <c r="I33" s="289" t="s">
        <v>96</v>
      </c>
      <c r="J33" s="290"/>
      <c r="K33" s="291">
        <f>Introduction!E30</f>
        <v>1</v>
      </c>
      <c r="L33" s="290"/>
      <c r="M33" s="290"/>
      <c r="N33" s="292"/>
    </row>
    <row r="34" spans="2:14" ht="13.8" x14ac:dyDescent="0.25">
      <c r="B34" s="113"/>
      <c r="C34" s="85"/>
      <c r="D34" s="114" t="s">
        <v>90</v>
      </c>
      <c r="E34" s="119"/>
      <c r="F34" s="23"/>
      <c r="G34" s="11"/>
      <c r="H34" s="11"/>
      <c r="I34" s="419"/>
      <c r="J34" s="86"/>
      <c r="K34" s="86"/>
      <c r="L34" s="86"/>
      <c r="M34" s="86"/>
      <c r="N34" s="11"/>
    </row>
    <row r="35" spans="2:14" ht="14.25" customHeight="1" x14ac:dyDescent="0.35">
      <c r="B35" s="406" t="s">
        <v>404</v>
      </c>
      <c r="C35" s="126" t="s">
        <v>406</v>
      </c>
      <c r="D35" s="126">
        <f>D31*Attenuation_unsatzone!$D$71</f>
        <v>0.89301663763890737</v>
      </c>
      <c r="E35" s="120" t="s">
        <v>18</v>
      </c>
      <c r="F35" s="418" t="str">
        <f>IF(D35&gt;D8,"Discharge limit for discussion with Environment Agency","")</f>
        <v/>
      </c>
      <c r="G35" s="419"/>
      <c r="H35" s="419"/>
      <c r="I35" s="106"/>
      <c r="J35" s="86"/>
      <c r="K35" s="86"/>
      <c r="L35" s="86"/>
      <c r="M35" s="86"/>
      <c r="N35" s="11"/>
    </row>
    <row r="36" spans="2:14" x14ac:dyDescent="0.25">
      <c r="B36" s="1"/>
      <c r="F36" s="348"/>
      <c r="G36" s="106"/>
      <c r="H36" s="106"/>
    </row>
    <row r="37" spans="2:14" ht="15.6" x14ac:dyDescent="0.3">
      <c r="B37" s="112" t="str">
        <f>IF(D33&gt;D7, "Concentration immediately downgradient of drainage field exceeds target concentration","Concentration immediately downgradient of drainage field below target concentration")</f>
        <v>Concentration immediately downgradient of drainage field exceeds target concentration</v>
      </c>
      <c r="C37"/>
      <c r="D37"/>
      <c r="E37"/>
      <c r="F37"/>
    </row>
    <row r="38" spans="2:14" x14ac:dyDescent="0.25">
      <c r="C38"/>
      <c r="D38"/>
      <c r="E38"/>
      <c r="F38"/>
    </row>
    <row r="39" spans="2:14" x14ac:dyDescent="0.25">
      <c r="C39"/>
      <c r="D39"/>
      <c r="E39"/>
      <c r="F39"/>
    </row>
    <row r="40" spans="2:14" x14ac:dyDescent="0.25">
      <c r="C40"/>
      <c r="D40"/>
      <c r="E40"/>
      <c r="F40"/>
    </row>
    <row r="41" spans="2:14" x14ac:dyDescent="0.25">
      <c r="C41"/>
      <c r="D41"/>
      <c r="E41"/>
      <c r="F41"/>
    </row>
    <row r="42" spans="2:14" x14ac:dyDescent="0.25">
      <c r="C42"/>
      <c r="D42"/>
      <c r="E42"/>
      <c r="F42"/>
    </row>
    <row r="43" spans="2:14" x14ac:dyDescent="0.25">
      <c r="C43"/>
      <c r="D43"/>
      <c r="E43"/>
      <c r="F43"/>
    </row>
    <row r="44" spans="2:14" x14ac:dyDescent="0.25">
      <c r="C44"/>
      <c r="D44"/>
      <c r="E44"/>
      <c r="F44"/>
    </row>
    <row r="100" spans="2:2" ht="15" hidden="1" customHeight="1" x14ac:dyDescent="0.25"/>
    <row r="101" spans="2:2" hidden="1" x14ac:dyDescent="0.25">
      <c r="B101" t="str">
        <f>B103&amp;B102&amp;B104&amp;D14&amp;B105</f>
        <v>w * L ( 25 ) does not equal area (A) of drainage field ( 25 ) - check parameters used (this may be OK if drainage field at angle to flow direction)</v>
      </c>
    </row>
    <row r="102" spans="2:2" hidden="1" x14ac:dyDescent="0.25">
      <c r="B102" s="87">
        <f>D21*D17</f>
        <v>25</v>
      </c>
    </row>
    <row r="103" spans="2:2" hidden="1" x14ac:dyDescent="0.25">
      <c r="B103" t="s">
        <v>389</v>
      </c>
    </row>
    <row r="104" spans="2:2" hidden="1" x14ac:dyDescent="0.25">
      <c r="B104" t="s">
        <v>391</v>
      </c>
    </row>
    <row r="105" spans="2:2" hidden="1" x14ac:dyDescent="0.25">
      <c r="B105" t="s">
        <v>390</v>
      </c>
    </row>
    <row r="106" spans="2:2" hidden="1" x14ac:dyDescent="0.25"/>
    <row r="107" spans="2:2" hidden="1" x14ac:dyDescent="0.25"/>
  </sheetData>
  <sheetProtection algorithmName="SHA-512" hashValue="XdnINeq5p5NH0rWrhgVNKlXxBNUcCl3VLI3LdXzE8r813VgtGJHjHi3+9XiLl1ZBVmDwf+XWUtQLJzvXVbRmJQ==" saltValue="T4+j5SMlKOsOkABcBLExOA==" spinCount="100000" sheet="1" objects="1" scenarios="1"/>
  <mergeCells count="11">
    <mergeCell ref="B2:E2"/>
    <mergeCell ref="A23:B23"/>
    <mergeCell ref="F21:H21"/>
    <mergeCell ref="F23:H23"/>
    <mergeCell ref="F22:H22"/>
    <mergeCell ref="D6:E6"/>
    <mergeCell ref="H6:M10"/>
    <mergeCell ref="F19:H19"/>
    <mergeCell ref="F20:H20"/>
    <mergeCell ref="F17:H17"/>
    <mergeCell ref="F18:H18"/>
  </mergeCells>
  <phoneticPr fontId="58" type="noConversion"/>
  <conditionalFormatting sqref="B24:F24">
    <cfRule type="expression" dxfId="42" priority="9" stopIfTrue="1">
      <formula>$J$15=1</formula>
    </cfRule>
    <cfRule type="expression" dxfId="41" priority="11" stopIfTrue="1">
      <formula>$Q$24=1</formula>
    </cfRule>
  </conditionalFormatting>
  <conditionalFormatting sqref="B24:F25">
    <cfRule type="expression" dxfId="40" priority="10" stopIfTrue="1">
      <formula>$J$14=1</formula>
    </cfRule>
  </conditionalFormatting>
  <conditionalFormatting sqref="B25:F25">
    <cfRule type="expression" dxfId="39" priority="16" stopIfTrue="1">
      <formula>$J$15=1</formula>
    </cfRule>
    <cfRule type="expression" dxfId="38" priority="17" stopIfTrue="1">
      <formula>$Q$24=0</formula>
    </cfRule>
  </conditionalFormatting>
  <conditionalFormatting sqref="D17:D22">
    <cfRule type="expression" dxfId="37" priority="1" stopIfTrue="1">
      <formula>$J$14=1</formula>
    </cfRule>
    <cfRule type="expression" dxfId="36" priority="2" stopIfTrue="1">
      <formula>$J$15=1</formula>
    </cfRule>
    <cfRule type="expression" dxfId="35" priority="5" stopIfTrue="1">
      <formula>$J$14=1</formula>
    </cfRule>
    <cfRule type="expression" dxfId="34" priority="6" stopIfTrue="1">
      <formula>$J$15=1</formula>
    </cfRule>
  </conditionalFormatting>
  <conditionalFormatting sqref="D26:D27">
    <cfRule type="expression" dxfId="33" priority="3" stopIfTrue="1">
      <formula>"$J$14=1"</formula>
    </cfRule>
    <cfRule type="expression" dxfId="32" priority="4" stopIfTrue="1">
      <formula>"J14=0"</formula>
    </cfRule>
  </conditionalFormatting>
  <conditionalFormatting sqref="H24">
    <cfRule type="expression" dxfId="31" priority="12" stopIfTrue="1">
      <formula>$J$15=1</formula>
    </cfRule>
    <cfRule type="expression" dxfId="30" priority="14" stopIfTrue="1">
      <formula>$Q$24=1</formula>
    </cfRule>
  </conditionalFormatting>
  <conditionalFormatting sqref="H24:H25">
    <cfRule type="expression" dxfId="29" priority="13" stopIfTrue="1">
      <formula>$J$14=1</formula>
    </cfRule>
  </conditionalFormatting>
  <conditionalFormatting sqref="H25">
    <cfRule type="expression" dxfId="28" priority="19" stopIfTrue="1">
      <formula>$J$15=1</formula>
    </cfRule>
    <cfRule type="expression" dxfId="27" priority="20" stopIfTrue="1">
      <formula>$Q$24=0</formula>
    </cfRule>
  </conditionalFormatting>
  <dataValidations count="5">
    <dataValidation type="decimal" operator="lessThan" allowBlank="1" showErrorMessage="1" errorTitle="Invalid Data Entered" error="Background concentration must be less than target concentration" sqref="D22" xr:uid="{00000000-0002-0000-0400-000000000000}">
      <formula1>D7</formula1>
    </dataValidation>
    <dataValidation type="list" allowBlank="1" showInputMessage="1" showErrorMessage="1" sqref="D23" xr:uid="{00000000-0002-0000-0400-000001000000}">
      <formula1>$R$23:$R$24</formula1>
    </dataValidation>
    <dataValidation type="decimal" operator="greaterThanOrEqual" allowBlank="1" showInputMessage="1" showErrorMessage="1" errorTitle="Invalid Value Entered" error="Please enter any number greater than or equal to zero" sqref="D17:D19" xr:uid="{00000000-0002-0000-0400-000002000000}">
      <formula1>0</formula1>
    </dataValidation>
    <dataValidation type="decimal" operator="greaterThanOrEqual" allowBlank="1" showInputMessage="1" showErrorMessage="1" errorTitle="Value must be a number" error="Please enter any number greater than or equal to zero" sqref="D21" xr:uid="{00000000-0002-0000-0400-000003000000}">
      <formula1>0</formula1>
    </dataValidation>
    <dataValidation type="decimal" operator="greaterThanOrEqual" allowBlank="1" showInputMessage="1" showErrorMessage="1" errorTitle="Invaid Value Entered" error="Please enter any number greater than or equal to zero" sqref="D24" xr:uid="{00000000-0002-0000-0400-000004000000}">
      <formula1>0</formula1>
    </dataValidation>
  </dataValidations>
  <pageMargins left="0.75" right="0.75" top="1" bottom="1" header="0.5" footer="0.5"/>
  <pageSetup paperSize="9" scale="61" orientation="landscape" verticalDpi="300" r:id="rId1"/>
  <headerFooter alignWithMargins="0">
    <oddFooter>&amp;LInfiltration Worksheet v1.2&amp;R&amp;D,&amp;T
&amp;F&amp;A</oddFooter>
  </headerFooter>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4">
    <pageSetUpPr fitToPage="1"/>
  </sheetPr>
  <dimension ref="A1:AE68"/>
  <sheetViews>
    <sheetView topLeftCell="A19" workbookViewId="0">
      <selection activeCell="H38" sqref="H38"/>
    </sheetView>
  </sheetViews>
  <sheetFormatPr defaultColWidth="9.109375" defaultRowHeight="13.2" x14ac:dyDescent="0.25"/>
  <cols>
    <col min="1" max="1" width="2.6640625" customWidth="1"/>
    <col min="2" max="2" width="56.6640625" bestFit="1" customWidth="1"/>
    <col min="3" max="3" width="11.88671875" style="2" customWidth="1"/>
    <col min="4" max="4" width="21.109375" style="2" customWidth="1"/>
    <col min="5" max="5" width="14.109375" style="2" customWidth="1"/>
    <col min="6" max="6" width="37.44140625" style="13" customWidth="1"/>
    <col min="7" max="7" width="2.5546875" style="13" customWidth="1"/>
    <col min="10" max="10" width="18.33203125" customWidth="1"/>
    <col min="11" max="11" width="11.5546875" customWidth="1"/>
    <col min="12" max="12" width="13.109375" customWidth="1"/>
    <col min="13" max="13" width="9.88671875" bestFit="1" customWidth="1"/>
    <col min="14" max="14" width="12.88671875" bestFit="1" customWidth="1"/>
    <col min="16" max="16" width="9.33203125" bestFit="1" customWidth="1"/>
    <col min="18" max="18" width="9.44140625" bestFit="1" customWidth="1"/>
    <col min="22" max="22" width="11.33203125" bestFit="1" customWidth="1"/>
    <col min="23" max="23" width="15" customWidth="1"/>
    <col min="24" max="24" width="22.33203125" customWidth="1"/>
    <col min="25" max="25" width="18.44140625" customWidth="1"/>
    <col min="26" max="26" width="5.6640625" customWidth="1"/>
    <col min="27" max="33" width="0" hidden="1" customWidth="1"/>
  </cols>
  <sheetData>
    <row r="1" spans="1:25" ht="19.5" customHeight="1" x14ac:dyDescent="0.3">
      <c r="B1" s="446" t="s">
        <v>396</v>
      </c>
      <c r="C1" s="446"/>
      <c r="D1" s="432"/>
      <c r="E1" s="432"/>
      <c r="F1"/>
      <c r="P1" s="78">
        <f>IF($H$6=AA24,1,0)</f>
        <v>1</v>
      </c>
    </row>
    <row r="2" spans="1:25" x14ac:dyDescent="0.25">
      <c r="H2" s="484" t="s">
        <v>273</v>
      </c>
      <c r="I2" s="485"/>
      <c r="J2" s="485"/>
      <c r="K2" s="485"/>
      <c r="L2" s="485"/>
      <c r="M2" s="432"/>
      <c r="P2" s="78">
        <f>IF($H$6=AA25,1,0)</f>
        <v>0</v>
      </c>
    </row>
    <row r="3" spans="1:25" ht="21" x14ac:dyDescent="0.4">
      <c r="B3" s="61" t="s">
        <v>178</v>
      </c>
      <c r="H3" s="485"/>
      <c r="I3" s="485"/>
      <c r="J3" s="485"/>
      <c r="K3" s="485"/>
      <c r="L3" s="485"/>
      <c r="M3" s="432"/>
      <c r="P3" s="78">
        <f>IF($H$6=Q3,1,0)</f>
        <v>0</v>
      </c>
      <c r="Q3" s="78"/>
    </row>
    <row r="4" spans="1:25" ht="21" x14ac:dyDescent="0.4">
      <c r="B4" s="61"/>
    </row>
    <row r="5" spans="1:25" ht="15.6" x14ac:dyDescent="0.3">
      <c r="B5" s="25" t="s">
        <v>3</v>
      </c>
      <c r="C5" s="6" t="s">
        <v>30</v>
      </c>
      <c r="D5" s="6" t="s">
        <v>7</v>
      </c>
      <c r="E5" s="6" t="s">
        <v>6</v>
      </c>
      <c r="F5" s="23" t="s">
        <v>8</v>
      </c>
      <c r="G5" s="23"/>
      <c r="H5" s="24" t="s">
        <v>159</v>
      </c>
    </row>
    <row r="6" spans="1:25" ht="13.8" x14ac:dyDescent="0.25">
      <c r="C6" s="3"/>
      <c r="H6" s="472" t="s">
        <v>153</v>
      </c>
      <c r="I6" s="473"/>
      <c r="J6" s="473"/>
      <c r="K6" s="474"/>
      <c r="L6" s="26"/>
      <c r="M6" s="26"/>
      <c r="W6" s="83" t="s">
        <v>269</v>
      </c>
    </row>
    <row r="7" spans="1:25" ht="13.8" x14ac:dyDescent="0.25">
      <c r="B7" s="62" t="s">
        <v>176</v>
      </c>
      <c r="C7" s="11"/>
      <c r="D7" s="476" t="str">
        <f>Introduction!B32</f>
        <v>Ammonia (N)</v>
      </c>
      <c r="E7" s="477"/>
      <c r="F7" t="s">
        <v>254</v>
      </c>
      <c r="G7"/>
      <c r="W7" s="83" t="s">
        <v>98</v>
      </c>
    </row>
    <row r="8" spans="1:25" ht="16.2" x14ac:dyDescent="0.25">
      <c r="B8" s="47" t="s">
        <v>345</v>
      </c>
      <c r="C8" s="15" t="s">
        <v>63</v>
      </c>
      <c r="D8" s="305">
        <f>Introduction!B33</f>
        <v>0.5</v>
      </c>
      <c r="E8" s="2" t="s">
        <v>18</v>
      </c>
      <c r="F8" t="s">
        <v>254</v>
      </c>
      <c r="G8"/>
      <c r="H8" s="168" t="s">
        <v>67</v>
      </c>
      <c r="J8" s="71"/>
      <c r="K8" s="169"/>
      <c r="L8" s="170"/>
      <c r="P8" s="26"/>
    </row>
    <row r="9" spans="1:25" ht="15.75" customHeight="1" x14ac:dyDescent="0.35">
      <c r="B9" s="62" t="s">
        <v>211</v>
      </c>
      <c r="C9" s="127" t="s">
        <v>263</v>
      </c>
      <c r="D9" s="306">
        <f>'Infiltration System'!$D$11</f>
        <v>20</v>
      </c>
      <c r="E9" s="16" t="s">
        <v>18</v>
      </c>
      <c r="F9" t="s">
        <v>239</v>
      </c>
      <c r="G9"/>
      <c r="H9" s="171" t="s">
        <v>60</v>
      </c>
      <c r="K9" s="7" t="s">
        <v>9</v>
      </c>
      <c r="L9" s="414">
        <v>1.25</v>
      </c>
      <c r="M9" s="2" t="s">
        <v>19</v>
      </c>
      <c r="P9" t="str">
        <f>CHAR(32)</f>
        <v xml:space="preserve"> </v>
      </c>
    </row>
    <row r="10" spans="1:25" ht="15.75" customHeight="1" x14ac:dyDescent="0.25">
      <c r="B10" s="62" t="s">
        <v>4</v>
      </c>
      <c r="C10" s="15" t="s">
        <v>5</v>
      </c>
      <c r="D10" s="172">
        <f>Dilution!$D$30</f>
        <v>1.7760593931238486</v>
      </c>
      <c r="F10" s="13" t="s">
        <v>234</v>
      </c>
      <c r="H10" s="168" t="s">
        <v>258</v>
      </c>
      <c r="K10" s="169"/>
      <c r="L10" s="173"/>
      <c r="M10" s="2"/>
    </row>
    <row r="11" spans="1:25" ht="14.25" customHeight="1" x14ac:dyDescent="0.25">
      <c r="B11" s="62" t="s">
        <v>202</v>
      </c>
      <c r="C11" s="15" t="s">
        <v>218</v>
      </c>
      <c r="D11" s="172">
        <f>Dilution!$D$32</f>
        <v>1.004470701341623</v>
      </c>
      <c r="F11" t="s">
        <v>240</v>
      </c>
      <c r="G11"/>
      <c r="H11" s="174" t="s">
        <v>94</v>
      </c>
      <c r="K11" s="175" t="s">
        <v>43</v>
      </c>
      <c r="L11" s="34">
        <v>0</v>
      </c>
      <c r="M11" s="2" t="s">
        <v>56</v>
      </c>
      <c r="W11" s="23"/>
      <c r="X11" s="11"/>
    </row>
    <row r="12" spans="1:25" x14ac:dyDescent="0.25">
      <c r="C12"/>
      <c r="D12"/>
      <c r="E12"/>
      <c r="F12"/>
      <c r="G12"/>
      <c r="H12" s="174" t="s">
        <v>44</v>
      </c>
      <c r="K12" s="175" t="s">
        <v>102</v>
      </c>
      <c r="L12" s="34">
        <v>0</v>
      </c>
      <c r="M12" s="2" t="s">
        <v>19</v>
      </c>
      <c r="W12" s="11" t="s">
        <v>74</v>
      </c>
      <c r="X12" s="11"/>
    </row>
    <row r="13" spans="1:25" ht="15" customHeight="1" x14ac:dyDescent="0.25">
      <c r="C13"/>
      <c r="D13"/>
      <c r="E13"/>
      <c r="F13"/>
      <c r="G13"/>
      <c r="H13" s="171" t="s">
        <v>60</v>
      </c>
      <c r="I13" s="26"/>
      <c r="K13" s="7" t="s">
        <v>9</v>
      </c>
      <c r="L13" s="176">
        <f>IF(P1=1,$L$9,L$12*$L$11)</f>
        <v>1.25</v>
      </c>
      <c r="M13" s="7" t="s">
        <v>19</v>
      </c>
      <c r="W13" s="127" t="s">
        <v>168</v>
      </c>
      <c r="X13" s="177" t="s">
        <v>245</v>
      </c>
      <c r="Y13" s="6" t="str">
        <f>IF(C15="Soil leachate concentration as mg/l","mg/l",IF(C15="Soil concentration as mg/kg","mg/l",""))</f>
        <v/>
      </c>
    </row>
    <row r="14" spans="1:25" ht="15" customHeight="1" x14ac:dyDescent="0.25">
      <c r="A14" s="78"/>
      <c r="C14" s="6" t="s">
        <v>30</v>
      </c>
      <c r="D14" s="6" t="s">
        <v>7</v>
      </c>
      <c r="E14" s="6" t="s">
        <v>6</v>
      </c>
      <c r="F14" s="23" t="s">
        <v>66</v>
      </c>
      <c r="G14" s="23"/>
      <c r="W14" s="127">
        <v>0</v>
      </c>
      <c r="X14" s="177">
        <f>$D$16</f>
        <v>11.197999654787523</v>
      </c>
      <c r="Y14" s="143" t="str">
        <f>IF(C$15="Soil leachate concentration as mg/l",X14*$D$44/D$10,IF(C$15="Soil concentration as mg/kg",X14*$D$44/D$10,""))</f>
        <v/>
      </c>
    </row>
    <row r="15" spans="1:25" ht="15" customHeight="1" x14ac:dyDescent="0.25">
      <c r="A15" s="178"/>
      <c r="C15"/>
      <c r="D15"/>
      <c r="E15"/>
      <c r="F15"/>
      <c r="G15"/>
      <c r="W15" s="179">
        <f>'Attenuation calc_sat_zone'!F6</f>
        <v>5.35</v>
      </c>
      <c r="X15" s="180">
        <f>'Attenuation calc_sat_zone'!Y6</f>
        <v>1.9633226992303194</v>
      </c>
      <c r="Y15" s="143" t="str">
        <f>IF(C$15="Soil leachate concentration as mg/l",X15*$D$44/D$10,IF(C$15="Soil concentration as mg/kg",X15*$D$44/D$10,""))</f>
        <v/>
      </c>
    </row>
    <row r="16" spans="1:25" ht="15" customHeight="1" x14ac:dyDescent="0.25">
      <c r="A16" s="178"/>
      <c r="B16" s="105" t="s">
        <v>203</v>
      </c>
      <c r="C16" s="2" t="s">
        <v>236</v>
      </c>
      <c r="D16" s="89">
        <f>Dilution!$D$33</f>
        <v>11.197999654787523</v>
      </c>
      <c r="E16" s="2" t="s">
        <v>18</v>
      </c>
      <c r="F16" s="13" t="s">
        <v>234</v>
      </c>
      <c r="W16" s="179">
        <f>'Attenuation calc_sat_zone'!F7</f>
        <v>10.7</v>
      </c>
      <c r="X16" s="180">
        <f>'Attenuation calc_sat_zone'!Y7</f>
        <v>1.3682070414151679</v>
      </c>
      <c r="Y16" s="143" t="str">
        <f>IF(C$15="Soil leachate concentration as mg/l",X16*$D$44/D$10,IF(C$15="Soil concentration as mg/kg",X16*$D$44/D$10,""))</f>
        <v/>
      </c>
    </row>
    <row r="17" spans="1:30" ht="15" customHeight="1" x14ac:dyDescent="0.25">
      <c r="A17" s="178"/>
      <c r="B17" s="101" t="s">
        <v>251</v>
      </c>
      <c r="C17" s="481" t="s">
        <v>341</v>
      </c>
      <c r="D17" s="482"/>
      <c r="E17" s="483"/>
      <c r="H17" s="181" t="s">
        <v>162</v>
      </c>
      <c r="W17" s="179">
        <f>'Attenuation calc_sat_zone'!F8</f>
        <v>16.049999999999997</v>
      </c>
      <c r="X17" s="180">
        <f>'Attenuation calc_sat_zone'!Y8</f>
        <v>1.0978895957854722</v>
      </c>
      <c r="Y17" s="143"/>
    </row>
    <row r="18" spans="1:30" ht="15" customHeight="1" x14ac:dyDescent="0.35">
      <c r="B18" s="259" t="s">
        <v>200</v>
      </c>
      <c r="C18" s="260" t="s">
        <v>92</v>
      </c>
      <c r="D18" s="34">
        <v>1850</v>
      </c>
      <c r="E18" s="261" t="s">
        <v>17</v>
      </c>
      <c r="F18" s="414" t="s">
        <v>428</v>
      </c>
      <c r="G18" s="27"/>
      <c r="I18" s="472" t="s">
        <v>164</v>
      </c>
      <c r="J18" s="473"/>
      <c r="K18" s="473"/>
      <c r="L18" s="474"/>
      <c r="W18" s="179">
        <f>'Attenuation calc_sat_zone'!F9</f>
        <v>21.4</v>
      </c>
      <c r="X18" s="180">
        <f>'Attenuation calc_sat_zone'!Y9</f>
        <v>0.93376014675118679</v>
      </c>
      <c r="Y18" s="143" t="str">
        <f t="shared" ref="Y18:Y26" si="0">IF(C$15="Soil leachate concentration as mg/l",X17*$D$44/D$10,IF(C$15="Soil concentration as mg/kg",X17*$D$44/D$10,""))</f>
        <v/>
      </c>
    </row>
    <row r="19" spans="1:30" ht="15" customHeight="1" x14ac:dyDescent="0.25">
      <c r="B19" s="1" t="s">
        <v>69</v>
      </c>
      <c r="C19" s="182" t="s">
        <v>27</v>
      </c>
      <c r="D19" s="136">
        <f>IF(AA30=1,AA33,IF(AA31=1,0.693147/D18,0.693147/(D18*D39)))</f>
        <v>3.7467405405405401E-4</v>
      </c>
      <c r="E19" s="2" t="s">
        <v>91</v>
      </c>
      <c r="F19" s="14" t="s">
        <v>257</v>
      </c>
      <c r="G19" s="14"/>
      <c r="W19" s="179">
        <f>'Attenuation calc_sat_zone'!F10</f>
        <v>26.75</v>
      </c>
      <c r="X19" s="180">
        <f>'Attenuation calc_sat_zone'!Y10</f>
        <v>0.81998075090243394</v>
      </c>
      <c r="Y19" s="143" t="str">
        <f t="shared" si="0"/>
        <v/>
      </c>
    </row>
    <row r="20" spans="1:30" ht="15" customHeight="1" x14ac:dyDescent="0.25">
      <c r="B20" s="1" t="s">
        <v>204</v>
      </c>
      <c r="C20" s="3" t="s">
        <v>54</v>
      </c>
      <c r="D20" s="88">
        <f>Dilution!$D$21</f>
        <v>1</v>
      </c>
      <c r="E20" s="2" t="s">
        <v>22</v>
      </c>
      <c r="F20" s="13" t="s">
        <v>234</v>
      </c>
      <c r="H20" s="64"/>
      <c r="I20" s="64"/>
      <c r="J20" s="64"/>
      <c r="K20" s="65"/>
      <c r="L20" s="26" t="s">
        <v>73</v>
      </c>
      <c r="M20" s="26" t="s">
        <v>72</v>
      </c>
      <c r="N20" s="26" t="s">
        <v>142</v>
      </c>
      <c r="W20" s="179">
        <f>'Attenuation calc_sat_zone'!F11</f>
        <v>32.099999999999994</v>
      </c>
      <c r="X20" s="180">
        <f>'Attenuation calc_sat_zone'!Y11</f>
        <v>0.73480986434613482</v>
      </c>
      <c r="Y20" s="143" t="str">
        <f t="shared" si="0"/>
        <v/>
      </c>
    </row>
    <row r="21" spans="1:30" ht="15" customHeight="1" x14ac:dyDescent="0.25">
      <c r="B21" s="1" t="s">
        <v>205</v>
      </c>
      <c r="C21" s="3" t="s">
        <v>47</v>
      </c>
      <c r="D21" s="88">
        <f>IF(Dilution!D23=Dilution!$R$23,Dilution!D24,Dilution!D25)</f>
        <v>24.44743551927446</v>
      </c>
      <c r="E21" s="2" t="s">
        <v>22</v>
      </c>
      <c r="F21" s="13" t="s">
        <v>234</v>
      </c>
      <c r="H21" s="183" t="s">
        <v>212</v>
      </c>
      <c r="I21" s="183"/>
      <c r="J21" s="183"/>
      <c r="K21" s="69" t="s">
        <v>14</v>
      </c>
      <c r="L21" s="34">
        <v>9.9999999999999998E-13</v>
      </c>
      <c r="M21" s="141">
        <f>$D$26*0.1</f>
        <v>10.700000000000001</v>
      </c>
      <c r="N21" s="141">
        <f>0.83*(LOG(D26))^2.414</f>
        <v>4.5820015691433991</v>
      </c>
      <c r="O21" s="184"/>
      <c r="P21" s="184"/>
      <c r="Q21" s="184"/>
      <c r="R21" s="184"/>
      <c r="S21" s="184"/>
      <c r="T21" s="184"/>
      <c r="U21" s="184"/>
      <c r="W21" s="179">
        <f>'Attenuation calc_sat_zone'!F12</f>
        <v>37.449999999999996</v>
      </c>
      <c r="X21" s="180">
        <f>'Attenuation calc_sat_zone'!Y12</f>
        <v>0.66777235478557673</v>
      </c>
      <c r="Y21" s="143" t="str">
        <f t="shared" si="0"/>
        <v/>
      </c>
    </row>
    <row r="22" spans="1:30" ht="15" customHeight="1" x14ac:dyDescent="0.25">
      <c r="B22" s="1" t="s">
        <v>150</v>
      </c>
      <c r="C22" s="182" t="s">
        <v>28</v>
      </c>
      <c r="D22" s="413">
        <v>1.7</v>
      </c>
      <c r="E22" s="2" t="s">
        <v>57</v>
      </c>
      <c r="F22" s="37" t="s">
        <v>413</v>
      </c>
      <c r="G22" s="27"/>
      <c r="H22" s="183" t="s">
        <v>213</v>
      </c>
      <c r="I22" s="183"/>
      <c r="J22" s="183"/>
      <c r="K22" s="69" t="s">
        <v>16</v>
      </c>
      <c r="L22" s="34">
        <v>9.9999999999999998E-13</v>
      </c>
      <c r="M22" s="141">
        <f>$D$26*0.01</f>
        <v>1.07</v>
      </c>
      <c r="N22" s="141">
        <f>N21/10</f>
        <v>0.45820015691433991</v>
      </c>
      <c r="O22" s="184"/>
      <c r="P22" s="184"/>
      <c r="Q22" s="184"/>
      <c r="R22" s="184"/>
      <c r="S22" s="184"/>
      <c r="T22" s="184"/>
      <c r="U22" s="184"/>
      <c r="W22" s="179">
        <f>'Attenuation calc_sat_zone'!F13</f>
        <v>42.8</v>
      </c>
      <c r="X22" s="180">
        <f>'Attenuation calc_sat_zone'!Y13</f>
        <v>0.61310855707999001</v>
      </c>
      <c r="Y22" s="143" t="str">
        <f t="shared" si="0"/>
        <v/>
      </c>
      <c r="AA22" s="41" t="s">
        <v>264</v>
      </c>
    </row>
    <row r="23" spans="1:30" ht="15" customHeight="1" x14ac:dyDescent="0.25">
      <c r="B23" s="1" t="s">
        <v>112</v>
      </c>
      <c r="C23" s="3" t="s">
        <v>1</v>
      </c>
      <c r="D23" s="413">
        <v>0.47</v>
      </c>
      <c r="E23" s="2" t="s">
        <v>56</v>
      </c>
      <c r="F23" s="37" t="s">
        <v>413</v>
      </c>
      <c r="G23" s="27"/>
      <c r="H23" s="183" t="s">
        <v>214</v>
      </c>
      <c r="I23" s="183"/>
      <c r="J23" s="183"/>
      <c r="K23" s="69" t="s">
        <v>15</v>
      </c>
      <c r="L23" s="34">
        <v>9.9999999999999998E-13</v>
      </c>
      <c r="M23" s="141">
        <f>$D$26*0.001</f>
        <v>0.107</v>
      </c>
      <c r="N23" s="141">
        <f>N21/100</f>
        <v>4.5820015691433992E-2</v>
      </c>
      <c r="O23" s="184"/>
      <c r="P23" s="184"/>
      <c r="Q23" s="184"/>
      <c r="R23" s="184"/>
      <c r="S23" s="184"/>
      <c r="T23" s="184"/>
      <c r="U23" s="184"/>
      <c r="W23" s="179">
        <f>'Attenuation calc_sat_zone'!F14</f>
        <v>48.15</v>
      </c>
      <c r="X23" s="180">
        <f>'Attenuation calc_sat_zone'!Y14</f>
        <v>0.56735045057092892</v>
      </c>
      <c r="Y23" s="143" t="str">
        <f t="shared" si="0"/>
        <v/>
      </c>
    </row>
    <row r="24" spans="1:30" ht="15" customHeight="1" x14ac:dyDescent="0.25">
      <c r="B24" s="1" t="s">
        <v>24</v>
      </c>
      <c r="C24" s="169" t="s">
        <v>238</v>
      </c>
      <c r="D24" s="89">
        <f>D41</f>
        <v>0.21283618885875458</v>
      </c>
      <c r="E24" s="2" t="s">
        <v>56</v>
      </c>
      <c r="F24" s="14" t="s">
        <v>268</v>
      </c>
      <c r="G24" s="14"/>
      <c r="H24" s="185" t="s">
        <v>172</v>
      </c>
      <c r="O24" s="184"/>
      <c r="P24" s="184"/>
      <c r="Q24" s="184"/>
      <c r="R24" s="184"/>
      <c r="S24" s="184"/>
      <c r="T24" s="184"/>
      <c r="U24" s="184"/>
      <c r="W24" s="179">
        <f>'Attenuation calc_sat_zone'!F15</f>
        <v>53.5</v>
      </c>
      <c r="X24" s="180">
        <f>'Attenuation calc_sat_zone'!Y15</f>
        <v>0.52826605597120835</v>
      </c>
      <c r="Y24" s="143" t="str">
        <f t="shared" si="0"/>
        <v/>
      </c>
      <c r="AA24" s="128" t="s">
        <v>153</v>
      </c>
      <c r="AB24" s="128"/>
      <c r="AC24" s="128"/>
      <c r="AD24" s="128"/>
    </row>
    <row r="25" spans="1:30" ht="15" customHeight="1" x14ac:dyDescent="0.25">
      <c r="B25" s="1" t="s">
        <v>161</v>
      </c>
      <c r="C25" s="3" t="s">
        <v>108</v>
      </c>
      <c r="D25" s="89">
        <f>Dilution!$D$19</f>
        <v>1.28</v>
      </c>
      <c r="E25" s="2" t="s">
        <v>21</v>
      </c>
      <c r="F25" s="13" t="s">
        <v>234</v>
      </c>
      <c r="O25" s="184"/>
      <c r="P25" s="184"/>
      <c r="Q25" s="184"/>
      <c r="R25" s="184"/>
      <c r="S25" s="184"/>
      <c r="T25" s="184"/>
      <c r="U25" s="184"/>
      <c r="W25" s="179">
        <f>'Attenuation calc_sat_zone'!F16</f>
        <v>58.849999999999994</v>
      </c>
      <c r="X25" s="180">
        <f>'Attenuation calc_sat_zone'!Y16</f>
        <v>0.49434365168581512</v>
      </c>
      <c r="Y25" s="143" t="str">
        <f t="shared" si="0"/>
        <v/>
      </c>
      <c r="AA25" s="128" t="s">
        <v>61</v>
      </c>
      <c r="AB25" s="128"/>
      <c r="AC25" s="128"/>
      <c r="AD25" s="128"/>
    </row>
    <row r="26" spans="1:30" ht="15" customHeight="1" x14ac:dyDescent="0.35">
      <c r="B26" s="1" t="s">
        <v>25</v>
      </c>
      <c r="C26" s="3" t="s">
        <v>10</v>
      </c>
      <c r="D26" s="33">
        <v>107</v>
      </c>
      <c r="E26" s="2" t="s">
        <v>22</v>
      </c>
      <c r="F26" s="37" t="s">
        <v>427</v>
      </c>
      <c r="G26" s="27"/>
      <c r="H26" t="s">
        <v>143</v>
      </c>
      <c r="W26" s="179">
        <f>'Attenuation calc_sat_zone'!F17</f>
        <v>64.199999999999989</v>
      </c>
      <c r="X26" s="180">
        <f>'Attenuation calc_sat_zone'!Y17</f>
        <v>0.46451708498653349</v>
      </c>
      <c r="Y26" s="143" t="str">
        <f t="shared" si="0"/>
        <v/>
      </c>
    </row>
    <row r="27" spans="1:30" ht="15" customHeight="1" x14ac:dyDescent="0.25">
      <c r="B27" s="101" t="s">
        <v>276</v>
      </c>
      <c r="C27" s="481" t="s">
        <v>274</v>
      </c>
      <c r="D27" s="482"/>
      <c r="E27" s="483"/>
      <c r="F27" s="135"/>
      <c r="G27" s="27"/>
      <c r="H27" t="s">
        <v>235</v>
      </c>
      <c r="W27" s="179">
        <f>'Attenuation calc_sat_zone'!F18</f>
        <v>69.55</v>
      </c>
      <c r="X27" s="180">
        <f>'Attenuation calc_sat_zone'!Y18</f>
        <v>0.43800932034578344</v>
      </c>
      <c r="Y27" s="143"/>
    </row>
    <row r="28" spans="1:30" ht="15" customHeight="1" x14ac:dyDescent="0.25">
      <c r="B28" s="277" t="s">
        <v>277</v>
      </c>
      <c r="C28" s="278" t="s">
        <v>13</v>
      </c>
      <c r="D28" s="34">
        <v>100</v>
      </c>
      <c r="E28" s="279" t="s">
        <v>17</v>
      </c>
      <c r="F28" s="34" t="s">
        <v>71</v>
      </c>
      <c r="G28" s="27"/>
      <c r="M28" s="186" t="s">
        <v>165</v>
      </c>
      <c r="W28" s="179">
        <f>'Attenuation calc_sat_zone'!F19</f>
        <v>74.899999999999991</v>
      </c>
      <c r="X28" s="180">
        <f>'Attenuation calc_sat_zone'!Y19</f>
        <v>0.41423839074885921</v>
      </c>
      <c r="Y28" s="143" t="str">
        <f>IF(C$15="Soil leachate concentration as mg/l",X26*$D$44/D$10,IF(C$15="Soil concentration as mg/kg",X26*$D$44/D$10,""))</f>
        <v/>
      </c>
    </row>
    <row r="29" spans="1:30" ht="15" customHeight="1" x14ac:dyDescent="0.25">
      <c r="B29" s="1" t="s">
        <v>145</v>
      </c>
      <c r="C29" s="3" t="s">
        <v>13</v>
      </c>
      <c r="D29" s="141">
        <f>IF(AA35=1,1E+99,D28)</f>
        <v>9.9999999999999997E+98</v>
      </c>
      <c r="F29" s="27"/>
      <c r="G29" s="27"/>
      <c r="M29" s="186"/>
      <c r="W29" s="179">
        <f>'Attenuation calc_sat_zone'!F20</f>
        <v>80.25</v>
      </c>
      <c r="X29" s="180">
        <f>'Attenuation calc_sat_zone'!Y20</f>
        <v>0.39275829673117812</v>
      </c>
      <c r="Y29" s="143"/>
    </row>
    <row r="30" spans="1:30" ht="15" customHeight="1" x14ac:dyDescent="0.25">
      <c r="A30" s="51">
        <f>Dilution!$J$13</f>
        <v>0</v>
      </c>
      <c r="B30" s="187" t="s">
        <v>70</v>
      </c>
      <c r="C30" s="3"/>
      <c r="D30" s="188"/>
      <c r="F30" s="27"/>
      <c r="G30" s="27"/>
      <c r="H30" s="64"/>
      <c r="I30" s="64"/>
      <c r="J30" s="64"/>
      <c r="K30" s="65"/>
      <c r="L30" s="64"/>
      <c r="M30" s="189"/>
      <c r="W30" s="179">
        <f>'Attenuation calc_sat_zone'!F21</f>
        <v>85.6</v>
      </c>
      <c r="X30" s="180">
        <f>'Attenuation calc_sat_zone'!Y21</f>
        <v>0.37322046051067587</v>
      </c>
      <c r="Y30" s="143" t="str">
        <f t="shared" ref="Y30:Y35" si="1">IF(C$15="Soil leachate concentration as mg/l",X27*$D$44/D$10,IF(C$15="Soil concentration as mg/kg",X27*$D$44/D$10,""))</f>
        <v/>
      </c>
      <c r="AA30" s="128">
        <f>IF($C$17=AB30,1,0)</f>
        <v>0</v>
      </c>
      <c r="AB30" s="129" t="s">
        <v>252</v>
      </c>
      <c r="AC30" s="131"/>
      <c r="AD30" s="131"/>
    </row>
    <row r="31" spans="1:30" ht="15" customHeight="1" x14ac:dyDescent="0.25">
      <c r="B31" s="1" t="s">
        <v>23</v>
      </c>
      <c r="C31" s="3" t="s">
        <v>9</v>
      </c>
      <c r="D31" s="136">
        <f>L13</f>
        <v>1.25</v>
      </c>
      <c r="E31" s="2" t="s">
        <v>19</v>
      </c>
      <c r="F31" s="27" t="s">
        <v>45</v>
      </c>
      <c r="G31" s="27"/>
      <c r="W31" s="179">
        <f>'Attenuation calc_sat_zone'!F22</f>
        <v>90.949999999999989</v>
      </c>
      <c r="X31" s="180">
        <f>'Attenuation calc_sat_zone'!Y22</f>
        <v>0.35534777885631208</v>
      </c>
      <c r="Y31" s="143" t="str">
        <f t="shared" si="1"/>
        <v/>
      </c>
      <c r="AA31" s="128">
        <f>IF($C$17=AB31,1,0)</f>
        <v>1</v>
      </c>
      <c r="AB31" s="129" t="s">
        <v>341</v>
      </c>
      <c r="AC31" s="130"/>
      <c r="AD31" s="130"/>
    </row>
    <row r="32" spans="1:30" ht="15" customHeight="1" x14ac:dyDescent="0.25">
      <c r="B32" s="19" t="s">
        <v>99</v>
      </c>
      <c r="C32" s="3" t="s">
        <v>14</v>
      </c>
      <c r="D32" s="136">
        <f>IF($I$18="Dispersivity based on Xu &amp; Eckstein (1995)",N21,IF($I$18="Dispersivities 10%, 1%, 0.1% of pathway length",M21,IF($I$18="User defined values for dispersivity",L21)))</f>
        <v>4.5820015691433991</v>
      </c>
      <c r="E32" s="2" t="s">
        <v>22</v>
      </c>
      <c r="F32" s="27" t="s">
        <v>45</v>
      </c>
      <c r="G32" s="27"/>
      <c r="W32" s="179">
        <f>'Attenuation calc_sat_zone'!F23</f>
        <v>96.3</v>
      </c>
      <c r="X32" s="180">
        <f>'Attenuation calc_sat_zone'!Y23</f>
        <v>0.33891667467978165</v>
      </c>
      <c r="Y32" s="143" t="str">
        <f t="shared" si="1"/>
        <v/>
      </c>
      <c r="AA32" s="128">
        <f>IF($C$17=AB32,1,0)</f>
        <v>0</v>
      </c>
      <c r="AB32" s="129" t="s">
        <v>340</v>
      </c>
      <c r="AC32" s="130"/>
      <c r="AD32" s="130"/>
    </row>
    <row r="33" spans="2:31" ht="15" customHeight="1" x14ac:dyDescent="0.25">
      <c r="B33" s="19" t="s">
        <v>100</v>
      </c>
      <c r="C33" s="3" t="s">
        <v>16</v>
      </c>
      <c r="D33" s="136">
        <f>IF($I$18="Dispersivity based on Xu &amp; Eckstein (1995)",N22,IF($I$18="Dispersivities 10%, 1%, 0.1% of pathway length",M22,IF($I$18="User defined values for dispersivity",L22)))</f>
        <v>0.45820015691433991</v>
      </c>
      <c r="E33" s="2" t="s">
        <v>22</v>
      </c>
      <c r="F33" s="27" t="s">
        <v>45</v>
      </c>
      <c r="G33" s="27"/>
      <c r="W33" s="179">
        <f>'Attenuation calc_sat_zone'!F24</f>
        <v>101.64999999999999</v>
      </c>
      <c r="X33" s="180">
        <f>'Attenuation calc_sat_zone'!Y24</f>
        <v>0.32374438372166842</v>
      </c>
      <c r="Y33" s="143" t="str">
        <f t="shared" si="1"/>
        <v/>
      </c>
      <c r="AA33" s="130">
        <f>1/10^99</f>
        <v>1E-99</v>
      </c>
    </row>
    <row r="34" spans="2:31" ht="15" customHeight="1" x14ac:dyDescent="0.25">
      <c r="B34" s="19" t="s">
        <v>101</v>
      </c>
      <c r="C34" s="3" t="s">
        <v>15</v>
      </c>
      <c r="D34" s="136">
        <f>IF($I$18="Dispersivity based on Xu &amp; Eckstein (1995)",N23,IF($I$18="Dispersivities 10%, 1%, 0.1% of pathway length",M23,IF($I$18="User defined values for dispersivity",L23)))</f>
        <v>4.5820015691433992E-2</v>
      </c>
      <c r="E34" s="2" t="s">
        <v>22</v>
      </c>
      <c r="F34" s="27" t="s">
        <v>45</v>
      </c>
      <c r="G34" s="27"/>
      <c r="W34" s="179">
        <f>'Attenuation calc_sat_zone'!F25</f>
        <v>107</v>
      </c>
      <c r="X34" s="180">
        <f>'Attenuation calc_sat_zone'!Y25</f>
        <v>0.30967975979125167</v>
      </c>
      <c r="Y34" s="143" t="str">
        <f t="shared" si="1"/>
        <v/>
      </c>
    </row>
    <row r="35" spans="2:31" ht="15" customHeight="1" x14ac:dyDescent="0.25">
      <c r="B35" s="190"/>
      <c r="D35" s="191"/>
      <c r="Y35" s="143" t="str">
        <f t="shared" si="1"/>
        <v/>
      </c>
      <c r="AA35" s="128">
        <f>IF($C$27=AB35,1,0)</f>
        <v>1</v>
      </c>
      <c r="AB35" s="131" t="s">
        <v>274</v>
      </c>
      <c r="AC35" s="131"/>
      <c r="AD35" s="131"/>
    </row>
    <row r="36" spans="2:31" ht="15" customHeight="1" x14ac:dyDescent="0.3">
      <c r="B36" s="25" t="s">
        <v>29</v>
      </c>
      <c r="C36" s="6" t="s">
        <v>30</v>
      </c>
      <c r="D36" s="6" t="s">
        <v>7</v>
      </c>
      <c r="E36" s="6" t="s">
        <v>6</v>
      </c>
      <c r="F36" s="23"/>
      <c r="G36" s="23"/>
      <c r="Y36" s="143" t="str">
        <f>IF(C$15="Soil leachate concentration as mg/l",X34*$D$44/D$10,IF(C$15="Soil concentration as mg/kg",X34*$D$44/D$10,""))</f>
        <v/>
      </c>
      <c r="AA36" s="128">
        <f>IF($C$27=AB36,1,0)</f>
        <v>0</v>
      </c>
      <c r="AB36" s="131" t="s">
        <v>275</v>
      </c>
      <c r="AC36" s="131"/>
      <c r="AD36" s="131"/>
    </row>
    <row r="37" spans="2:31" ht="13.8" x14ac:dyDescent="0.25">
      <c r="B37" s="1"/>
      <c r="C37" s="3"/>
      <c r="F37"/>
      <c r="G37"/>
      <c r="U37" s="142"/>
      <c r="V37" s="142"/>
    </row>
    <row r="38" spans="2:31" ht="13.8" x14ac:dyDescent="0.25">
      <c r="B38" s="1" t="s">
        <v>119</v>
      </c>
      <c r="C38" s="4" t="s">
        <v>31</v>
      </c>
      <c r="D38" s="140">
        <f>'Attenuation calc_sat_zone'!C29</f>
        <v>0.57963898242384226</v>
      </c>
      <c r="E38" s="2" t="s">
        <v>21</v>
      </c>
      <c r="F38"/>
      <c r="G38"/>
      <c r="U38" s="142"/>
      <c r="V38" s="142"/>
      <c r="Y38" s="192"/>
    </row>
    <row r="39" spans="2:31" ht="13.8" x14ac:dyDescent="0.25">
      <c r="B39" s="1" t="s">
        <v>32</v>
      </c>
      <c r="C39" s="4" t="s">
        <v>149</v>
      </c>
      <c r="D39" s="140">
        <f>1+(D31*D22)/D23</f>
        <v>5.5212765957446814</v>
      </c>
      <c r="E39" s="2" t="s">
        <v>56</v>
      </c>
      <c r="F39"/>
      <c r="G39"/>
      <c r="O39" s="280" t="s">
        <v>88</v>
      </c>
      <c r="P39" s="281"/>
      <c r="Q39" s="282" t="str">
        <f>Introduction!$B$26</f>
        <v>Hendre Farmhouse</v>
      </c>
      <c r="R39" s="280"/>
      <c r="S39" s="281"/>
      <c r="T39" s="283"/>
      <c r="U39" s="142"/>
      <c r="V39" s="142"/>
    </row>
    <row r="40" spans="2:31" ht="15.6" x14ac:dyDescent="0.25">
      <c r="B40" s="1" t="s">
        <v>140</v>
      </c>
      <c r="C40" s="5" t="s">
        <v>141</v>
      </c>
      <c r="D40" s="140">
        <f>D19</f>
        <v>3.7467405405405401E-4</v>
      </c>
      <c r="E40" s="2" t="s">
        <v>144</v>
      </c>
      <c r="F40"/>
      <c r="G40"/>
      <c r="O40" s="284" t="s">
        <v>86</v>
      </c>
      <c r="P40" s="285"/>
      <c r="Q40" s="286">
        <f>Introduction!G37</f>
        <v>0</v>
      </c>
      <c r="R40" s="285"/>
      <c r="S40" s="285"/>
      <c r="T40" s="287"/>
      <c r="U40" s="142"/>
      <c r="V40" s="142"/>
      <c r="AA40" s="193" t="s">
        <v>164</v>
      </c>
      <c r="AB40" s="131"/>
      <c r="AC40" s="131"/>
      <c r="AD40" s="131"/>
      <c r="AE40" s="131"/>
    </row>
    <row r="41" spans="2:31" ht="16.2" x14ac:dyDescent="0.25">
      <c r="B41" s="1" t="s">
        <v>148</v>
      </c>
      <c r="C41" s="169" t="s">
        <v>238</v>
      </c>
      <c r="D41" s="140">
        <f>Dilution!D20*(D10/(D10-1))</f>
        <v>0.21283618885875458</v>
      </c>
      <c r="E41" s="2" t="s">
        <v>56</v>
      </c>
      <c r="F41"/>
      <c r="G41"/>
      <c r="O41" s="284" t="s">
        <v>87</v>
      </c>
      <c r="P41" s="285"/>
      <c r="Q41" s="288">
        <f>Introduction!G38</f>
        <v>0</v>
      </c>
      <c r="R41" s="285"/>
      <c r="S41" s="285"/>
      <c r="T41" s="287"/>
      <c r="U41" s="142"/>
      <c r="V41" s="142"/>
      <c r="AA41" s="194" t="s">
        <v>215</v>
      </c>
      <c r="AB41" s="131"/>
      <c r="AC41" s="131"/>
      <c r="AD41" s="131"/>
      <c r="AE41" s="131"/>
    </row>
    <row r="42" spans="2:31" ht="13.8" x14ac:dyDescent="0.25">
      <c r="B42" s="1" t="s">
        <v>33</v>
      </c>
      <c r="C42" s="7" t="s">
        <v>34</v>
      </c>
      <c r="D42" s="140">
        <f>'Attenuation calc_sat_zone'!C31</f>
        <v>0.10498278294381727</v>
      </c>
      <c r="E42" s="2" t="s">
        <v>21</v>
      </c>
      <c r="F42"/>
      <c r="G42"/>
      <c r="O42" s="289" t="s">
        <v>96</v>
      </c>
      <c r="P42" s="290"/>
      <c r="Q42" s="291">
        <f>Introduction!J38</f>
        <v>0</v>
      </c>
      <c r="R42" s="290"/>
      <c r="S42" s="290"/>
      <c r="T42" s="292"/>
      <c r="U42" s="142"/>
      <c r="V42" s="142"/>
      <c r="AA42" s="194" t="s">
        <v>165</v>
      </c>
      <c r="AB42" s="131"/>
      <c r="AC42" s="131"/>
      <c r="AD42" s="131"/>
      <c r="AE42" s="131"/>
    </row>
    <row r="43" spans="2:31" x14ac:dyDescent="0.25">
      <c r="B43" s="62" t="s">
        <v>259</v>
      </c>
      <c r="C43" s="6" t="s">
        <v>219</v>
      </c>
      <c r="D43" s="195">
        <f>IF('Attenuation calc_sat_zone'!$X$25=0,10^99,1/'Attenuation calc_sat_zone'!$X$25)</f>
        <v>36.159933934125526</v>
      </c>
      <c r="E43" s="6" t="s">
        <v>56</v>
      </c>
      <c r="F43" s="196" t="str">
        <f>IF('Attenuation calc_sat_zone'!$X$25=0,"No significant breakthrough at compliance point","")</f>
        <v/>
      </c>
      <c r="G43" s="196"/>
      <c r="L43" s="78"/>
      <c r="O43" s="71"/>
      <c r="R43" s="26"/>
      <c r="S43" s="26"/>
    </row>
    <row r="44" spans="2:31" x14ac:dyDescent="0.25">
      <c r="B44" s="1" t="str">
        <f>IF(C15="Soil leachate concentration as mg/l","Soil leachate concentration",IF(C15="Soil concentration as mg/kg","Calculated soil leachate concentration",""))</f>
        <v/>
      </c>
      <c r="C44" s="2" t="str">
        <f>IF(C15="Soil leachate concentration as mg/l","Co",IF(C15="Soil concentration as mg/kg","Co",""))</f>
        <v/>
      </c>
      <c r="D44" s="108" t="str">
        <f>IF(C15="Soil leachate concentration as mg/l",D16,IF(C15="Soil concentration as mg/kg",D16/#REF!,""))</f>
        <v/>
      </c>
      <c r="E44" s="2" t="str">
        <f>IF(C43="Soil leachate concentration as mg/l","mg/l",IF(C15="Soil concentration as mg/kg","mg/l",""))</f>
        <v/>
      </c>
      <c r="F44" s="197"/>
      <c r="G44" s="197"/>
      <c r="L44" s="78"/>
    </row>
    <row r="45" spans="2:31" ht="15.6" x14ac:dyDescent="0.25">
      <c r="B45" s="91" t="s">
        <v>272</v>
      </c>
      <c r="L45" s="78" t="s">
        <v>2</v>
      </c>
    </row>
    <row r="46" spans="2:31" ht="13.8" x14ac:dyDescent="0.25">
      <c r="B46" s="72" t="s">
        <v>58</v>
      </c>
      <c r="C46" s="73" t="s">
        <v>5</v>
      </c>
      <c r="D46" s="104">
        <f>D10</f>
        <v>1.7760593931238486</v>
      </c>
      <c r="E46" s="74"/>
    </row>
    <row r="47" spans="2:31" ht="13.8" x14ac:dyDescent="0.25">
      <c r="B47" s="76" t="s">
        <v>202</v>
      </c>
      <c r="C47" s="85" t="s">
        <v>218</v>
      </c>
      <c r="D47" s="77">
        <f>Attenuation_unsatzone!$D$61</f>
        <v>1.004470701341623</v>
      </c>
      <c r="E47" s="75"/>
    </row>
    <row r="48" spans="2:31" ht="13.8" x14ac:dyDescent="0.25">
      <c r="B48" s="115" t="s">
        <v>206</v>
      </c>
      <c r="C48" s="121" t="s">
        <v>219</v>
      </c>
      <c r="D48" s="116">
        <f>D43</f>
        <v>36.159933934125526</v>
      </c>
      <c r="E48" s="122"/>
    </row>
    <row r="49" spans="2:10" ht="16.2" x14ac:dyDescent="0.35">
      <c r="B49" s="113" t="s">
        <v>207</v>
      </c>
      <c r="C49" s="117" t="s">
        <v>281</v>
      </c>
      <c r="D49" s="117">
        <f>Dilution!$D$22 + (D16-Dilution!$D$22)/D48</f>
        <v>0.30967975979125167</v>
      </c>
      <c r="E49" s="118" t="s">
        <v>18</v>
      </c>
      <c r="F49" s="110" t="str">
        <f>IF(D49&lt;D8,"below compliance value","")</f>
        <v>below compliance value</v>
      </c>
      <c r="G49" s="110"/>
    </row>
    <row r="50" spans="2:10" ht="13.8" x14ac:dyDescent="0.25">
      <c r="B50" s="113"/>
      <c r="C50" s="85"/>
      <c r="D50" s="114" t="s">
        <v>90</v>
      </c>
      <c r="E50" s="119"/>
    </row>
    <row r="51" spans="2:10" ht="16.2" x14ac:dyDescent="0.35">
      <c r="B51" s="406" t="s">
        <v>404</v>
      </c>
      <c r="C51" s="126" t="s">
        <v>407</v>
      </c>
      <c r="D51" s="116">
        <f>Dilution!$D$35*D48</f>
        <v>32.291422619097808</v>
      </c>
      <c r="E51" s="120" t="s">
        <v>18</v>
      </c>
      <c r="F51" s="478" t="str">
        <f>IF(D51&gt;D9,"Discharge limit for discussion with Environment Agency","")</f>
        <v>Discharge limit for discussion with Environment Agency</v>
      </c>
      <c r="G51" s="479"/>
      <c r="H51" s="480"/>
      <c r="I51" s="480"/>
      <c r="J51" s="480"/>
    </row>
    <row r="52" spans="2:10" ht="13.8" x14ac:dyDescent="0.25">
      <c r="B52" s="198" t="s">
        <v>25</v>
      </c>
      <c r="D52" s="127">
        <f>D26</f>
        <v>107</v>
      </c>
      <c r="E52" s="127" t="s">
        <v>22</v>
      </c>
    </row>
    <row r="53" spans="2:10" x14ac:dyDescent="0.25">
      <c r="F53" s="197"/>
    </row>
    <row r="54" spans="2:10" ht="15.6" x14ac:dyDescent="0.3">
      <c r="B54" s="112" t="str">
        <f>IF(D49&gt;D8, "Concentration at compliance point exceeds target concentration","Concentration at compliance point below target concentration")</f>
        <v>Concentration at compliance point below target concentration</v>
      </c>
    </row>
    <row r="56" spans="2:10" x14ac:dyDescent="0.25">
      <c r="D56" s="475"/>
      <c r="E56" s="432"/>
    </row>
    <row r="57" spans="2:10" ht="13.8" x14ac:dyDescent="0.25">
      <c r="B57" s="198"/>
      <c r="C57" s="6"/>
      <c r="D57" s="180"/>
      <c r="E57" s="127"/>
    </row>
    <row r="58" spans="2:10" ht="13.8" x14ac:dyDescent="0.25">
      <c r="B58" s="198"/>
      <c r="D58" s="127"/>
      <c r="E58" s="127"/>
    </row>
    <row r="64" spans="2:10" ht="13.8" x14ac:dyDescent="0.25">
      <c r="D64" s="177"/>
    </row>
    <row r="68" spans="4:4" x14ac:dyDescent="0.25">
      <c r="D68" s="199"/>
    </row>
  </sheetData>
  <sheetProtection algorithmName="SHA-512" hashValue="wQQhBky332XcySZwEsgapNwwVL80epfvtXndkEJw4YUdvR0ZXBpZ89C7gwpNxP4mfzoIvBqDl24SUcKNPSDvQg==" saltValue="acC3i8DVH63BEQonvLnDTA==" spinCount="100000" sheet="1" objects="1" scenarios="1"/>
  <mergeCells count="9">
    <mergeCell ref="I18:L18"/>
    <mergeCell ref="B1:E1"/>
    <mergeCell ref="D56:E56"/>
    <mergeCell ref="H6:K6"/>
    <mergeCell ref="D7:E7"/>
    <mergeCell ref="F51:J51"/>
    <mergeCell ref="C17:E17"/>
    <mergeCell ref="H2:M3"/>
    <mergeCell ref="C27:E27"/>
  </mergeCells>
  <phoneticPr fontId="58" type="noConversion"/>
  <conditionalFormatting sqref="B18:C18 E18">
    <cfRule type="expression" dxfId="26" priority="19" stopIfTrue="1">
      <formula>$AA$31=1</formula>
    </cfRule>
    <cfRule type="expression" dxfId="25" priority="20" stopIfTrue="1">
      <formula>$AA$30=1</formula>
    </cfRule>
  </conditionalFormatting>
  <conditionalFormatting sqref="B28:C28 E28">
    <cfRule type="expression" dxfId="24" priority="25" stopIfTrue="1">
      <formula>$AA$36=1</formula>
    </cfRule>
    <cfRule type="expression" dxfId="23" priority="26" stopIfTrue="1">
      <formula>$AA$35=1</formula>
    </cfRule>
  </conditionalFormatting>
  <conditionalFormatting sqref="D18">
    <cfRule type="expression" dxfId="22" priority="17" stopIfTrue="1">
      <formula>$AA$31=1</formula>
    </cfRule>
    <cfRule type="expression" dxfId="21" priority="18" stopIfTrue="1">
      <formula>$AA$30=1</formula>
    </cfRule>
  </conditionalFormatting>
  <conditionalFormatting sqref="D20:D21 D24">
    <cfRule type="expression" dxfId="20" priority="5" stopIfTrue="1">
      <formula>$A$30=1</formula>
    </cfRule>
  </conditionalFormatting>
  <conditionalFormatting sqref="D25">
    <cfRule type="expression" dxfId="19" priority="6" stopIfTrue="1">
      <formula>$A$30=1</formula>
    </cfRule>
  </conditionalFormatting>
  <conditionalFormatting sqref="D28">
    <cfRule type="expression" dxfId="18" priority="23" stopIfTrue="1">
      <formula>$AA$36=1</formula>
    </cfRule>
    <cfRule type="expression" dxfId="17" priority="24" stopIfTrue="1">
      <formula>$AA$35=1</formula>
    </cfRule>
  </conditionalFormatting>
  <conditionalFormatting sqref="D29">
    <cfRule type="expression" dxfId="16" priority="3" stopIfTrue="1">
      <formula>$K$44=1</formula>
    </cfRule>
  </conditionalFormatting>
  <conditionalFormatting sqref="D43 F43:G43">
    <cfRule type="expression" dxfId="15" priority="4" stopIfTrue="1">
      <formula>#REF!=0</formula>
    </cfRule>
  </conditionalFormatting>
  <conditionalFormatting sqref="F18">
    <cfRule type="expression" dxfId="14" priority="21" stopIfTrue="1">
      <formula>$AA$31=1</formula>
    </cfRule>
    <cfRule type="expression" dxfId="13" priority="22" stopIfTrue="1">
      <formula>$AA$30=1</formula>
    </cfRule>
  </conditionalFormatting>
  <conditionalFormatting sqref="F28">
    <cfRule type="expression" dxfId="12" priority="27" stopIfTrue="1">
      <formula>$AA$36=1</formula>
    </cfRule>
    <cfRule type="expression" dxfId="11" priority="28" stopIfTrue="1">
      <formula>$AA$35=1</formula>
    </cfRule>
  </conditionalFormatting>
  <conditionalFormatting sqref="L9">
    <cfRule type="expression" dxfId="10" priority="1" stopIfTrue="1">
      <formula>$P$2=1</formula>
    </cfRule>
    <cfRule type="expression" dxfId="9" priority="2" stopIfTrue="1">
      <formula>$P$3=1</formula>
    </cfRule>
    <cfRule type="expression" dxfId="8" priority="7" stopIfTrue="1">
      <formula>$P$2=1</formula>
    </cfRule>
    <cfRule type="expression" dxfId="7" priority="8" stopIfTrue="1">
      <formula>$P$3=1</formula>
    </cfRule>
  </conditionalFormatting>
  <conditionalFormatting sqref="L11:L12">
    <cfRule type="expression" dxfId="6" priority="9" stopIfTrue="1">
      <formula>$P$1=1</formula>
    </cfRule>
    <cfRule type="expression" dxfId="5" priority="10" stopIfTrue="1">
      <formula>$P$3=1</formula>
    </cfRule>
  </conditionalFormatting>
  <conditionalFormatting sqref="L21:L23">
    <cfRule type="expression" dxfId="4" priority="12" stopIfTrue="1">
      <formula>$I$18=$AA$41</formula>
    </cfRule>
  </conditionalFormatting>
  <conditionalFormatting sqref="L21:M23">
    <cfRule type="expression" dxfId="3" priority="11" stopIfTrue="1">
      <formula>$I$18=$AA$40</formula>
    </cfRule>
  </conditionalFormatting>
  <conditionalFormatting sqref="M21:N23">
    <cfRule type="expression" dxfId="2" priority="14" stopIfTrue="1">
      <formula>$I$18=$AA$42</formula>
    </cfRule>
  </conditionalFormatting>
  <conditionalFormatting sqref="N21:N23">
    <cfRule type="expression" dxfId="1" priority="13" stopIfTrue="1">
      <formula>$I$18=$AA$41</formula>
    </cfRule>
  </conditionalFormatting>
  <dataValidations count="8">
    <dataValidation type="decimal" operator="lessThan" allowBlank="1" showInputMessage="1" showErrorMessage="1" errorTitle="Enter foc as a fraction" error="Foc must be entered as a fraction between 0 and 1. Typically it will be less (possibly much less) than 1% of the rock mass (i.e. 0.01)." sqref="L11" xr:uid="{00000000-0002-0000-0500-000000000000}">
      <formula1>1</formula1>
    </dataValidation>
    <dataValidation type="decimal" operator="lessThan" allowBlank="1" showInputMessage="1" showErrorMessage="1" errorTitle="Fraction less than 1" error="Porosity should be expressed as a fraction between 0 and 1. Effective porosity will rarely be greater than 0.4 (40%) and may be as low as 0.01 (1%) in fractured systems." sqref="D23" xr:uid="{00000000-0002-0000-0500-000001000000}">
      <formula1>1</formula1>
    </dataValidation>
    <dataValidation type="list" allowBlank="1" showInputMessage="1" showErrorMessage="1" sqref="H6:K6" xr:uid="{00000000-0002-0000-0500-000002000000}">
      <formula1>$AA$24:$AA$25</formula1>
    </dataValidation>
    <dataValidation type="list" allowBlank="1" showInputMessage="1" showErrorMessage="1" sqref="I18:L18" xr:uid="{00000000-0002-0000-0500-000003000000}">
      <formula1>$AA$40:$AA$42</formula1>
    </dataValidation>
    <dataValidation type="list" allowBlank="1" showInputMessage="1" showErrorMessage="1" sqref="C17:E17" xr:uid="{00000000-0002-0000-0500-000004000000}">
      <formula1>$AB$30:$AB$32</formula1>
    </dataValidation>
    <dataValidation type="list" allowBlank="1" showInputMessage="1" showErrorMessage="1" sqref="C27:E27" xr:uid="{00000000-0002-0000-0500-000005000000}">
      <formula1>$AB$35:$AB$36</formula1>
    </dataValidation>
    <dataValidation type="decimal" operator="greaterThan" allowBlank="1" showInputMessage="1" showErrorMessage="1" errorTitle="Invalid Value Entered" error="Values of dispersivity must be numbers greater than zero." sqref="L21:L23" xr:uid="{00000000-0002-0000-0500-000006000000}">
      <formula1>0</formula1>
    </dataValidation>
    <dataValidation type="decimal" operator="greaterThanOrEqual" allowBlank="1" showInputMessage="1" showErrorMessage="1" errorTitle="Invalid Value Entered" error="Please enter any number greater than or equal to zero" sqref="L12 L9" xr:uid="{00000000-0002-0000-0500-000007000000}">
      <formula1>0</formula1>
    </dataValidation>
  </dataValidations>
  <pageMargins left="0.74803149606299213" right="0.74803149606299213" top="0.98425196850393704" bottom="0.98425196850393704" header="0.51181102362204722" footer="0.51181102362204722"/>
  <pageSetup paperSize="9" scale="36" orientation="landscape" horizontalDpi="4294967292" r:id="rId1"/>
  <headerFooter alignWithMargins="0">
    <oddFooter>&amp;LInfiltration Worksheet v1.2&amp;R&amp;D,&amp;T
&amp;F</oddFooter>
  </headerFooter>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5">
    <pageSetUpPr fitToPage="1"/>
  </sheetPr>
  <dimension ref="A1:U61"/>
  <sheetViews>
    <sheetView zoomScale="90" workbookViewId="0">
      <selection activeCell="F45" sqref="F45"/>
    </sheetView>
  </sheetViews>
  <sheetFormatPr defaultColWidth="9.109375" defaultRowHeight="13.2" x14ac:dyDescent="0.25"/>
  <cols>
    <col min="1" max="1" width="46.44140625" style="200" customWidth="1"/>
    <col min="2" max="2" width="26.44140625" style="200" customWidth="1"/>
    <col min="3" max="3" width="7" style="200" customWidth="1"/>
    <col min="4" max="4" width="13.6640625" style="201" customWidth="1"/>
    <col min="5" max="5" width="18.5546875" style="201" customWidth="1"/>
    <col min="6" max="8" width="9.109375" style="200"/>
    <col min="9" max="9" width="25.6640625" style="200" bestFit="1" customWidth="1"/>
    <col min="10" max="16384" width="9.109375" style="200"/>
  </cols>
  <sheetData>
    <row r="1" spans="1:13" ht="21" x14ac:dyDescent="0.4">
      <c r="A1" s="486" t="s">
        <v>397</v>
      </c>
      <c r="B1" s="486"/>
      <c r="C1" s="486"/>
      <c r="D1" s="486"/>
      <c r="E1" s="486"/>
      <c r="F1" s="486"/>
      <c r="G1" s="486"/>
      <c r="H1" s="486"/>
      <c r="I1" s="486"/>
      <c r="J1" s="486"/>
      <c r="K1" s="486"/>
      <c r="L1" s="486"/>
      <c r="M1" s="486"/>
    </row>
    <row r="3" spans="1:13" ht="17.399999999999999" x14ac:dyDescent="0.3">
      <c r="A3" s="487" t="s">
        <v>230</v>
      </c>
      <c r="B3" s="487"/>
      <c r="C3" s="487"/>
      <c r="D3" s="487"/>
      <c r="E3" s="487"/>
      <c r="F3" s="487"/>
      <c r="G3" s="487"/>
      <c r="H3" s="487"/>
      <c r="I3"/>
    </row>
    <row r="4" spans="1:13" x14ac:dyDescent="0.25">
      <c r="A4" s="200" t="s">
        <v>231</v>
      </c>
    </row>
    <row r="5" spans="1:13" x14ac:dyDescent="0.25">
      <c r="F5" s="202"/>
    </row>
    <row r="6" spans="1:13" x14ac:dyDescent="0.25">
      <c r="A6" s="309" t="s">
        <v>233</v>
      </c>
      <c r="F6" s="202"/>
    </row>
    <row r="7" spans="1:13" ht="19.5" customHeight="1" x14ac:dyDescent="0.25">
      <c r="B7" s="62" t="s">
        <v>176</v>
      </c>
      <c r="D7" s="476" t="str">
        <f>Introduction!B32</f>
        <v>Ammonia (N)</v>
      </c>
      <c r="E7" s="477"/>
      <c r="F7" s="202"/>
    </row>
    <row r="8" spans="1:13" ht="16.2" x14ac:dyDescent="0.35">
      <c r="B8" s="203" t="s">
        <v>232</v>
      </c>
      <c r="C8" s="127" t="s">
        <v>263</v>
      </c>
      <c r="D8" s="204">
        <f>'Infiltration System'!$D$11</f>
        <v>20</v>
      </c>
      <c r="E8" s="201" t="s">
        <v>18</v>
      </c>
    </row>
    <row r="9" spans="1:13" ht="13.8" x14ac:dyDescent="0.25">
      <c r="B9" s="205"/>
      <c r="C9" s="206"/>
      <c r="D9"/>
    </row>
    <row r="10" spans="1:13" ht="16.2" x14ac:dyDescent="0.25">
      <c r="B10" s="47" t="s">
        <v>345</v>
      </c>
      <c r="C10" s="15" t="s">
        <v>63</v>
      </c>
      <c r="D10" s="207">
        <f>Attenuation_satzone!$D$8</f>
        <v>0.5</v>
      </c>
      <c r="E10" s="201" t="s">
        <v>18</v>
      </c>
    </row>
    <row r="11" spans="1:13" x14ac:dyDescent="0.25">
      <c r="B11" s="205"/>
      <c r="D11"/>
    </row>
    <row r="12" spans="1:13" x14ac:dyDescent="0.25">
      <c r="B12" s="203" t="s">
        <v>25</v>
      </c>
      <c r="D12" s="207">
        <f>Attenuation_satzone!$D$26</f>
        <v>107</v>
      </c>
      <c r="E12" s="201" t="s">
        <v>22</v>
      </c>
    </row>
    <row r="14" spans="1:13" x14ac:dyDescent="0.25">
      <c r="A14" s="208"/>
      <c r="B14" s="203" t="s">
        <v>208</v>
      </c>
      <c r="C14" s="307" t="s">
        <v>218</v>
      </c>
      <c r="D14" s="89">
        <f>Attenuation_unsatzone!$D$67</f>
        <v>1.004470701341623</v>
      </c>
    </row>
    <row r="15" spans="1:13" x14ac:dyDescent="0.25">
      <c r="B15" s="205"/>
      <c r="C15" s="208"/>
      <c r="D15"/>
    </row>
    <row r="16" spans="1:13" x14ac:dyDescent="0.25">
      <c r="A16" s="208"/>
      <c r="B16" s="203" t="str">
        <f>Dilution!B30</f>
        <v xml:space="preserve">Dilution Factor </v>
      </c>
      <c r="C16" s="307" t="str">
        <f>Dilution!C30</f>
        <v>DF</v>
      </c>
      <c r="D16" s="89">
        <f>Dilution!D30</f>
        <v>1.7760593931238486</v>
      </c>
    </row>
    <row r="17" spans="1:21" ht="13.8" x14ac:dyDescent="0.25">
      <c r="B17" s="205"/>
      <c r="C17" s="308"/>
      <c r="D17"/>
    </row>
    <row r="18" spans="1:21" x14ac:dyDescent="0.25">
      <c r="A18" s="208"/>
      <c r="B18" s="203" t="s">
        <v>209</v>
      </c>
      <c r="C18" s="307" t="str">
        <f>Attenuation_satzone!C43</f>
        <v>AFs</v>
      </c>
      <c r="D18" s="89">
        <f>Attenuation_satzone!D43</f>
        <v>36.159933934125526</v>
      </c>
    </row>
    <row r="19" spans="1:21" x14ac:dyDescent="0.25">
      <c r="D19" s="108"/>
    </row>
    <row r="20" spans="1:21" ht="15.6" x14ac:dyDescent="0.3">
      <c r="A20" s="209" t="s">
        <v>388</v>
      </c>
      <c r="D20" s="108"/>
      <c r="S20" s="344" t="s">
        <v>264</v>
      </c>
      <c r="T20" s="345"/>
      <c r="U20" s="345"/>
    </row>
    <row r="21" spans="1:21" ht="16.2" x14ac:dyDescent="0.25">
      <c r="B21" s="107" t="s">
        <v>201</v>
      </c>
      <c r="C21" s="15" t="s">
        <v>262</v>
      </c>
      <c r="D21" s="89">
        <f>Attenuation_unsatzone!$D$69</f>
        <v>19.888312471082994</v>
      </c>
      <c r="E21" s="201" t="s">
        <v>18</v>
      </c>
      <c r="F21" s="200" t="s">
        <v>279</v>
      </c>
      <c r="S21" s="345"/>
      <c r="T21" s="345"/>
      <c r="U21" s="345"/>
    </row>
    <row r="22" spans="1:21" x14ac:dyDescent="0.25">
      <c r="D22" s="108"/>
      <c r="S22" s="345" t="s">
        <v>223</v>
      </c>
      <c r="T22" s="345">
        <f>$D$8</f>
        <v>20</v>
      </c>
      <c r="U22" s="345">
        <f>$D$10</f>
        <v>0.5</v>
      </c>
    </row>
    <row r="23" spans="1:21" ht="16.2" x14ac:dyDescent="0.35">
      <c r="B23" s="107" t="s">
        <v>203</v>
      </c>
      <c r="C23" s="127" t="s">
        <v>280</v>
      </c>
      <c r="D23" s="89">
        <f>Dilution!$D$33</f>
        <v>11.197999654787523</v>
      </c>
      <c r="E23" s="201" t="s">
        <v>18</v>
      </c>
      <c r="F23" s="200" t="s">
        <v>139</v>
      </c>
      <c r="S23" s="345" t="s">
        <v>224</v>
      </c>
      <c r="T23" s="345">
        <f>$D$21</f>
        <v>19.888312471082994</v>
      </c>
      <c r="U23" s="345">
        <f>$D$10</f>
        <v>0.5</v>
      </c>
    </row>
    <row r="24" spans="1:21" x14ac:dyDescent="0.25">
      <c r="D24" s="108"/>
      <c r="S24" s="345" t="s">
        <v>173</v>
      </c>
      <c r="T24" s="345">
        <f>$D$23</f>
        <v>11.197999654787523</v>
      </c>
      <c r="U24" s="345">
        <f>$D$10</f>
        <v>0.5</v>
      </c>
    </row>
    <row r="25" spans="1:21" ht="16.2" x14ac:dyDescent="0.35">
      <c r="B25" s="107" t="s">
        <v>207</v>
      </c>
      <c r="C25" s="127" t="s">
        <v>281</v>
      </c>
      <c r="D25" s="89">
        <f>Attenuation_satzone!$D$49</f>
        <v>0.30967975979125167</v>
      </c>
      <c r="E25" s="201" t="s">
        <v>18</v>
      </c>
      <c r="F25" s="200" t="s">
        <v>306</v>
      </c>
      <c r="S25" s="345" t="s">
        <v>225</v>
      </c>
      <c r="T25" s="345">
        <f>$D$25</f>
        <v>0.30967975979125167</v>
      </c>
      <c r="U25" s="345">
        <f>$D$10</f>
        <v>0.5</v>
      </c>
    </row>
    <row r="26" spans="1:21" x14ac:dyDescent="0.25">
      <c r="A26" s="200" t="str">
        <f>IF(D25&gt;D10, "Lower effluent concentration may be required - see below", "")</f>
        <v/>
      </c>
      <c r="B26" s="208"/>
    </row>
    <row r="27" spans="1:21" ht="15.6" x14ac:dyDescent="0.3">
      <c r="A27" s="209" t="s">
        <v>409</v>
      </c>
      <c r="D27" s="108"/>
    </row>
    <row r="28" spans="1:21" ht="16.2" x14ac:dyDescent="0.35">
      <c r="B28" s="107" t="s">
        <v>222</v>
      </c>
      <c r="C28" s="127" t="s">
        <v>408</v>
      </c>
      <c r="D28" s="89">
        <f>Attenuation_unsatzone!$D$71</f>
        <v>0.50280786841717706</v>
      </c>
      <c r="E28" s="201" t="s">
        <v>18</v>
      </c>
      <c r="F28" s="479" t="str">
        <f>IF(D28&gt;D$8,"Discharge limit for discussion with Environment Agency","")</f>
        <v/>
      </c>
      <c r="G28" s="480"/>
      <c r="H28" s="480"/>
      <c r="I28" s="480"/>
    </row>
    <row r="29" spans="1:21" x14ac:dyDescent="0.25">
      <c r="D29" s="108"/>
    </row>
    <row r="30" spans="1:21" ht="16.2" x14ac:dyDescent="0.35">
      <c r="B30" s="107" t="s">
        <v>221</v>
      </c>
      <c r="C30" s="127" t="s">
        <v>406</v>
      </c>
      <c r="D30" s="89">
        <f>Dilution!$D$35</f>
        <v>0.89301663763890737</v>
      </c>
      <c r="E30" s="201" t="s">
        <v>18</v>
      </c>
      <c r="F30" s="479" t="str">
        <f>IF(D30&gt;D$8,"Discharge limit for discussion with Environment Agency","")</f>
        <v/>
      </c>
      <c r="G30" s="480"/>
      <c r="H30" s="480"/>
      <c r="I30" s="480"/>
    </row>
    <row r="31" spans="1:21" x14ac:dyDescent="0.25">
      <c r="D31" s="108"/>
    </row>
    <row r="32" spans="1:21" ht="16.2" x14ac:dyDescent="0.35">
      <c r="B32" s="107" t="s">
        <v>220</v>
      </c>
      <c r="C32" s="127" t="s">
        <v>407</v>
      </c>
      <c r="D32" s="89">
        <f>Attenuation_satzone!$D$51</f>
        <v>32.291422619097808</v>
      </c>
      <c r="E32" s="201" t="s">
        <v>18</v>
      </c>
      <c r="F32" s="479" t="str">
        <f>IF(D32&gt;D$8,"Discharge limit for discussion with Environment Agency","")</f>
        <v>Discharge limit for discussion with Environment Agency</v>
      </c>
      <c r="G32" s="480"/>
      <c r="H32" s="480"/>
      <c r="I32" s="480"/>
    </row>
    <row r="37" spans="1:8" x14ac:dyDescent="0.25">
      <c r="A37"/>
      <c r="B37"/>
      <c r="C37"/>
      <c r="D37"/>
      <c r="E37" s="2"/>
      <c r="F37"/>
      <c r="G37"/>
      <c r="H37"/>
    </row>
    <row r="38" spans="1:8" x14ac:dyDescent="0.25">
      <c r="A38"/>
      <c r="B38"/>
      <c r="C38"/>
      <c r="D38"/>
      <c r="E38" s="2"/>
      <c r="F38"/>
      <c r="G38"/>
      <c r="H38"/>
    </row>
    <row r="39" spans="1:8" x14ac:dyDescent="0.25">
      <c r="A39"/>
      <c r="B39"/>
      <c r="C39"/>
      <c r="D39"/>
      <c r="E39" s="2"/>
      <c r="F39"/>
      <c r="G39"/>
      <c r="H39"/>
    </row>
    <row r="40" spans="1:8" x14ac:dyDescent="0.25">
      <c r="A40"/>
      <c r="B40"/>
      <c r="C40"/>
      <c r="D40"/>
      <c r="E40" s="2"/>
      <c r="F40"/>
      <c r="G40"/>
      <c r="H40"/>
    </row>
    <row r="41" spans="1:8" x14ac:dyDescent="0.25">
      <c r="A41"/>
      <c r="B41"/>
      <c r="C41"/>
      <c r="D41"/>
      <c r="E41" s="2"/>
      <c r="F41"/>
      <c r="G41"/>
      <c r="H41"/>
    </row>
    <row r="42" spans="1:8" x14ac:dyDescent="0.25">
      <c r="A42"/>
      <c r="B42"/>
      <c r="C42"/>
      <c r="D42"/>
      <c r="E42" s="2"/>
      <c r="F42"/>
      <c r="G42"/>
      <c r="H42"/>
    </row>
    <row r="43" spans="1:8" x14ac:dyDescent="0.25">
      <c r="A43"/>
      <c r="B43"/>
      <c r="C43"/>
      <c r="D43"/>
      <c r="E43" s="2"/>
      <c r="F43"/>
      <c r="G43"/>
      <c r="H43"/>
    </row>
    <row r="44" spans="1:8" x14ac:dyDescent="0.25">
      <c r="A44"/>
      <c r="B44"/>
      <c r="C44"/>
      <c r="D44"/>
      <c r="E44" s="2"/>
      <c r="F44"/>
      <c r="G44"/>
      <c r="H44"/>
    </row>
    <row r="45" spans="1:8" x14ac:dyDescent="0.25">
      <c r="A45"/>
      <c r="B45"/>
      <c r="C45"/>
      <c r="D45"/>
      <c r="E45" s="2"/>
      <c r="F45"/>
      <c r="G45"/>
      <c r="H45"/>
    </row>
    <row r="46" spans="1:8" x14ac:dyDescent="0.25">
      <c r="A46"/>
      <c r="B46"/>
      <c r="C46"/>
      <c r="D46"/>
      <c r="E46" s="2"/>
      <c r="F46"/>
      <c r="G46"/>
      <c r="H46"/>
    </row>
    <row r="47" spans="1:8" x14ac:dyDescent="0.25">
      <c r="A47"/>
      <c r="B47"/>
      <c r="C47"/>
      <c r="D47"/>
      <c r="E47" s="2"/>
      <c r="F47"/>
      <c r="G47"/>
      <c r="H47"/>
    </row>
    <row r="48" spans="1:8" x14ac:dyDescent="0.25">
      <c r="A48"/>
      <c r="B48"/>
      <c r="C48"/>
      <c r="D48"/>
      <c r="E48" s="2"/>
      <c r="F48"/>
      <c r="G48"/>
      <c r="H48"/>
    </row>
    <row r="49" spans="1:8" x14ac:dyDescent="0.25">
      <c r="A49"/>
      <c r="B49"/>
      <c r="C49"/>
      <c r="D49"/>
      <c r="E49" s="2"/>
      <c r="F49"/>
      <c r="G49"/>
      <c r="H49"/>
    </row>
    <row r="50" spans="1:8" x14ac:dyDescent="0.25">
      <c r="A50"/>
      <c r="B50"/>
      <c r="C50"/>
      <c r="D50"/>
      <c r="E50" s="2"/>
      <c r="F50"/>
      <c r="G50"/>
      <c r="H50"/>
    </row>
    <row r="51" spans="1:8" x14ac:dyDescent="0.25">
      <c r="A51"/>
      <c r="B51"/>
      <c r="C51"/>
      <c r="D51"/>
      <c r="E51" s="2"/>
      <c r="F51"/>
      <c r="G51"/>
      <c r="H51"/>
    </row>
    <row r="52" spans="1:8" x14ac:dyDescent="0.25">
      <c r="A52"/>
      <c r="B52"/>
      <c r="C52"/>
      <c r="D52"/>
      <c r="E52" s="2"/>
      <c r="F52"/>
      <c r="G52"/>
      <c r="H52"/>
    </row>
    <row r="53" spans="1:8" x14ac:dyDescent="0.25">
      <c r="A53"/>
      <c r="B53"/>
      <c r="C53"/>
      <c r="D53"/>
      <c r="E53" s="2"/>
      <c r="F53"/>
      <c r="G53"/>
      <c r="H53"/>
    </row>
    <row r="54" spans="1:8" x14ac:dyDescent="0.25">
      <c r="A54"/>
      <c r="B54"/>
      <c r="C54"/>
      <c r="D54"/>
      <c r="E54" s="2"/>
      <c r="F54"/>
      <c r="G54"/>
      <c r="H54"/>
    </row>
    <row r="55" spans="1:8" x14ac:dyDescent="0.25">
      <c r="A55"/>
      <c r="B55"/>
      <c r="C55"/>
      <c r="D55"/>
      <c r="E55" s="2"/>
      <c r="F55"/>
      <c r="G55"/>
      <c r="H55"/>
    </row>
    <row r="56" spans="1:8" x14ac:dyDescent="0.25">
      <c r="A56"/>
      <c r="B56"/>
      <c r="C56"/>
      <c r="D56"/>
      <c r="E56" s="2"/>
      <c r="F56"/>
      <c r="G56"/>
      <c r="H56"/>
    </row>
    <row r="57" spans="1:8" x14ac:dyDescent="0.25">
      <c r="A57"/>
      <c r="B57"/>
      <c r="C57"/>
      <c r="D57"/>
      <c r="E57" s="2"/>
      <c r="F57"/>
      <c r="G57"/>
      <c r="H57"/>
    </row>
    <row r="58" spans="1:8" x14ac:dyDescent="0.25">
      <c r="A58"/>
      <c r="B58"/>
      <c r="C58"/>
      <c r="D58"/>
      <c r="E58" s="2"/>
      <c r="F58"/>
      <c r="G58"/>
      <c r="H58"/>
    </row>
    <row r="59" spans="1:8" x14ac:dyDescent="0.25">
      <c r="A59"/>
      <c r="B59"/>
      <c r="C59"/>
      <c r="D59"/>
      <c r="E59" s="2"/>
      <c r="F59"/>
      <c r="G59"/>
      <c r="H59"/>
    </row>
    <row r="60" spans="1:8" x14ac:dyDescent="0.25">
      <c r="A60"/>
      <c r="B60"/>
      <c r="C60"/>
      <c r="D60"/>
      <c r="E60" s="2"/>
      <c r="F60"/>
      <c r="G60"/>
      <c r="H60"/>
    </row>
    <row r="61" spans="1:8" x14ac:dyDescent="0.25">
      <c r="A61"/>
      <c r="B61"/>
      <c r="C61"/>
      <c r="D61"/>
      <c r="E61" s="2"/>
      <c r="F61"/>
      <c r="G61"/>
      <c r="H61"/>
    </row>
  </sheetData>
  <sheetProtection algorithmName="SHA-512" hashValue="X4r2/MIF+EM7COFpGkrgmar1gKAOmlbrKwbn8z++WD7YIel92IKgP7n7TsgAxVTRIWgeZlSUpM8I4Wgp/ovC4g==" saltValue="0teIx86VzL3wAEFKdL6MOw==" spinCount="100000" sheet="1" objects="1" scenarios="1"/>
  <mergeCells count="6">
    <mergeCell ref="F32:I32"/>
    <mergeCell ref="A1:M1"/>
    <mergeCell ref="A3:H3"/>
    <mergeCell ref="F28:I28"/>
    <mergeCell ref="F30:I30"/>
    <mergeCell ref="D7:E7"/>
  </mergeCells>
  <phoneticPr fontId="58" type="noConversion"/>
  <pageMargins left="0.75" right="0.75" top="1" bottom="1" header="0.5" footer="0.5"/>
  <pageSetup paperSize="9" scale="56" orientation="landscape" horizontalDpi="4294967292" r:id="rId1"/>
  <headerFooter alignWithMargins="0">
    <oddFooter>&amp;LInfiltration Worksheet v1.2&amp;R&amp;D, &amp;T
&amp;F&amp;A</oddFooter>
  </headerFooter>
  <ignoredErrors>
    <ignoredError sqref="A26" evalError="1"/>
  </ignoredErrors>
  <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
  <dimension ref="A1:K29"/>
  <sheetViews>
    <sheetView zoomScale="130" workbookViewId="0">
      <selection activeCell="D16" sqref="D16"/>
    </sheetView>
  </sheetViews>
  <sheetFormatPr defaultColWidth="9.109375" defaultRowHeight="13.2" x14ac:dyDescent="0.25"/>
  <cols>
    <col min="1" max="1" width="1.33203125" customWidth="1"/>
    <col min="2" max="2" width="38.5546875" customWidth="1"/>
    <col min="3" max="3" width="10.109375" customWidth="1"/>
    <col min="4" max="5" width="10.6640625" customWidth="1"/>
    <col min="6" max="6" width="0.88671875" customWidth="1"/>
    <col min="7" max="8" width="10.6640625" customWidth="1"/>
    <col min="9" max="9" width="0.88671875" customWidth="1"/>
    <col min="10" max="11" width="10.6640625" customWidth="1"/>
  </cols>
  <sheetData>
    <row r="1" spans="1:10" ht="3.75" customHeight="1" x14ac:dyDescent="0.25"/>
    <row r="2" spans="1:10" s="210" customFormat="1" ht="21" x14ac:dyDescent="0.4">
      <c r="A2" s="210" t="s">
        <v>104</v>
      </c>
    </row>
    <row r="3" spans="1:10" s="211" customFormat="1" ht="15.6" x14ac:dyDescent="0.3">
      <c r="A3" s="211" t="s">
        <v>278</v>
      </c>
    </row>
    <row r="6" spans="1:10" s="11" customFormat="1" x14ac:dyDescent="0.25">
      <c r="B6" s="11" t="s">
        <v>68</v>
      </c>
      <c r="C6" s="6" t="s">
        <v>105</v>
      </c>
      <c r="E6" s="23" t="s">
        <v>106</v>
      </c>
      <c r="F6" s="23"/>
      <c r="G6" s="11" t="s">
        <v>107</v>
      </c>
    </row>
    <row r="7" spans="1:10" x14ac:dyDescent="0.25">
      <c r="B7" s="212" t="s">
        <v>26</v>
      </c>
      <c r="C7" s="213" t="s">
        <v>108</v>
      </c>
      <c r="D7" s="35">
        <v>0</v>
      </c>
      <c r="E7" s="214" t="s">
        <v>21</v>
      </c>
      <c r="F7" s="214"/>
      <c r="G7" s="488"/>
      <c r="H7" s="489"/>
      <c r="I7" s="489"/>
      <c r="J7" s="490"/>
    </row>
    <row r="8" spans="1:10" x14ac:dyDescent="0.25">
      <c r="B8" s="212" t="s">
        <v>24</v>
      </c>
      <c r="C8" s="213" t="s">
        <v>110</v>
      </c>
      <c r="D8" s="35">
        <v>0</v>
      </c>
      <c r="E8" s="214" t="s">
        <v>111</v>
      </c>
      <c r="F8" s="214"/>
      <c r="G8" s="488"/>
      <c r="H8" s="489"/>
      <c r="I8" s="489"/>
      <c r="J8" s="490"/>
    </row>
    <row r="9" spans="1:10" x14ac:dyDescent="0.25">
      <c r="B9" s="212" t="s">
        <v>112</v>
      </c>
      <c r="C9" s="213" t="s">
        <v>1</v>
      </c>
      <c r="D9" s="35">
        <v>0</v>
      </c>
      <c r="E9" s="214" t="s">
        <v>56</v>
      </c>
      <c r="F9" s="214"/>
      <c r="G9" s="488"/>
      <c r="H9" s="489"/>
      <c r="I9" s="489"/>
      <c r="J9" s="490"/>
    </row>
    <row r="10" spans="1:10" x14ac:dyDescent="0.25">
      <c r="B10" s="212"/>
      <c r="C10" s="213"/>
      <c r="D10" s="213"/>
      <c r="E10" s="214"/>
      <c r="F10" s="214"/>
    </row>
    <row r="11" spans="1:10" x14ac:dyDescent="0.25">
      <c r="B11" s="212" t="s">
        <v>113</v>
      </c>
      <c r="C11" s="213" t="s">
        <v>114</v>
      </c>
      <c r="D11" s="35">
        <v>0</v>
      </c>
      <c r="E11" s="214" t="s">
        <v>22</v>
      </c>
      <c r="F11" s="214"/>
      <c r="G11" s="488"/>
      <c r="H11" s="489"/>
      <c r="I11" s="489"/>
      <c r="J11" s="490"/>
    </row>
    <row r="12" spans="1:10" x14ac:dyDescent="0.25">
      <c r="B12" s="212" t="s">
        <v>115</v>
      </c>
      <c r="C12" s="213" t="s">
        <v>54</v>
      </c>
      <c r="D12" s="35">
        <v>0</v>
      </c>
      <c r="E12" s="214" t="s">
        <v>22</v>
      </c>
      <c r="F12" s="214"/>
      <c r="G12" s="488"/>
      <c r="H12" s="489"/>
      <c r="I12" s="489"/>
      <c r="J12" s="490"/>
    </row>
    <row r="13" spans="1:10" x14ac:dyDescent="0.25">
      <c r="B13" s="212" t="s">
        <v>116</v>
      </c>
      <c r="C13" s="213" t="s">
        <v>10</v>
      </c>
      <c r="D13" s="35">
        <v>0</v>
      </c>
      <c r="E13" s="214" t="s">
        <v>22</v>
      </c>
      <c r="F13" s="214"/>
      <c r="G13" s="488"/>
      <c r="H13" s="489"/>
      <c r="I13" s="489"/>
      <c r="J13" s="490"/>
    </row>
    <row r="14" spans="1:10" ht="13.8" x14ac:dyDescent="0.25">
      <c r="B14" s="1" t="s">
        <v>150</v>
      </c>
      <c r="C14" s="215" t="s">
        <v>28</v>
      </c>
      <c r="D14" s="35">
        <v>0</v>
      </c>
      <c r="E14" s="214" t="s">
        <v>147</v>
      </c>
      <c r="F14" s="214"/>
      <c r="G14" s="488"/>
      <c r="H14" s="489"/>
      <c r="I14" s="489"/>
      <c r="J14" s="490"/>
    </row>
    <row r="15" spans="1:10" x14ac:dyDescent="0.25">
      <c r="B15" s="212" t="s">
        <v>146</v>
      </c>
      <c r="C15" s="213" t="s">
        <v>9</v>
      </c>
      <c r="D15" s="35">
        <v>0</v>
      </c>
      <c r="E15" s="214" t="s">
        <v>19</v>
      </c>
      <c r="F15" s="214"/>
      <c r="G15" s="488"/>
      <c r="H15" s="489"/>
      <c r="I15" s="489"/>
      <c r="J15" s="490"/>
    </row>
    <row r="16" spans="1:10" x14ac:dyDescent="0.25">
      <c r="B16" s="212" t="s">
        <v>117</v>
      </c>
      <c r="C16" s="213" t="s">
        <v>118</v>
      </c>
      <c r="D16" s="216" t="e">
        <f>1+(D15*D14)/D9</f>
        <v>#DIV/0!</v>
      </c>
      <c r="E16" s="214"/>
      <c r="F16" s="214"/>
      <c r="G16" s="488"/>
      <c r="H16" s="489"/>
      <c r="I16" s="489"/>
      <c r="J16" s="490"/>
    </row>
    <row r="17" spans="2:11" x14ac:dyDescent="0.25">
      <c r="B17" s="212"/>
      <c r="C17" s="213"/>
      <c r="D17" s="214"/>
      <c r="E17" s="214"/>
      <c r="F17" s="214"/>
    </row>
    <row r="18" spans="2:11" x14ac:dyDescent="0.25">
      <c r="B18" s="212"/>
      <c r="C18" s="213"/>
      <c r="D18" s="214"/>
      <c r="E18" s="214"/>
      <c r="F18" s="214"/>
    </row>
    <row r="19" spans="2:11" x14ac:dyDescent="0.25">
      <c r="B19" s="212"/>
      <c r="C19" s="213"/>
      <c r="D19" s="214"/>
      <c r="E19" s="214"/>
      <c r="F19" s="214"/>
    </row>
    <row r="20" spans="2:11" x14ac:dyDescent="0.25">
      <c r="B20" s="217" t="s">
        <v>119</v>
      </c>
      <c r="C20" s="216" t="s">
        <v>120</v>
      </c>
      <c r="D20" s="218" t="e">
        <f>(D7*D8)/(D9*86400)</f>
        <v>#DIV/0!</v>
      </c>
      <c r="E20" s="219" t="s">
        <v>131</v>
      </c>
      <c r="F20" s="220"/>
      <c r="G20" s="218" t="e">
        <f>(D7*D8)/D9</f>
        <v>#DIV/0!</v>
      </c>
      <c r="H20" s="221" t="s">
        <v>109</v>
      </c>
      <c r="J20" s="218" t="e">
        <f>(365*D7*D8)/D9</f>
        <v>#DIV/0!</v>
      </c>
      <c r="K20" s="219" t="s">
        <v>129</v>
      </c>
    </row>
    <row r="21" spans="2:11" x14ac:dyDescent="0.25">
      <c r="B21" s="217" t="s">
        <v>121</v>
      </c>
      <c r="C21" s="216" t="s">
        <v>122</v>
      </c>
      <c r="D21" s="218" t="e">
        <f>D13/D20</f>
        <v>#DIV/0!</v>
      </c>
      <c r="E21" s="219" t="s">
        <v>132</v>
      </c>
      <c r="F21" s="220"/>
      <c r="G21" s="218" t="e">
        <f>D13/G20</f>
        <v>#DIV/0!</v>
      </c>
      <c r="H21" s="221" t="s">
        <v>17</v>
      </c>
      <c r="J21" s="218" t="e">
        <f>D13/J20</f>
        <v>#DIV/0!</v>
      </c>
      <c r="K21" s="219" t="s">
        <v>130</v>
      </c>
    </row>
    <row r="22" spans="2:11" ht="15.6" x14ac:dyDescent="0.25">
      <c r="B22" s="217" t="s">
        <v>156</v>
      </c>
      <c r="C22" s="216" t="s">
        <v>51</v>
      </c>
      <c r="D22" s="218">
        <f>D7*D8*D11*D12/86400</f>
        <v>0</v>
      </c>
      <c r="E22" s="219" t="s">
        <v>133</v>
      </c>
      <c r="F22" s="220"/>
      <c r="G22" s="218">
        <f>D7*D8*D11*D12</f>
        <v>0</v>
      </c>
      <c r="H22" s="221" t="s">
        <v>134</v>
      </c>
      <c r="J22" s="218">
        <f>D7*D8*D11*D12*365</f>
        <v>0</v>
      </c>
      <c r="K22" s="219" t="s">
        <v>135</v>
      </c>
    </row>
    <row r="23" spans="2:11" x14ac:dyDescent="0.25">
      <c r="B23" s="212"/>
      <c r="C23" s="213"/>
      <c r="D23" s="222"/>
      <c r="E23" s="214"/>
      <c r="F23" s="220"/>
    </row>
    <row r="24" spans="2:11" x14ac:dyDescent="0.25">
      <c r="B24" s="217" t="s">
        <v>123</v>
      </c>
      <c r="C24" s="216" t="s">
        <v>124</v>
      </c>
      <c r="D24" s="223" t="e">
        <f>(D7*D8)/(86400*D9*D16)</f>
        <v>#DIV/0!</v>
      </c>
      <c r="E24" s="219" t="s">
        <v>131</v>
      </c>
      <c r="F24" s="220"/>
      <c r="G24" s="223" t="e">
        <f>(D7*D8)/(D9*D16)</f>
        <v>#DIV/0!</v>
      </c>
      <c r="H24" s="224" t="s">
        <v>109</v>
      </c>
      <c r="J24" s="223" t="e">
        <f>(365*D7*D8)/(D9*D16)</f>
        <v>#DIV/0!</v>
      </c>
      <c r="K24" s="219" t="s">
        <v>129</v>
      </c>
    </row>
    <row r="25" spans="2:11" x14ac:dyDescent="0.25">
      <c r="B25" s="217" t="s">
        <v>125</v>
      </c>
      <c r="C25" s="216" t="s">
        <v>126</v>
      </c>
      <c r="D25" s="223" t="e">
        <f>D13/D24</f>
        <v>#DIV/0!</v>
      </c>
      <c r="E25" s="219" t="s">
        <v>132</v>
      </c>
      <c r="F25" s="220"/>
      <c r="G25" s="223" t="e">
        <f>D13/G24</f>
        <v>#DIV/0!</v>
      </c>
      <c r="H25" s="224" t="s">
        <v>17</v>
      </c>
      <c r="J25" s="223" t="e">
        <f>D13/J24</f>
        <v>#DIV/0!</v>
      </c>
      <c r="K25" s="219" t="s">
        <v>130</v>
      </c>
    </row>
    <row r="29" spans="2:11" x14ac:dyDescent="0.25">
      <c r="D29" s="87"/>
      <c r="G29" s="87"/>
      <c r="J29" s="87"/>
    </row>
  </sheetData>
  <sheetProtection algorithmName="SHA-512" hashValue="G5Qj3M4etUT6+u2qzMRFVgvGHttxLFATDzFo9AjxNnEYdG3gJacPW+YH+iz96Kspcm04d+XMGRIysPknHus5oA==" saltValue="ycF4YYou7CayEA4vz5/5gA==" spinCount="100000" sheet="1" objects="1" scenarios="1"/>
  <mergeCells count="9">
    <mergeCell ref="G7:J7"/>
    <mergeCell ref="G8:J8"/>
    <mergeCell ref="G9:J9"/>
    <mergeCell ref="G11:J11"/>
    <mergeCell ref="G16:J16"/>
    <mergeCell ref="G12:J12"/>
    <mergeCell ref="G13:J13"/>
    <mergeCell ref="G14:J14"/>
    <mergeCell ref="G15:J15"/>
  </mergeCells>
  <phoneticPr fontId="58" type="noConversion"/>
  <dataValidations count="1">
    <dataValidation type="decimal" operator="greaterThanOrEqual" allowBlank="1" showInputMessage="1" showErrorMessage="1" errorTitle="Invalid Value Entered" error="Please enter a number greater than or equal to zero" sqref="D7:D8 D11:D15" xr:uid="{00000000-0002-0000-0700-000000000000}">
      <formula1>0</formula1>
    </dataValidation>
  </dataValidations>
  <pageMargins left="0.75" right="0.75" top="1" bottom="1" header="0.5" footer="0.5"/>
  <pageSetup paperSize="9" orientation="landscape" horizontalDpi="300" verticalDpi="300"/>
  <headerFooter alignWithMargins="0">
    <oddFooter>&amp;LInfiltration Worksheet v1.2
&amp;R&amp;D, &amp;T
&amp;F&amp;A</oddFooter>
  </headerFooter>
  <legacy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2:Q27"/>
  <sheetViews>
    <sheetView workbookViewId="0">
      <selection activeCell="C26" sqref="C26"/>
    </sheetView>
  </sheetViews>
  <sheetFormatPr defaultColWidth="9.109375" defaultRowHeight="13.2" x14ac:dyDescent="0.25"/>
  <cols>
    <col min="1" max="1" width="29.6640625" customWidth="1"/>
    <col min="2" max="2" width="41.33203125" customWidth="1"/>
    <col min="3" max="3" width="25.5546875" customWidth="1"/>
    <col min="9" max="9" width="14.88671875" customWidth="1"/>
    <col min="10" max="10" width="22.109375" hidden="1" customWidth="1"/>
    <col min="11" max="12" width="9.109375" hidden="1" customWidth="1"/>
    <col min="13" max="16" width="16.6640625" hidden="1" customWidth="1"/>
    <col min="17" max="17" width="16.6640625" customWidth="1"/>
  </cols>
  <sheetData>
    <row r="2" spans="1:17" ht="15.6" x14ac:dyDescent="0.3">
      <c r="A2" s="211" t="s">
        <v>327</v>
      </c>
    </row>
    <row r="3" spans="1:17" x14ac:dyDescent="0.25">
      <c r="A3" t="s">
        <v>330</v>
      </c>
    </row>
    <row r="4" spans="1:17" x14ac:dyDescent="0.25">
      <c r="A4" t="s">
        <v>331</v>
      </c>
    </row>
    <row r="5" spans="1:17" x14ac:dyDescent="0.25">
      <c r="A5" t="s">
        <v>344</v>
      </c>
    </row>
    <row r="6" spans="1:17" x14ac:dyDescent="0.25">
      <c r="A6" t="s">
        <v>339</v>
      </c>
    </row>
    <row r="14" spans="1:17" x14ac:dyDescent="0.25">
      <c r="A14" t="s">
        <v>332</v>
      </c>
      <c r="B14" s="343" t="s">
        <v>329</v>
      </c>
      <c r="J14" s="131"/>
      <c r="K14" s="131"/>
      <c r="L14" s="131"/>
      <c r="M14" s="131" t="s">
        <v>329</v>
      </c>
      <c r="N14" s="131" t="s">
        <v>328</v>
      </c>
      <c r="O14" s="131" t="s">
        <v>342</v>
      </c>
      <c r="P14" s="131" t="s">
        <v>343</v>
      </c>
    </row>
    <row r="15" spans="1:17" x14ac:dyDescent="0.25">
      <c r="J15" s="131" t="s">
        <v>329</v>
      </c>
      <c r="K15" s="131" t="s">
        <v>336</v>
      </c>
      <c r="L15" s="131">
        <v>4</v>
      </c>
      <c r="M15" s="131">
        <v>1</v>
      </c>
      <c r="N15" s="131">
        <f>18/14</f>
        <v>1.2857142857142858</v>
      </c>
      <c r="O15" s="131">
        <f>17/14</f>
        <v>1.2142857142857142</v>
      </c>
      <c r="P15" s="131">
        <v>1</v>
      </c>
      <c r="Q15" t="s">
        <v>62</v>
      </c>
    </row>
    <row r="16" spans="1:17" x14ac:dyDescent="0.25">
      <c r="A16" t="s">
        <v>333</v>
      </c>
      <c r="B16" s="416">
        <v>10</v>
      </c>
      <c r="C16" t="str">
        <f>"mg/l "&amp;J21</f>
        <v>mg/l as N</v>
      </c>
      <c r="J16" s="131" t="s">
        <v>328</v>
      </c>
      <c r="K16" s="131" t="s">
        <v>337</v>
      </c>
      <c r="L16" s="131">
        <v>5</v>
      </c>
      <c r="M16" s="131">
        <f>14/18</f>
        <v>0.77777777777777779</v>
      </c>
      <c r="N16" s="131">
        <v>1</v>
      </c>
      <c r="O16" s="131">
        <f>17/18</f>
        <v>0.94444444444444442</v>
      </c>
      <c r="P16" s="131">
        <f>14/18</f>
        <v>0.77777777777777779</v>
      </c>
    </row>
    <row r="17" spans="1:16" x14ac:dyDescent="0.25">
      <c r="J17" s="131" t="s">
        <v>342</v>
      </c>
      <c r="K17" s="131" t="s">
        <v>338</v>
      </c>
      <c r="L17" s="131">
        <v>6</v>
      </c>
      <c r="M17" s="131">
        <f>14/17</f>
        <v>0.82352941176470584</v>
      </c>
      <c r="N17" s="131">
        <f>18/17</f>
        <v>1.0588235294117647</v>
      </c>
      <c r="O17" s="131">
        <v>1</v>
      </c>
      <c r="P17" s="131">
        <f>14/17</f>
        <v>0.82352941176470584</v>
      </c>
    </row>
    <row r="18" spans="1:16" x14ac:dyDescent="0.25">
      <c r="A18" t="s">
        <v>334</v>
      </c>
      <c r="B18" s="343" t="s">
        <v>328</v>
      </c>
      <c r="J18" s="131" t="s">
        <v>343</v>
      </c>
      <c r="K18" s="131" t="s">
        <v>336</v>
      </c>
      <c r="L18" s="131">
        <v>7</v>
      </c>
      <c r="M18" s="131">
        <v>1</v>
      </c>
      <c r="N18" s="131">
        <f>18/14</f>
        <v>1.2857142857142858</v>
      </c>
      <c r="O18" s="131">
        <f>17/14</f>
        <v>1.2142857142857142</v>
      </c>
      <c r="P18" s="131">
        <v>1</v>
      </c>
    </row>
    <row r="19" spans="1:16" x14ac:dyDescent="0.25">
      <c r="J19" s="131"/>
      <c r="K19" s="131"/>
      <c r="L19" s="131"/>
      <c r="M19" s="131"/>
      <c r="N19" s="131"/>
      <c r="O19" s="131"/>
      <c r="P19" s="131"/>
    </row>
    <row r="20" spans="1:16" x14ac:dyDescent="0.25">
      <c r="A20" t="s">
        <v>335</v>
      </c>
      <c r="B20" s="417">
        <f>B16*J27</f>
        <v>12.857142857142858</v>
      </c>
      <c r="C20" t="str">
        <f>"mg/l "&amp;J23</f>
        <v>mg/l as NH4</v>
      </c>
      <c r="J20" s="131"/>
      <c r="K20" s="131"/>
      <c r="L20" s="131"/>
      <c r="M20" s="131"/>
      <c r="N20" s="131"/>
      <c r="O20" s="131"/>
      <c r="P20" s="131"/>
    </row>
    <row r="21" spans="1:16" x14ac:dyDescent="0.25">
      <c r="J21" s="131" t="str">
        <f>VLOOKUP(B14,J15:K18,2,FALSE)</f>
        <v>as N</v>
      </c>
      <c r="K21" s="131"/>
      <c r="L21" s="131"/>
      <c r="M21" s="131"/>
      <c r="N21" s="131"/>
      <c r="O21" s="131"/>
      <c r="P21" s="131"/>
    </row>
    <row r="22" spans="1:16" x14ac:dyDescent="0.25">
      <c r="J22" s="131"/>
      <c r="K22" s="131"/>
      <c r="L22" s="131"/>
      <c r="M22" s="131"/>
      <c r="N22" s="131"/>
      <c r="O22" s="131"/>
      <c r="P22" s="131"/>
    </row>
    <row r="23" spans="1:16" x14ac:dyDescent="0.25">
      <c r="J23" s="131" t="str">
        <f>VLOOKUP(B18,J15:K18,2,FALSE)</f>
        <v>as NH4</v>
      </c>
      <c r="K23" s="131"/>
      <c r="L23" s="131"/>
      <c r="M23" s="131"/>
      <c r="N23" s="131"/>
      <c r="O23" s="131"/>
      <c r="P23" s="131"/>
    </row>
    <row r="24" spans="1:16" x14ac:dyDescent="0.25">
      <c r="J24" s="131"/>
      <c r="K24" s="131"/>
      <c r="L24" s="131"/>
      <c r="M24" s="131"/>
      <c r="N24" s="131"/>
      <c r="O24" s="131"/>
      <c r="P24" s="131"/>
    </row>
    <row r="25" spans="1:16" x14ac:dyDescent="0.25">
      <c r="J25" s="131">
        <f>VLOOKUP(B18,J15:L18,3,FALSE)</f>
        <v>5</v>
      </c>
      <c r="K25" s="131"/>
      <c r="L25" s="131"/>
      <c r="M25" s="131"/>
      <c r="N25" s="131"/>
      <c r="O25" s="131"/>
      <c r="P25" s="131"/>
    </row>
    <row r="26" spans="1:16" x14ac:dyDescent="0.25">
      <c r="J26" s="131"/>
      <c r="K26" s="131"/>
      <c r="L26" s="131"/>
      <c r="M26" s="131"/>
      <c r="N26" s="131"/>
      <c r="O26" s="131"/>
      <c r="P26" s="131"/>
    </row>
    <row r="27" spans="1:16" x14ac:dyDescent="0.25">
      <c r="J27" s="131">
        <f>VLOOKUP(B14,J15:P24,J25,FALSE)</f>
        <v>1.2857142857142858</v>
      </c>
      <c r="K27" s="131"/>
      <c r="L27" s="131"/>
      <c r="M27" s="131"/>
      <c r="N27" s="131"/>
      <c r="O27" s="131"/>
      <c r="P27" s="131"/>
    </row>
  </sheetData>
  <sheetProtection algorithmName="SHA-512" hashValue="NsV2kEZqCSNBaJv3rJ5h7L2CglMXxreFbYWN2+7/kbQKCOWsk/QGTwhGWhP9kofqUUiQUE1mXDYOZ87gycg59w==" saltValue="YvokIzdpjRyXzITontzevQ==" spinCount="100000" sheet="1" objects="1" scenarios="1"/>
  <phoneticPr fontId="58" type="noConversion"/>
  <dataValidations count="1">
    <dataValidation type="list" allowBlank="1" showInputMessage="1" showErrorMessage="1" sqref="B14 B18" xr:uid="{00000000-0002-0000-0800-000000000000}">
      <formula1>$J$15:$J$19</formula1>
    </dataValidation>
  </dataValidations>
  <pageMargins left="0.75" right="0.75" top="1" bottom="1" header="0.5" footer="0.5"/>
  <pageSetup paperSize="9" orientation="portrait"/>
  <headerFooter alignWithMargins="0"/>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23">
    <pageSetUpPr fitToPage="1"/>
  </sheetPr>
  <dimension ref="A1:AE57"/>
  <sheetViews>
    <sheetView workbookViewId="0">
      <selection activeCell="C8" sqref="C8"/>
    </sheetView>
  </sheetViews>
  <sheetFormatPr defaultColWidth="9.109375" defaultRowHeight="13.2" x14ac:dyDescent="0.25"/>
  <cols>
    <col min="1" max="1" width="1.33203125" style="228" customWidth="1"/>
    <col min="2" max="2" width="39" style="71" customWidth="1"/>
    <col min="3" max="3" width="18.5546875" style="16" customWidth="1"/>
    <col min="4" max="4" width="9.109375" style="71"/>
    <col min="5" max="5" width="48.109375" style="71" customWidth="1"/>
    <col min="6" max="6" width="17.5546875" style="71" customWidth="1"/>
    <col min="7" max="7" width="9.109375" style="71"/>
    <col min="8" max="8" width="14.5546875" style="71" customWidth="1"/>
    <col min="9" max="9" width="15.44140625" style="71" customWidth="1"/>
    <col min="10" max="10" width="29.109375" style="71" customWidth="1"/>
    <col min="11" max="11" width="12.5546875" style="71" customWidth="1"/>
    <col min="12" max="12" width="40.44140625" style="71" customWidth="1"/>
    <col min="13" max="15" width="9.109375" style="71"/>
    <col min="16" max="16" width="0.109375" style="71" customWidth="1"/>
    <col min="17" max="16384" width="9.109375" style="71"/>
  </cols>
  <sheetData>
    <row r="1" spans="1:31" s="228" customFormat="1" ht="17.399999999999999" x14ac:dyDescent="0.3">
      <c r="B1" s="310" t="s">
        <v>307</v>
      </c>
      <c r="C1" s="311"/>
    </row>
    <row r="2" spans="1:31" s="228" customFormat="1" x14ac:dyDescent="0.25">
      <c r="B2" s="228" t="s">
        <v>308</v>
      </c>
      <c r="C2" s="311"/>
      <c r="F2" s="312"/>
      <c r="G2" s="312"/>
      <c r="H2" s="312"/>
    </row>
    <row r="3" spans="1:31" s="228" customFormat="1" ht="15.6" x14ac:dyDescent="0.3">
      <c r="B3" s="313" t="s">
        <v>309</v>
      </c>
      <c r="C3" s="311"/>
      <c r="F3" s="312"/>
      <c r="G3" s="312"/>
      <c r="H3" s="312"/>
    </row>
    <row r="4" spans="1:31" s="228" customFormat="1" x14ac:dyDescent="0.25">
      <c r="C4" s="311"/>
      <c r="F4" s="312"/>
      <c r="G4" s="312"/>
      <c r="H4" s="312"/>
    </row>
    <row r="5" spans="1:31" s="228" customFormat="1" x14ac:dyDescent="0.25">
      <c r="B5" s="314" t="s">
        <v>30</v>
      </c>
      <c r="C5" s="315" t="s">
        <v>7</v>
      </c>
      <c r="D5" s="316" t="s">
        <v>6</v>
      </c>
      <c r="E5" s="229" t="s">
        <v>107</v>
      </c>
      <c r="F5" s="312"/>
      <c r="G5" s="312"/>
      <c r="H5" s="312"/>
      <c r="I5" s="317"/>
      <c r="J5" s="317"/>
      <c r="K5" s="317"/>
      <c r="L5" s="317"/>
      <c r="M5" s="317"/>
      <c r="N5" s="317"/>
      <c r="O5" s="317"/>
      <c r="P5" s="317"/>
      <c r="Q5" s="317"/>
    </row>
    <row r="6" spans="1:31" s="228" customFormat="1" x14ac:dyDescent="0.25">
      <c r="C6" s="311" t="s">
        <v>62</v>
      </c>
      <c r="F6" s="312"/>
      <c r="G6" s="312"/>
      <c r="H6" s="312"/>
      <c r="I6" s="317"/>
      <c r="J6" s="317"/>
      <c r="K6" s="317"/>
      <c r="L6" s="317"/>
      <c r="M6" s="317"/>
      <c r="N6" s="317"/>
      <c r="O6" s="317"/>
      <c r="P6" s="317"/>
      <c r="Q6" s="317"/>
    </row>
    <row r="7" spans="1:31" x14ac:dyDescent="0.25">
      <c r="B7" s="318" t="s">
        <v>310</v>
      </c>
      <c r="C7" s="319">
        <v>0</v>
      </c>
      <c r="D7" s="228" t="s">
        <v>311</v>
      </c>
      <c r="E7" s="320"/>
      <c r="F7" s="312"/>
      <c r="G7" s="312"/>
      <c r="H7" s="312"/>
      <c r="I7" s="317"/>
      <c r="J7" s="317"/>
      <c r="K7" s="317"/>
      <c r="L7" s="317"/>
      <c r="M7" s="317"/>
      <c r="N7" s="317"/>
      <c r="O7" s="317"/>
      <c r="P7" s="317"/>
      <c r="Q7" s="317"/>
      <c r="R7" s="228"/>
      <c r="S7" s="228"/>
      <c r="T7" s="228"/>
      <c r="U7" s="228"/>
      <c r="V7" s="228"/>
      <c r="W7" s="228"/>
      <c r="X7" s="228"/>
      <c r="Y7" s="228"/>
      <c r="Z7" s="228"/>
      <c r="AA7" s="228"/>
      <c r="AB7" s="228"/>
      <c r="AC7" s="228"/>
      <c r="AD7" s="228"/>
      <c r="AE7" s="228"/>
    </row>
    <row r="8" spans="1:31" ht="15.6" x14ac:dyDescent="0.25">
      <c r="B8" s="318" t="s">
        <v>312</v>
      </c>
      <c r="C8" s="321">
        <v>0</v>
      </c>
      <c r="D8" s="228" t="s">
        <v>326</v>
      </c>
      <c r="E8" s="320" t="s">
        <v>313</v>
      </c>
      <c r="F8" s="312"/>
      <c r="G8" s="312"/>
      <c r="H8" s="312"/>
      <c r="I8" s="317"/>
      <c r="J8" s="317"/>
      <c r="K8" s="317"/>
      <c r="L8" s="317"/>
      <c r="M8" s="317"/>
      <c r="N8" s="317"/>
      <c r="O8" s="317"/>
      <c r="P8" s="317"/>
      <c r="Q8" s="317"/>
      <c r="R8" s="228"/>
      <c r="S8" s="228"/>
      <c r="T8" s="228"/>
      <c r="U8" s="228"/>
      <c r="V8" s="228"/>
      <c r="W8" s="228"/>
      <c r="X8" s="228"/>
      <c r="Y8" s="228"/>
      <c r="Z8" s="228"/>
      <c r="AA8" s="228"/>
      <c r="AB8" s="228"/>
      <c r="AC8" s="228"/>
      <c r="AD8" s="228"/>
      <c r="AE8" s="228"/>
    </row>
    <row r="9" spans="1:31" ht="15.6" x14ac:dyDescent="0.25">
      <c r="B9" s="318" t="s">
        <v>314</v>
      </c>
      <c r="C9" s="319">
        <v>0</v>
      </c>
      <c r="D9" s="228" t="s">
        <v>326</v>
      </c>
      <c r="E9" s="320"/>
      <c r="F9" s="312"/>
      <c r="G9" s="312"/>
      <c r="H9" s="312"/>
      <c r="I9" s="317"/>
      <c r="J9" s="317"/>
      <c r="K9" s="317"/>
      <c r="L9" s="317"/>
      <c r="M9" s="317"/>
      <c r="N9" s="317"/>
      <c r="O9" s="317"/>
      <c r="P9" s="317"/>
      <c r="Q9" s="317"/>
      <c r="R9" s="228"/>
      <c r="S9" s="228"/>
      <c r="T9" s="228"/>
      <c r="U9" s="228"/>
      <c r="V9" s="228"/>
      <c r="W9" s="228"/>
      <c r="X9" s="228"/>
      <c r="Y9" s="228"/>
      <c r="Z9" s="228"/>
      <c r="AA9" s="228"/>
      <c r="AB9" s="228"/>
      <c r="AC9" s="228"/>
      <c r="AD9" s="228"/>
      <c r="AE9" s="228"/>
    </row>
    <row r="10" spans="1:31" x14ac:dyDescent="0.25">
      <c r="B10" s="318"/>
      <c r="C10" s="311"/>
      <c r="D10" s="228"/>
      <c r="E10" s="228"/>
      <c r="F10" s="312"/>
      <c r="G10" s="312"/>
      <c r="H10" s="312"/>
      <c r="I10" s="317"/>
      <c r="J10" s="317"/>
      <c r="K10" s="317"/>
      <c r="L10" s="317"/>
      <c r="M10" s="317"/>
      <c r="N10" s="317"/>
      <c r="O10" s="317"/>
      <c r="P10" s="317"/>
      <c r="Q10" s="317"/>
      <c r="R10" s="228"/>
      <c r="S10" s="228"/>
      <c r="T10" s="228"/>
      <c r="U10" s="228"/>
      <c r="V10" s="228"/>
      <c r="W10" s="228"/>
      <c r="X10" s="228"/>
      <c r="Y10" s="228"/>
      <c r="Z10" s="228"/>
      <c r="AA10" s="228"/>
      <c r="AB10" s="228"/>
      <c r="AC10" s="228"/>
      <c r="AD10" s="228"/>
      <c r="AE10" s="228"/>
    </row>
    <row r="11" spans="1:31" s="228" customFormat="1" x14ac:dyDescent="0.25">
      <c r="B11" s="322" t="s">
        <v>29</v>
      </c>
      <c r="C11" s="311"/>
      <c r="F11" s="312"/>
      <c r="G11" s="312"/>
      <c r="H11" s="312"/>
      <c r="I11" s="317"/>
      <c r="J11" s="317"/>
      <c r="K11" s="317"/>
      <c r="L11" s="317"/>
      <c r="M11" s="317"/>
      <c r="N11" s="317"/>
      <c r="O11" s="317"/>
      <c r="P11" s="317"/>
      <c r="Q11" s="317"/>
    </row>
    <row r="12" spans="1:31" s="317" customFormat="1" x14ac:dyDescent="0.25">
      <c r="B12" s="323" t="s">
        <v>315</v>
      </c>
      <c r="C12" s="324" t="e">
        <f>(C8/C9)-1</f>
        <v>#DIV/0!</v>
      </c>
      <c r="D12" s="228" t="s">
        <v>56</v>
      </c>
      <c r="E12" s="325"/>
      <c r="F12" s="312"/>
      <c r="G12" s="312"/>
      <c r="H12" s="312"/>
      <c r="I12" s="325"/>
      <c r="J12" s="325"/>
      <c r="K12" s="325"/>
      <c r="L12" s="325"/>
      <c r="M12" s="325"/>
      <c r="N12" s="325"/>
      <c r="O12" s="325"/>
      <c r="P12" s="325"/>
    </row>
    <row r="13" spans="1:31" s="317" customFormat="1" x14ac:dyDescent="0.25">
      <c r="B13" s="323" t="s">
        <v>316</v>
      </c>
      <c r="C13" s="324" t="e">
        <f>C7*C8/C12</f>
        <v>#DIV/0!</v>
      </c>
      <c r="D13" s="325" t="s">
        <v>317</v>
      </c>
      <c r="E13" s="325"/>
      <c r="F13" s="312"/>
      <c r="H13" s="325"/>
      <c r="I13" s="325"/>
      <c r="J13" s="325"/>
      <c r="K13" s="325"/>
      <c r="L13" s="325"/>
      <c r="M13" s="325"/>
      <c r="N13" s="325"/>
      <c r="O13" s="325"/>
      <c r="P13" s="325"/>
    </row>
    <row r="14" spans="1:31" s="317" customFormat="1" ht="13.8" thickBot="1" x14ac:dyDescent="0.3">
      <c r="B14" s="323"/>
      <c r="C14" s="326"/>
      <c r="D14" s="325"/>
      <c r="E14" s="325"/>
      <c r="F14" s="312"/>
      <c r="H14" s="325"/>
      <c r="I14" s="325"/>
      <c r="J14" s="325"/>
      <c r="K14" s="325"/>
      <c r="L14" s="325"/>
      <c r="M14" s="325"/>
      <c r="N14" s="325"/>
      <c r="O14" s="325"/>
      <c r="P14" s="325"/>
    </row>
    <row r="15" spans="1:31" s="331" customFormat="1" x14ac:dyDescent="0.25">
      <c r="A15" s="317"/>
      <c r="B15" s="327" t="s">
        <v>318</v>
      </c>
      <c r="C15" s="328" t="e">
        <f>1-C9/C8</f>
        <v>#DIV/0!</v>
      </c>
      <c r="D15" s="329" t="s">
        <v>56</v>
      </c>
      <c r="E15" s="330"/>
      <c r="F15" s="312"/>
      <c r="G15" s="317"/>
      <c r="H15" s="325"/>
      <c r="I15" s="325"/>
      <c r="J15" s="325"/>
      <c r="K15" s="325"/>
      <c r="L15" s="325"/>
      <c r="M15" s="325"/>
      <c r="N15" s="325"/>
      <c r="O15" s="325"/>
      <c r="P15" s="325"/>
      <c r="Q15" s="317"/>
      <c r="R15" s="317"/>
      <c r="S15" s="317"/>
      <c r="T15" s="317"/>
      <c r="U15" s="317"/>
      <c r="V15" s="317"/>
      <c r="W15" s="317"/>
      <c r="X15" s="317"/>
      <c r="Y15" s="317"/>
      <c r="Z15" s="317"/>
      <c r="AA15" s="317"/>
      <c r="AB15" s="317"/>
      <c r="AC15" s="317"/>
      <c r="AD15" s="317"/>
      <c r="AE15" s="317"/>
    </row>
    <row r="16" spans="1:31" s="331" customFormat="1" x14ac:dyDescent="0.25">
      <c r="A16" s="317"/>
      <c r="B16" s="332" t="s">
        <v>319</v>
      </c>
      <c r="C16" s="333" t="e">
        <f>IF(C13&gt;100,0,((100-($C$13))*$C$15)/100)</f>
        <v>#DIV/0!</v>
      </c>
      <c r="D16" s="334" t="s">
        <v>56</v>
      </c>
      <c r="E16" s="325"/>
      <c r="F16" s="335"/>
      <c r="G16" s="317"/>
      <c r="H16" s="325"/>
      <c r="I16" s="325"/>
      <c r="J16" s="325"/>
      <c r="K16" s="325"/>
      <c r="L16" s="325"/>
      <c r="M16" s="325"/>
      <c r="N16" s="325"/>
      <c r="O16" s="325"/>
      <c r="P16" s="325"/>
      <c r="Q16" s="317"/>
      <c r="R16" s="317"/>
      <c r="S16" s="317"/>
      <c r="T16" s="317"/>
      <c r="U16" s="317"/>
      <c r="V16" s="317"/>
      <c r="W16" s="317"/>
      <c r="X16" s="317"/>
      <c r="Y16" s="317"/>
      <c r="Z16" s="317"/>
      <c r="AA16" s="317"/>
      <c r="AB16" s="317"/>
      <c r="AC16" s="317"/>
      <c r="AD16" s="317"/>
      <c r="AE16" s="317"/>
    </row>
    <row r="17" spans="1:31" s="331" customFormat="1" ht="13.8" thickBot="1" x14ac:dyDescent="0.3">
      <c r="A17" s="317"/>
      <c r="B17" s="336" t="s">
        <v>320</v>
      </c>
      <c r="C17" s="337" t="e">
        <f>C15-C16</f>
        <v>#DIV/0!</v>
      </c>
      <c r="D17" s="338" t="s">
        <v>56</v>
      </c>
      <c r="E17" s="325"/>
      <c r="F17" s="312"/>
      <c r="G17" s="317"/>
      <c r="H17" s="325"/>
      <c r="I17" s="325"/>
      <c r="J17" s="325"/>
      <c r="K17" s="325"/>
      <c r="L17" s="325"/>
      <c r="M17" s="325"/>
      <c r="N17" s="325"/>
      <c r="O17" s="325"/>
      <c r="P17" s="325"/>
      <c r="Q17" s="317"/>
      <c r="R17" s="317"/>
      <c r="S17" s="317"/>
      <c r="T17" s="317"/>
      <c r="U17" s="317"/>
      <c r="V17" s="317"/>
      <c r="W17" s="317"/>
      <c r="X17" s="317"/>
      <c r="Y17" s="317"/>
      <c r="Z17" s="317"/>
      <c r="AA17" s="317"/>
      <c r="AB17" s="317"/>
      <c r="AC17" s="317"/>
      <c r="AD17" s="317"/>
      <c r="AE17" s="317"/>
    </row>
    <row r="18" spans="1:31" s="317" customFormat="1" x14ac:dyDescent="0.25">
      <c r="B18" s="314"/>
      <c r="C18" s="339"/>
      <c r="D18" s="229"/>
      <c r="E18" s="325"/>
      <c r="F18" s="312"/>
      <c r="H18" s="325"/>
      <c r="I18" s="325"/>
      <c r="J18" s="325"/>
      <c r="K18" s="325"/>
      <c r="L18" s="325"/>
      <c r="M18" s="325"/>
      <c r="N18" s="325"/>
      <c r="O18" s="325"/>
      <c r="P18" s="325"/>
    </row>
    <row r="19" spans="1:31" s="317" customFormat="1" x14ac:dyDescent="0.25">
      <c r="B19" s="314"/>
      <c r="C19" s="339"/>
      <c r="D19" s="229"/>
      <c r="E19" s="325"/>
      <c r="F19" s="312"/>
      <c r="H19" s="325"/>
      <c r="I19" s="325"/>
      <c r="J19" s="325"/>
      <c r="K19" s="325"/>
      <c r="L19" s="325"/>
      <c r="M19" s="325"/>
      <c r="N19" s="325"/>
      <c r="O19" s="325"/>
      <c r="P19" s="325"/>
    </row>
    <row r="20" spans="1:31" s="317" customFormat="1" x14ac:dyDescent="0.25">
      <c r="B20" s="323"/>
      <c r="C20" s="340"/>
      <c r="E20" s="325"/>
      <c r="F20" s="312"/>
      <c r="G20" s="325"/>
      <c r="H20" s="325"/>
      <c r="I20" s="325"/>
      <c r="J20" s="325"/>
      <c r="K20" s="325"/>
      <c r="L20" s="325"/>
      <c r="M20" s="325"/>
      <c r="N20" s="325"/>
      <c r="O20" s="325"/>
      <c r="P20" s="325"/>
    </row>
    <row r="21" spans="1:31" s="228" customFormat="1" ht="15.6" x14ac:dyDescent="0.3">
      <c r="B21" s="313" t="s">
        <v>321</v>
      </c>
      <c r="C21" s="311"/>
    </row>
    <row r="22" spans="1:31" s="228" customFormat="1" x14ac:dyDescent="0.25">
      <c r="B22" s="318"/>
      <c r="C22" s="311"/>
    </row>
    <row r="23" spans="1:31" s="228" customFormat="1" x14ac:dyDescent="0.25">
      <c r="B23" s="314" t="s">
        <v>30</v>
      </c>
      <c r="C23" s="315" t="s">
        <v>7</v>
      </c>
      <c r="D23" s="316" t="s">
        <v>6</v>
      </c>
    </row>
    <row r="24" spans="1:31" x14ac:dyDescent="0.25">
      <c r="B24" s="318" t="s">
        <v>322</v>
      </c>
      <c r="C24" s="319">
        <v>0</v>
      </c>
      <c r="D24" s="228" t="s">
        <v>311</v>
      </c>
      <c r="E24" s="320"/>
      <c r="F24" s="341"/>
      <c r="G24" s="228"/>
      <c r="H24" s="228"/>
      <c r="I24" s="228"/>
      <c r="J24" s="228"/>
      <c r="K24" s="228"/>
      <c r="L24" s="228"/>
      <c r="M24" s="228"/>
      <c r="N24" s="228"/>
      <c r="O24" s="228"/>
      <c r="P24" s="228"/>
      <c r="Q24" s="228"/>
      <c r="R24" s="228"/>
      <c r="S24" s="228"/>
      <c r="T24" s="228"/>
      <c r="U24" s="228"/>
      <c r="V24" s="228"/>
      <c r="W24" s="228"/>
      <c r="X24" s="228"/>
      <c r="Y24" s="228"/>
      <c r="Z24" s="228"/>
      <c r="AA24" s="228"/>
      <c r="AB24" s="228"/>
      <c r="AC24" s="228"/>
      <c r="AD24" s="228"/>
      <c r="AE24" s="228"/>
    </row>
    <row r="25" spans="1:31" ht="15.6" x14ac:dyDescent="0.25">
      <c r="B25" s="318" t="s">
        <v>312</v>
      </c>
      <c r="C25" s="321">
        <v>0</v>
      </c>
      <c r="D25" s="228" t="s">
        <v>326</v>
      </c>
      <c r="E25" s="320" t="s">
        <v>313</v>
      </c>
      <c r="F25" s="341"/>
      <c r="G25" s="228"/>
      <c r="H25" s="228"/>
      <c r="I25" s="228"/>
      <c r="J25" s="228"/>
      <c r="K25" s="228"/>
      <c r="L25" s="228"/>
      <c r="M25" s="228"/>
      <c r="N25" s="228"/>
      <c r="O25" s="228"/>
      <c r="P25" s="228"/>
      <c r="Q25" s="228"/>
      <c r="R25" s="228"/>
      <c r="S25" s="228"/>
      <c r="T25" s="228"/>
      <c r="U25" s="228"/>
      <c r="V25" s="228"/>
      <c r="W25" s="228"/>
      <c r="X25" s="228"/>
      <c r="Y25" s="228"/>
      <c r="Z25" s="228"/>
      <c r="AA25" s="228"/>
      <c r="AB25" s="228"/>
      <c r="AC25" s="228"/>
      <c r="AD25" s="228"/>
      <c r="AE25" s="228"/>
    </row>
    <row r="26" spans="1:31" ht="15.6" x14ac:dyDescent="0.25">
      <c r="B26" s="318" t="s">
        <v>323</v>
      </c>
      <c r="C26" s="319">
        <v>0</v>
      </c>
      <c r="D26" s="228" t="s">
        <v>326</v>
      </c>
      <c r="E26" s="320"/>
      <c r="F26" s="341"/>
      <c r="G26" s="228"/>
      <c r="H26" s="228"/>
      <c r="I26" s="228"/>
      <c r="J26" s="228"/>
      <c r="K26" s="228"/>
      <c r="L26" s="228"/>
      <c r="M26" s="228"/>
      <c r="N26" s="228"/>
      <c r="O26" s="228"/>
      <c r="P26" s="228"/>
      <c r="Q26" s="228"/>
      <c r="R26" s="228"/>
      <c r="S26" s="228"/>
      <c r="T26" s="228"/>
      <c r="U26" s="228"/>
      <c r="V26" s="228"/>
      <c r="W26" s="228"/>
      <c r="X26" s="228"/>
      <c r="Y26" s="228"/>
      <c r="Z26" s="228"/>
      <c r="AA26" s="228"/>
      <c r="AB26" s="228"/>
      <c r="AC26" s="228"/>
      <c r="AD26" s="228"/>
      <c r="AE26" s="228"/>
    </row>
    <row r="27" spans="1:31" s="228" customFormat="1" x14ac:dyDescent="0.25">
      <c r="B27" s="318"/>
      <c r="C27" s="311"/>
      <c r="F27" s="341"/>
    </row>
    <row r="28" spans="1:31" s="228" customFormat="1" x14ac:dyDescent="0.25">
      <c r="B28" s="322" t="s">
        <v>29</v>
      </c>
      <c r="C28" s="311"/>
    </row>
    <row r="29" spans="1:31" s="228" customFormat="1" x14ac:dyDescent="0.25">
      <c r="B29" s="323" t="s">
        <v>315</v>
      </c>
      <c r="C29" s="324" t="e">
        <f>(C25/C30)-1</f>
        <v>#DIV/0!</v>
      </c>
      <c r="D29" s="317" t="s">
        <v>56</v>
      </c>
    </row>
    <row r="30" spans="1:31" s="228" customFormat="1" ht="15.6" x14ac:dyDescent="0.25">
      <c r="B30" s="323" t="s">
        <v>324</v>
      </c>
      <c r="C30" s="324">
        <f>(100*C26)/(100+C24)</f>
        <v>0</v>
      </c>
      <c r="D30" s="228" t="s">
        <v>326</v>
      </c>
    </row>
    <row r="31" spans="1:31" s="228" customFormat="1" x14ac:dyDescent="0.25">
      <c r="B31" s="323" t="s">
        <v>316</v>
      </c>
      <c r="C31" s="324" t="e">
        <f>C24*C25/C29</f>
        <v>#DIV/0!</v>
      </c>
      <c r="D31" s="325" t="s">
        <v>317</v>
      </c>
    </row>
    <row r="32" spans="1:31" s="228" customFormat="1" ht="13.8" thickBot="1" x14ac:dyDescent="0.3">
      <c r="B32" s="318"/>
      <c r="C32" s="311"/>
    </row>
    <row r="33" spans="2:31" x14ac:dyDescent="0.25">
      <c r="B33" s="327" t="s">
        <v>318</v>
      </c>
      <c r="C33" s="328" t="e">
        <f>1-C30/C25</f>
        <v>#DIV/0!</v>
      </c>
      <c r="D33" s="329" t="s">
        <v>56</v>
      </c>
      <c r="E33" s="330" t="e">
        <f>IF(C31&gt;100,"ERROR, PERCENT SATURATION IN EXCESS OF 100%","")</f>
        <v>#DIV/0!</v>
      </c>
      <c r="F33" s="228"/>
      <c r="G33" s="228"/>
      <c r="H33" s="228"/>
      <c r="I33" s="228"/>
      <c r="J33" s="228"/>
      <c r="K33" s="228"/>
      <c r="L33" s="228"/>
      <c r="M33" s="228"/>
      <c r="N33" s="228"/>
      <c r="O33" s="228"/>
      <c r="P33" s="228"/>
      <c r="Q33" s="228"/>
      <c r="R33" s="228"/>
      <c r="S33" s="228"/>
      <c r="T33" s="228"/>
      <c r="U33" s="228"/>
      <c r="V33" s="228"/>
      <c r="W33" s="228"/>
      <c r="X33" s="228"/>
      <c r="Y33" s="228"/>
      <c r="Z33" s="228"/>
      <c r="AA33" s="228"/>
      <c r="AB33" s="228"/>
      <c r="AC33" s="228"/>
      <c r="AD33" s="228"/>
      <c r="AE33" s="228"/>
    </row>
    <row r="34" spans="2:31" x14ac:dyDescent="0.25">
      <c r="B34" s="332" t="s">
        <v>319</v>
      </c>
      <c r="C34" s="333" t="e">
        <f>IF(C31&gt;100,0,((100-(C31))*C33)/100)</f>
        <v>#DIV/0!</v>
      </c>
      <c r="D34" s="334" t="s">
        <v>56</v>
      </c>
      <c r="E34" s="228"/>
      <c r="F34" s="228"/>
      <c r="G34" s="228"/>
      <c r="H34" s="228"/>
      <c r="I34" s="228"/>
      <c r="J34" s="228"/>
      <c r="K34" s="228"/>
      <c r="L34" s="228"/>
      <c r="M34" s="228"/>
      <c r="N34" s="228"/>
      <c r="O34" s="228"/>
      <c r="P34" s="228"/>
      <c r="Q34" s="228"/>
      <c r="R34" s="228"/>
      <c r="S34" s="228"/>
      <c r="T34" s="228"/>
      <c r="U34" s="228"/>
      <c r="V34" s="228"/>
      <c r="W34" s="228"/>
      <c r="X34" s="228"/>
      <c r="Y34" s="228"/>
      <c r="Z34" s="228"/>
      <c r="AA34" s="228"/>
      <c r="AB34" s="228"/>
      <c r="AC34" s="228"/>
      <c r="AD34" s="228"/>
      <c r="AE34" s="228"/>
    </row>
    <row r="35" spans="2:31" ht="13.8" thickBot="1" x14ac:dyDescent="0.3">
      <c r="B35" s="336" t="s">
        <v>320</v>
      </c>
      <c r="C35" s="337" t="e">
        <f>C33-C34</f>
        <v>#DIV/0!</v>
      </c>
      <c r="D35" s="338" t="s">
        <v>56</v>
      </c>
      <c r="E35" s="228"/>
      <c r="F35" s="228"/>
      <c r="G35" s="228"/>
      <c r="H35" s="228"/>
      <c r="I35" s="228"/>
      <c r="J35" s="228"/>
      <c r="K35" s="228"/>
      <c r="L35" s="228"/>
      <c r="M35" s="228"/>
      <c r="N35" s="228"/>
      <c r="O35" s="228"/>
      <c r="P35" s="228"/>
      <c r="Q35" s="228"/>
      <c r="R35" s="228"/>
      <c r="S35" s="228"/>
      <c r="T35" s="228"/>
      <c r="U35" s="228"/>
      <c r="V35" s="228"/>
      <c r="W35" s="228"/>
      <c r="X35" s="228"/>
      <c r="Y35" s="228"/>
      <c r="Z35" s="228"/>
      <c r="AA35" s="228"/>
      <c r="AB35" s="228"/>
      <c r="AC35" s="228"/>
      <c r="AD35" s="228"/>
      <c r="AE35" s="228"/>
    </row>
    <row r="36" spans="2:31" s="228" customFormat="1" x14ac:dyDescent="0.25">
      <c r="B36" s="318"/>
      <c r="C36" s="311"/>
    </row>
    <row r="37" spans="2:31" s="228" customFormat="1" x14ac:dyDescent="0.25">
      <c r="C37" s="311"/>
    </row>
    <row r="38" spans="2:31" s="228" customFormat="1" x14ac:dyDescent="0.25">
      <c r="B38" s="342" t="s">
        <v>325</v>
      </c>
      <c r="C38" s="311"/>
    </row>
    <row r="39" spans="2:31" s="228" customFormat="1" x14ac:dyDescent="0.25">
      <c r="C39" s="311"/>
    </row>
    <row r="40" spans="2:31" s="228" customFormat="1" x14ac:dyDescent="0.25">
      <c r="C40" s="311"/>
    </row>
    <row r="41" spans="2:31" s="228" customFormat="1" x14ac:dyDescent="0.25">
      <c r="C41" s="311"/>
    </row>
    <row r="42" spans="2:31" s="228" customFormat="1" x14ac:dyDescent="0.25">
      <c r="C42" s="311"/>
    </row>
    <row r="43" spans="2:31" s="228" customFormat="1" x14ac:dyDescent="0.25">
      <c r="C43" s="311"/>
    </row>
    <row r="44" spans="2:31" s="228" customFormat="1" x14ac:dyDescent="0.25">
      <c r="C44" s="311"/>
    </row>
    <row r="45" spans="2:31" s="228" customFormat="1" x14ac:dyDescent="0.25">
      <c r="C45" s="311"/>
    </row>
    <row r="46" spans="2:31" s="228" customFormat="1" x14ac:dyDescent="0.25">
      <c r="C46" s="311"/>
    </row>
    <row r="47" spans="2:31" s="228" customFormat="1" x14ac:dyDescent="0.25">
      <c r="C47" s="311"/>
    </row>
    <row r="48" spans="2:31" s="228" customFormat="1" x14ac:dyDescent="0.25">
      <c r="C48" s="311"/>
    </row>
    <row r="49" spans="3:3" s="228" customFormat="1" x14ac:dyDescent="0.25">
      <c r="C49" s="311"/>
    </row>
    <row r="50" spans="3:3" s="228" customFormat="1" x14ac:dyDescent="0.25">
      <c r="C50" s="311"/>
    </row>
    <row r="51" spans="3:3" s="228" customFormat="1" x14ac:dyDescent="0.25">
      <c r="C51" s="311"/>
    </row>
    <row r="52" spans="3:3" s="228" customFormat="1" x14ac:dyDescent="0.25">
      <c r="C52" s="311"/>
    </row>
    <row r="53" spans="3:3" s="228" customFormat="1" x14ac:dyDescent="0.25">
      <c r="C53" s="311"/>
    </row>
    <row r="54" spans="3:3" s="228" customFormat="1" x14ac:dyDescent="0.25">
      <c r="C54" s="311"/>
    </row>
    <row r="55" spans="3:3" s="228" customFormat="1" x14ac:dyDescent="0.25">
      <c r="C55" s="311"/>
    </row>
    <row r="56" spans="3:3" s="228" customFormat="1" x14ac:dyDescent="0.25">
      <c r="C56" s="311"/>
    </row>
    <row r="57" spans="3:3" s="228" customFormat="1" x14ac:dyDescent="0.25">
      <c r="C57" s="311"/>
    </row>
  </sheetData>
  <sheetProtection algorithmName="SHA-512" hashValue="3bN11+R/DldWbvoS10qLcoN09W8uDlYg6ChjSAq1p88fjJRLkxYRWaI3U9q6z1YXHjpqcgpBdgSRRDQt60Yynw==" saltValue="ClH9NT+Rb9fse88AfPVyew==" spinCount="100000" sheet="1" objects="1" scenarios="1"/>
  <phoneticPr fontId="58" type="noConversion"/>
  <conditionalFormatting sqref="C5 C23">
    <cfRule type="expression" dxfId="0" priority="1" stopIfTrue="1">
      <formula>$S$133=8</formula>
    </cfRule>
  </conditionalFormatting>
  <pageMargins left="0.75" right="0.75" top="1" bottom="1" header="0.5" footer="0.5"/>
  <pageSetup paperSize="9" scale="90" orientation="landscape"/>
  <headerFooter alignWithMargins="0"/>
  <legacy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0">
    <pageSetUpPr fitToPage="1"/>
  </sheetPr>
  <dimension ref="A1:Y49"/>
  <sheetViews>
    <sheetView zoomScale="75" workbookViewId="0">
      <pane xSplit="3" topLeftCell="D1" activePane="topRight" state="frozenSplit"/>
      <selection activeCell="D33" sqref="D33"/>
      <selection pane="topRight" activeCell="L27" sqref="L27"/>
    </sheetView>
  </sheetViews>
  <sheetFormatPr defaultRowHeight="13.2" x14ac:dyDescent="0.25"/>
  <cols>
    <col min="1" max="1" width="2.109375" customWidth="1"/>
    <col min="2" max="2" width="17.88671875" style="2" bestFit="1" customWidth="1"/>
    <col min="3" max="3" width="13.88671875" style="2" bestFit="1" customWidth="1"/>
    <col min="4" max="4" width="8.6640625" style="2" customWidth="1"/>
    <col min="5" max="5" width="8.109375" customWidth="1"/>
    <col min="6" max="6" width="7.33203125" customWidth="1"/>
    <col min="7" max="7" width="9.88671875" customWidth="1"/>
    <col min="8" max="8" width="9.5546875" customWidth="1"/>
    <col min="9" max="10" width="9.88671875" customWidth="1"/>
    <col min="11" max="11" width="6.44140625" customWidth="1"/>
    <col min="12" max="12" width="10.44140625" customWidth="1"/>
    <col min="13" max="13" width="13" customWidth="1"/>
    <col min="14" max="14" width="9.88671875" customWidth="1"/>
    <col min="15" max="15" width="13.5546875" customWidth="1"/>
    <col min="16" max="16" width="9.5546875" customWidth="1"/>
    <col min="17" max="17" width="9.33203125" customWidth="1"/>
    <col min="18" max="18" width="11.88671875" customWidth="1"/>
    <col min="19" max="19" width="8.6640625" customWidth="1"/>
    <col min="20" max="20" width="10.6640625" customWidth="1"/>
    <col min="21" max="21" width="8.6640625" customWidth="1"/>
    <col min="22" max="22" width="11.88671875" customWidth="1"/>
    <col min="23" max="23" width="8.6640625" customWidth="1"/>
    <col min="24" max="25" width="15.44140625" customWidth="1"/>
  </cols>
  <sheetData>
    <row r="1" spans="1:25" ht="15.6" x14ac:dyDescent="0.3">
      <c r="A1" s="38"/>
      <c r="B1" s="112" t="s">
        <v>247</v>
      </c>
      <c r="J1" s="41"/>
      <c r="L1" s="41"/>
    </row>
    <row r="2" spans="1:25" ht="13.8" x14ac:dyDescent="0.25">
      <c r="B2" s="111"/>
      <c r="F2" s="11" t="s">
        <v>46</v>
      </c>
    </row>
    <row r="3" spans="1:25" x14ac:dyDescent="0.25">
      <c r="B3" s="6"/>
      <c r="C3" s="6"/>
      <c r="D3" s="6"/>
      <c r="F3" t="s">
        <v>246</v>
      </c>
      <c r="M3" s="18"/>
    </row>
    <row r="4" spans="1:25" ht="13.8" x14ac:dyDescent="0.25">
      <c r="C4" s="3"/>
      <c r="D4" s="3"/>
      <c r="E4" s="2"/>
      <c r="F4" s="2" t="s">
        <v>42</v>
      </c>
      <c r="G4" s="9" t="s">
        <v>75</v>
      </c>
      <c r="H4" s="9" t="s">
        <v>76</v>
      </c>
      <c r="I4" s="9" t="s">
        <v>38</v>
      </c>
      <c r="J4" s="10" t="s">
        <v>77</v>
      </c>
      <c r="K4" s="10" t="s">
        <v>39</v>
      </c>
      <c r="L4" s="9" t="s">
        <v>78</v>
      </c>
      <c r="M4" s="22" t="s">
        <v>38</v>
      </c>
      <c r="N4" s="10" t="s">
        <v>79</v>
      </c>
      <c r="O4" s="10" t="s">
        <v>39</v>
      </c>
      <c r="P4" s="9" t="s">
        <v>80</v>
      </c>
      <c r="Q4" s="9" t="s">
        <v>40</v>
      </c>
      <c r="R4" s="9" t="s">
        <v>81</v>
      </c>
      <c r="S4" s="9" t="s">
        <v>40</v>
      </c>
      <c r="T4" s="12" t="s">
        <v>82</v>
      </c>
      <c r="U4" s="12" t="s">
        <v>40</v>
      </c>
      <c r="V4" s="12" t="s">
        <v>83</v>
      </c>
      <c r="W4" s="12" t="s">
        <v>40</v>
      </c>
      <c r="X4" s="13" t="s">
        <v>160</v>
      </c>
      <c r="Y4" s="13" t="s">
        <v>237</v>
      </c>
    </row>
    <row r="5" spans="1:25" ht="15.6" x14ac:dyDescent="0.3">
      <c r="B5" s="8" t="s">
        <v>37</v>
      </c>
      <c r="C5" s="8" t="s">
        <v>7</v>
      </c>
      <c r="D5" s="8" t="s">
        <v>97</v>
      </c>
      <c r="E5" s="2"/>
      <c r="F5" s="2"/>
      <c r="G5" s="9"/>
      <c r="H5" s="9"/>
      <c r="I5" s="9"/>
      <c r="J5" s="10"/>
      <c r="K5" s="10"/>
      <c r="L5" s="9"/>
      <c r="M5" s="22"/>
      <c r="N5" s="10"/>
      <c r="O5" s="10"/>
      <c r="P5" s="9"/>
      <c r="Q5" s="9"/>
      <c r="R5" s="9"/>
      <c r="S5" s="9"/>
      <c r="T5" s="12"/>
      <c r="U5" s="12"/>
      <c r="V5" s="12"/>
      <c r="W5" s="12"/>
      <c r="X5" s="2"/>
      <c r="Y5" s="2"/>
    </row>
    <row r="6" spans="1:25" ht="16.2" x14ac:dyDescent="0.25">
      <c r="B6" s="15" t="s">
        <v>63</v>
      </c>
      <c r="C6" s="40">
        <f>Attenuation_satzone!D8</f>
        <v>0.5</v>
      </c>
      <c r="D6" s="7" t="s">
        <v>18</v>
      </c>
      <c r="E6" s="16">
        <v>1</v>
      </c>
      <c r="F6" s="16">
        <f>$C$18/20*E6</f>
        <v>5.35</v>
      </c>
      <c r="G6" s="32">
        <f t="shared" ref="G6:G25" si="0">0.125</f>
        <v>0.125</v>
      </c>
      <c r="H6" s="30">
        <f t="shared" ref="H6:H25" si="1">$F6/(2*$C$22)*(1-(1+(4*$C$10*$C$22)/$C$31)^0.5)</f>
        <v>-1.8791244546497273E-2</v>
      </c>
      <c r="I6" s="30">
        <f>EXP(H6)</f>
        <v>0.98138421016635524</v>
      </c>
      <c r="J6" s="31">
        <f>1/(2*(SQRT($C$22*$C$31*$C$21)))*($F6-($C$31*$C$21)*(1+(4*$C$10*$C$22)/$C$31)^0.5)</f>
        <v>-2.4703586854599751E+48</v>
      </c>
      <c r="K6" s="12">
        <f t="shared" ref="K6:K25" si="2">IF(J6&lt;-4,2,IF(J6&gt;4,0,IF(J6&gt;=0,ERFC(J6),1+ERF(-J6))))</f>
        <v>2</v>
      </c>
      <c r="L6" s="30">
        <f>$F6/(2*$C$22)*(1+(1+(4*$C$10*$C$22)/$C$31)^0.5)</f>
        <v>1.186403241021692</v>
      </c>
      <c r="M6" s="30">
        <f>IF(L6&gt;700,EXP(700),EXP(L6))</f>
        <v>3.2752796050204522</v>
      </c>
      <c r="N6" s="31">
        <f>1/(2*(SQRT($C$22*$C$31*$C$21)))*($F6+($C$31*$C$21)*(1+(4*$C$10*$C$22)/$C$31)^0.5)</f>
        <v>2.4703586854599751E+48</v>
      </c>
      <c r="O6" s="12">
        <f t="shared" ref="O6:O25" si="3">IF(N6&lt;-4,2,IF(N6&gt;4,0,IF(N6&gt;=0,ERFC(N6),1+ERF(-N6))))</f>
        <v>0</v>
      </c>
      <c r="P6" s="30">
        <f>(($C$19+0.5*$C$11)/(2*SQRT($C$23*$F6)))</f>
        <v>0.15967447646053518</v>
      </c>
      <c r="Q6" s="12">
        <f t="shared" ref="Q6:Q25" si="4">IF(P6&lt;0,IF(P6&lt;-10,-1,-ERF(-P6)),IF(P6&gt;10,1,ERF(P6)))</f>
        <v>0.17865376447921488</v>
      </c>
      <c r="R6" s="30">
        <f>(($C$19-0.5*$C$11)/(2*SQRT($C$23*$F6)))</f>
        <v>-0.15967447646053518</v>
      </c>
      <c r="S6" s="12">
        <f t="shared" ref="S6:S25" si="5">IF(R6&lt;0,IF(R6&lt;-10,-1,-ERF(-R6)),IF(R6&gt;10,1,ERF(R6)))</f>
        <v>-0.17865376447921488</v>
      </c>
      <c r="T6" s="31">
        <f>(($C$20+$C$12)/(2*SQRT($C$24*$F6)))</f>
        <v>24.688733165417155</v>
      </c>
      <c r="U6" s="12">
        <f t="shared" ref="U6:U25" si="6">IF(T6&lt;0,IF(T6&lt;-10,-1,-ERF(-T6)),IF(T6&gt;10,1,ERF(T6)))</f>
        <v>1</v>
      </c>
      <c r="V6" s="31">
        <f>(($C$20-$C$12)/(2*SQRT($C$24*$F6)))</f>
        <v>-24.688733165417155</v>
      </c>
      <c r="W6" s="12">
        <f t="shared" ref="W6:W25" si="7">IF(V6&lt;0,IF(V6&lt;-10,-1,-ERF(-V6)),IF(V6&gt;10,1,ERF(V6)))</f>
        <v>-1</v>
      </c>
      <c r="X6" s="29">
        <f>G6*(I6*K6+M6*O6)*(Q6-S6)*(U6-W6)</f>
        <v>0.17532798354668036</v>
      </c>
      <c r="Y6" s="16">
        <f>C$25+(C$8-C$25)/(1/X6)</f>
        <v>1.9633226992303194</v>
      </c>
    </row>
    <row r="7" spans="1:25" ht="13.8" x14ac:dyDescent="0.25">
      <c r="B7" s="4" t="s">
        <v>5</v>
      </c>
      <c r="C7" s="40">
        <f>Attenuation_satzone!D10</f>
        <v>1.7760593931238486</v>
      </c>
      <c r="D7" s="7"/>
      <c r="E7" s="16">
        <v>2</v>
      </c>
      <c r="F7" s="16">
        <f t="shared" ref="F7:F25" si="8">$C$18/20*E7</f>
        <v>10.7</v>
      </c>
      <c r="G7" s="32">
        <f t="shared" si="0"/>
        <v>0.125</v>
      </c>
      <c r="H7" s="30">
        <f t="shared" si="1"/>
        <v>-3.7582489092994546E-2</v>
      </c>
      <c r="I7" s="30">
        <f t="shared" ref="I7:I25" si="9">EXP(H7)</f>
        <v>0.96311496796384077</v>
      </c>
      <c r="J7" s="31">
        <f t="shared" ref="J7:J25" si="10">1/(2*(SQRT($C$22*$C$31*$C$21)))*($F7-($C$31*$C$21)*(1+(4*$C$10*$C$22)/$C$31)^0.5)</f>
        <v>-2.4703586854599751E+48</v>
      </c>
      <c r="K7" s="12">
        <f t="shared" si="2"/>
        <v>2</v>
      </c>
      <c r="L7" s="30">
        <f t="shared" ref="L7:L25" si="11">$F7/(2*$C$22)*(1+(1+(4*$C$10*$C$22)/$C$31)^0.5)</f>
        <v>2.3728064820433841</v>
      </c>
      <c r="M7" s="30">
        <f t="shared" ref="M7:M25" si="12">IF(L7&gt;700,EXP(700),EXP(L7))</f>
        <v>10.727456491062931</v>
      </c>
      <c r="N7" s="31">
        <f t="shared" ref="N7:N25" si="13">1/(2*(SQRT($C$22*$C$31*$C$21)))*($F7+($C$31*$C$21)*(1+(4*$C$10*$C$22)/$C$31)^0.5)</f>
        <v>2.4703586854599751E+48</v>
      </c>
      <c r="O7" s="12">
        <f t="shared" si="3"/>
        <v>0</v>
      </c>
      <c r="P7" s="30">
        <f t="shared" ref="P7:P25" si="14">(($C$19+0.5*$C$11)/(2*SQRT($C$23*$F7)))</f>
        <v>0.11290690508765618</v>
      </c>
      <c r="Q7" s="12">
        <f t="shared" si="4"/>
        <v>0.12686249226315868</v>
      </c>
      <c r="R7" s="30">
        <f t="shared" ref="R7:R25" si="15">(($C$19-0.5*$C$11)/(2*SQRT($C$23*$F7)))</f>
        <v>-0.11290690508765618</v>
      </c>
      <c r="S7" s="12">
        <f t="shared" si="5"/>
        <v>-0.12686249226315868</v>
      </c>
      <c r="T7" s="31">
        <f t="shared" ref="T7:T25" si="16">(($C$20+$C$12)/(2*SQRT($C$24*$F7)))</f>
        <v>17.457570640171689</v>
      </c>
      <c r="U7" s="12">
        <f t="shared" si="6"/>
        <v>1</v>
      </c>
      <c r="V7" s="31">
        <f t="shared" ref="V7:V25" si="17">(($C$20-$C$12)/(2*SQRT($C$24*$F7)))</f>
        <v>-17.457570640171689</v>
      </c>
      <c r="W7" s="12">
        <f t="shared" si="7"/>
        <v>-1</v>
      </c>
      <c r="X7" s="29">
        <f t="shared" ref="X7:X25" si="18">G7*(I7*K7+M7*O7)*(Q7-S7)*(U7-W7)</f>
        <v>0.12218316517184508</v>
      </c>
      <c r="Y7" s="16">
        <f t="shared" ref="Y7:Y25" si="19">C$25+(C$8-C$25)/(1/X7)</f>
        <v>1.3682070414151679</v>
      </c>
    </row>
    <row r="8" spans="1:25" ht="13.8" x14ac:dyDescent="0.25">
      <c r="B8" s="4" t="s">
        <v>236</v>
      </c>
      <c r="C8" s="40">
        <f>Attenuation_satzone!$D$16</f>
        <v>11.197999654787523</v>
      </c>
      <c r="D8" s="7"/>
      <c r="E8" s="16">
        <v>3</v>
      </c>
      <c r="F8" s="16">
        <f t="shared" si="8"/>
        <v>16.049999999999997</v>
      </c>
      <c r="G8" s="32">
        <f t="shared" si="0"/>
        <v>0.125</v>
      </c>
      <c r="H8" s="30">
        <f t="shared" si="1"/>
        <v>-5.6373733639491823E-2</v>
      </c>
      <c r="I8" s="30">
        <f t="shared" si="9"/>
        <v>0.94518582213458835</v>
      </c>
      <c r="J8" s="31">
        <f t="shared" si="10"/>
        <v>-2.4703586854599751E+48</v>
      </c>
      <c r="K8" s="12">
        <f t="shared" si="2"/>
        <v>2</v>
      </c>
      <c r="L8" s="30">
        <f t="shared" si="11"/>
        <v>3.5592097230650759</v>
      </c>
      <c r="M8" s="30">
        <f t="shared" si="12"/>
        <v>35.135419458922676</v>
      </c>
      <c r="N8" s="31">
        <f t="shared" si="13"/>
        <v>2.4703586854599751E+48</v>
      </c>
      <c r="O8" s="12">
        <f t="shared" si="3"/>
        <v>0</v>
      </c>
      <c r="P8" s="30">
        <f t="shared" si="14"/>
        <v>9.2188101967202535E-2</v>
      </c>
      <c r="Q8" s="12">
        <f t="shared" si="4"/>
        <v>0.10372919825573454</v>
      </c>
      <c r="R8" s="30">
        <f t="shared" si="15"/>
        <v>-9.2188101967202535E-2</v>
      </c>
      <c r="S8" s="12">
        <f t="shared" si="5"/>
        <v>-0.10372919825573454</v>
      </c>
      <c r="T8" s="31">
        <f t="shared" si="16"/>
        <v>14.254046739004435</v>
      </c>
      <c r="U8" s="12">
        <f t="shared" si="6"/>
        <v>1</v>
      </c>
      <c r="V8" s="31">
        <f t="shared" si="17"/>
        <v>-14.254046739004435</v>
      </c>
      <c r="W8" s="12">
        <f t="shared" si="7"/>
        <v>-1</v>
      </c>
      <c r="X8" s="29">
        <f t="shared" si="18"/>
        <v>9.8043367532708162E-2</v>
      </c>
      <c r="Y8" s="16">
        <f t="shared" si="19"/>
        <v>1.0978895957854722</v>
      </c>
    </row>
    <row r="9" spans="1:25" ht="13.8" x14ac:dyDescent="0.25">
      <c r="B9" s="4"/>
      <c r="C9" s="40"/>
      <c r="D9" s="7"/>
      <c r="E9" s="16">
        <v>4</v>
      </c>
      <c r="F9" s="16">
        <f t="shared" si="8"/>
        <v>21.4</v>
      </c>
      <c r="G9" s="32">
        <f t="shared" si="0"/>
        <v>0.125</v>
      </c>
      <c r="H9" s="30">
        <f t="shared" si="1"/>
        <v>-7.5164978185989093E-2</v>
      </c>
      <c r="I9" s="30">
        <f t="shared" si="9"/>
        <v>0.92759044151599013</v>
      </c>
      <c r="J9" s="31">
        <f t="shared" si="10"/>
        <v>-2.4703586854599751E+48</v>
      </c>
      <c r="K9" s="12">
        <f t="shared" si="2"/>
        <v>2</v>
      </c>
      <c r="L9" s="30">
        <f t="shared" si="11"/>
        <v>4.7456129640867681</v>
      </c>
      <c r="M9" s="30">
        <f t="shared" si="12"/>
        <v>115.0783227676482</v>
      </c>
      <c r="N9" s="31">
        <f t="shared" si="13"/>
        <v>2.4703586854599751E+48</v>
      </c>
      <c r="O9" s="12">
        <f t="shared" si="3"/>
        <v>0</v>
      </c>
      <c r="P9" s="30">
        <f t="shared" si="14"/>
        <v>7.9837238230267588E-2</v>
      </c>
      <c r="Q9" s="12">
        <f t="shared" si="4"/>
        <v>8.989563812776559E-2</v>
      </c>
      <c r="R9" s="30">
        <f t="shared" si="15"/>
        <v>-7.9837238230267588E-2</v>
      </c>
      <c r="S9" s="12">
        <f t="shared" si="5"/>
        <v>-8.989563812776559E-2</v>
      </c>
      <c r="T9" s="31">
        <f t="shared" si="16"/>
        <v>12.344366582708577</v>
      </c>
      <c r="U9" s="12">
        <f t="shared" si="6"/>
        <v>1</v>
      </c>
      <c r="V9" s="31">
        <f t="shared" si="17"/>
        <v>-12.344366582708577</v>
      </c>
      <c r="W9" s="12">
        <f t="shared" si="7"/>
        <v>-1</v>
      </c>
      <c r="X9" s="29">
        <f t="shared" si="18"/>
        <v>8.3386334661295761E-2</v>
      </c>
      <c r="Y9" s="16">
        <f t="shared" si="19"/>
        <v>0.93376014675118679</v>
      </c>
    </row>
    <row r="10" spans="1:25" ht="15.6" x14ac:dyDescent="0.25">
      <c r="B10" s="5" t="s">
        <v>27</v>
      </c>
      <c r="C10" s="40">
        <f>Attenuation_satzone!D40</f>
        <v>3.7467405405405401E-4</v>
      </c>
      <c r="D10" s="2" t="s">
        <v>91</v>
      </c>
      <c r="E10" s="16">
        <v>5</v>
      </c>
      <c r="F10" s="16">
        <f t="shared" si="8"/>
        <v>26.75</v>
      </c>
      <c r="G10" s="32">
        <f t="shared" si="0"/>
        <v>0.125</v>
      </c>
      <c r="H10" s="30">
        <f t="shared" si="1"/>
        <v>-9.3956222732486383E-2</v>
      </c>
      <c r="I10" s="30">
        <f t="shared" si="9"/>
        <v>0.91032261280503068</v>
      </c>
      <c r="J10" s="31">
        <f t="shared" si="10"/>
        <v>-2.4703586854599751E+48</v>
      </c>
      <c r="K10" s="12">
        <f t="shared" si="2"/>
        <v>2</v>
      </c>
      <c r="L10" s="30">
        <f t="shared" si="11"/>
        <v>5.9320162051084608</v>
      </c>
      <c r="M10" s="30">
        <f t="shared" si="12"/>
        <v>376.9136835408392</v>
      </c>
      <c r="N10" s="31">
        <f t="shared" si="13"/>
        <v>2.4703586854599751E+48</v>
      </c>
      <c r="O10" s="12">
        <f t="shared" si="3"/>
        <v>0</v>
      </c>
      <c r="P10" s="30">
        <f t="shared" si="14"/>
        <v>7.1408596727489324E-2</v>
      </c>
      <c r="Q10" s="12">
        <f t="shared" si="4"/>
        <v>8.0439224819778249E-2</v>
      </c>
      <c r="R10" s="30">
        <f t="shared" si="15"/>
        <v>-7.1408596727489324E-2</v>
      </c>
      <c r="S10" s="12">
        <f t="shared" si="5"/>
        <v>-8.0439224819778249E-2</v>
      </c>
      <c r="T10" s="31">
        <f t="shared" si="16"/>
        <v>11.041137127245262</v>
      </c>
      <c r="U10" s="12">
        <f t="shared" si="6"/>
        <v>1</v>
      </c>
      <c r="V10" s="31">
        <f t="shared" si="17"/>
        <v>-11.041137127245262</v>
      </c>
      <c r="W10" s="12">
        <f t="shared" si="7"/>
        <v>-1</v>
      </c>
      <c r="X10" s="29">
        <f t="shared" si="18"/>
        <v>7.3225645309951806E-2</v>
      </c>
      <c r="Y10" s="16">
        <f t="shared" si="19"/>
        <v>0.81998075090243394</v>
      </c>
    </row>
    <row r="11" spans="1:25" ht="13.8" x14ac:dyDescent="0.25">
      <c r="B11" s="4" t="s">
        <v>41</v>
      </c>
      <c r="C11" s="40">
        <f>Attenuation_satzone!D20</f>
        <v>1</v>
      </c>
      <c r="D11" s="2" t="s">
        <v>22</v>
      </c>
      <c r="E11" s="16">
        <v>6</v>
      </c>
      <c r="F11" s="16">
        <f t="shared" si="8"/>
        <v>32.099999999999994</v>
      </c>
      <c r="G11" s="32">
        <f t="shared" si="0"/>
        <v>0.125</v>
      </c>
      <c r="H11" s="30">
        <f t="shared" si="1"/>
        <v>-0.11274746727898365</v>
      </c>
      <c r="I11" s="30">
        <f t="shared" si="9"/>
        <v>0.89337623836423774</v>
      </c>
      <c r="J11" s="31">
        <f t="shared" si="10"/>
        <v>-2.4703586854599751E+48</v>
      </c>
      <c r="K11" s="12">
        <f t="shared" si="2"/>
        <v>2</v>
      </c>
      <c r="L11" s="30">
        <f t="shared" si="11"/>
        <v>7.1184194461301518</v>
      </c>
      <c r="M11" s="30">
        <f t="shared" si="12"/>
        <v>1234.4977005544422</v>
      </c>
      <c r="N11" s="31">
        <f t="shared" si="13"/>
        <v>2.4703586854599751E+48</v>
      </c>
      <c r="O11" s="12">
        <f t="shared" si="3"/>
        <v>0</v>
      </c>
      <c r="P11" s="30">
        <f t="shared" si="14"/>
        <v>6.5186832045725826E-2</v>
      </c>
      <c r="Q11" s="12">
        <f t="shared" si="4"/>
        <v>7.3451408956631464E-2</v>
      </c>
      <c r="R11" s="30">
        <f t="shared" si="15"/>
        <v>-6.5186832045725826E-2</v>
      </c>
      <c r="S11" s="12">
        <f t="shared" si="5"/>
        <v>-7.3451408956631464E-2</v>
      </c>
      <c r="T11" s="31">
        <f t="shared" si="16"/>
        <v>10.079133108500031</v>
      </c>
      <c r="U11" s="12">
        <f t="shared" si="6"/>
        <v>1</v>
      </c>
      <c r="V11" s="31">
        <f t="shared" si="17"/>
        <v>-10.079133108500031</v>
      </c>
      <c r="W11" s="12">
        <f t="shared" si="7"/>
        <v>-1</v>
      </c>
      <c r="X11" s="29">
        <f t="shared" si="18"/>
        <v>6.56197434362287E-2</v>
      </c>
      <c r="Y11" s="16">
        <f t="shared" si="19"/>
        <v>0.73480986434613482</v>
      </c>
    </row>
    <row r="12" spans="1:25" ht="13.8" x14ac:dyDescent="0.25">
      <c r="B12" s="4" t="s">
        <v>93</v>
      </c>
      <c r="C12" s="40">
        <f>IF(B35=1,#REF!,Attenuation_satzone!D21)</f>
        <v>24.44743551927446</v>
      </c>
      <c r="D12" s="2" t="s">
        <v>22</v>
      </c>
      <c r="E12" s="16">
        <v>7</v>
      </c>
      <c r="F12" s="16">
        <f t="shared" si="8"/>
        <v>37.449999999999996</v>
      </c>
      <c r="G12" s="32">
        <f t="shared" si="0"/>
        <v>0.125</v>
      </c>
      <c r="H12" s="30">
        <f t="shared" si="1"/>
        <v>-0.13153871182548091</v>
      </c>
      <c r="I12" s="30">
        <f t="shared" si="9"/>
        <v>0.87674533406847699</v>
      </c>
      <c r="J12" s="31">
        <f t="shared" si="10"/>
        <v>-2.4703586854599751E+48</v>
      </c>
      <c r="K12" s="12">
        <f t="shared" si="2"/>
        <v>2</v>
      </c>
      <c r="L12" s="30">
        <f t="shared" si="11"/>
        <v>8.3048226871518445</v>
      </c>
      <c r="M12" s="30">
        <f t="shared" si="12"/>
        <v>4043.325141070613</v>
      </c>
      <c r="N12" s="31">
        <f t="shared" si="13"/>
        <v>2.4703586854599751E+48</v>
      </c>
      <c r="O12" s="12">
        <f t="shared" si="3"/>
        <v>0</v>
      </c>
      <c r="P12" s="30">
        <f t="shared" si="14"/>
        <v>6.0351279348430445E-2</v>
      </c>
      <c r="Q12" s="12">
        <f t="shared" si="4"/>
        <v>6.8016537962237458E-2</v>
      </c>
      <c r="R12" s="30">
        <f t="shared" si="15"/>
        <v>-6.0351279348430445E-2</v>
      </c>
      <c r="S12" s="12">
        <f t="shared" si="5"/>
        <v>-6.8016537962237458E-2</v>
      </c>
      <c r="T12" s="31">
        <f t="shared" si="16"/>
        <v>9.3314640201323247</v>
      </c>
      <c r="U12" s="12">
        <f t="shared" si="6"/>
        <v>1</v>
      </c>
      <c r="V12" s="31">
        <f t="shared" si="17"/>
        <v>-9.3314640201323247</v>
      </c>
      <c r="W12" s="12">
        <f t="shared" si="7"/>
        <v>-1</v>
      </c>
      <c r="X12" s="29">
        <f t="shared" si="18"/>
        <v>5.9633182297883128E-2</v>
      </c>
      <c r="Y12" s="16">
        <f t="shared" si="19"/>
        <v>0.66777235478557673</v>
      </c>
    </row>
    <row r="13" spans="1:25" ht="13.8" x14ac:dyDescent="0.25">
      <c r="B13" s="4" t="s">
        <v>9</v>
      </c>
      <c r="C13" s="40">
        <f>Attenuation_satzone!L13</f>
        <v>1.25</v>
      </c>
      <c r="D13" s="2" t="s">
        <v>19</v>
      </c>
      <c r="E13" s="16">
        <v>8</v>
      </c>
      <c r="F13" s="16">
        <f t="shared" si="8"/>
        <v>42.8</v>
      </c>
      <c r="G13" s="32">
        <f t="shared" si="0"/>
        <v>0.125</v>
      </c>
      <c r="H13" s="30">
        <f t="shared" si="1"/>
        <v>-0.15032995637197819</v>
      </c>
      <c r="I13" s="30">
        <f t="shared" si="9"/>
        <v>0.86042402719182953</v>
      </c>
      <c r="J13" s="31">
        <f t="shared" si="10"/>
        <v>-2.4703586854599751E+48</v>
      </c>
      <c r="K13" s="12">
        <f t="shared" si="2"/>
        <v>2</v>
      </c>
      <c r="L13" s="30">
        <f t="shared" si="11"/>
        <v>9.4912259281735363</v>
      </c>
      <c r="M13" s="30">
        <f t="shared" si="12"/>
        <v>13243.02037101502</v>
      </c>
      <c r="N13" s="31">
        <f t="shared" si="13"/>
        <v>2.4703586854599751E+48</v>
      </c>
      <c r="O13" s="12">
        <f t="shared" si="3"/>
        <v>0</v>
      </c>
      <c r="P13" s="30">
        <f t="shared" si="14"/>
        <v>5.6453452543828088E-2</v>
      </c>
      <c r="Q13" s="12">
        <f t="shared" si="4"/>
        <v>6.3633292986731926E-2</v>
      </c>
      <c r="R13" s="30">
        <f t="shared" si="15"/>
        <v>-5.6453452543828088E-2</v>
      </c>
      <c r="S13" s="12">
        <f t="shared" si="5"/>
        <v>-6.3633292986731926E-2</v>
      </c>
      <c r="T13" s="31">
        <f t="shared" si="16"/>
        <v>8.7287853200858443</v>
      </c>
      <c r="U13" s="12">
        <f t="shared" si="6"/>
        <v>1</v>
      </c>
      <c r="V13" s="31">
        <f t="shared" si="17"/>
        <v>-8.7287853200858443</v>
      </c>
      <c r="W13" s="12">
        <f t="shared" si="7"/>
        <v>-1</v>
      </c>
      <c r="X13" s="29">
        <f t="shared" si="18"/>
        <v>5.4751614215121487E-2</v>
      </c>
      <c r="Y13" s="16">
        <f t="shared" si="19"/>
        <v>0.61310855707999001</v>
      </c>
    </row>
    <row r="14" spans="1:25" ht="13.8" x14ac:dyDescent="0.25">
      <c r="B14" s="5" t="s">
        <v>28</v>
      </c>
      <c r="C14" s="40">
        <f>Attenuation_satzone!D22</f>
        <v>1.7</v>
      </c>
      <c r="D14" s="2" t="s">
        <v>20</v>
      </c>
      <c r="E14" s="16">
        <v>9</v>
      </c>
      <c r="F14" s="16">
        <f t="shared" si="8"/>
        <v>48.15</v>
      </c>
      <c r="G14" s="32">
        <f t="shared" si="0"/>
        <v>0.125</v>
      </c>
      <c r="H14" s="30">
        <f t="shared" si="1"/>
        <v>-0.16912120091847549</v>
      </c>
      <c r="I14" s="30">
        <f t="shared" si="9"/>
        <v>0.84440655433380807</v>
      </c>
      <c r="J14" s="31">
        <f t="shared" si="10"/>
        <v>-2.4703586854599751E+48</v>
      </c>
      <c r="K14" s="12">
        <f t="shared" si="2"/>
        <v>2</v>
      </c>
      <c r="L14" s="30">
        <f t="shared" si="11"/>
        <v>10.67762916919523</v>
      </c>
      <c r="M14" s="30">
        <f t="shared" si="12"/>
        <v>43374.594530055947</v>
      </c>
      <c r="N14" s="31">
        <f t="shared" si="13"/>
        <v>2.4703586854599751E+48</v>
      </c>
      <c r="O14" s="12">
        <f t="shared" si="3"/>
        <v>0</v>
      </c>
      <c r="P14" s="30">
        <f t="shared" si="14"/>
        <v>5.3224825486845054E-2</v>
      </c>
      <c r="Q14" s="12">
        <f t="shared" si="4"/>
        <v>6.000112021057117E-2</v>
      </c>
      <c r="R14" s="30">
        <f t="shared" si="15"/>
        <v>-5.3224825486845054E-2</v>
      </c>
      <c r="S14" s="12">
        <f t="shared" si="5"/>
        <v>-6.000112021057117E-2</v>
      </c>
      <c r="T14" s="31">
        <f t="shared" si="16"/>
        <v>8.2295777218057182</v>
      </c>
      <c r="U14" s="12">
        <f t="shared" si="6"/>
        <v>1</v>
      </c>
      <c r="V14" s="31">
        <f t="shared" si="17"/>
        <v>-8.2295777218057182</v>
      </c>
      <c r="W14" s="12">
        <f t="shared" si="7"/>
        <v>-1</v>
      </c>
      <c r="X14" s="29">
        <f t="shared" si="18"/>
        <v>5.0665339173177011E-2</v>
      </c>
      <c r="Y14" s="16">
        <f t="shared" si="19"/>
        <v>0.56735045057092892</v>
      </c>
    </row>
    <row r="15" spans="1:25" ht="13.8" x14ac:dyDescent="0.25">
      <c r="B15" s="4" t="s">
        <v>1</v>
      </c>
      <c r="C15" s="40">
        <f>Attenuation_satzone!D23</f>
        <v>0.47</v>
      </c>
      <c r="E15" s="16">
        <v>10</v>
      </c>
      <c r="F15" s="16">
        <f t="shared" si="8"/>
        <v>53.5</v>
      </c>
      <c r="G15" s="32">
        <f t="shared" si="0"/>
        <v>0.125</v>
      </c>
      <c r="H15" s="30">
        <f t="shared" si="1"/>
        <v>-0.18791244546497277</v>
      </c>
      <c r="I15" s="30">
        <f t="shared" si="9"/>
        <v>0.82868725938417775</v>
      </c>
      <c r="J15" s="31">
        <f t="shared" si="10"/>
        <v>-2.4703586854599751E+48</v>
      </c>
      <c r="K15" s="12">
        <f t="shared" si="2"/>
        <v>2</v>
      </c>
      <c r="L15" s="30">
        <f t="shared" si="11"/>
        <v>11.864032410216922</v>
      </c>
      <c r="M15" s="30">
        <f t="shared" si="12"/>
        <v>142063.92484032389</v>
      </c>
      <c r="N15" s="31">
        <f t="shared" si="13"/>
        <v>2.4703586854599751E+48</v>
      </c>
      <c r="O15" s="12">
        <f t="shared" si="3"/>
        <v>0</v>
      </c>
      <c r="P15" s="30">
        <f t="shared" si="14"/>
        <v>5.049350298102321E-2</v>
      </c>
      <c r="Q15" s="12">
        <f t="shared" si="4"/>
        <v>5.6927432121105272E-2</v>
      </c>
      <c r="R15" s="30">
        <f t="shared" si="15"/>
        <v>-5.049350298102321E-2</v>
      </c>
      <c r="S15" s="12">
        <f t="shared" si="5"/>
        <v>-5.6927432121105272E-2</v>
      </c>
      <c r="T15" s="31">
        <f t="shared" si="16"/>
        <v>7.8072629346856823</v>
      </c>
      <c r="U15" s="12">
        <f t="shared" si="6"/>
        <v>1</v>
      </c>
      <c r="V15" s="31">
        <f t="shared" si="17"/>
        <v>-7.8072629346856823</v>
      </c>
      <c r="W15" s="12">
        <f t="shared" si="7"/>
        <v>-1</v>
      </c>
      <c r="X15" s="29">
        <f t="shared" si="18"/>
        <v>4.7175037708217536E-2</v>
      </c>
      <c r="Y15" s="16">
        <f t="shared" si="19"/>
        <v>0.52826605597120835</v>
      </c>
    </row>
    <row r="16" spans="1:25" ht="13.8" x14ac:dyDescent="0.25">
      <c r="B16" s="4" t="s">
        <v>35</v>
      </c>
      <c r="C16" s="40">
        <f>Attenuation_satzone!D41</f>
        <v>0.21283618885875458</v>
      </c>
      <c r="E16" s="16">
        <v>11</v>
      </c>
      <c r="F16" s="16">
        <f t="shared" si="8"/>
        <v>58.849999999999994</v>
      </c>
      <c r="G16" s="32">
        <f t="shared" si="0"/>
        <v>0.125</v>
      </c>
      <c r="H16" s="30">
        <f t="shared" si="1"/>
        <v>-0.20670369001147001</v>
      </c>
      <c r="I16" s="30">
        <f t="shared" si="9"/>
        <v>0.81326059152566277</v>
      </c>
      <c r="J16" s="31">
        <f t="shared" si="10"/>
        <v>-2.4703586854599751E+48</v>
      </c>
      <c r="K16" s="12">
        <f t="shared" si="2"/>
        <v>2</v>
      </c>
      <c r="L16" s="30">
        <f t="shared" si="11"/>
        <v>13.050435651238612</v>
      </c>
      <c r="M16" s="30">
        <f t="shared" si="12"/>
        <v>465299.0756386703</v>
      </c>
      <c r="N16" s="31">
        <f t="shared" si="13"/>
        <v>2.4703586854599751E+48</v>
      </c>
      <c r="O16" s="12">
        <f t="shared" si="3"/>
        <v>0</v>
      </c>
      <c r="P16" s="30">
        <f t="shared" si="14"/>
        <v>4.8143666092366429E-2</v>
      </c>
      <c r="Q16" s="12">
        <f t="shared" si="4"/>
        <v>5.4282367824861642E-2</v>
      </c>
      <c r="R16" s="30">
        <f t="shared" si="15"/>
        <v>-4.8143666092366429E-2</v>
      </c>
      <c r="S16" s="12">
        <f t="shared" si="5"/>
        <v>-5.4282367824861642E-2</v>
      </c>
      <c r="T16" s="31">
        <f t="shared" si="16"/>
        <v>7.4439331326265528</v>
      </c>
      <c r="U16" s="12">
        <f t="shared" si="6"/>
        <v>1</v>
      </c>
      <c r="V16" s="31">
        <f t="shared" si="17"/>
        <v>-7.4439331326265528</v>
      </c>
      <c r="W16" s="12">
        <f t="shared" si="7"/>
        <v>-1</v>
      </c>
      <c r="X16" s="29">
        <f t="shared" si="18"/>
        <v>4.4145710566660584E-2</v>
      </c>
      <c r="Y16" s="16">
        <f t="shared" si="19"/>
        <v>0.49434365168581512</v>
      </c>
    </row>
    <row r="17" spans="2:25" ht="14.25" customHeight="1" x14ac:dyDescent="0.25">
      <c r="B17" s="4" t="s">
        <v>108</v>
      </c>
      <c r="C17" s="40">
        <f>IF(B35=1,Dilution!D19,Attenuation_satzone!D25)</f>
        <v>1.28</v>
      </c>
      <c r="D17" s="2" t="s">
        <v>21</v>
      </c>
      <c r="E17" s="16">
        <v>12</v>
      </c>
      <c r="F17" s="16">
        <f t="shared" si="8"/>
        <v>64.199999999999989</v>
      </c>
      <c r="G17" s="32">
        <f t="shared" si="0"/>
        <v>0.125</v>
      </c>
      <c r="H17" s="30">
        <f t="shared" si="1"/>
        <v>-0.22549493455796729</v>
      </c>
      <c r="I17" s="30">
        <f t="shared" si="9"/>
        <v>0.79812110327383534</v>
      </c>
      <c r="J17" s="31">
        <f t="shared" si="10"/>
        <v>-2.4703586854599751E+48</v>
      </c>
      <c r="K17" s="12">
        <f t="shared" si="2"/>
        <v>2</v>
      </c>
      <c r="L17" s="30">
        <f t="shared" si="11"/>
        <v>14.236838892260304</v>
      </c>
      <c r="M17" s="30">
        <f t="shared" si="12"/>
        <v>1523984.5726742055</v>
      </c>
      <c r="N17" s="31">
        <f t="shared" si="13"/>
        <v>2.4703586854599751E+48</v>
      </c>
      <c r="O17" s="12">
        <f t="shared" si="3"/>
        <v>0</v>
      </c>
      <c r="P17" s="30">
        <f t="shared" si="14"/>
        <v>4.6094050983601267E-2</v>
      </c>
      <c r="Q17" s="12">
        <f t="shared" si="4"/>
        <v>5.1974754665542973E-2</v>
      </c>
      <c r="R17" s="30">
        <f t="shared" si="15"/>
        <v>-4.6094050983601267E-2</v>
      </c>
      <c r="S17" s="12">
        <f t="shared" si="5"/>
        <v>-5.1974754665542973E-2</v>
      </c>
      <c r="T17" s="31">
        <f t="shared" si="16"/>
        <v>7.1270233695022176</v>
      </c>
      <c r="U17" s="12">
        <f t="shared" si="6"/>
        <v>1</v>
      </c>
      <c r="V17" s="31">
        <f t="shared" si="17"/>
        <v>-7.1270233695022176</v>
      </c>
      <c r="W17" s="12">
        <f t="shared" si="7"/>
        <v>-1</v>
      </c>
      <c r="X17" s="29">
        <f t="shared" si="18"/>
        <v>4.1482148536050076E-2</v>
      </c>
      <c r="Y17" s="16">
        <f t="shared" si="19"/>
        <v>0.46451708498653349</v>
      </c>
    </row>
    <row r="18" spans="2:25" ht="14.25" customHeight="1" x14ac:dyDescent="0.25">
      <c r="B18" s="4" t="s">
        <v>10</v>
      </c>
      <c r="C18" s="40">
        <f>Attenuation_satzone!D26</f>
        <v>107</v>
      </c>
      <c r="D18" s="2" t="s">
        <v>22</v>
      </c>
      <c r="E18" s="16">
        <v>13</v>
      </c>
      <c r="F18" s="16">
        <f t="shared" si="8"/>
        <v>69.55</v>
      </c>
      <c r="G18" s="32">
        <f t="shared" si="0"/>
        <v>0.125</v>
      </c>
      <c r="H18" s="30">
        <f t="shared" si="1"/>
        <v>-0.2442861791044646</v>
      </c>
      <c r="I18" s="30">
        <f t="shared" si="9"/>
        <v>0.78326344855349295</v>
      </c>
      <c r="J18" s="31">
        <f t="shared" si="10"/>
        <v>-2.4703586854599751E+48</v>
      </c>
      <c r="K18" s="12">
        <f t="shared" si="2"/>
        <v>2</v>
      </c>
      <c r="L18" s="30">
        <f t="shared" si="11"/>
        <v>15.423242133281999</v>
      </c>
      <c r="M18" s="30">
        <f t="shared" si="12"/>
        <v>4991475.5892456509</v>
      </c>
      <c r="N18" s="31">
        <f t="shared" si="13"/>
        <v>2.4703586854599751E+48</v>
      </c>
      <c r="O18" s="12">
        <f t="shared" si="3"/>
        <v>0</v>
      </c>
      <c r="P18" s="30">
        <f t="shared" si="14"/>
        <v>4.4285731712409793E-2</v>
      </c>
      <c r="Q18" s="12">
        <f t="shared" si="4"/>
        <v>4.9938448070321398E-2</v>
      </c>
      <c r="R18" s="30">
        <f t="shared" si="15"/>
        <v>-4.4285731712409793E-2</v>
      </c>
      <c r="S18" s="12">
        <f t="shared" si="5"/>
        <v>-4.9938448070321398E-2</v>
      </c>
      <c r="T18" s="31">
        <f t="shared" si="16"/>
        <v>6.8474225657046084</v>
      </c>
      <c r="U18" s="12">
        <f t="shared" si="6"/>
        <v>1</v>
      </c>
      <c r="V18" s="31">
        <f t="shared" si="17"/>
        <v>-6.8474225657046084</v>
      </c>
      <c r="W18" s="12">
        <f t="shared" si="7"/>
        <v>-1</v>
      </c>
      <c r="X18" s="29">
        <f t="shared" si="18"/>
        <v>3.9114961050969461E-2</v>
      </c>
      <c r="Y18" s="16">
        <f t="shared" si="19"/>
        <v>0.43800932034578344</v>
      </c>
    </row>
    <row r="19" spans="2:25" ht="14.25" customHeight="1" x14ac:dyDescent="0.25">
      <c r="B19" s="4" t="s">
        <v>12</v>
      </c>
      <c r="C19" s="40">
        <v>0</v>
      </c>
      <c r="D19" s="2" t="s">
        <v>22</v>
      </c>
      <c r="E19" s="16">
        <v>14</v>
      </c>
      <c r="F19" s="16">
        <f t="shared" si="8"/>
        <v>74.899999999999991</v>
      </c>
      <c r="G19" s="32">
        <f t="shared" si="0"/>
        <v>0.125</v>
      </c>
      <c r="H19" s="30">
        <f t="shared" si="1"/>
        <v>-0.26307742365096182</v>
      </c>
      <c r="I19" s="30">
        <f t="shared" si="9"/>
        <v>0.76868238081084528</v>
      </c>
      <c r="J19" s="31">
        <f t="shared" si="10"/>
        <v>-2.4703586854599751E+48</v>
      </c>
      <c r="K19" s="12">
        <f t="shared" si="2"/>
        <v>2</v>
      </c>
      <c r="L19" s="30">
        <f t="shared" si="11"/>
        <v>16.609645374303689</v>
      </c>
      <c r="M19" s="30">
        <f t="shared" si="12"/>
        <v>16348478.196413694</v>
      </c>
      <c r="N19" s="31">
        <f t="shared" si="13"/>
        <v>2.4703586854599751E+48</v>
      </c>
      <c r="O19" s="12">
        <f t="shared" si="3"/>
        <v>0</v>
      </c>
      <c r="P19" s="30">
        <f t="shared" si="14"/>
        <v>4.2674798880558806E-2</v>
      </c>
      <c r="Q19" s="12">
        <f t="shared" si="4"/>
        <v>4.8124138671851148E-2</v>
      </c>
      <c r="R19" s="30">
        <f t="shared" si="15"/>
        <v>-4.2674798880558806E-2</v>
      </c>
      <c r="S19" s="12">
        <f t="shared" si="5"/>
        <v>-4.8124138671851148E-2</v>
      </c>
      <c r="T19" s="31">
        <f t="shared" si="16"/>
        <v>6.5983414870338484</v>
      </c>
      <c r="U19" s="12">
        <f t="shared" si="6"/>
        <v>1</v>
      </c>
      <c r="V19" s="31">
        <f t="shared" si="17"/>
        <v>-6.5983414870338484</v>
      </c>
      <c r="W19" s="12">
        <f t="shared" si="7"/>
        <v>-1</v>
      </c>
      <c r="X19" s="29">
        <f t="shared" si="18"/>
        <v>3.6992177488749813E-2</v>
      </c>
      <c r="Y19" s="16">
        <f t="shared" si="19"/>
        <v>0.41423839074885921</v>
      </c>
    </row>
    <row r="20" spans="2:25" ht="14.25" customHeight="1" x14ac:dyDescent="0.25">
      <c r="B20" s="4" t="s">
        <v>11</v>
      </c>
      <c r="C20" s="40">
        <v>0</v>
      </c>
      <c r="D20" s="2" t="s">
        <v>22</v>
      </c>
      <c r="E20" s="16">
        <v>15</v>
      </c>
      <c r="F20" s="16">
        <f t="shared" si="8"/>
        <v>80.25</v>
      </c>
      <c r="G20" s="32">
        <f t="shared" si="0"/>
        <v>0.125</v>
      </c>
      <c r="H20" s="30">
        <f>$F20/(2*$C$22)*(1-(1+(4*$C$10*$C$22)/$C$31)^0.5)</f>
        <v>-0.28186866819745915</v>
      </c>
      <c r="I20" s="30">
        <f t="shared" si="9"/>
        <v>0.75437275116084479</v>
      </c>
      <c r="J20" s="31">
        <f t="shared" si="10"/>
        <v>-2.4703586854599751E+48</v>
      </c>
      <c r="K20" s="12">
        <f t="shared" si="2"/>
        <v>2</v>
      </c>
      <c r="L20" s="30">
        <f t="shared" si="11"/>
        <v>17.796048615325383</v>
      </c>
      <c r="M20" s="30">
        <f t="shared" si="12"/>
        <v>53545837.209835403</v>
      </c>
      <c r="N20" s="31">
        <f t="shared" si="13"/>
        <v>2.4703586854599751E+48</v>
      </c>
      <c r="O20" s="12">
        <f t="shared" si="3"/>
        <v>0</v>
      </c>
      <c r="P20" s="30">
        <f t="shared" si="14"/>
        <v>4.1227772543069391E-2</v>
      </c>
      <c r="Q20" s="12">
        <f t="shared" si="4"/>
        <v>4.6494215626417486E-2</v>
      </c>
      <c r="R20" s="30">
        <f t="shared" si="15"/>
        <v>-4.1227772543069391E-2</v>
      </c>
      <c r="S20" s="12">
        <f t="shared" si="5"/>
        <v>-4.6494215626417486E-2</v>
      </c>
      <c r="T20" s="31">
        <f t="shared" si="16"/>
        <v>6.3746034925746242</v>
      </c>
      <c r="U20" s="12">
        <f t="shared" si="6"/>
        <v>1</v>
      </c>
      <c r="V20" s="31">
        <f t="shared" si="17"/>
        <v>-6.3746034925746242</v>
      </c>
      <c r="W20" s="12">
        <f t="shared" si="7"/>
        <v>-1</v>
      </c>
      <c r="X20" s="29">
        <f t="shared" si="18"/>
        <v>3.5073969355166101E-2</v>
      </c>
      <c r="Y20" s="16">
        <f t="shared" si="19"/>
        <v>0.39275829673117812</v>
      </c>
    </row>
    <row r="21" spans="2:25" ht="14.25" customHeight="1" x14ac:dyDescent="0.25">
      <c r="B21" s="4" t="s">
        <v>13</v>
      </c>
      <c r="C21" s="40">
        <f>Attenuation_satzone!D29</f>
        <v>9.9999999999999997E+98</v>
      </c>
      <c r="D21" s="2" t="s">
        <v>17</v>
      </c>
      <c r="E21" s="16">
        <v>16</v>
      </c>
      <c r="F21" s="16">
        <f t="shared" si="8"/>
        <v>85.6</v>
      </c>
      <c r="G21" s="32">
        <f t="shared" si="0"/>
        <v>0.125</v>
      </c>
      <c r="H21" s="30">
        <f t="shared" si="1"/>
        <v>-0.30065991274395637</v>
      </c>
      <c r="I21" s="30">
        <f t="shared" si="9"/>
        <v>0.74032950656900609</v>
      </c>
      <c r="J21" s="31">
        <f t="shared" si="10"/>
        <v>-2.4703586854599751E+48</v>
      </c>
      <c r="K21" s="12">
        <f t="shared" si="2"/>
        <v>2</v>
      </c>
      <c r="L21" s="30">
        <f t="shared" si="11"/>
        <v>18.982451856347073</v>
      </c>
      <c r="M21" s="30">
        <f t="shared" si="12"/>
        <v>175377588.54711878</v>
      </c>
      <c r="N21" s="31">
        <f t="shared" si="13"/>
        <v>2.4703586854599751E+48</v>
      </c>
      <c r="O21" s="12">
        <f t="shared" si="3"/>
        <v>0</v>
      </c>
      <c r="P21" s="30">
        <f t="shared" si="14"/>
        <v>3.9918619115133794E-2</v>
      </c>
      <c r="Q21" s="12">
        <f t="shared" si="4"/>
        <v>4.5019424159912537E-2</v>
      </c>
      <c r="R21" s="30">
        <f t="shared" si="15"/>
        <v>-3.9918619115133794E-2</v>
      </c>
      <c r="S21" s="12">
        <f t="shared" si="5"/>
        <v>-4.5019424159912537E-2</v>
      </c>
      <c r="T21" s="31">
        <f t="shared" si="16"/>
        <v>6.1721832913542887</v>
      </c>
      <c r="U21" s="12">
        <f t="shared" si="6"/>
        <v>1</v>
      </c>
      <c r="V21" s="31">
        <f t="shared" si="17"/>
        <v>-6.1721832913542887</v>
      </c>
      <c r="W21" s="12">
        <f t="shared" si="7"/>
        <v>-1</v>
      </c>
      <c r="X21" s="29">
        <f t="shared" si="18"/>
        <v>3.3329208074328841E-2</v>
      </c>
      <c r="Y21" s="16">
        <f t="shared" si="19"/>
        <v>0.37322046051067587</v>
      </c>
    </row>
    <row r="22" spans="2:25" ht="14.25" customHeight="1" x14ac:dyDescent="0.25">
      <c r="B22" s="4" t="s">
        <v>14</v>
      </c>
      <c r="C22" s="40">
        <f>Attenuation_satzone!D32</f>
        <v>4.5820015691433991</v>
      </c>
      <c r="D22" s="7" t="s">
        <v>22</v>
      </c>
      <c r="E22" s="16">
        <v>17</v>
      </c>
      <c r="F22" s="16">
        <f t="shared" si="8"/>
        <v>90.949999999999989</v>
      </c>
      <c r="G22" s="32">
        <f t="shared" si="0"/>
        <v>0.125</v>
      </c>
      <c r="H22" s="30">
        <f t="shared" si="1"/>
        <v>-0.31945115729045365</v>
      </c>
      <c r="I22" s="30">
        <f t="shared" si="9"/>
        <v>0.72654768806707148</v>
      </c>
      <c r="J22" s="31">
        <f t="shared" si="10"/>
        <v>-2.4703586854599751E+48</v>
      </c>
      <c r="K22" s="12">
        <f t="shared" si="2"/>
        <v>2</v>
      </c>
      <c r="L22" s="30">
        <f t="shared" si="11"/>
        <v>20.168855097368766</v>
      </c>
      <c r="M22" s="30">
        <f t="shared" si="12"/>
        <v>574410638.94604754</v>
      </c>
      <c r="N22" s="31">
        <f t="shared" si="13"/>
        <v>2.4703586854599751E+48</v>
      </c>
      <c r="O22" s="12">
        <f t="shared" si="3"/>
        <v>0</v>
      </c>
      <c r="P22" s="30">
        <f t="shared" si="14"/>
        <v>3.8726748950705131E-2</v>
      </c>
      <c r="Q22" s="12">
        <f t="shared" si="4"/>
        <v>4.3676620802545765E-2</v>
      </c>
      <c r="R22" s="30">
        <f t="shared" si="15"/>
        <v>-3.8726748950705131E-2</v>
      </c>
      <c r="S22" s="12">
        <f t="shared" si="5"/>
        <v>-4.3676620802545765E-2</v>
      </c>
      <c r="T22" s="31">
        <f t="shared" si="16"/>
        <v>5.9878973296296927</v>
      </c>
      <c r="U22" s="12">
        <f t="shared" si="6"/>
        <v>1</v>
      </c>
      <c r="V22" s="31">
        <f t="shared" si="17"/>
        <v>-5.9878973296296927</v>
      </c>
      <c r="W22" s="12">
        <f t="shared" si="7"/>
        <v>-1</v>
      </c>
      <c r="X22" s="29">
        <f t="shared" si="18"/>
        <v>3.1733147866671786E-2</v>
      </c>
      <c r="Y22" s="16">
        <f t="shared" si="19"/>
        <v>0.35534777885631208</v>
      </c>
    </row>
    <row r="23" spans="2:25" ht="14.25" customHeight="1" x14ac:dyDescent="0.25">
      <c r="B23" s="4" t="s">
        <v>16</v>
      </c>
      <c r="C23" s="40">
        <f>Attenuation_satzone!D33</f>
        <v>0.45820015691433991</v>
      </c>
      <c r="D23" s="7" t="s">
        <v>22</v>
      </c>
      <c r="E23" s="16">
        <v>18</v>
      </c>
      <c r="F23" s="16">
        <f t="shared" si="8"/>
        <v>96.3</v>
      </c>
      <c r="G23" s="32">
        <f t="shared" si="0"/>
        <v>0.125</v>
      </c>
      <c r="H23" s="30">
        <f t="shared" si="1"/>
        <v>-0.33824240183695098</v>
      </c>
      <c r="I23" s="30">
        <f t="shared" si="9"/>
        <v>0.71302242900189439</v>
      </c>
      <c r="J23" s="31">
        <f t="shared" si="10"/>
        <v>-2.4703586854599751E+48</v>
      </c>
      <c r="K23" s="12">
        <f t="shared" si="2"/>
        <v>2</v>
      </c>
      <c r="L23" s="30">
        <f t="shared" si="11"/>
        <v>21.35525833839046</v>
      </c>
      <c r="M23" s="30">
        <f t="shared" si="12"/>
        <v>1881355450.6467593</v>
      </c>
      <c r="N23" s="31">
        <f t="shared" si="13"/>
        <v>2.4703586854599751E+48</v>
      </c>
      <c r="O23" s="12">
        <f t="shared" si="3"/>
        <v>0</v>
      </c>
      <c r="P23" s="30">
        <f t="shared" si="14"/>
        <v>3.7635635029218725E-2</v>
      </c>
      <c r="Q23" s="12">
        <f t="shared" si="4"/>
        <v>4.2447224231917394E-2</v>
      </c>
      <c r="R23" s="30">
        <f t="shared" si="15"/>
        <v>-3.7635635029218725E-2</v>
      </c>
      <c r="S23" s="12">
        <f t="shared" si="5"/>
        <v>-4.2447224231917394E-2</v>
      </c>
      <c r="T23" s="31">
        <f t="shared" si="16"/>
        <v>5.819190213390562</v>
      </c>
      <c r="U23" s="12">
        <f t="shared" si="6"/>
        <v>0.99999999999999978</v>
      </c>
      <c r="V23" s="31">
        <f t="shared" si="17"/>
        <v>-5.819190213390562</v>
      </c>
      <c r="W23" s="12">
        <f t="shared" si="7"/>
        <v>-0.99999999999999978</v>
      </c>
      <c r="X23" s="29">
        <f t="shared" si="18"/>
        <v>3.0265822926229802E-2</v>
      </c>
      <c r="Y23" s="16">
        <f t="shared" si="19"/>
        <v>0.33891667467978165</v>
      </c>
    </row>
    <row r="24" spans="2:25" ht="14.25" customHeight="1" x14ac:dyDescent="0.25">
      <c r="B24" s="4" t="s">
        <v>15</v>
      </c>
      <c r="C24" s="40">
        <f>Attenuation_satzone!D34</f>
        <v>4.5820015691433992E-2</v>
      </c>
      <c r="D24" s="7" t="s">
        <v>22</v>
      </c>
      <c r="E24" s="16">
        <v>19</v>
      </c>
      <c r="F24" s="16">
        <f t="shared" si="8"/>
        <v>101.64999999999999</v>
      </c>
      <c r="G24" s="32">
        <f t="shared" si="0"/>
        <v>0.125</v>
      </c>
      <c r="H24" s="30">
        <f t="shared" si="1"/>
        <v>-0.3570336463834482</v>
      </c>
      <c r="I24" s="30">
        <f t="shared" si="9"/>
        <v>0.69974895331692022</v>
      </c>
      <c r="J24" s="31">
        <f t="shared" si="10"/>
        <v>-2.4703586854599751E+48</v>
      </c>
      <c r="K24" s="12">
        <f t="shared" si="2"/>
        <v>2</v>
      </c>
      <c r="L24" s="30">
        <f t="shared" si="11"/>
        <v>22.54166157941215</v>
      </c>
      <c r="M24" s="30">
        <f t="shared" si="12"/>
        <v>6161965137.2973804</v>
      </c>
      <c r="N24" s="31">
        <f t="shared" si="13"/>
        <v>2.4703586854599751E+48</v>
      </c>
      <c r="O24" s="12">
        <f t="shared" si="3"/>
        <v>0</v>
      </c>
      <c r="P24" s="30">
        <f t="shared" si="14"/>
        <v>3.6631837197591416E-2</v>
      </c>
      <c r="Q24" s="12">
        <f t="shared" si="4"/>
        <v>4.1316120536541302E-2</v>
      </c>
      <c r="R24" s="30">
        <f t="shared" si="15"/>
        <v>-3.6631837197591416E-2</v>
      </c>
      <c r="S24" s="12">
        <f t="shared" si="5"/>
        <v>-4.1316120536541302E-2</v>
      </c>
      <c r="T24" s="31">
        <f t="shared" si="16"/>
        <v>5.6639838374786535</v>
      </c>
      <c r="U24" s="12">
        <f t="shared" si="6"/>
        <v>0.99999999999999889</v>
      </c>
      <c r="V24" s="31">
        <f t="shared" si="17"/>
        <v>-5.6639838374786535</v>
      </c>
      <c r="W24" s="12">
        <f t="shared" si="7"/>
        <v>-0.99999999999999889</v>
      </c>
      <c r="X24" s="29">
        <f t="shared" si="18"/>
        <v>2.8910912100560456E-2</v>
      </c>
      <c r="Y24" s="16">
        <f t="shared" si="19"/>
        <v>0.32374438372166842</v>
      </c>
    </row>
    <row r="25" spans="2:25" x14ac:dyDescent="0.25">
      <c r="B25" s="6" t="s">
        <v>398</v>
      </c>
      <c r="C25" s="411">
        <f>Dilution!D22</f>
        <v>0</v>
      </c>
      <c r="D25" s="7"/>
      <c r="E25" s="16">
        <v>20</v>
      </c>
      <c r="F25" s="16">
        <f t="shared" si="8"/>
        <v>107</v>
      </c>
      <c r="G25" s="32">
        <f t="shared" si="0"/>
        <v>0.125</v>
      </c>
      <c r="H25" s="30">
        <f t="shared" si="1"/>
        <v>-0.37582489092994553</v>
      </c>
      <c r="I25" s="30">
        <f t="shared" si="9"/>
        <v>0.68672257386565949</v>
      </c>
      <c r="J25" s="31">
        <f t="shared" si="10"/>
        <v>-2.4703586854599751E+48</v>
      </c>
      <c r="K25" s="12">
        <f t="shared" si="2"/>
        <v>2</v>
      </c>
      <c r="L25" s="30">
        <f t="shared" si="11"/>
        <v>23.728064820433843</v>
      </c>
      <c r="M25" s="30">
        <f t="shared" si="12"/>
        <v>20182158741.037193</v>
      </c>
      <c r="N25" s="31">
        <f t="shared" si="13"/>
        <v>2.4703586854599751E+48</v>
      </c>
      <c r="O25" s="12">
        <f t="shared" si="3"/>
        <v>0</v>
      </c>
      <c r="P25" s="30">
        <f t="shared" si="14"/>
        <v>3.5704298363744662E-2</v>
      </c>
      <c r="Q25" s="12">
        <f t="shared" si="4"/>
        <v>4.0270873327619756E-2</v>
      </c>
      <c r="R25" s="30">
        <f t="shared" si="15"/>
        <v>-3.5704298363744662E-2</v>
      </c>
      <c r="S25" s="12">
        <f t="shared" si="5"/>
        <v>-4.0270873327619756E-2</v>
      </c>
      <c r="T25" s="31">
        <f t="shared" si="16"/>
        <v>5.5205685636226312</v>
      </c>
      <c r="U25" s="12">
        <f t="shared" si="6"/>
        <v>0.99999999999999412</v>
      </c>
      <c r="V25" s="31">
        <f t="shared" si="17"/>
        <v>-5.5205685636226312</v>
      </c>
      <c r="W25" s="12">
        <f t="shared" si="7"/>
        <v>-0.99999999999999412</v>
      </c>
      <c r="X25" s="29">
        <f t="shared" si="18"/>
        <v>2.7654917783360811E-2</v>
      </c>
      <c r="Y25" s="16">
        <f t="shared" si="19"/>
        <v>0.30967975979125167</v>
      </c>
    </row>
    <row r="26" spans="2:25" x14ac:dyDescent="0.25">
      <c r="C26" s="7"/>
      <c r="D26" s="7"/>
    </row>
    <row r="27" spans="2:25" ht="15.6" x14ac:dyDescent="0.3">
      <c r="B27" s="8" t="s">
        <v>36</v>
      </c>
      <c r="C27" s="17" t="s">
        <v>7</v>
      </c>
      <c r="D27" s="17"/>
    </row>
    <row r="28" spans="2:25" ht="13.8" x14ac:dyDescent="0.25">
      <c r="C28" s="4"/>
      <c r="D28" s="4"/>
    </row>
    <row r="29" spans="2:25" ht="13.8" x14ac:dyDescent="0.25">
      <c r="B29" s="4" t="s">
        <v>31</v>
      </c>
      <c r="C29" s="20">
        <f>(C17*C16)/C15</f>
        <v>0.57963898242384226</v>
      </c>
      <c r="D29" s="2" t="s">
        <v>21</v>
      </c>
    </row>
    <row r="30" spans="2:25" ht="13.8" x14ac:dyDescent="0.25">
      <c r="B30" s="4" t="s">
        <v>0</v>
      </c>
      <c r="C30" s="20">
        <f>Attenuation_satzone!D39</f>
        <v>5.5212765957446814</v>
      </c>
      <c r="D30" s="20"/>
    </row>
    <row r="31" spans="2:25" ht="13.8" x14ac:dyDescent="0.25">
      <c r="B31" s="4" t="s">
        <v>34</v>
      </c>
      <c r="C31" s="20">
        <f>C29/C30</f>
        <v>0.10498278294381727</v>
      </c>
      <c r="D31" s="2" t="s">
        <v>21</v>
      </c>
    </row>
    <row r="35" spans="2:4" x14ac:dyDescent="0.25">
      <c r="B35" s="16"/>
    </row>
    <row r="48" spans="2:4" x14ac:dyDescent="0.25">
      <c r="B48" s="293" t="s">
        <v>87</v>
      </c>
      <c r="C48" s="294">
        <f>Introduction!B30</f>
        <v>45685</v>
      </c>
      <c r="D48" s="21"/>
    </row>
    <row r="49" spans="2:4" x14ac:dyDescent="0.25">
      <c r="B49" s="295" t="s">
        <v>96</v>
      </c>
      <c r="C49" s="296">
        <f>Introduction!E30</f>
        <v>1</v>
      </c>
      <c r="D49" s="13"/>
    </row>
  </sheetData>
  <sheetProtection algorithmName="SHA-512" hashValue="MzkGheL29/36I5EW7RvEJERSM3ahtt8sx08oTLV83LpZzA/iIdLflTtTKVmFmZ/E6ugsGFEa25w1ImpP5jotuQ==" saltValue="I8+JcaeGPe8aA6sTMyFotw==" spinCount="100000" sheet="1" objects="1" scenarios="1"/>
  <phoneticPr fontId="58" type="noConversion"/>
  <pageMargins left="0.75" right="0.75" top="1" bottom="1" header="0.5" footer="0.5"/>
  <pageSetup paperSize="9" scale="43" orientation="landscape" verticalDpi="300"/>
  <headerFooter alignWithMargins="0">
    <oddFooter>&amp;LInfiltration Worksheet v1.2&amp;R&amp;D, &amp;T
&amp;F&amp;A</oddFooter>
  </headerFooter>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A3CF61260829645ADC2175EB11FB854" ma:contentTypeVersion="777" ma:contentTypeDescription="Permitting &amp; Compliance Word Document" ma:contentTypeScope="" ma:versionID="e22383b01c3b96cce2e769e01a474b51">
  <xsd:schema xmlns:xsd="http://www.w3.org/2001/XMLSchema" xmlns:xs="http://www.w3.org/2001/XMLSchema" xmlns:p="http://schemas.microsoft.com/office/2006/metadata/properties" xmlns:ns2="859f7ad6-93f6-4205-b62b-a17f28acbbac" xmlns:ns4="6e121689-de5b-41b9-a751-bfeda7fa2b07" xmlns:ns5="b67299c9-1600-4d20-976e-ea8f199d05b8" xmlns:ns6="9be56660-2c31-41ef-bc00-23e72f632f2a" targetNamespace="http://schemas.microsoft.com/office/2006/metadata/properties" ma:root="true" ma:fieldsID="e5020772e73a26c0511922cfee72ccfa" ns2:_="" ns4:_="" ns5:_="" ns6:_="">
    <xsd:import namespace="859f7ad6-93f6-4205-b62b-a17f28acbbac"/>
    <xsd:import namespace="6e121689-de5b-41b9-a751-bfeda7fa2b07"/>
    <xsd:import namespace="b67299c9-1600-4d20-976e-ea8f199d05b8"/>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Time" minOccurs="0"/>
                <xsd:element ref="ns5:MediaServiceMetadata" minOccurs="0"/>
                <xsd:element ref="ns5:MediaServiceFastMetadata" minOccurs="0"/>
                <xsd:element ref="ns5:MediaServiceOCR" minOccurs="0"/>
                <xsd:element ref="ns5:MediaServiceGenerationTime" minOccurs="0"/>
                <xsd:element ref="ns5:MediaServiceEventHashCode" minOccurs="0"/>
                <xsd:element ref="ns5:MediaServiceDateTaken" minOccurs="0"/>
                <xsd:element ref="ns5:MediaServiceAutoTags" minOccurs="0"/>
                <xsd:element ref="ns5:MediaServiceLocation" minOccurs="0"/>
                <xsd:element ref="ns5:MediaServiceAutoKeyPoints" minOccurs="0"/>
                <xsd:element ref="ns5:MediaServiceKeyPoints" minOccurs="0"/>
                <xsd:element ref="ns4:LastSharedByUser" minOccurs="0"/>
                <xsd:element ref="ns6:_dlc_DocId" minOccurs="0"/>
                <xsd:element ref="ns6:_dlc_DocIdUrl" minOccurs="0"/>
                <xsd:element ref="ns6:_dlc_DocIdPersistId" minOccurs="0"/>
                <xsd:element ref="ns5:lcf76f155ced4ddcb4097134ff3c332f" minOccurs="0"/>
                <xsd:element ref="ns2:TaxCatchAll" minOccurs="0"/>
                <xsd:element ref="ns5:MediaServiceObjectDetectorVersions" minOccurs="0"/>
                <xsd:element ref="ns5: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dexed="true" ma:internalName="Document_x0020_Date">
      <xsd:simpleType>
        <xsd:restriction base="dms:DateTime"/>
      </xsd:simpleType>
    </xsd:element>
    <xsd:element name="Document_x0020_Type" ma:index="10" ma:displayName="Document Type" ma:format="Dropdown" ma:indexed="true" ma:internalName="Document_x0020_Typ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dexed="true" ma:internalName="Internal_x002F_External">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dexed="true"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4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24" nillable="true" ma:displayName="Last Shared By Time" ma:description="" ma:internalName="LastSharedByTime" ma:readOnly="true">
      <xsd:simpleType>
        <xsd:restriction base="dms:DateTime"/>
      </xsd:simpleType>
    </xsd:element>
    <xsd:element name="LastSharedByUser" ma:index="35"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b67299c9-1600-4d20-976e-ea8f199d05b8" elementFormDefault="qualified">
    <xsd:import namespace="http://schemas.microsoft.com/office/2006/documentManagement/types"/>
    <xsd:import namespace="http://schemas.microsoft.com/office/infopath/2007/PartnerControls"/>
    <xsd:element name="MediaServiceMetadata" ma:index="25" nillable="true" ma:displayName="MediaServiceMetadata" ma:description="" ma:hidden="true" ma:internalName="MediaServiceMetadata" ma:readOnly="true">
      <xsd:simpleType>
        <xsd:restriction base="dms:Note"/>
      </xsd:simpleType>
    </xsd:element>
    <xsd:element name="MediaServiceFastMetadata" ma:index="26" nillable="true" ma:displayName="MediaServiceFastMetadata" ma:description="" ma:hidden="true" ma:internalName="MediaServiceFastMetadata" ma:readOnly="true">
      <xsd:simpleType>
        <xsd:restriction base="dms:Note"/>
      </xsd:simpleType>
    </xsd:element>
    <xsd:element name="MediaServiceOCR" ma:index="27" nillable="true" ma:displayName="Extracted Text" ma:internalName="MediaServiceOCR" ma:readOnly="true">
      <xsd:simpleType>
        <xsd:restriction base="dms:Note">
          <xsd:maxLength value="255"/>
        </xsd:restriction>
      </xsd:simpleType>
    </xsd:element>
    <xsd:element name="MediaServiceGenerationTime" ma:index="28" nillable="true" ma:displayName="MediaServiceGenerationTime" ma:hidden="true" ma:internalName="MediaServiceGenerationTime" ma:readOnly="true">
      <xsd:simpleType>
        <xsd:restriction base="dms:Text"/>
      </xsd:simpleType>
    </xsd:element>
    <xsd:element name="MediaServiceEventHashCode" ma:index="29" nillable="true" ma:displayName="MediaServiceEventHashCode" ma:hidden="true" ma:internalName="MediaServiceEventHashCode" ma:readOnly="true">
      <xsd:simpleType>
        <xsd:restriction base="dms:Text"/>
      </xsd:simpleType>
    </xsd:element>
    <xsd:element name="MediaServiceDateTaken" ma:index="30" nillable="true" ma:displayName="MediaServiceDateTaken" ma:hidden="true" ma:internalName="MediaServiceDateTaken" ma:readOnly="true">
      <xsd:simpleType>
        <xsd:restriction base="dms:Text"/>
      </xsd:simpleType>
    </xsd:element>
    <xsd:element name="MediaServiceAutoTags" ma:index="31" nillable="true" ma:displayName="MediaServiceAutoTags" ma:internalName="MediaServiceAutoTags" ma:readOnly="true">
      <xsd:simpleType>
        <xsd:restriction base="dms:Text"/>
      </xsd:simpleType>
    </xsd:element>
    <xsd:element name="MediaServiceLocation" ma:index="32" nillable="true" ma:displayName="MediaServiceLocation" ma:internalName="MediaServiceLocation" ma:readOnly="true">
      <xsd:simpleType>
        <xsd:restriction base="dms:Text"/>
      </xsd:simpleType>
    </xsd:element>
    <xsd:element name="MediaServiceAutoKeyPoints" ma:index="33" nillable="true" ma:displayName="MediaServiceAutoKeyPoints" ma:hidden="true" ma:internalName="MediaServiceAutoKeyPoints" ma:readOnly="true">
      <xsd:simpleType>
        <xsd:restriction base="dms:Note"/>
      </xsd:simpleType>
    </xsd:element>
    <xsd:element name="MediaServiceKeyPoints" ma:index="34" nillable="true" ma:displayName="KeyPoints" ma:internalName="MediaServiceKeyPoints" ma:readOnly="true">
      <xsd:simpleType>
        <xsd:restriction base="dms:Note">
          <xsd:maxLength value="255"/>
        </xsd:restriction>
      </xsd:simpleType>
    </xsd:element>
    <xsd:element name="lcf76f155ced4ddcb4097134ff3c332f" ma:index="40"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4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4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dexed="true"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haredContentType xmlns="Microsoft.SharePoint.Taxonomy.ContentTypeSync" SourceId="78499d3b-94a8-4059-8763-489d4400b14a" ContentTypeId="0x01010067EB80C5FE939D4A9B3D8BA62129B7F50102" PreviousValue="false"/>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Hendre Farmhouse</Site_x0020_Name>
    <Internal_x002f_External xmlns="859f7ad6-93f6-4205-b62b-a17f28acbbac">Incoming document</Internal_x002f_External>
    <Post_x0020_code xmlns="859f7ad6-93f6-4205-b62b-a17f28acbbac">NP25 4DJ</Post_x0020_code>
    <TaxCatchAll xmlns="859f7ad6-93f6-4205-b62b-a17f28acbbac" xsi:nil="true"/>
    <Document_x0020_Type xmlns="859f7ad6-93f6-4205-b62b-a17f28acbbac">Report</Document_x0020_Type>
    <Welsh_x0020_Local_x0020_Authority xmlns="859f7ad6-93f6-4205-b62b-a17f28acbbac">Monmouthshire CC</Welsh_x0020_Local_x0020_Authority>
    <Disclosure_x0020_Status xmlns="859f7ad6-93f6-4205-b62b-a17f28acbbac">Public register</Disclosure_x0020_Status>
    <Addressee xmlns="859f7ad6-93f6-4205-b62b-a17f28acbbac">Hendre Farmhouse, Wonastow, Monmouth, NP25 4DJ </Addressee>
    <Process_x0020_Type xmlns="859f7ad6-93f6-4205-b62b-a17f28acbbac">Application</Process_x0020_Type>
    <License_x002f_Activity_x0020_Type xmlns="859f7ad6-93f6-4205-b62b-a17f28acbbac">6. EPR Groundwater Permits</License_x002f_Activity_x0020_Type>
    <Surrendered_x002f_Expired xmlns="859f7ad6-93f6-4205-b62b-a17f28acbbac" xsi:nil="true"/>
    <lcf76f155ced4ddcb4097134ff3c332f xmlns="b67299c9-1600-4d20-976e-ea8f199d05b8">
      <Terms xmlns="http://schemas.microsoft.com/office/infopath/2007/PartnerControls"/>
    </lcf76f155ced4ddcb4097134ff3c332f>
    <Document_x0020_Date xmlns="859f7ad6-93f6-4205-b62b-a17f28acbbac">2025-02-04T00:00:00+00:00</Document_x0020_Date>
    <Facility_x0020_Address xmlns="859f7ad6-93f6-4205-b62b-a17f28acbbac">Wonastow, Monmouth</Facility_x0020_Address>
    <Environment_x0020_Sub_x0020_Folder xmlns="859f7ad6-93f6-4205-b62b-a17f28acbbac">Licences applications</Environment_x0020_Sub_x0020_Folder>
    <Customer_x0020_Name xmlns="859f7ad6-93f6-4205-b62b-a17f28acbbac">Mr Ronald Baker</Customer_x0020_Name>
    <Surrendered_x002f_Expired_x0020_Date xmlns="859f7ad6-93f6-4205-b62b-a17f28acbbac" xsi:nil="true"/>
    <_dlc_DocId xmlns="9be56660-2c31-41ef-bc00-23e72f632f2a">REGU-184-13530158</_dlc_DocId>
    <_dlc_DocIdUrl xmlns="9be56660-2c31-41ef-bc00-23e72f632f2a">
      <Url>https://cyfoethnaturiolcymru.sharepoint.com/teams/Regulatory/Permitting/_layouts/15/DocIdRedir.aspx?ID=REGU-184-13530158</Url>
      <Description>REGU-184-13530158</Description>
    </_dlc_DocIdUrl>
  </documentManagement>
</p:properties>
</file>

<file path=customXml/itemProps1.xml><?xml version="1.0" encoding="utf-8"?>
<ds:datastoreItem xmlns:ds="http://schemas.openxmlformats.org/officeDocument/2006/customXml" ds:itemID="{074738C0-491F-40C2-9854-5CAD3E3CFC53}"/>
</file>

<file path=customXml/itemProps2.xml><?xml version="1.0" encoding="utf-8"?>
<ds:datastoreItem xmlns:ds="http://schemas.openxmlformats.org/officeDocument/2006/customXml" ds:itemID="{B9FC2A25-C165-4B01-9451-5F4AAE186BF3}"/>
</file>

<file path=customXml/itemProps3.xml><?xml version="1.0" encoding="utf-8"?>
<ds:datastoreItem xmlns:ds="http://schemas.openxmlformats.org/officeDocument/2006/customXml" ds:itemID="{36CB7C86-5275-4995-9E07-1B71CF246388}"/>
</file>

<file path=customXml/itemProps4.xml><?xml version="1.0" encoding="utf-8"?>
<ds:datastoreItem xmlns:ds="http://schemas.openxmlformats.org/officeDocument/2006/customXml" ds:itemID="{1B2AE21B-E093-427E-89DD-CA4ABE8DBF09}"/>
</file>

<file path=customXml/itemProps5.xml><?xml version="1.0" encoding="utf-8"?>
<ds:datastoreItem xmlns:ds="http://schemas.openxmlformats.org/officeDocument/2006/customXml" ds:itemID="{80796612-7770-4FC4-9991-303D46652F2D}"/>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11</vt:i4>
      </vt:variant>
      <vt:variant>
        <vt:lpstr>Named Ranges</vt:lpstr>
      </vt:variant>
      <vt:variant>
        <vt:i4>9</vt:i4>
      </vt:variant>
    </vt:vector>
  </HeadingPairs>
  <TitlesOfParts>
    <vt:vector size="20" baseType="lpstr">
      <vt:lpstr>control</vt:lpstr>
      <vt:lpstr>Introduction</vt:lpstr>
      <vt:lpstr>Infiltration System</vt:lpstr>
      <vt:lpstr>Attenuation_unsatzone</vt:lpstr>
      <vt:lpstr>Dilution</vt:lpstr>
      <vt:lpstr>Attenuation_satzone</vt:lpstr>
      <vt:lpstr>Summary</vt:lpstr>
      <vt:lpstr>Simple calcs</vt:lpstr>
      <vt:lpstr>Ammonium calculator</vt:lpstr>
      <vt:lpstr>Porosity Calculator</vt:lpstr>
      <vt:lpstr>Attenuation calc_sat_zone</vt:lpstr>
      <vt:lpstr>'Attenuation calc_sat_zone'!Print_Area</vt:lpstr>
      <vt:lpstr>Attenuation_satzone!Print_Area</vt:lpstr>
      <vt:lpstr>Attenuation_unsatzone!Print_Area</vt:lpstr>
      <vt:lpstr>Dilution!Print_Area</vt:lpstr>
      <vt:lpstr>'Infiltration System'!Print_Area</vt:lpstr>
      <vt:lpstr>Introduction!Print_Area</vt:lpstr>
      <vt:lpstr>'Porosity Calculator'!Print_Area</vt:lpstr>
      <vt:lpstr>'Simple calcs'!Print_Area</vt:lpstr>
      <vt:lpstr>Summary!Print_Area</vt:lpstr>
    </vt:vector>
  </TitlesOfParts>
  <Company>Environment Agency, NGWCLC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keywords>773_11, 773-11, 77311, 773 11, LIT 8288</cp:keywords>
  <dc:description>773_11, version 2
Issued 18/12/2014</dc:description>
  <cp:lastModifiedBy>Raynor, Katrin</cp:lastModifiedBy>
  <cp:lastPrinted>2024-01-12T17:09:06Z</cp:lastPrinted>
  <dcterms:created xsi:type="dcterms:W3CDTF">1999-07-27T09:09:19Z</dcterms:created>
  <dcterms:modified xsi:type="dcterms:W3CDTF">2025-03-25T07:39:16Z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0x01010067EB80C5FE939D4A9B3D8BA62129B7F50102006A3CF61260829645ADC2175EB11FB854</vt:lpwstr>
  </property>
  <property fmtid="{D5CDD505-2E9C-101B-9397-08002B2CF9AE}" pid="3" name="_dlc_DocIdItemGuid">
    <vt:lpwstr>476d37ec-884a-442e-ae19-b6383ca04387</vt:lpwstr>
  </property>
  <property fmtid="{D5CDD505-2E9C-101B-9397-08002B2CF9AE}" pid="4" name="MediaServiceImageTags">
    <vt:lpwstr/>
  </property>
</Properties>
</file>