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8776/"/>
    </mc:Choice>
  </mc:AlternateContent>
  <xr:revisionPtr revIDLastSave="0" documentId="13_ncr:1_{63181A12-48E2-41D8-A46C-9D1A82EEEC31}" xr6:coauthVersionLast="47" xr6:coauthVersionMax="47" xr10:uidLastSave="{00000000-0000-0000-0000-000000000000}"/>
  <bookViews>
    <workbookView xWindow="-120" yWindow="-120" windowWidth="29040" windowHeight="1572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U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L65" i="28" s="1"/>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19" i="22" s="1"/>
  <c r="J21" i="22"/>
  <c r="J23" i="22" s="1"/>
  <c r="K59" i="23"/>
  <c r="L17" i="23"/>
  <c r="L21" i="23"/>
  <c r="L23" i="23" s="1"/>
  <c r="M57" i="21"/>
  <c r="R59" i="21"/>
  <c r="S21" i="21"/>
  <c r="S23" i="21" s="1"/>
  <c r="S24" i="21" s="1"/>
  <c r="S17" i="21"/>
  <c r="J59" i="21"/>
  <c r="K21" i="21"/>
  <c r="K23" i="21" s="1"/>
  <c r="K24" i="21" s="1"/>
  <c r="K17" i="21"/>
  <c r="K19" i="21" s="1"/>
  <c r="K20" i="21" s="1"/>
  <c r="J59" i="22"/>
  <c r="K17" i="22"/>
  <c r="K21" i="22"/>
  <c r="K23" i="22" s="1"/>
  <c r="R59" i="22"/>
  <c r="S17" i="22"/>
  <c r="S21" i="22"/>
  <c r="S23" i="22" s="1"/>
  <c r="D59" i="23"/>
  <c r="E17" i="23"/>
  <c r="E21" i="23"/>
  <c r="L59" i="23"/>
  <c r="M17" i="23"/>
  <c r="M19" i="23" s="1"/>
  <c r="M21" i="23"/>
  <c r="M23" i="23" s="1"/>
  <c r="T59" i="23"/>
  <c r="U17" i="23"/>
  <c r="U19" i="23" s="1"/>
  <c r="U21" i="23"/>
  <c r="U23" i="23" s="1"/>
  <c r="H21" i="24"/>
  <c r="H17" i="24"/>
  <c r="H19" i="24" s="1"/>
  <c r="P17" i="24"/>
  <c r="P21" i="24"/>
  <c r="C59" i="26"/>
  <c r="D21" i="26"/>
  <c r="D23" i="26" s="1"/>
  <c r="D17" i="26"/>
  <c r="D19" i="26" s="1"/>
  <c r="K59" i="26"/>
  <c r="L21" i="26"/>
  <c r="L23" i="26" s="1"/>
  <c r="L17" i="26"/>
  <c r="L19" i="26" s="1"/>
  <c r="S59" i="26"/>
  <c r="T21" i="26"/>
  <c r="T17" i="26"/>
  <c r="N63" i="26"/>
  <c r="J59" i="27"/>
  <c r="K17" i="27"/>
  <c r="K19" i="27" s="1"/>
  <c r="K20" i="27" s="1"/>
  <c r="R59" i="27"/>
  <c r="S17" i="27"/>
  <c r="S19" i="27" s="1"/>
  <c r="J59" i="28"/>
  <c r="K17" i="28"/>
  <c r="K19" i="28" s="1"/>
  <c r="K21" i="28"/>
  <c r="K23" i="28" s="1"/>
  <c r="R59" i="28"/>
  <c r="S17" i="28"/>
  <c r="S21" i="28"/>
  <c r="S23" i="28" s="1"/>
  <c r="I59" i="29"/>
  <c r="J17" i="29"/>
  <c r="J21" i="29"/>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D19" i="27" s="1"/>
  <c r="D20" i="27" s="1"/>
  <c r="K59" i="27"/>
  <c r="L17" i="27"/>
  <c r="L19" i="27" s="1"/>
  <c r="L20" i="27" s="1"/>
  <c r="S59" i="27"/>
  <c r="T17" i="27"/>
  <c r="T19" i="27" s="1"/>
  <c r="C59" i="28"/>
  <c r="D21" i="28"/>
  <c r="D23" i="28" s="1"/>
  <c r="D24" i="28" s="1"/>
  <c r="D17" i="28"/>
  <c r="K59" i="28"/>
  <c r="L21" i="28"/>
  <c r="L23" i="28" s="1"/>
  <c r="L17" i="28"/>
  <c r="L19" i="28" s="1"/>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K19" i="24" s="1"/>
  <c r="R59" i="24"/>
  <c r="S21" i="24"/>
  <c r="S23" i="24" s="1"/>
  <c r="S17" i="24"/>
  <c r="G21" i="26"/>
  <c r="G23" i="26" s="1"/>
  <c r="G17" i="26"/>
  <c r="O17" i="26"/>
  <c r="O21" i="26"/>
  <c r="E59" i="27"/>
  <c r="F17" i="27"/>
  <c r="F19" i="27" s="1"/>
  <c r="F20" i="27" s="1"/>
  <c r="M59" i="27"/>
  <c r="N17" i="27"/>
  <c r="U59" i="27"/>
  <c r="V17" i="27"/>
  <c r="E59" i="28"/>
  <c r="F17" i="28"/>
  <c r="F19" i="28" s="1"/>
  <c r="F21" i="28"/>
  <c r="F23" i="28" s="1"/>
  <c r="M59" i="28"/>
  <c r="N17" i="28"/>
  <c r="N19" i="28" s="1"/>
  <c r="N21" i="28"/>
  <c r="U59" i="28"/>
  <c r="V17" i="28"/>
  <c r="V21" i="28"/>
  <c r="D59" i="29"/>
  <c r="E17" i="29"/>
  <c r="E21" i="29"/>
  <c r="L59" i="29"/>
  <c r="M17" i="29"/>
  <c r="M19" i="29" s="1"/>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1" i="22"/>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F23" i="29" s="1"/>
  <c r="M59" i="29"/>
  <c r="N17" i="29"/>
  <c r="N19" i="29" s="1"/>
  <c r="N21" i="29"/>
  <c r="N23" i="29" s="1"/>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H64" i="26" s="1"/>
  <c r="H65" i="26" s="1"/>
  <c r="I17" i="26"/>
  <c r="I21" i="26"/>
  <c r="I23" i="26" s="1"/>
  <c r="P59" i="26"/>
  <c r="Q17" i="26"/>
  <c r="Q19" i="26" s="1"/>
  <c r="Q21" i="26"/>
  <c r="E63" i="26"/>
  <c r="H17" i="27"/>
  <c r="P17" i="27"/>
  <c r="P19" i="27" s="1"/>
  <c r="H21" i="28"/>
  <c r="H23" i="28" s="1"/>
  <c r="H17" i="28"/>
  <c r="H19" i="28" s="1"/>
  <c r="P21" i="28"/>
  <c r="P17" i="28"/>
  <c r="P19" i="28" s="1"/>
  <c r="G17" i="29"/>
  <c r="G21" i="29"/>
  <c r="G23" i="29" s="1"/>
  <c r="O17" i="29"/>
  <c r="O21" i="29"/>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G23" i="22"/>
  <c r="K58" i="21"/>
  <c r="K61" i="21" s="1"/>
  <c r="K64" i="21" s="1"/>
  <c r="R19" i="24"/>
  <c r="I21" i="27"/>
  <c r="I23" i="27" s="1"/>
  <c r="I24" i="27" s="1"/>
  <c r="Q21" i="27"/>
  <c r="R58" i="21"/>
  <c r="R61" i="21" s="1"/>
  <c r="R64" i="21" s="1"/>
  <c r="O57" i="21"/>
  <c r="A43" i="21"/>
  <c r="J58" i="21"/>
  <c r="J61" i="21" s="1"/>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Q58" i="23"/>
  <c r="Q61" i="23" s="1"/>
  <c r="L58" i="29"/>
  <c r="L61" i="29" s="1"/>
  <c r="T58" i="29"/>
  <c r="T61" i="29" s="1"/>
  <c r="T64" i="29" s="1"/>
  <c r="Q23" i="30"/>
  <c r="U23" i="30"/>
  <c r="J58" i="28"/>
  <c r="J61" i="28" s="1"/>
  <c r="J64" i="28" s="1"/>
  <c r="J65"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H58" i="30"/>
  <c r="H61" i="30" s="1"/>
  <c r="N59" i="30"/>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K58" i="22"/>
  <c r="K61" i="22" s="1"/>
  <c r="K64" i="22" s="1"/>
  <c r="K65" i="22" s="1"/>
  <c r="S58" i="22"/>
  <c r="S61" i="22" s="1"/>
  <c r="S64" i="22" s="1"/>
  <c r="F57" i="23"/>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M20" i="21" s="1"/>
  <c r="G57" i="21"/>
  <c r="E58" i="22"/>
  <c r="E61" i="22" s="1"/>
  <c r="E64" i="22" s="1"/>
  <c r="E65" i="22" s="1"/>
  <c r="M58" i="22"/>
  <c r="M61" i="22" s="1"/>
  <c r="U58" i="22"/>
  <c r="U61" i="22" s="1"/>
  <c r="A45" i="22"/>
  <c r="O57" i="22"/>
  <c r="H58" i="23"/>
  <c r="H61"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R19" i="30"/>
  <c r="F63" i="30"/>
  <c r="N63" i="30"/>
  <c r="S19" i="30"/>
  <c r="S23" i="30"/>
  <c r="A31" i="30"/>
  <c r="A33" i="30"/>
  <c r="A39" i="30"/>
  <c r="A41" i="30"/>
  <c r="A47" i="30"/>
  <c r="A49" i="30"/>
  <c r="G57" i="30"/>
  <c r="O57" i="30"/>
  <c r="G59" i="30"/>
  <c r="O59" i="30"/>
  <c r="G63" i="30"/>
  <c r="O63" i="30"/>
  <c r="P63" i="30"/>
  <c r="I63" i="30"/>
  <c r="Q63" i="30"/>
  <c r="T19" i="30"/>
  <c r="V19"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U19" i="29"/>
  <c r="E23" i="29"/>
  <c r="U23" i="29"/>
  <c r="I57" i="29"/>
  <c r="Q57" i="29"/>
  <c r="I63" i="29"/>
  <c r="Q63" i="29"/>
  <c r="V19" i="29"/>
  <c r="B63" i="29"/>
  <c r="J63" i="29"/>
  <c r="R63" i="29"/>
  <c r="L19" i="29"/>
  <c r="G19" i="29"/>
  <c r="O19" i="29"/>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D19" i="28"/>
  <c r="T23" i="28"/>
  <c r="H59" i="28"/>
  <c r="P59" i="28"/>
  <c r="H63" i="28"/>
  <c r="P63" i="28"/>
  <c r="M19" i="28"/>
  <c r="U19" i="28"/>
  <c r="M23" i="28"/>
  <c r="I57" i="28"/>
  <c r="Q57" i="28"/>
  <c r="I63" i="28"/>
  <c r="Q63" i="28"/>
  <c r="R19" i="28"/>
  <c r="V19" i="28"/>
  <c r="N23" i="28"/>
  <c r="V23" i="28"/>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C19" i="26"/>
  <c r="C20" i="26" s="1"/>
  <c r="K23" i="26"/>
  <c r="A31" i="26"/>
  <c r="A33" i="26"/>
  <c r="A37" i="26"/>
  <c r="A39" i="26"/>
  <c r="A41" i="26"/>
  <c r="A45" i="26"/>
  <c r="A47" i="26"/>
  <c r="A49" i="26"/>
  <c r="G57" i="26"/>
  <c r="O57" i="26"/>
  <c r="G59" i="26"/>
  <c r="O59" i="26"/>
  <c r="G63" i="26"/>
  <c r="O63" i="26"/>
  <c r="T19" i="26"/>
  <c r="T23" i="26"/>
  <c r="H63" i="26"/>
  <c r="P63" i="26"/>
  <c r="M19" i="26"/>
  <c r="E23" i="26"/>
  <c r="M23" i="26"/>
  <c r="I57" i="26"/>
  <c r="Q57" i="26"/>
  <c r="I59" i="26"/>
  <c r="I64" i="26" s="1"/>
  <c r="I65" i="26" s="1"/>
  <c r="Q59" i="26"/>
  <c r="Q64" i="26" s="1"/>
  <c r="I63" i="26"/>
  <c r="Q63" i="26"/>
  <c r="V23" i="26"/>
  <c r="B63" i="26"/>
  <c r="J63" i="26"/>
  <c r="R63" i="26"/>
  <c r="G19" i="26"/>
  <c r="O19" i="26"/>
  <c r="A32" i="26"/>
  <c r="A34" i="26"/>
  <c r="A40" i="26"/>
  <c r="A42" i="26"/>
  <c r="A48" i="26"/>
  <c r="A50" i="26"/>
  <c r="C63" i="26"/>
  <c r="K63" i="26"/>
  <c r="S63" i="26"/>
  <c r="H19" i="26"/>
  <c r="P19" i="26"/>
  <c r="D63" i="26"/>
  <c r="L63" i="26"/>
  <c r="I19" i="26"/>
  <c r="H23" i="24"/>
  <c r="P23"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T23" i="23"/>
  <c r="E19" i="23"/>
  <c r="E23" i="23"/>
  <c r="I57" i="23"/>
  <c r="Q57" i="23"/>
  <c r="N23" i="23"/>
  <c r="G19"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M19" i="22"/>
  <c r="U23" i="22"/>
  <c r="I57" i="22"/>
  <c r="Q57" i="22"/>
  <c r="K19" i="22"/>
  <c r="A39" i="22"/>
  <c r="A49" i="22"/>
  <c r="N19" i="22"/>
  <c r="V19" i="22"/>
  <c r="V23" i="22"/>
  <c r="A32" i="22"/>
  <c r="A34" i="22"/>
  <c r="A40" i="22"/>
  <c r="A42" i="22"/>
  <c r="A48" i="22"/>
  <c r="A50" i="22"/>
  <c r="P19" i="22"/>
  <c r="P64" i="21"/>
  <c r="L23" i="21"/>
  <c r="L24" i="21" s="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R23" i="21"/>
  <c r="R24" i="21" s="1"/>
  <c r="I19" i="21"/>
  <c r="I20" i="21" s="1"/>
  <c r="R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D65" i="27"/>
  <c r="E65" i="27"/>
  <c r="I65" i="27"/>
  <c r="J65" i="27"/>
  <c r="K65" i="21"/>
  <c r="L65" i="21"/>
  <c r="D65" i="21"/>
  <c r="C23" i="21"/>
  <c r="C24" i="21" s="1"/>
  <c r="O64" i="21"/>
  <c r="O65" i="21" s="1"/>
  <c r="M64" i="22"/>
  <c r="M65" i="22" s="1"/>
  <c r="M64" i="26"/>
  <c r="M66" i="26" s="1"/>
  <c r="J64" i="30"/>
  <c r="J65" i="30" s="1"/>
  <c r="J64" i="23"/>
  <c r="J65" i="23" s="1"/>
  <c r="C64" i="21"/>
  <c r="C65" i="21" s="1"/>
  <c r="G64" i="30"/>
  <c r="G65" i="30" s="1"/>
  <c r="C64" i="22"/>
  <c r="C65" i="22" s="1"/>
  <c r="C64" i="29"/>
  <c r="C65" i="29" s="1"/>
  <c r="H64" i="23"/>
  <c r="H65" i="23" s="1"/>
  <c r="C64" i="27"/>
  <c r="C65" i="27" s="1"/>
  <c r="I64" i="23"/>
  <c r="I65" i="23" s="1"/>
  <c r="F64" i="26"/>
  <c r="E64" i="23"/>
  <c r="E65" i="23" s="1"/>
  <c r="I64" i="22"/>
  <c r="I65" i="22"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T66" i="24"/>
  <c r="U66" i="23"/>
  <c r="P64" i="30"/>
  <c r="P66" i="30" s="1"/>
  <c r="C66" i="23"/>
  <c r="P66" i="23"/>
  <c r="E66" i="22"/>
  <c r="T66" i="23"/>
  <c r="Q66" i="21"/>
  <c r="P66" i="21"/>
  <c r="K66" i="27"/>
  <c r="G64" i="23"/>
  <c r="Q66" i="24"/>
  <c r="R66" i="27"/>
  <c r="J66" i="27"/>
  <c r="G64" i="27"/>
  <c r="J66" i="30"/>
  <c r="F64" i="27"/>
  <c r="T66" i="27"/>
  <c r="Q66" i="22"/>
  <c r="T66" i="21"/>
  <c r="S66" i="23"/>
  <c r="H66" i="30"/>
  <c r="E66" i="30"/>
  <c r="S66" i="24"/>
  <c r="L66" i="21"/>
  <c r="S66" i="26"/>
  <c r="L66" i="28"/>
  <c r="L66" i="26"/>
  <c r="T66" i="30"/>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I66" i="29"/>
  <c r="S66" i="29"/>
  <c r="T66" i="28"/>
  <c r="D66" i="28"/>
  <c r="Q66" i="28"/>
  <c r="I66" i="28"/>
  <c r="S66" i="28"/>
  <c r="K66" i="28"/>
  <c r="Q66" i="27"/>
  <c r="I66" i="27"/>
  <c r="P66" i="27"/>
  <c r="Q66" i="26"/>
  <c r="P66" i="26"/>
  <c r="C66" i="26"/>
  <c r="I66" i="26"/>
  <c r="H66" i="26"/>
  <c r="L66" i="24"/>
  <c r="P66" i="24"/>
  <c r="D66" i="24"/>
  <c r="K66" i="24"/>
  <c r="N66" i="23"/>
  <c r="E66" i="23"/>
  <c r="I66" i="22"/>
  <c r="M66" i="22"/>
  <c r="S66" i="22"/>
  <c r="K66" i="22"/>
  <c r="T66" i="22"/>
  <c r="K66" i="21"/>
  <c r="D66" i="21"/>
  <c r="R66" i="21"/>
  <c r="N64" i="1"/>
  <c r="M64" i="1"/>
  <c r="M65" i="1" s="1"/>
  <c r="T64" i="1"/>
  <c r="L64" i="1"/>
  <c r="J64" i="1"/>
  <c r="J65" i="1" s="1"/>
  <c r="K64" i="1"/>
  <c r="O64" i="1"/>
  <c r="O65" i="1" s="1"/>
  <c r="C64" i="1"/>
  <c r="I64" i="1"/>
  <c r="H64" i="1"/>
  <c r="G64" i="1"/>
  <c r="G65" i="1" s="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L65" i="1" l="1"/>
  <c r="K65" i="1"/>
  <c r="I65" i="1"/>
  <c r="H65" i="1"/>
  <c r="F65" i="1"/>
  <c r="D65" i="1"/>
  <c r="C65" i="1"/>
  <c r="B65" i="1"/>
  <c r="G66" i="30"/>
  <c r="D66" i="29"/>
  <c r="C66" i="27"/>
  <c r="H66" i="23"/>
  <c r="D66" i="26"/>
  <c r="C66" i="29"/>
  <c r="C66" i="22"/>
  <c r="L66" i="22"/>
  <c r="D66" i="23"/>
  <c r="D66" i="22"/>
  <c r="I66" i="23"/>
  <c r="L66" i="29"/>
  <c r="O66" i="29"/>
  <c r="O65" i="29"/>
  <c r="O66" i="28"/>
  <c r="O65" i="28"/>
  <c r="O66" i="30"/>
  <c r="O65" i="30"/>
  <c r="O66" i="27"/>
  <c r="O65" i="27"/>
  <c r="O66" i="23"/>
  <c r="O65" i="23"/>
  <c r="O66" i="26"/>
  <c r="O65" i="26"/>
  <c r="O66" i="24"/>
  <c r="O65" i="24"/>
  <c r="M66" i="29"/>
  <c r="L66" i="27"/>
  <c r="L65" i="27"/>
  <c r="M65" i="26"/>
  <c r="K66" i="23"/>
  <c r="K65" i="23"/>
  <c r="K66" i="29"/>
  <c r="K65" i="29"/>
  <c r="K66" i="26"/>
  <c r="K65" i="26"/>
  <c r="J66" i="26"/>
  <c r="G66" i="23"/>
  <c r="G65" i="23"/>
  <c r="J66" i="22"/>
  <c r="J65" i="22"/>
  <c r="G66" i="24"/>
  <c r="G65" i="24"/>
  <c r="E66" i="24"/>
  <c r="E65" i="24"/>
  <c r="H66" i="27"/>
  <c r="H65" i="27"/>
  <c r="G66" i="29"/>
  <c r="G65" i="29"/>
  <c r="G66" i="21"/>
  <c r="G65" i="21"/>
  <c r="I66" i="21"/>
  <c r="I65" i="21"/>
  <c r="G66" i="27"/>
  <c r="G65" i="27"/>
  <c r="F66" i="29"/>
  <c r="F65" i="29"/>
  <c r="C66" i="24"/>
  <c r="C65" i="24"/>
  <c r="C66" i="28"/>
  <c r="C65" i="28"/>
  <c r="F66" i="22"/>
  <c r="F65" i="22"/>
  <c r="F66" i="30"/>
  <c r="F65" i="30"/>
  <c r="C66" i="21"/>
  <c r="G66" i="26"/>
  <c r="G65" i="26"/>
  <c r="H66" i="21"/>
  <c r="I66" i="24"/>
  <c r="E66" i="28"/>
  <c r="E65" i="28"/>
  <c r="H66" i="29"/>
  <c r="H65" i="29"/>
  <c r="J66" i="21"/>
  <c r="J65" i="21"/>
  <c r="G66" i="22"/>
  <c r="G65" i="22"/>
  <c r="F66" i="21"/>
  <c r="F65" i="21"/>
  <c r="E66" i="21"/>
  <c r="E65" i="21"/>
  <c r="F66" i="27"/>
  <c r="F65" i="27"/>
  <c r="F66" i="26"/>
  <c r="F65" i="26"/>
  <c r="E66" i="29"/>
  <c r="E65" i="29"/>
  <c r="E66" i="26"/>
  <c r="E65" i="26"/>
  <c r="F66" i="23"/>
  <c r="F65" i="23"/>
  <c r="J66" i="29"/>
  <c r="J65" i="29"/>
  <c r="G66" i="28"/>
  <c r="G65" i="28"/>
  <c r="F66" i="28"/>
  <c r="F65" i="28"/>
  <c r="H66" i="24"/>
  <c r="H65" i="24"/>
  <c r="H66" i="28"/>
  <c r="H65" i="28"/>
  <c r="F66" i="24"/>
  <c r="F65" i="24"/>
  <c r="M66" i="24"/>
  <c r="M66" i="30"/>
  <c r="M65" i="30"/>
  <c r="M66" i="27"/>
  <c r="M65" i="27"/>
  <c r="M66" i="21"/>
  <c r="M66" i="23"/>
  <c r="M65" i="23"/>
  <c r="M66" i="28"/>
  <c r="B66" i="21"/>
  <c r="B65" i="21"/>
  <c r="B66" i="26"/>
  <c r="B65" i="26"/>
  <c r="B66" i="23"/>
  <c r="B65" i="23"/>
  <c r="B66" i="29"/>
  <c r="B65" i="29"/>
  <c r="B66" i="22"/>
  <c r="B65" i="22"/>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<sst xmlns="http://schemas.openxmlformats.org/spreadsheetml/2006/main" count="2144" uniqueCount="181">
  <si>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</si>
  <si>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</si>
  <si>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</si>
  <si>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</si>
  <si>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</si>
  <si>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</si>
  <si>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</si>
  <si>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</si>
  <si>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</si>
  <si>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</si>
  <si>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</si>
  <si>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</si>
  <si>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</si>
  <si>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</si>
  <si>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</si>
  <si>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</si>
  <si>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</si>
  <si>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</si>
  <si>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</si>
  <si>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</si>
  <si>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</si>
  <si>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</si>
  <si>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</si>
  <si>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</si>
  <si>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</si>
  <si>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</si>
  <si>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</si>
  <si>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</si>
  <si>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</si>
  <si>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</si>
  <si>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</si>
  <si>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</si>
  <si>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</si>
  <si>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</si>
  <si>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</si>
  <si>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</si>
  <si>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</si>
  <si>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</si>
  <si>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</si>
  <si>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</si>
  <si>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</si>
  <si>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</si>
  <si>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</si>
  <si>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</si>
  <si>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</si>
  <si>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</si>
  <si>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</si>
  <si>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</si>
  <si>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</si>
  <si>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</si>
  <si>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</si>
  <si>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</si>
  <si>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</si>
  <si>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</si>
  <si>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</si>
  <si>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</si>
  <si>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</si>
  <si>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</si>
  <si>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</si>
  <si>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</si>
  <si>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</si>
  <si>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</si>
  <si>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</si>
  <si>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</si>
  <si>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</si>
  <si>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</si>
  <si>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</si>
  <si>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</si>
  <si>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</si>
  <si>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</si>
  <si>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</si>
  <si>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</si>
  <si>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</si>
  <si>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</si>
  <si>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</si>
  <si>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</si>
  <si>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</si>
  <si>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</si>
  <si>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</si>
  <si>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</si>
  <si>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</si>
  <si>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</si>
  <si>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</si>
  <si>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</si>
  <si>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</si>
  <si>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</si>
  <si>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</si>
  <si>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</si>
  <si>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</si>
  <si>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</si>
  <si>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</si>
  <si>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</si>
  <si>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</si>
  <si>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</si>
  <si>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</si>
  <si>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</si>
  <si>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</si>
  <si>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</si>
  <si>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</si>
  <si>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</si>
  <si>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</si>
  <si>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</si>
  <si>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</si>
  <si>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</si>
  <si>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</si>
  <si>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</si>
  <si>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</si>
  <si>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</si>
  <si>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</si>
  <si>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</si>
  <si>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</si>
  <si>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</si>
  <si>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</si>
  <si>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</si>
  <si>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</si>
  <si>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</si>
  <si>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</si>
  <si>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</si>
  <si>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</si>
  <si>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</si>
  <si>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</si>
  <si>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</si>
  <si>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</si>
  <si>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</si>
  <si>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</si>
  <si>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</si>
  <si>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</si>
  <si>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</si>
  <si>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</si>
  <si>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</si>
  <si>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</si>
  <si>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</si>
  <si>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</si>
  <si>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</si>
  <si>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</si>
  <si>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</si>
  <si>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</si>
  <si>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</si>
  <si>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</si>
  <si>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</si>
  <si>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</si>
  <si>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</si>
  <si>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</si>
  <si>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</si>
  <si>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</si>
  <si>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</si>
  <si>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</si>
  <si>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</si>
  <si>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</si>
  <si>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</si>
  <si>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</si>
  <si>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</si>
  <si>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</si>
  <si>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</si>
  <si>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</si>
  <si>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</si>
  <si>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</si>
  <si>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</si>
  <si>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</si>
  <si>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</si>
  <si>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TP</t>
  </si>
  <si>
    <t>BP</t>
  </si>
  <si>
    <t>PC</t>
  </si>
  <si>
    <t>17A</t>
  </si>
  <si>
    <t>16A</t>
  </si>
  <si>
    <t>A</t>
  </si>
  <si>
    <t>B</t>
  </si>
  <si>
    <t>C</t>
  </si>
  <si>
    <t>BB</t>
  </si>
  <si>
    <t>LM</t>
  </si>
  <si>
    <t>SS</t>
  </si>
  <si>
    <t>Moderate</t>
  </si>
  <si>
    <t>PAN-028776</t>
  </si>
  <si>
    <t>GP3792SK</t>
  </si>
  <si>
    <t xml:space="preserve">Byproduct Recovery </t>
  </si>
  <si>
    <t>Ethan Banfield</t>
  </si>
  <si>
    <t>19 09 02</t>
  </si>
  <si>
    <t>Talybont</t>
  </si>
  <si>
    <t>Llyswen</t>
  </si>
  <si>
    <t xml:space="preserve">Elan </t>
  </si>
  <si>
    <t>Pentwyn Farm, Three Cocks, Brecon, LD3 0SW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</si>
</sst>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58" t="s">
        <v>41</v>
      </c>
      <c r="B1" s="159"/>
      <c r="C1" s="132" t="s">
        <v>172</v>
      </c>
      <c r="D1" s="133"/>
      <c r="E1" s="106" t="s">
        <v>45</v>
      </c>
      <c r="F1" s="109">
        <v>49.24</v>
      </c>
      <c r="G1" s="134" t="s">
        <v>43</v>
      </c>
      <c r="H1" s="135"/>
      <c r="I1" s="109">
        <v>6.6</v>
      </c>
      <c r="J1" s="158" t="s">
        <v>153</v>
      </c>
      <c r="K1" s="159"/>
      <c r="L1" s="109">
        <v>224</v>
      </c>
      <c r="AB1" s="13"/>
      <c r="AC1" s="13"/>
      <c r="AD1" s="22" t="s">
        <v>126</v>
      </c>
      <c r="AE1" s="13"/>
      <c r="AF1" s="13"/>
      <c r="AG1" s="13"/>
      <c r="AH1" s="13"/>
      <c r="AI1" s="30" t="s">
        <v>79</v>
      </c>
      <c r="AJ1" s="31" t="s">
        <v>94</v>
      </c>
      <c r="AK1" s="32" t="s">
        <v>95</v>
      </c>
      <c r="AL1" s="33" t="s">
        <v>125</v>
      </c>
      <c r="AM1" s="33" t="s">
        <v>131</v>
      </c>
      <c r="AN1" s="33" t="s">
        <v>111</v>
      </c>
    </row>
    <row r="2" spans="1:40" x14ac:dyDescent="0.2">
      <c r="A2" s="138" t="s">
        <v>87</v>
      </c>
      <c r="B2" s="139"/>
      <c r="C2" s="130" t="s">
        <v>173</v>
      </c>
      <c r="D2" s="131"/>
      <c r="E2" s="96" t="s">
        <v>109</v>
      </c>
      <c r="F2" s="110" t="s">
        <v>176</v>
      </c>
      <c r="G2" s="136" t="s">
        <v>110</v>
      </c>
      <c r="H2" s="137"/>
      <c r="I2" s="110"/>
      <c r="J2" s="138" t="s">
        <v>158</v>
      </c>
      <c r="K2" s="139"/>
      <c r="L2" s="110">
        <v>1.28</v>
      </c>
      <c r="AB2" s="22" t="s">
        <v>56</v>
      </c>
      <c r="AC2" s="13"/>
      <c r="AD2" s="22" t="s">
        <v>70</v>
      </c>
      <c r="AE2" s="13"/>
      <c r="AF2" s="13"/>
      <c r="AG2" s="34" t="s">
        <v>76</v>
      </c>
      <c r="AH2" s="13"/>
      <c r="AI2" s="35" t="s">
        <v>126</v>
      </c>
      <c r="AJ2" s="36">
        <v>0</v>
      </c>
      <c r="AK2" s="37">
        <v>0</v>
      </c>
      <c r="AL2" s="7">
        <v>0</v>
      </c>
      <c r="AM2" s="9">
        <v>0</v>
      </c>
      <c r="AN2" s="9">
        <v>0</v>
      </c>
    </row>
    <row r="3" spans="1:40" x14ac:dyDescent="0.2">
      <c r="A3" s="160" t="s">
        <v>42</v>
      </c>
      <c r="B3" s="161"/>
      <c r="C3" s="130" t="s">
        <v>174</v>
      </c>
      <c r="D3" s="131"/>
      <c r="E3" s="96" t="s">
        <v>108</v>
      </c>
      <c r="F3" s="111" t="s">
        <v>78</v>
      </c>
      <c r="G3" s="138" t="s">
        <v>159</v>
      </c>
      <c r="H3" s="139"/>
      <c r="I3" s="110"/>
      <c r="J3" s="160" t="s">
        <v>154</v>
      </c>
      <c r="K3" s="161"/>
      <c r="L3" s="110">
        <f>(L1/(L2*10000))*100</f>
        <v>1.7500000000000002</v>
      </c>
      <c r="AB3" s="22" t="s">
        <v>57</v>
      </c>
      <c r="AC3" s="13"/>
      <c r="AD3" s="22" t="s">
        <v>71</v>
      </c>
      <c r="AE3" s="13"/>
      <c r="AF3" s="13"/>
      <c r="AG3" s="34" t="s">
        <v>77</v>
      </c>
      <c r="AH3" s="13"/>
      <c r="AI3" s="38" t="s">
        <v>113</v>
      </c>
      <c r="AJ3" s="39">
        <v>1.7</v>
      </c>
      <c r="AK3" s="40">
        <v>6</v>
      </c>
      <c r="AL3" s="41">
        <v>1</v>
      </c>
      <c r="AM3" s="9">
        <v>6.2</v>
      </c>
      <c r="AN3" s="9" t="s">
        <v>112</v>
      </c>
    </row>
    <row r="4" spans="1:40" x14ac:dyDescent="0.2">
      <c r="A4" s="138" t="s">
        <v>0</v>
      </c>
      <c r="B4" s="139"/>
      <c r="C4" s="142" t="s">
        <v>180</v>
      </c>
      <c r="D4" s="143"/>
      <c r="E4" s="99" t="s">
        <v>1</v>
      </c>
      <c r="F4" s="110" t="s">
        <v>177</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0" t="s">
        <v>47</v>
      </c>
      <c r="B5" s="141"/>
      <c r="C5" s="144" t="s">
        <v>175</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8" t="s">
        <v>2</v>
      </c>
      <c r="B8" s="139"/>
      <c r="C8" s="11" t="s">
        <v>160</v>
      </c>
      <c r="D8" s="11" t="s">
        <v>161</v>
      </c>
      <c r="E8" s="11" t="s">
        <v>162</v>
      </c>
      <c r="F8" s="11" t="s">
        <v>163</v>
      </c>
      <c r="G8" s="11" t="s">
        <v>164</v>
      </c>
      <c r="H8" s="11" t="s">
        <v>165</v>
      </c>
      <c r="I8" s="11" t="s">
        <v>166</v>
      </c>
      <c r="J8" s="11" t="s">
        <v>167</v>
      </c>
      <c r="K8" s="11" t="s">
        <v>168</v>
      </c>
      <c r="L8" s="11" t="s">
        <v>169</v>
      </c>
      <c r="M8" s="11" t="s">
        <v>170</v>
      </c>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8" t="s">
        <v>3</v>
      </c>
      <c r="B9" s="139"/>
      <c r="C9" s="11" t="s">
        <v>171</v>
      </c>
      <c r="D9" s="11" t="s">
        <v>171</v>
      </c>
      <c r="E9" s="11" t="s">
        <v>171</v>
      </c>
      <c r="F9" s="11" t="s">
        <v>171</v>
      </c>
      <c r="G9" s="11" t="s">
        <v>171</v>
      </c>
      <c r="H9" s="11" t="s">
        <v>171</v>
      </c>
      <c r="I9" s="11" t="s">
        <v>171</v>
      </c>
      <c r="J9" s="11" t="s">
        <v>171</v>
      </c>
      <c r="K9" s="11">
        <v>1</v>
      </c>
      <c r="L9" s="11" t="s">
        <v>171</v>
      </c>
      <c r="M9" s="11" t="s">
        <v>171</v>
      </c>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8" t="s">
        <v>4</v>
      </c>
      <c r="B10" s="139"/>
      <c r="C10" s="11">
        <v>6.4</v>
      </c>
      <c r="D10" s="11">
        <v>6.36</v>
      </c>
      <c r="E10" s="11">
        <v>6.4</v>
      </c>
      <c r="F10" s="11">
        <v>6.3</v>
      </c>
      <c r="G10" s="11">
        <v>6.3</v>
      </c>
      <c r="H10" s="11">
        <v>6.1</v>
      </c>
      <c r="I10" s="11">
        <v>6.3</v>
      </c>
      <c r="J10" s="11">
        <v>6.2</v>
      </c>
      <c r="K10" s="11">
        <v>6.3</v>
      </c>
      <c r="L10" s="11">
        <v>6.2</v>
      </c>
      <c r="M10" s="11">
        <v>6.1</v>
      </c>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8" t="s">
        <v>5</v>
      </c>
      <c r="B11" s="139"/>
      <c r="C11" s="11">
        <v>1</v>
      </c>
      <c r="D11" s="11">
        <v>2</v>
      </c>
      <c r="E11" s="11">
        <v>2</v>
      </c>
      <c r="F11" s="11">
        <v>2</v>
      </c>
      <c r="G11" s="11">
        <v>0</v>
      </c>
      <c r="H11" s="11">
        <v>3</v>
      </c>
      <c r="I11" s="11">
        <v>3</v>
      </c>
      <c r="J11" s="11">
        <v>3</v>
      </c>
      <c r="K11" s="11">
        <v>3</v>
      </c>
      <c r="L11" s="11">
        <v>2</v>
      </c>
      <c r="M11" s="11">
        <v>2</v>
      </c>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8" t="s">
        <v>6</v>
      </c>
      <c r="B12" s="139"/>
      <c r="C12" s="11">
        <v>1</v>
      </c>
      <c r="D12" s="11">
        <v>1</v>
      </c>
      <c r="E12" s="11">
        <v>2</v>
      </c>
      <c r="F12" s="11">
        <v>1</v>
      </c>
      <c r="G12" s="11">
        <v>2</v>
      </c>
      <c r="H12" s="11">
        <v>2</v>
      </c>
      <c r="I12" s="11">
        <v>2</v>
      </c>
      <c r="J12" s="11">
        <v>2</v>
      </c>
      <c r="K12" s="11">
        <v>4</v>
      </c>
      <c r="L12" s="11">
        <v>2</v>
      </c>
      <c r="M12" s="11">
        <v>2</v>
      </c>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8" t="s">
        <v>7</v>
      </c>
      <c r="B13" s="139"/>
      <c r="C13" s="11">
        <v>2</v>
      </c>
      <c r="D13" s="11">
        <v>3</v>
      </c>
      <c r="E13" s="11">
        <v>2</v>
      </c>
      <c r="F13" s="11">
        <v>3</v>
      </c>
      <c r="G13" s="11">
        <v>3</v>
      </c>
      <c r="H13" s="11">
        <v>3</v>
      </c>
      <c r="I13" s="11">
        <v>3</v>
      </c>
      <c r="J13" s="11">
        <v>3</v>
      </c>
      <c r="K13" s="11">
        <v>2</v>
      </c>
      <c r="L13" s="11">
        <v>2</v>
      </c>
      <c r="M13" s="11">
        <v>2</v>
      </c>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4" t="s">
        <v>8</v>
      </c>
      <c r="B14" s="155"/>
      <c r="C14" s="82" t="s">
        <v>113</v>
      </c>
      <c r="D14" s="82" t="s">
        <v>113</v>
      </c>
      <c r="E14" s="82" t="s">
        <v>113</v>
      </c>
      <c r="F14" s="82" t="s">
        <v>113</v>
      </c>
      <c r="G14" s="82" t="s">
        <v>113</v>
      </c>
      <c r="H14" s="82" t="s">
        <v>113</v>
      </c>
      <c r="I14" s="82" t="s">
        <v>113</v>
      </c>
      <c r="J14" s="82" t="s">
        <v>113</v>
      </c>
      <c r="K14" s="82" t="s">
        <v>68</v>
      </c>
      <c r="L14" s="82" t="s">
        <v>113</v>
      </c>
      <c r="M14" s="82" t="s">
        <v>113</v>
      </c>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52" t="s">
        <v>9</v>
      </c>
      <c r="B15" s="153"/>
      <c r="C15" s="11">
        <v>38</v>
      </c>
      <c r="D15" s="11">
        <v>38</v>
      </c>
      <c r="E15" s="11">
        <v>38</v>
      </c>
      <c r="F15" s="11">
        <v>38</v>
      </c>
      <c r="G15" s="11">
        <v>38</v>
      </c>
      <c r="H15" s="11">
        <v>38</v>
      </c>
      <c r="I15" s="11">
        <v>38</v>
      </c>
      <c r="J15" s="11">
        <v>38</v>
      </c>
      <c r="K15" s="11">
        <v>8.5</v>
      </c>
      <c r="L15" s="11">
        <v>38</v>
      </c>
      <c r="M15" s="11">
        <v>38</v>
      </c>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61.993314500000004</v>
      </c>
      <c r="D18" s="12">
        <f>$D32</f>
        <v>61.993314500000004</v>
      </c>
      <c r="E18" s="12">
        <f>$D33</f>
        <v>61.993314500000004</v>
      </c>
      <c r="F18" s="12">
        <f>$D34</f>
        <v>61.993314500000004</v>
      </c>
      <c r="G18" s="12">
        <f>$D35</f>
        <v>61.993314500000004</v>
      </c>
      <c r="H18" s="12">
        <f>$D36</f>
        <v>32.23652354</v>
      </c>
      <c r="I18" s="12">
        <f>$D37</f>
        <v>32.23652354</v>
      </c>
      <c r="J18" s="12">
        <f>$D38</f>
        <v>32.23652354</v>
      </c>
      <c r="K18" s="12">
        <f>$D39</f>
        <v>23.557459510000005</v>
      </c>
      <c r="L18" s="12">
        <f>$D40</f>
        <v>61.993314500000004</v>
      </c>
      <c r="M18" s="12">
        <f>$D41</f>
        <v>61.993314500000004</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-2.6066854999999904</v>
      </c>
      <c r="D19" s="12">
        <f t="shared" ref="D19:V19" si="1">D18-D17</f>
        <v>-2.6066854999999904</v>
      </c>
      <c r="E19" s="12">
        <f t="shared" si="1"/>
        <v>-2.6066854999999904</v>
      </c>
      <c r="F19" s="12">
        <f t="shared" si="1"/>
        <v>-2.6066854999999904</v>
      </c>
      <c r="G19" s="12">
        <f t="shared" si="1"/>
        <v>-2.6066854999999904</v>
      </c>
      <c r="H19" s="12">
        <f t="shared" si="1"/>
        <v>-32.363476459999994</v>
      </c>
      <c r="I19" s="12">
        <f t="shared" si="1"/>
        <v>-32.363476459999994</v>
      </c>
      <c r="J19" s="12">
        <f t="shared" si="1"/>
        <v>-32.363476459999994</v>
      </c>
      <c r="K19" s="12">
        <f t="shared" si="1"/>
        <v>-48.692540489999999</v>
      </c>
      <c r="L19" s="12">
        <f t="shared" si="1"/>
        <v>-2.6066854999999904</v>
      </c>
      <c r="M19" s="12">
        <f t="shared" si="1"/>
        <v>-2.6066854999999904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2.6661830000000002</v>
      </c>
      <c r="D22" s="12">
        <f>$E32</f>
        <v>2.6661830000000002</v>
      </c>
      <c r="E22" s="12">
        <f>$E33</f>
        <v>2.6661830000000002</v>
      </c>
      <c r="F22" s="12">
        <f>$E34</f>
        <v>2.6661830000000002</v>
      </c>
      <c r="G22" s="12">
        <f>$E35</f>
        <v>2.6661830000000002</v>
      </c>
      <c r="H22" s="12">
        <f>$E36</f>
        <v>1.3864151600000003</v>
      </c>
      <c r="I22" s="12">
        <f>$E37</f>
        <v>1.3864151600000003</v>
      </c>
      <c r="J22" s="12">
        <f>$E38</f>
        <v>1.3864151600000003</v>
      </c>
      <c r="K22" s="12">
        <f>$E39</f>
        <v>1.0131495400000001</v>
      </c>
      <c r="L22" s="12">
        <f>$E40</f>
        <v>2.6661830000000002</v>
      </c>
      <c r="M22" s="12">
        <f>$E41</f>
        <v>2.6661830000000002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-225.33381700000001</v>
      </c>
      <c r="D23" s="12">
        <f t="shared" ref="D23:V23" si="3">D22-D21</f>
        <v>-225.33381700000001</v>
      </c>
      <c r="E23" s="12">
        <f t="shared" si="3"/>
        <v>-225.33381700000001</v>
      </c>
      <c r="F23" s="12">
        <f t="shared" si="3"/>
        <v>-225.33381700000001</v>
      </c>
      <c r="G23" s="12">
        <f t="shared" si="3"/>
        <v>-225.33381700000001</v>
      </c>
      <c r="H23" s="12">
        <f t="shared" si="3"/>
        <v>-226.61358483999999</v>
      </c>
      <c r="I23" s="12">
        <f t="shared" si="3"/>
        <v>-226.61358483999999</v>
      </c>
      <c r="J23" s="12">
        <f t="shared" si="3"/>
        <v>-226.61358483999999</v>
      </c>
      <c r="K23" s="12">
        <f t="shared" si="3"/>
        <v>-100.98685046</v>
      </c>
      <c r="L23" s="12">
        <f t="shared" si="3"/>
        <v>-225.33381700000001</v>
      </c>
      <c r="M23" s="12">
        <f t="shared" si="3"/>
        <v>-225.33381700000001</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2.99</v>
      </c>
      <c r="C28" s="11">
        <v>1.28</v>
      </c>
      <c r="D28" s="11">
        <v>0.36199999999999999</v>
      </c>
      <c r="E28" s="11">
        <v>2.9600000000000001E-2</v>
      </c>
      <c r="F28" s="11">
        <v>557</v>
      </c>
      <c r="G28" s="11">
        <v>46</v>
      </c>
      <c r="H28" s="11">
        <v>161</v>
      </c>
      <c r="I28" s="11">
        <v>6.2</v>
      </c>
      <c r="J28" s="11">
        <v>0.48</v>
      </c>
      <c r="K28" s="15">
        <v>1.34</v>
      </c>
      <c r="L28" s="11">
        <v>3.86</v>
      </c>
      <c r="M28" s="11">
        <v>4.3</v>
      </c>
      <c r="N28" s="11">
        <v>199000</v>
      </c>
      <c r="O28" s="11">
        <v>5400</v>
      </c>
      <c r="P28" s="11"/>
      <c r="Q28" s="11">
        <v>15300</v>
      </c>
      <c r="R28" s="11"/>
      <c r="S28" s="11">
        <v>17.899999999999999</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v>250</v>
      </c>
      <c r="C31" s="65">
        <f>IF(C$27="%w/w SAR",((C$28*10)*$B31),IF(C$27="%w/w DM",(((C$28*10)*($B$28/100))*$B31),IF(C$27="kg/t SAR",(C$28*$B31),IF(C$27="kg/t DM",((C$28*($B$28/100))*$B31),IF(C$27="mg/kg SAR",((C$28*0.001)*$B31),IF(C$27="mg/kg DM",(((C$28*0.001)*($B$28/100))*$B31),0))))))</f>
        <v>95.680000000000021</v>
      </c>
      <c r="D31" s="65">
        <f>(IF(D$27="%w/w SAR",((D$28*10)*$B31),IF(D$27="%w/w DM",(((D$28*10)*($B$28/100))*$B31),IF(D$27="kg/t SAR",(D$28*$B31),IF(D$27="kg/t DM",((D$28*($B$28/100))*$B31),IF(D$27="mg/kg SAR",((D$28*0.001)*$B31),IF(D$27="mg/kg DM",(((D$28*0.001)*($B$28/100))*$B31),"0")))))))*2.291</f>
        <v>61.993314500000004</v>
      </c>
      <c r="E31" s="65">
        <f>(IF(E$27="%w/w SAR",((E$28*10)*$B31),IF(E$27="%w/w DM",(((E$28*10)*($B$28/100))*$B31),IF(E$27="kg/t SAR",(E$28*$B31),IF(E$27="kg/t DM",((E$28*($B$28/100))*$B31),IF(E$27="mg/kg SAR",((E$28*0.001)*$B31),IF(E$27="mg/kg DM",(((E$28*0.001)*($B$28/100))*$B31),"0")))))))*1.205</f>
        <v>2.6661830000000002</v>
      </c>
      <c r="F31" s="65">
        <f>(IF(F$27="%w/w SAR",((F$28*10)*$B31),IF(F$27="%w/w DM",(((F$28*10)*($B$28/100))*$B31),IF(F$27="kg/t SAR",(F$28*$B31),IF(F$27="kg/t DM",((F$28*($B$28/100))*$B31),IF(F$27="mg/kg SAR",((F$28*0.001)*$B31),IF(F$27="mg/kg DM",(((F$28*0.001)*($B$28/100))*$B31),"0")))))))*1.658</f>
        <v>6.9032073500000006</v>
      </c>
      <c r="G31" s="65">
        <f t="shared" ref="G31:P31" si="5">IF(G$27="%w/w SAR",((G$28*10)*$B31),IF(G$27="%w/w DM",(((G$28*10)*($B$28/100))*$B31),IF(G$27="kg/t SAR",(G$28*$B31),IF(G$27="kg/t DM",((G$28*($B$28/100))*$B31),IF(G$27="mg/kg SAR",((G$28*0.001)*$B31),IF(G$27="mg/kg DM",(((G$28*0.001)*($B$28/100))*$B31),0))))))</f>
        <v>0.34385000000000004</v>
      </c>
      <c r="H31" s="65">
        <f t="shared" si="5"/>
        <v>1.2034750000000001</v>
      </c>
      <c r="I31" s="65">
        <f t="shared" si="5"/>
        <v>4.6345000000000011E-2</v>
      </c>
      <c r="J31" s="65">
        <f t="shared" si="5"/>
        <v>3.5880000000000005E-3</v>
      </c>
      <c r="K31" s="65">
        <f t="shared" si="5"/>
        <v>1.0016500000000001E-2</v>
      </c>
      <c r="L31" s="65">
        <f t="shared" si="5"/>
        <v>2.8853500000000004E-2</v>
      </c>
      <c r="M31" s="65">
        <f t="shared" si="5"/>
        <v>3.2142500000000004E-2</v>
      </c>
      <c r="N31" s="65">
        <f t="shared" si="5"/>
        <v>1487.5250000000003</v>
      </c>
      <c r="O31" s="65">
        <f t="shared" si="5"/>
        <v>40.365000000000002</v>
      </c>
      <c r="P31" s="65">
        <f t="shared" si="5"/>
        <v>0</v>
      </c>
      <c r="Q31" s="65">
        <f>(IF(Q$27="%w/w SAR",((Q$28*10)*$B31),IF(Q$27="%w/w DM",(((Q$28*10)*($B$28/100))*$B31),IF(Q$27="kg/t SAR",(Q$28*$B31),IF(Q$27="kg/t DM",((Q$28*($B$28/100))*$B31),IF(Q$27="mg/kg SAR",((Q$28*0.001)*$B31),IF(Q$27="mg/kg DM",(((Q$28*0.001)*($B$28/100))*$B31),0)))))))*2.5</f>
        <v>285.91875000000005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0.13380250000000002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v>250</v>
      </c>
      <c r="C32" s="65">
        <f t="shared" ref="C32:C50" si="6">IF(C$27="%w/w SAR",((C$28*10)*$B32),IF(C$27="%w/w DM",(((C$28*10)*($B$28/100))*$B32),IF(C$27="kg/t SAR",(C$28*$B32),IF(C$27="kg/t DM",((C$28*($B$28/100))*$B32),IF(C$27="mg/kg SAR",((C$28*0.001)*$B32),IF(C$27="mg/kg DM",(((C$28*0.001)*($B$28/100))*$B32),0))))))</f>
        <v>95.680000000000021</v>
      </c>
      <c r="D32" s="65">
        <f t="shared" ref="D32:D50" si="7">(IF(D$27="%w/w SAR",((D$28*10)*$B32),IF(D$27="%w/w DM",(((D$28*10)*($B$28/100))*$B32),IF(D$27="kg/t SAR",(D$28*$B32),IF(D$27="kg/t DM",((D$28*($B$28/100))*$B32),IF(D$27="mg/kg SAR",((D$28*0.001)*$B32),IF(D$27="mg/kg DM",(((D$28*0.001)*($B$28/100))*$B32),"0")))))))*2.291</f>
        <v>61.993314500000004</v>
      </c>
      <c r="E32" s="65">
        <f t="shared" ref="E32:E50" si="8">(IF(E$27="%w/w SAR",((E$28*10)*$B32),IF(E$27="%w/w DM",(((E$28*10)*($B$28/100))*$B32),IF(E$27="kg/t SAR",(E$28*$B32),IF(E$27="kg/t DM",((E$28*($B$28/100))*$B32),IF(E$27="mg/kg SAR",((E$28*0.001)*$B32),IF(E$27="mg/kg DM",(((E$28*0.001)*($B$28/100))*$B32),"0")))))))*1.205</f>
        <v>2.6661830000000002</v>
      </c>
      <c r="F32" s="65">
        <f t="shared" ref="F32:F50" si="9">(IF(F$27="%w/w SAR",((F$28*10)*$B32),IF(F$27="%w/w DM",(((F$28*10)*($B$28/100))*$B32),IF(F$27="kg/t SAR",(F$28*$B32),IF(F$27="kg/t DM",((F$28*($B$28/100))*$B32),IF(F$27="mg/kg SAR",((F$28*0.001)*$B32),IF(F$27="mg/kg DM",(((F$28*0.001)*($B$28/100))*$B32),"0")))))))*1.658</f>
        <v>6.9032073500000006</v>
      </c>
      <c r="G32" s="65">
        <f t="shared" ref="G32:P50" si="10">IF(G$27="%w/w SAR",((G$28*10)*$B32),IF(G$27="%w/w DM",(((G$28*10)*($B$28/100))*$B32),IF(G$27="kg/t SAR",(G$28*$B32),IF(G$27="kg/t DM",((G$28*($B$28/100))*$B32),IF(G$27="mg/kg SAR",((G$28*0.001)*$B32),IF(G$27="mg/kg DM",(((G$28*0.001)*($B$28/100))*$B32),0))))))</f>
        <v>0.34385000000000004</v>
      </c>
      <c r="H32" s="65">
        <f t="shared" si="10"/>
        <v>1.2034750000000001</v>
      </c>
      <c r="I32" s="65">
        <f t="shared" si="10"/>
        <v>4.6345000000000011E-2</v>
      </c>
      <c r="J32" s="65">
        <f t="shared" si="10"/>
        <v>3.5880000000000005E-3</v>
      </c>
      <c r="K32" s="65">
        <f t="shared" si="10"/>
        <v>1.0016500000000001E-2</v>
      </c>
      <c r="L32" s="65">
        <f t="shared" si="10"/>
        <v>2.8853500000000004E-2</v>
      </c>
      <c r="M32" s="65">
        <f t="shared" si="10"/>
        <v>3.2142500000000004E-2</v>
      </c>
      <c r="N32" s="65">
        <f t="shared" si="10"/>
        <v>1487.5250000000003</v>
      </c>
      <c r="O32" s="65">
        <f t="shared" si="10"/>
        <v>40.365000000000002</v>
      </c>
      <c r="P32" s="65">
        <f t="shared" si="10"/>
        <v>0</v>
      </c>
      <c r="Q32" s="65">
        <f t="shared" ref="Q32:Q50" si="11">(IF(Q$27="%w/w SAR",((Q$28*10)*$B32),IF(Q$27="%w/w DM",(((Q$28*10)*($B$28/100))*$B32),IF(Q$27="kg/t SAR",(Q$28*$B32),IF(Q$27="kg/t DM",((Q$28*($B$28/100))*$B32),IF(Q$27="mg/kg SAR",((Q$28*0.001)*$B32),IF(Q$27="mg/kg DM",(((Q$28*0.001)*($B$28/100))*$B32),0)))))))*2.5</f>
        <v>285.91875000000005</v>
      </c>
      <c r="R32" s="65">
        <f t="shared" ref="R32:U50" si="12">IF(R$27="%w/w SAR",((R$28*10)*$B32),IF(R$27="%w/w DM",(((R$28*10)*($B$28/100))*$B32),IF(R$27="kg/t SAR",(R$28*$B32),IF(R$27="kg/t DM",((R$28*($B$28/100))*$B32),IF(R$27="mg/kg SAR",((R$28*0.001)*$B32),IF(R$27="mg/kg DM",(((R$28*0.001)*($B$28/100))*$B32),0))))))</f>
        <v>0</v>
      </c>
      <c r="S32" s="65">
        <f t="shared" si="12"/>
        <v>0.13380250000000002</v>
      </c>
      <c r="T32" s="65">
        <f t="shared" si="12"/>
        <v>0</v>
      </c>
      <c r="U32" s="126">
        <f t="shared" si="12"/>
        <v>0</v>
      </c>
    </row>
    <row r="33" spans="1:21" s="48" customFormat="1" x14ac:dyDescent="0.25">
      <c r="A33" s="125" t="str">
        <f>E8</f>
        <v>PC</v>
      </c>
      <c r="B33" s="11">
        <v>250</v>
      </c>
      <c r="C33" s="65">
        <f t="shared" si="6"/>
        <v>95.680000000000021</v>
      </c>
      <c r="D33" s="65">
        <f t="shared" si="7"/>
        <v>61.993314500000004</v>
      </c>
      <c r="E33" s="65">
        <f t="shared" si="8"/>
        <v>2.6661830000000002</v>
      </c>
      <c r="F33" s="65">
        <f t="shared" si="9"/>
        <v>6.9032073500000006</v>
      </c>
      <c r="G33" s="65">
        <f t="shared" si="10"/>
        <v>0.34385000000000004</v>
      </c>
      <c r="H33" s="65">
        <f t="shared" si="10"/>
        <v>1.2034750000000001</v>
      </c>
      <c r="I33" s="65">
        <f t="shared" si="10"/>
        <v>4.6345000000000011E-2</v>
      </c>
      <c r="J33" s="65">
        <f t="shared" si="10"/>
        <v>3.5880000000000005E-3</v>
      </c>
      <c r="K33" s="65">
        <f t="shared" si="10"/>
        <v>1.0016500000000001E-2</v>
      </c>
      <c r="L33" s="65">
        <f t="shared" si="10"/>
        <v>2.8853500000000004E-2</v>
      </c>
      <c r="M33" s="65">
        <f t="shared" si="10"/>
        <v>3.2142500000000004E-2</v>
      </c>
      <c r="N33" s="65">
        <f t="shared" si="10"/>
        <v>1487.5250000000003</v>
      </c>
      <c r="O33" s="65">
        <f t="shared" si="10"/>
        <v>40.365000000000002</v>
      </c>
      <c r="P33" s="65">
        <f t="shared" si="10"/>
        <v>0</v>
      </c>
      <c r="Q33" s="65">
        <f t="shared" si="11"/>
        <v>285.91875000000005</v>
      </c>
      <c r="R33" s="65">
        <f t="shared" si="12"/>
        <v>0</v>
      </c>
      <c r="S33" s="65">
        <f t="shared" si="12"/>
        <v>0.13380250000000002</v>
      </c>
      <c r="T33" s="65">
        <f t="shared" si="12"/>
        <v>0</v>
      </c>
      <c r="U33" s="126">
        <f t="shared" si="12"/>
        <v>0</v>
      </c>
    </row>
    <row r="34" spans="1:21" s="48" customFormat="1" x14ac:dyDescent="0.25">
      <c r="A34" s="125" t="str">
        <f>F8</f>
        <v>17A</v>
      </c>
      <c r="B34" s="11">
        <v>250</v>
      </c>
      <c r="C34" s="65">
        <f t="shared" si="6"/>
        <v>95.680000000000021</v>
      </c>
      <c r="D34" s="65">
        <f t="shared" si="7"/>
        <v>61.993314500000004</v>
      </c>
      <c r="E34" s="65">
        <f t="shared" si="8"/>
        <v>2.6661830000000002</v>
      </c>
      <c r="F34" s="65">
        <f t="shared" si="9"/>
        <v>6.9032073500000006</v>
      </c>
      <c r="G34" s="65">
        <f t="shared" si="10"/>
        <v>0.34385000000000004</v>
      </c>
      <c r="H34" s="65">
        <f t="shared" si="10"/>
        <v>1.2034750000000001</v>
      </c>
      <c r="I34" s="65">
        <f t="shared" si="10"/>
        <v>4.6345000000000011E-2</v>
      </c>
      <c r="J34" s="65">
        <f t="shared" si="10"/>
        <v>3.5880000000000005E-3</v>
      </c>
      <c r="K34" s="65">
        <f t="shared" si="10"/>
        <v>1.0016500000000001E-2</v>
      </c>
      <c r="L34" s="65">
        <f t="shared" si="10"/>
        <v>2.8853500000000004E-2</v>
      </c>
      <c r="M34" s="65">
        <f t="shared" si="10"/>
        <v>3.2142500000000004E-2</v>
      </c>
      <c r="N34" s="65">
        <f t="shared" si="10"/>
        <v>1487.5250000000003</v>
      </c>
      <c r="O34" s="65">
        <f t="shared" si="10"/>
        <v>40.365000000000002</v>
      </c>
      <c r="P34" s="65">
        <f t="shared" si="10"/>
        <v>0</v>
      </c>
      <c r="Q34" s="65">
        <f t="shared" si="11"/>
        <v>285.91875000000005</v>
      </c>
      <c r="R34" s="65">
        <f t="shared" si="12"/>
        <v>0</v>
      </c>
      <c r="S34" s="65">
        <f t="shared" si="12"/>
        <v>0.13380250000000002</v>
      </c>
      <c r="T34" s="65">
        <f t="shared" si="12"/>
        <v>0</v>
      </c>
      <c r="U34" s="126">
        <f t="shared" si="12"/>
        <v>0</v>
      </c>
    </row>
    <row r="35" spans="1:21" s="48" customFormat="1" x14ac:dyDescent="0.25">
      <c r="A35" s="125" t="str">
        <f>G8</f>
        <v>16A</v>
      </c>
      <c r="B35" s="11">
        <v>250</v>
      </c>
      <c r="C35" s="65">
        <f t="shared" si="6"/>
        <v>95.680000000000021</v>
      </c>
      <c r="D35" s="65">
        <f t="shared" si="7"/>
        <v>61.993314500000004</v>
      </c>
      <c r="E35" s="65">
        <f t="shared" si="8"/>
        <v>2.6661830000000002</v>
      </c>
      <c r="F35" s="65">
        <f t="shared" si="9"/>
        <v>6.9032073500000006</v>
      </c>
      <c r="G35" s="65">
        <f t="shared" si="10"/>
        <v>0.34385000000000004</v>
      </c>
      <c r="H35" s="65">
        <f t="shared" si="10"/>
        <v>1.2034750000000001</v>
      </c>
      <c r="I35" s="65">
        <f t="shared" si="10"/>
        <v>4.6345000000000011E-2</v>
      </c>
      <c r="J35" s="65">
        <f t="shared" si="10"/>
        <v>3.5880000000000005E-3</v>
      </c>
      <c r="K35" s="65">
        <f t="shared" si="10"/>
        <v>1.0016500000000001E-2</v>
      </c>
      <c r="L35" s="65">
        <f t="shared" si="10"/>
        <v>2.8853500000000004E-2</v>
      </c>
      <c r="M35" s="65">
        <f t="shared" si="10"/>
        <v>3.2142500000000004E-2</v>
      </c>
      <c r="N35" s="65">
        <f t="shared" si="10"/>
        <v>1487.5250000000003</v>
      </c>
      <c r="O35" s="65">
        <f t="shared" si="10"/>
        <v>40.365000000000002</v>
      </c>
      <c r="P35" s="65">
        <f t="shared" si="10"/>
        <v>0</v>
      </c>
      <c r="Q35" s="65">
        <f t="shared" si="11"/>
        <v>285.91875000000005</v>
      </c>
      <c r="R35" s="65">
        <f t="shared" si="12"/>
        <v>0</v>
      </c>
      <c r="S35" s="65">
        <f t="shared" si="12"/>
        <v>0.13380250000000002</v>
      </c>
      <c r="T35" s="65">
        <f t="shared" si="12"/>
        <v>0</v>
      </c>
      <c r="U35" s="126">
        <f t="shared" si="12"/>
        <v>0</v>
      </c>
    </row>
    <row r="36" spans="1:21" s="48" customFormat="1" x14ac:dyDescent="0.25">
      <c r="A36" s="125" t="str">
        <f>H8</f>
        <v>A</v>
      </c>
      <c r="B36" s="11">
        <v>130</v>
      </c>
      <c r="C36" s="65">
        <f t="shared" si="6"/>
        <v>49.753600000000006</v>
      </c>
      <c r="D36" s="65">
        <f t="shared" si="7"/>
        <v>32.23652354</v>
      </c>
      <c r="E36" s="65">
        <f t="shared" si="8"/>
        <v>1.3864151600000003</v>
      </c>
      <c r="F36" s="65">
        <f t="shared" si="9"/>
        <v>3.5896678220000005</v>
      </c>
      <c r="G36" s="65">
        <f t="shared" si="10"/>
        <v>0.17880200000000002</v>
      </c>
      <c r="H36" s="65">
        <f t="shared" si="10"/>
        <v>0.625807</v>
      </c>
      <c r="I36" s="65">
        <f t="shared" si="10"/>
        <v>2.4099400000000007E-2</v>
      </c>
      <c r="J36" s="65">
        <f t="shared" si="10"/>
        <v>1.8657600000000004E-3</v>
      </c>
      <c r="K36" s="65">
        <f t="shared" si="10"/>
        <v>5.2085800000000008E-3</v>
      </c>
      <c r="L36" s="65">
        <f t="shared" si="10"/>
        <v>1.5003820000000003E-2</v>
      </c>
      <c r="M36" s="65">
        <f t="shared" si="10"/>
        <v>1.6714100000000003E-2</v>
      </c>
      <c r="N36" s="65">
        <f t="shared" si="10"/>
        <v>773.51300000000015</v>
      </c>
      <c r="O36" s="65">
        <f t="shared" si="10"/>
        <v>20.989800000000002</v>
      </c>
      <c r="P36" s="65">
        <f t="shared" si="10"/>
        <v>0</v>
      </c>
      <c r="Q36" s="65">
        <f t="shared" si="11"/>
        <v>148.67775</v>
      </c>
      <c r="R36" s="65">
        <f t="shared" si="12"/>
        <v>0</v>
      </c>
      <c r="S36" s="65">
        <f t="shared" si="12"/>
        <v>6.9577300000000009E-2</v>
      </c>
      <c r="T36" s="65">
        <f t="shared" si="12"/>
        <v>0</v>
      </c>
      <c r="U36" s="126">
        <f t="shared" si="12"/>
        <v>0</v>
      </c>
    </row>
    <row r="37" spans="1:21" s="48" customFormat="1" x14ac:dyDescent="0.25">
      <c r="A37" s="125" t="str">
        <f>I8</f>
        <v>B</v>
      </c>
      <c r="B37" s="11">
        <v>130</v>
      </c>
      <c r="C37" s="65">
        <f t="shared" si="6"/>
        <v>49.753600000000006</v>
      </c>
      <c r="D37" s="65">
        <f t="shared" si="7"/>
        <v>32.23652354</v>
      </c>
      <c r="E37" s="65">
        <f t="shared" si="8"/>
        <v>1.3864151600000003</v>
      </c>
      <c r="F37" s="65">
        <f t="shared" si="9"/>
        <v>3.5896678220000005</v>
      </c>
      <c r="G37" s="65">
        <f t="shared" si="10"/>
        <v>0.17880200000000002</v>
      </c>
      <c r="H37" s="65">
        <f t="shared" si="10"/>
        <v>0.625807</v>
      </c>
      <c r="I37" s="65">
        <f t="shared" si="10"/>
        <v>2.4099400000000007E-2</v>
      </c>
      <c r="J37" s="65">
        <f t="shared" si="10"/>
        <v>1.8657600000000004E-3</v>
      </c>
      <c r="K37" s="65">
        <f t="shared" si="10"/>
        <v>5.2085800000000008E-3</v>
      </c>
      <c r="L37" s="65">
        <f t="shared" si="10"/>
        <v>1.5003820000000003E-2</v>
      </c>
      <c r="M37" s="65">
        <f t="shared" si="10"/>
        <v>1.6714100000000003E-2</v>
      </c>
      <c r="N37" s="65">
        <f t="shared" si="10"/>
        <v>773.51300000000015</v>
      </c>
      <c r="O37" s="65">
        <f t="shared" si="10"/>
        <v>20.989800000000002</v>
      </c>
      <c r="P37" s="65">
        <f t="shared" si="10"/>
        <v>0</v>
      </c>
      <c r="Q37" s="65">
        <f t="shared" si="11"/>
        <v>148.67775</v>
      </c>
      <c r="R37" s="65">
        <f t="shared" si="12"/>
        <v>0</v>
      </c>
      <c r="S37" s="65">
        <f t="shared" si="12"/>
        <v>6.9577300000000009E-2</v>
      </c>
      <c r="T37" s="65">
        <f t="shared" si="12"/>
        <v>0</v>
      </c>
      <c r="U37" s="126">
        <f t="shared" si="12"/>
        <v>0</v>
      </c>
    </row>
    <row r="38" spans="1:21" s="48" customFormat="1" x14ac:dyDescent="0.25">
      <c r="A38" s="125" t="str">
        <f>J8</f>
        <v>C</v>
      </c>
      <c r="B38" s="11">
        <v>130</v>
      </c>
      <c r="C38" s="65">
        <f t="shared" si="6"/>
        <v>49.753600000000006</v>
      </c>
      <c r="D38" s="65">
        <f t="shared" si="7"/>
        <v>32.23652354</v>
      </c>
      <c r="E38" s="65">
        <f t="shared" si="8"/>
        <v>1.3864151600000003</v>
      </c>
      <c r="F38" s="65">
        <f t="shared" si="9"/>
        <v>3.5896678220000005</v>
      </c>
      <c r="G38" s="65">
        <f t="shared" si="10"/>
        <v>0.17880200000000002</v>
      </c>
      <c r="H38" s="65">
        <f t="shared" si="10"/>
        <v>0.625807</v>
      </c>
      <c r="I38" s="65">
        <f t="shared" si="10"/>
        <v>2.4099400000000007E-2</v>
      </c>
      <c r="J38" s="65">
        <f t="shared" si="10"/>
        <v>1.8657600000000004E-3</v>
      </c>
      <c r="K38" s="65">
        <f t="shared" si="10"/>
        <v>5.2085800000000008E-3</v>
      </c>
      <c r="L38" s="65">
        <f t="shared" si="10"/>
        <v>1.5003820000000003E-2</v>
      </c>
      <c r="M38" s="65">
        <f t="shared" si="10"/>
        <v>1.6714100000000003E-2</v>
      </c>
      <c r="N38" s="65">
        <f t="shared" si="10"/>
        <v>773.51300000000015</v>
      </c>
      <c r="O38" s="65">
        <f t="shared" si="10"/>
        <v>20.989800000000002</v>
      </c>
      <c r="P38" s="65">
        <f t="shared" si="10"/>
        <v>0</v>
      </c>
      <c r="Q38" s="65">
        <f t="shared" si="11"/>
        <v>148.67775</v>
      </c>
      <c r="R38" s="65">
        <f t="shared" si="12"/>
        <v>0</v>
      </c>
      <c r="S38" s="65">
        <f t="shared" si="12"/>
        <v>6.9577300000000009E-2</v>
      </c>
      <c r="T38" s="65">
        <f t="shared" si="12"/>
        <v>0</v>
      </c>
      <c r="U38" s="126">
        <f t="shared" si="12"/>
        <v>0</v>
      </c>
    </row>
    <row r="39" spans="1:21" s="48" customFormat="1" x14ac:dyDescent="0.25">
      <c r="A39" s="125" t="str">
        <f>K8</f>
        <v>BB</v>
      </c>
      <c r="B39" s="11">
        <v>95</v>
      </c>
      <c r="C39" s="65">
        <f t="shared" si="6"/>
        <v>36.358400000000003</v>
      </c>
      <c r="D39" s="65">
        <f t="shared" si="7"/>
        <v>23.557459510000005</v>
      </c>
      <c r="E39" s="65">
        <f t="shared" si="8"/>
        <v>1.0131495400000001</v>
      </c>
      <c r="F39" s="65">
        <f t="shared" si="9"/>
        <v>2.6232187930000008</v>
      </c>
      <c r="G39" s="65">
        <f t="shared" si="10"/>
        <v>0.130663</v>
      </c>
      <c r="H39" s="65">
        <f t="shared" si="10"/>
        <v>0.45732050000000002</v>
      </c>
      <c r="I39" s="65">
        <f t="shared" si="10"/>
        <v>1.7611100000000005E-2</v>
      </c>
      <c r="J39" s="65">
        <f t="shared" si="10"/>
        <v>1.3634400000000003E-3</v>
      </c>
      <c r="K39" s="65">
        <f t="shared" si="10"/>
        <v>3.8062700000000005E-3</v>
      </c>
      <c r="L39" s="65">
        <f t="shared" si="10"/>
        <v>1.0964330000000001E-2</v>
      </c>
      <c r="M39" s="65">
        <f t="shared" si="10"/>
        <v>1.2214150000000002E-2</v>
      </c>
      <c r="N39" s="65">
        <f t="shared" si="10"/>
        <v>565.25950000000012</v>
      </c>
      <c r="O39" s="65">
        <f t="shared" si="10"/>
        <v>15.338700000000001</v>
      </c>
      <c r="P39" s="65">
        <f t="shared" si="10"/>
        <v>0</v>
      </c>
      <c r="Q39" s="65">
        <f t="shared" si="11"/>
        <v>108.64912500000001</v>
      </c>
      <c r="R39" s="65">
        <f t="shared" si="12"/>
        <v>0</v>
      </c>
      <c r="S39" s="65">
        <f t="shared" si="12"/>
        <v>5.0844950000000007E-2</v>
      </c>
      <c r="T39" s="65">
        <f t="shared" si="12"/>
        <v>0</v>
      </c>
      <c r="U39" s="126">
        <f t="shared" si="12"/>
        <v>0</v>
      </c>
    </row>
    <row r="40" spans="1:21" s="48" customFormat="1" x14ac:dyDescent="0.25">
      <c r="A40" s="125" t="str">
        <f>L8</f>
        <v>LM</v>
      </c>
      <c r="B40" s="11">
        <v>250</v>
      </c>
      <c r="C40" s="65">
        <f t="shared" si="6"/>
        <v>95.680000000000021</v>
      </c>
      <c r="D40" s="65">
        <f t="shared" si="7"/>
        <v>61.993314500000004</v>
      </c>
      <c r="E40" s="65">
        <f t="shared" si="8"/>
        <v>2.6661830000000002</v>
      </c>
      <c r="F40" s="65">
        <f t="shared" si="9"/>
        <v>6.9032073500000006</v>
      </c>
      <c r="G40" s="65">
        <f t="shared" si="10"/>
        <v>0.34385000000000004</v>
      </c>
      <c r="H40" s="65">
        <f t="shared" si="10"/>
        <v>1.2034750000000001</v>
      </c>
      <c r="I40" s="65">
        <f t="shared" si="10"/>
        <v>4.6345000000000011E-2</v>
      </c>
      <c r="J40" s="65">
        <f t="shared" si="10"/>
        <v>3.5880000000000005E-3</v>
      </c>
      <c r="K40" s="65">
        <f t="shared" si="10"/>
        <v>1.0016500000000001E-2</v>
      </c>
      <c r="L40" s="65">
        <f t="shared" si="10"/>
        <v>2.8853500000000004E-2</v>
      </c>
      <c r="M40" s="65">
        <f t="shared" si="10"/>
        <v>3.2142500000000004E-2</v>
      </c>
      <c r="N40" s="65">
        <f t="shared" si="10"/>
        <v>1487.5250000000003</v>
      </c>
      <c r="O40" s="65">
        <f t="shared" si="10"/>
        <v>40.365000000000002</v>
      </c>
      <c r="P40" s="65">
        <f t="shared" si="10"/>
        <v>0</v>
      </c>
      <c r="Q40" s="65">
        <f t="shared" si="11"/>
        <v>285.91875000000005</v>
      </c>
      <c r="R40" s="65">
        <f t="shared" si="12"/>
        <v>0</v>
      </c>
      <c r="S40" s="65">
        <f t="shared" si="12"/>
        <v>0.13380250000000002</v>
      </c>
      <c r="T40" s="65">
        <f t="shared" si="12"/>
        <v>0</v>
      </c>
      <c r="U40" s="126">
        <f t="shared" si="12"/>
        <v>0</v>
      </c>
    </row>
    <row r="41" spans="1:21" s="48" customFormat="1" x14ac:dyDescent="0.25">
      <c r="A41" s="125" t="str">
        <f>M8</f>
        <v>SS</v>
      </c>
      <c r="B41" s="11">
        <v>250</v>
      </c>
      <c r="C41" s="65">
        <f t="shared" si="6"/>
        <v>95.680000000000021</v>
      </c>
      <c r="D41" s="65">
        <f t="shared" si="7"/>
        <v>61.993314500000004</v>
      </c>
      <c r="E41" s="65">
        <f t="shared" si="8"/>
        <v>2.6661830000000002</v>
      </c>
      <c r="F41" s="65">
        <f t="shared" si="9"/>
        <v>6.9032073500000006</v>
      </c>
      <c r="G41" s="65">
        <f t="shared" si="10"/>
        <v>0.34385000000000004</v>
      </c>
      <c r="H41" s="65">
        <f t="shared" si="10"/>
        <v>1.2034750000000001</v>
      </c>
      <c r="I41" s="65">
        <f t="shared" si="10"/>
        <v>4.6345000000000011E-2</v>
      </c>
      <c r="J41" s="65">
        <f t="shared" si="10"/>
        <v>3.5880000000000005E-3</v>
      </c>
      <c r="K41" s="65">
        <f t="shared" si="10"/>
        <v>1.0016500000000001E-2</v>
      </c>
      <c r="L41" s="65">
        <f t="shared" si="10"/>
        <v>2.8853500000000004E-2</v>
      </c>
      <c r="M41" s="65">
        <f t="shared" si="10"/>
        <v>3.2142500000000004E-2</v>
      </c>
      <c r="N41" s="65">
        <f t="shared" si="10"/>
        <v>1487.5250000000003</v>
      </c>
      <c r="O41" s="65">
        <f t="shared" si="10"/>
        <v>40.365000000000002</v>
      </c>
      <c r="P41" s="65">
        <f t="shared" si="10"/>
        <v>0</v>
      </c>
      <c r="Q41" s="65">
        <f t="shared" si="11"/>
        <v>285.91875000000005</v>
      </c>
      <c r="R41" s="65">
        <f t="shared" si="12"/>
        <v>0</v>
      </c>
      <c r="S41" s="65">
        <f t="shared" si="12"/>
        <v>0.13380250000000002</v>
      </c>
      <c r="T41" s="65">
        <f t="shared" si="12"/>
        <v>0</v>
      </c>
      <c r="U41" s="126">
        <f t="shared" si="12"/>
        <v>0</v>
      </c>
    </row>
    <row r="42" spans="1:21" s="48" customFormat="1" x14ac:dyDescent="0.2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Arable</v>
      </c>
      <c r="K58" s="10" t="str">
        <f>L16&amp;" I "&amp;(VLOOKUP(L14,Table24[],6,FALSE))</f>
        <v>Medium/Clay I Grass</v>
      </c>
      <c r="L58" s="10" t="str">
        <f>M16&amp;" I "&amp;(VLOOKUP(M14,Table24[],6,FALSE))</f>
        <v>Medium/Clay I Grass</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6.7</v>
      </c>
      <c r="K59" s="64">
        <f>VLOOKUP(L$14,Table24[],5,FALSE)</f>
        <v>6.2</v>
      </c>
      <c r="L59" s="64">
        <f>VLOOKUP(M$14,Table24[],5,FALSE)</f>
        <v>6.2</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130</v>
      </c>
      <c r="H62" s="65">
        <f>B37</f>
        <v>130</v>
      </c>
      <c r="I62" s="65">
        <f>B38</f>
        <v>130</v>
      </c>
      <c r="J62" s="65">
        <f>B39</f>
        <v>95</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v>7.1</v>
      </c>
      <c r="J1" s="158" t="s">
        <v>153</v>
      </c>
      <c r="K1" s="159"/>
      <c r="L1" s="109">
        <v>140</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t="s">
        <v>176</v>
      </c>
      <c r="G2" s="136" t="s">
        <v>110</v>
      </c>
      <c r="H2" s="137"/>
      <c r="I2" s="110"/>
      <c r="J2" s="138" t="s">
        <v>158</v>
      </c>
      <c r="K2" s="139"/>
      <c r="L2" s="110">
        <v>1.1599999999999999</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t="s">
        <v>78</v>
      </c>
      <c r="G3" s="138" t="s">
        <v>159</v>
      </c>
      <c r="H3" s="139"/>
      <c r="I3" s="110"/>
      <c r="J3" s="160" t="s">
        <v>154</v>
      </c>
      <c r="K3" s="161"/>
      <c r="L3" s="110">
        <f>(L1/(L2*10000))*100</f>
        <v>1.2068965517241379</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t="s">
        <v>178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30.2560915</v>
      </c>
      <c r="D18" s="12">
        <f>$D32</f>
        <v>30.2560915</v>
      </c>
      <c r="E18" s="12">
        <f>$D33</f>
        <v>30.2560915</v>
      </c>
      <c r="F18" s="12">
        <f>$D34</f>
        <v>30.2560915</v>
      </c>
      <c r="G18" s="12">
        <f>$D35</f>
        <v>30.2560915</v>
      </c>
      <c r="H18" s="12">
        <f>$D36</f>
        <v>30.2560915</v>
      </c>
      <c r="I18" s="12">
        <f>$D37</f>
        <v>30.2560915</v>
      </c>
      <c r="J18" s="12">
        <f>$D38</f>
        <v>30.2560915</v>
      </c>
      <c r="K18" s="12">
        <f>$D39</f>
        <v>23.599751369999996</v>
      </c>
      <c r="L18" s="12">
        <f>$D40</f>
        <v>30.2560915</v>
      </c>
      <c r="M18" s="12">
        <f>$D41</f>
        <v>30.2560915</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-34.343908499999998</v>
      </c>
      <c r="D19" s="12">
        <f t="shared" ref="D19:V19" si="1">D18-D17</f>
        <v>-34.343908499999998</v>
      </c>
      <c r="E19" s="12">
        <f t="shared" si="1"/>
        <v>-34.343908499999998</v>
      </c>
      <c r="F19" s="12">
        <f t="shared" si="1"/>
        <v>-34.343908499999998</v>
      </c>
      <c r="G19" s="12">
        <f t="shared" si="1"/>
        <v>-34.343908499999998</v>
      </c>
      <c r="H19" s="12">
        <f t="shared" si="1"/>
        <v>-34.343908499999998</v>
      </c>
      <c r="I19" s="12">
        <f t="shared" si="1"/>
        <v>-34.343908499999998</v>
      </c>
      <c r="J19" s="12">
        <f t="shared" si="1"/>
        <v>-34.343908499999998</v>
      </c>
      <c r="K19" s="12">
        <f t="shared" si="1"/>
        <v>-48.650248630000007</v>
      </c>
      <c r="L19" s="12">
        <f t="shared" si="1"/>
        <v>-34.343908499999998</v>
      </c>
      <c r="M19" s="12">
        <f t="shared" si="1"/>
        <v>-34.343908499999998</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1.4348537500000001E-3</v>
      </c>
      <c r="D22" s="12">
        <f>$E32</f>
        <v>1.4348537500000001E-3</v>
      </c>
      <c r="E22" s="12">
        <f>$E33</f>
        <v>1.4348537500000001E-3</v>
      </c>
      <c r="F22" s="12">
        <f>$E34</f>
        <v>1.4348537500000001E-3</v>
      </c>
      <c r="G22" s="12">
        <f>$E35</f>
        <v>1.4348537500000001E-3</v>
      </c>
      <c r="H22" s="12">
        <f>$E36</f>
        <v>1.4348537500000001E-3</v>
      </c>
      <c r="I22" s="12">
        <f>$E37</f>
        <v>1.4348537500000001E-3</v>
      </c>
      <c r="J22" s="12">
        <f>$E38</f>
        <v>1.4348537500000001E-3</v>
      </c>
      <c r="K22" s="12">
        <f>$E39</f>
        <v>1.1191859250000002E-3</v>
      </c>
      <c r="L22" s="12">
        <f>$E40</f>
        <v>1.4348537500000001E-3</v>
      </c>
      <c r="M22" s="12">
        <f>$E41</f>
        <v>1.4348537500000001E-3</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-227.99856514625</v>
      </c>
      <c r="D23" s="12">
        <f t="shared" ref="D23:V23" si="3">D22-D21</f>
        <v>-227.99856514625</v>
      </c>
      <c r="E23" s="12">
        <f t="shared" si="3"/>
        <v>-227.99856514625</v>
      </c>
      <c r="F23" s="12">
        <f t="shared" si="3"/>
        <v>-227.99856514625</v>
      </c>
      <c r="G23" s="12">
        <f t="shared" si="3"/>
        <v>-227.99856514625</v>
      </c>
      <c r="H23" s="12">
        <f t="shared" si="3"/>
        <v>-227.99856514625</v>
      </c>
      <c r="I23" s="12">
        <f t="shared" si="3"/>
        <v>-227.99856514625</v>
      </c>
      <c r="J23" s="12">
        <f t="shared" si="3"/>
        <v>-227.99856514625</v>
      </c>
      <c r="K23" s="12">
        <f t="shared" si="3"/>
        <v>-101.99888081407499</v>
      </c>
      <c r="L23" s="12">
        <f t="shared" si="3"/>
        <v>-227.99856514625</v>
      </c>
      <c r="M23" s="12">
        <f t="shared" si="3"/>
        <v>-227.99856514625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4.33</v>
      </c>
      <c r="C28" s="11">
        <v>1.1599999999999999</v>
      </c>
      <c r="D28" s="11">
        <v>0.122</v>
      </c>
      <c r="E28" s="11">
        <v>0.11</v>
      </c>
      <c r="F28" s="11">
        <v>3010</v>
      </c>
      <c r="G28" s="11">
        <v>46.4</v>
      </c>
      <c r="H28" s="11">
        <v>310</v>
      </c>
      <c r="I28" s="11">
        <v>39.799999999999997</v>
      </c>
      <c r="J28" s="11">
        <v>0.44</v>
      </c>
      <c r="K28" s="15">
        <v>0.93</v>
      </c>
      <c r="L28" s="11">
        <v>24</v>
      </c>
      <c r="M28" s="11">
        <v>19</v>
      </c>
      <c r="N28" s="11">
        <v>118000</v>
      </c>
      <c r="O28" s="11">
        <v>29900</v>
      </c>
      <c r="P28" s="11"/>
      <c r="Q28" s="11">
        <v>5610</v>
      </c>
      <c r="R28" s="11"/>
      <c r="S28" s="11">
        <v>23.8</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v>250</v>
      </c>
      <c r="C31" s="65">
        <f>IF(C$27="%w/w SAR",((C$28*10)*$B31),IF(C$27="%w/w DM",(((C$28*10)*($B$28/100))*$B31),IF(C$27="kg/t SAR",(C$28*$B31),IF(C$27="kg/t DM",((C$28*($B$28/100))*$B31),IF(C$27="mg/kg SAR",((C$28*0.001)*$B31),IF(C$27="mg/kg DM",(((C$28*0.001)*($B$28/100))*$B31),0))))))</f>
        <v>125.57</v>
      </c>
      <c r="D31" s="65">
        <f>(IF(D$27="%w/w SAR",((D$28*10)*$B31),IF(D$27="%w/w DM",(((D$28*10)*($B$28/100))*$B31),IF(D$27="kg/t SAR",(D$28*$B31),IF(D$27="kg/t DM",((D$28*($B$28/100))*$B31),IF(D$27="mg/kg SAR",((D$28*0.001)*$B31),IF(D$27="mg/kg DM",(((D$28*0.001)*($B$28/100))*$B31),"0")))))))*2.291</f>
        <v>30.2560915</v>
      </c>
      <c r="E31" s="65">
        <f>(IF(E$27="%w/w SAR",((E$28*10)*$B31),IF(E$27="%w/w DM",(((E$28*10)*($B$28/100))*$B31),IF(E$27="kg/t SAR",(E$28*$B31),IF(E$27="kg/t DM",((E$28*($B$28/100))*$B31),IF(E$27="mg/kg SAR",((E$28*0.001)*$B31),IF(E$27="mg/kg DM",(((E$28*0.001)*($B$28/100))*$B31),"0")))))))*1.205</f>
        <v>1.4348537500000001E-3</v>
      </c>
      <c r="F31" s="65">
        <f>(IF(F$27="%w/w SAR",((F$28*10)*$B31),IF(F$27="%w/w DM",(((F$28*10)*($B$28/100))*$B31),IF(F$27="kg/t SAR",(F$28*$B31),IF(F$27="kg/t DM",((F$28*($B$28/100))*$B31),IF(F$27="mg/kg SAR",((F$28*0.001)*$B31),IF(F$27="mg/kg DM",(((F$28*0.001)*($B$28/100))*$B31),"0")))))))*1.658</f>
        <v>54.023028499999995</v>
      </c>
      <c r="G31" s="65">
        <f t="shared" ref="G31:P46" si="5">IF(G$27="%w/w SAR",((G$28*10)*$B31),IF(G$27="%w/w DM",(((G$28*10)*($B$28/100))*$B31),IF(G$27="kg/t SAR",(G$28*$B31),IF(G$27="kg/t DM",((G$28*($B$28/100))*$B31),IF(G$27="mg/kg SAR",((G$28*0.001)*$B31),IF(G$27="mg/kg DM",(((G$28*0.001)*($B$28/100))*$B31),0))))))</f>
        <v>0.50227999999999995</v>
      </c>
      <c r="H31" s="65">
        <f t="shared" si="5"/>
        <v>3.35575</v>
      </c>
      <c r="I31" s="65">
        <f t="shared" si="5"/>
        <v>0.43083499999999991</v>
      </c>
      <c r="J31" s="65">
        <f t="shared" si="5"/>
        <v>4.7629999999999999E-3</v>
      </c>
      <c r="K31" s="65">
        <f t="shared" si="5"/>
        <v>1.0067250000000002E-2</v>
      </c>
      <c r="L31" s="65">
        <f t="shared" si="5"/>
        <v>0.25979999999999998</v>
      </c>
      <c r="M31" s="65">
        <f t="shared" si="5"/>
        <v>0.205675</v>
      </c>
      <c r="N31" s="65">
        <f t="shared" si="5"/>
        <v>1277.3499999999999</v>
      </c>
      <c r="O31" s="65">
        <f t="shared" si="5"/>
        <v>323.66750000000002</v>
      </c>
      <c r="P31" s="65">
        <f t="shared" si="5"/>
        <v>0</v>
      </c>
      <c r="Q31" s="65">
        <f>(IF(Q$27="%w/w SAR",((Q$28*10)*$B31),IF(Q$27="%w/w DM",(((Q$28*10)*($B$28/100))*$B31),IF(Q$27="kg/t SAR",(Q$28*$B31),IF(Q$27="kg/t DM",((Q$28*($B$28/100))*$B31),IF(Q$27="mg/kg SAR",((Q$28*0.001)*$B31),IF(Q$27="mg/kg DM",(((Q$28*0.001)*($B$28/100))*$B31),0)))))))*2.5</f>
        <v>151.82062499999998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0.257635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v>250</v>
      </c>
      <c r="C32" s="65">
        <f t="shared" ref="C32:C50" si="6">IF(C$27="%w/w SAR",((C$28*10)*$B32),IF(C$27="%w/w DM",(((C$28*10)*($B$28/100))*$B32),IF(C$27="kg/t SAR",(C$28*$B32),IF(C$27="kg/t DM",((C$28*($B$28/100))*$B32),IF(C$27="mg/kg SAR",((C$28*0.001)*$B32),IF(C$27="mg/kg DM",(((C$28*0.001)*($B$28/100))*$B32),0))))))</f>
        <v>125.57</v>
      </c>
      <c r="D32" s="65">
        <f t="shared" ref="D32:D50" si="7">(IF(D$27="%w/w SAR",((D$28*10)*$B32),IF(D$27="%w/w DM",(((D$28*10)*($B$28/100))*$B32),IF(D$27="kg/t SAR",(D$28*$B32),IF(D$27="kg/t DM",((D$28*($B$28/100))*$B32),IF(D$27="mg/kg SAR",((D$28*0.001)*$B32),IF(D$27="mg/kg DM",(((D$28*0.001)*($B$28/100))*$B32),"0")))))))*2.291</f>
        <v>30.2560915</v>
      </c>
      <c r="E32" s="65">
        <f t="shared" ref="E32:E50" si="8">(IF(E$27="%w/w SAR",((E$28*10)*$B32),IF(E$27="%w/w DM",(((E$28*10)*($B$28/100))*$B32),IF(E$27="kg/t SAR",(E$28*$B32),IF(E$27="kg/t DM",((E$28*($B$28/100))*$B32),IF(E$27="mg/kg SAR",((E$28*0.001)*$B32),IF(E$27="mg/kg DM",(((E$28*0.001)*($B$28/100))*$B32),"0")))))))*1.205</f>
        <v>1.4348537500000001E-3</v>
      </c>
      <c r="F32" s="65">
        <f t="shared" ref="F32:F50" si="9">(IF(F$27="%w/w SAR",((F$28*10)*$B32),IF(F$27="%w/w DM",(((F$28*10)*($B$28/100))*$B32),IF(F$27="kg/t SAR",(F$28*$B32),IF(F$27="kg/t DM",((F$28*($B$28/100))*$B32),IF(F$27="mg/kg SAR",((F$28*0.001)*$B32),IF(F$27="mg/kg DM",(((F$28*0.001)*($B$28/100))*$B32),"0")))))))*1.658</f>
        <v>54.023028499999995</v>
      </c>
      <c r="G32" s="65">
        <f t="shared" si="5"/>
        <v>0.50227999999999995</v>
      </c>
      <c r="H32" s="65">
        <f t="shared" si="5"/>
        <v>3.35575</v>
      </c>
      <c r="I32" s="65">
        <f t="shared" si="5"/>
        <v>0.43083499999999991</v>
      </c>
      <c r="J32" s="65">
        <f t="shared" si="5"/>
        <v>4.7629999999999999E-3</v>
      </c>
      <c r="K32" s="65">
        <f t="shared" si="5"/>
        <v>1.0067250000000002E-2</v>
      </c>
      <c r="L32" s="65">
        <f t="shared" si="5"/>
        <v>0.25979999999999998</v>
      </c>
      <c r="M32" s="65">
        <f t="shared" si="5"/>
        <v>0.205675</v>
      </c>
      <c r="N32" s="65">
        <f t="shared" si="5"/>
        <v>1277.3499999999999</v>
      </c>
      <c r="O32" s="65">
        <f t="shared" si="5"/>
        <v>323.66750000000002</v>
      </c>
      <c r="P32" s="65">
        <f t="shared" si="5"/>
        <v>0</v>
      </c>
      <c r="Q32" s="65">
        <f t="shared" ref="Q32:Q50" si="10">(IF(Q$27="%w/w SAR",((Q$28*10)*$B32),IF(Q$27="%w/w DM",(((Q$28*10)*($B$28/100))*$B32),IF(Q$27="kg/t SAR",(Q$28*$B32),IF(Q$27="kg/t DM",((Q$28*($B$28/100))*$B32),IF(Q$27="mg/kg SAR",((Q$28*0.001)*$B32),IF(Q$27="mg/kg DM",(((Q$28*0.001)*($B$28/100))*$B32),0)))))))*2.5</f>
        <v>151.82062499999998</v>
      </c>
      <c r="R32" s="65">
        <f t="shared" ref="R32:U50" si="11">IF(R$27="%w/w SAR",((R$28*10)*$B32),IF(R$27="%w/w DM",(((R$28*10)*($B$28/100))*$B32),IF(R$27="kg/t SAR",(R$28*$B32),IF(R$27="kg/t DM",((R$28*($B$28/100))*$B32),IF(R$27="mg/kg SAR",((R$28*0.001)*$B32),IF(R$27="mg/kg DM",(((R$28*0.001)*($B$28/100))*$B32),0))))))</f>
        <v>0</v>
      </c>
      <c r="S32" s="65">
        <f t="shared" si="11"/>
        <v>0.257635</v>
      </c>
      <c r="T32" s="65">
        <f t="shared" si="11"/>
        <v>0</v>
      </c>
      <c r="U32" s="126">
        <f t="shared" si="11"/>
        <v>0</v>
      </c>
    </row>
    <row r="33" spans="1:21" s="48" customFormat="1" x14ac:dyDescent="0.25">
      <c r="A33" s="125" t="str">
        <f>E8</f>
        <v>PC</v>
      </c>
      <c r="B33" s="11">
        <v>250</v>
      </c>
      <c r="C33" s="65">
        <f t="shared" si="6"/>
        <v>125.57</v>
      </c>
      <c r="D33" s="65">
        <f t="shared" si="7"/>
        <v>30.2560915</v>
      </c>
      <c r="E33" s="65">
        <f t="shared" si="8"/>
        <v>1.4348537500000001E-3</v>
      </c>
      <c r="F33" s="65">
        <f t="shared" si="9"/>
        <v>54.023028499999995</v>
      </c>
      <c r="G33" s="65">
        <f t="shared" si="5"/>
        <v>0.50227999999999995</v>
      </c>
      <c r="H33" s="65">
        <f t="shared" si="5"/>
        <v>3.35575</v>
      </c>
      <c r="I33" s="65">
        <f t="shared" si="5"/>
        <v>0.43083499999999991</v>
      </c>
      <c r="J33" s="65">
        <f t="shared" si="5"/>
        <v>4.7629999999999999E-3</v>
      </c>
      <c r="K33" s="65">
        <f t="shared" si="5"/>
        <v>1.0067250000000002E-2</v>
      </c>
      <c r="L33" s="65">
        <f t="shared" si="5"/>
        <v>0.25979999999999998</v>
      </c>
      <c r="M33" s="65">
        <f t="shared" si="5"/>
        <v>0.205675</v>
      </c>
      <c r="N33" s="65">
        <f t="shared" si="5"/>
        <v>1277.3499999999999</v>
      </c>
      <c r="O33" s="65">
        <f t="shared" si="5"/>
        <v>323.66750000000002</v>
      </c>
      <c r="P33" s="65">
        <f t="shared" si="5"/>
        <v>0</v>
      </c>
      <c r="Q33" s="65">
        <f t="shared" si="10"/>
        <v>151.82062499999998</v>
      </c>
      <c r="R33" s="65">
        <f t="shared" si="11"/>
        <v>0</v>
      </c>
      <c r="S33" s="65">
        <f t="shared" si="11"/>
        <v>0.257635</v>
      </c>
      <c r="T33" s="65">
        <f t="shared" si="11"/>
        <v>0</v>
      </c>
      <c r="U33" s="126">
        <f t="shared" si="11"/>
        <v>0</v>
      </c>
    </row>
    <row r="34" spans="1:21" s="48" customFormat="1" x14ac:dyDescent="0.25">
      <c r="A34" s="125" t="str">
        <f>F8</f>
        <v>17A</v>
      </c>
      <c r="B34" s="11">
        <v>250</v>
      </c>
      <c r="C34" s="65">
        <f t="shared" si="6"/>
        <v>125.57</v>
      </c>
      <c r="D34" s="65">
        <f t="shared" si="7"/>
        <v>30.2560915</v>
      </c>
      <c r="E34" s="65">
        <f t="shared" si="8"/>
        <v>1.4348537500000001E-3</v>
      </c>
      <c r="F34" s="65">
        <f t="shared" si="9"/>
        <v>54.023028499999995</v>
      </c>
      <c r="G34" s="65">
        <f t="shared" si="5"/>
        <v>0.50227999999999995</v>
      </c>
      <c r="H34" s="65">
        <f t="shared" si="5"/>
        <v>3.35575</v>
      </c>
      <c r="I34" s="65">
        <f t="shared" si="5"/>
        <v>0.43083499999999991</v>
      </c>
      <c r="J34" s="65">
        <f t="shared" si="5"/>
        <v>4.7629999999999999E-3</v>
      </c>
      <c r="K34" s="65">
        <f t="shared" si="5"/>
        <v>1.0067250000000002E-2</v>
      </c>
      <c r="L34" s="65">
        <f t="shared" si="5"/>
        <v>0.25979999999999998</v>
      </c>
      <c r="M34" s="65">
        <f t="shared" si="5"/>
        <v>0.205675</v>
      </c>
      <c r="N34" s="65">
        <f t="shared" si="5"/>
        <v>1277.3499999999999</v>
      </c>
      <c r="O34" s="65">
        <f t="shared" si="5"/>
        <v>323.66750000000002</v>
      </c>
      <c r="P34" s="65">
        <f t="shared" si="5"/>
        <v>0</v>
      </c>
      <c r="Q34" s="65">
        <f t="shared" si="10"/>
        <v>151.82062499999998</v>
      </c>
      <c r="R34" s="65">
        <f t="shared" si="11"/>
        <v>0</v>
      </c>
      <c r="S34" s="65">
        <f t="shared" si="11"/>
        <v>0.257635</v>
      </c>
      <c r="T34" s="65">
        <f t="shared" si="11"/>
        <v>0</v>
      </c>
      <c r="U34" s="126">
        <f t="shared" si="11"/>
        <v>0</v>
      </c>
    </row>
    <row r="35" spans="1:21" s="48" customFormat="1" x14ac:dyDescent="0.25">
      <c r="A35" s="125" t="str">
        <f>G8</f>
        <v>16A</v>
      </c>
      <c r="B35" s="11">
        <v>250</v>
      </c>
      <c r="C35" s="65">
        <f t="shared" si="6"/>
        <v>125.57</v>
      </c>
      <c r="D35" s="65">
        <f t="shared" si="7"/>
        <v>30.2560915</v>
      </c>
      <c r="E35" s="65">
        <f t="shared" si="8"/>
        <v>1.4348537500000001E-3</v>
      </c>
      <c r="F35" s="65">
        <f t="shared" si="9"/>
        <v>54.023028499999995</v>
      </c>
      <c r="G35" s="65">
        <f t="shared" si="5"/>
        <v>0.50227999999999995</v>
      </c>
      <c r="H35" s="65">
        <f t="shared" si="5"/>
        <v>3.35575</v>
      </c>
      <c r="I35" s="65">
        <f t="shared" si="5"/>
        <v>0.43083499999999991</v>
      </c>
      <c r="J35" s="65">
        <f t="shared" si="5"/>
        <v>4.7629999999999999E-3</v>
      </c>
      <c r="K35" s="65">
        <f t="shared" si="5"/>
        <v>1.0067250000000002E-2</v>
      </c>
      <c r="L35" s="65">
        <f t="shared" si="5"/>
        <v>0.25979999999999998</v>
      </c>
      <c r="M35" s="65">
        <f t="shared" si="5"/>
        <v>0.205675</v>
      </c>
      <c r="N35" s="65">
        <f t="shared" si="5"/>
        <v>1277.3499999999999</v>
      </c>
      <c r="O35" s="65">
        <f t="shared" si="5"/>
        <v>323.66750000000002</v>
      </c>
      <c r="P35" s="65">
        <f t="shared" si="5"/>
        <v>0</v>
      </c>
      <c r="Q35" s="65">
        <f t="shared" si="10"/>
        <v>151.82062499999998</v>
      </c>
      <c r="R35" s="65">
        <f t="shared" si="11"/>
        <v>0</v>
      </c>
      <c r="S35" s="65">
        <f t="shared" si="11"/>
        <v>0.257635</v>
      </c>
      <c r="T35" s="65">
        <f t="shared" si="11"/>
        <v>0</v>
      </c>
      <c r="U35" s="126">
        <f t="shared" si="11"/>
        <v>0</v>
      </c>
    </row>
    <row r="36" spans="1:21" s="48" customFormat="1" x14ac:dyDescent="0.25">
      <c r="A36" s="125" t="str">
        <f>H8</f>
        <v>A</v>
      </c>
      <c r="B36" s="11">
        <v>250</v>
      </c>
      <c r="C36" s="65">
        <f t="shared" si="6"/>
        <v>125.57</v>
      </c>
      <c r="D36" s="65">
        <f t="shared" si="7"/>
        <v>30.2560915</v>
      </c>
      <c r="E36" s="65">
        <f t="shared" si="8"/>
        <v>1.4348537500000001E-3</v>
      </c>
      <c r="F36" s="65">
        <f t="shared" si="9"/>
        <v>54.023028499999995</v>
      </c>
      <c r="G36" s="65">
        <f t="shared" si="5"/>
        <v>0.50227999999999995</v>
      </c>
      <c r="H36" s="65">
        <f t="shared" si="5"/>
        <v>3.35575</v>
      </c>
      <c r="I36" s="65">
        <f t="shared" si="5"/>
        <v>0.43083499999999991</v>
      </c>
      <c r="J36" s="65">
        <f t="shared" si="5"/>
        <v>4.7629999999999999E-3</v>
      </c>
      <c r="K36" s="65">
        <f t="shared" si="5"/>
        <v>1.0067250000000002E-2</v>
      </c>
      <c r="L36" s="65">
        <f t="shared" si="5"/>
        <v>0.25979999999999998</v>
      </c>
      <c r="M36" s="65">
        <f t="shared" si="5"/>
        <v>0.205675</v>
      </c>
      <c r="N36" s="65">
        <f t="shared" si="5"/>
        <v>1277.3499999999999</v>
      </c>
      <c r="O36" s="65">
        <f t="shared" si="5"/>
        <v>323.66750000000002</v>
      </c>
      <c r="P36" s="65">
        <f t="shared" si="5"/>
        <v>0</v>
      </c>
      <c r="Q36" s="65">
        <f t="shared" si="10"/>
        <v>151.82062499999998</v>
      </c>
      <c r="R36" s="65">
        <f t="shared" si="11"/>
        <v>0</v>
      </c>
      <c r="S36" s="65">
        <f t="shared" si="11"/>
        <v>0.257635</v>
      </c>
      <c r="T36" s="65">
        <f t="shared" si="11"/>
        <v>0</v>
      </c>
      <c r="U36" s="126">
        <f t="shared" si="11"/>
        <v>0</v>
      </c>
    </row>
    <row r="37" spans="1:21" s="48" customFormat="1" x14ac:dyDescent="0.25">
      <c r="A37" s="125" t="str">
        <f>I8</f>
        <v>B</v>
      </c>
      <c r="B37" s="11">
        <v>250</v>
      </c>
      <c r="C37" s="65">
        <f t="shared" si="6"/>
        <v>125.57</v>
      </c>
      <c r="D37" s="65">
        <f t="shared" si="7"/>
        <v>30.2560915</v>
      </c>
      <c r="E37" s="65">
        <f t="shared" si="8"/>
        <v>1.4348537500000001E-3</v>
      </c>
      <c r="F37" s="65">
        <f t="shared" si="9"/>
        <v>54.023028499999995</v>
      </c>
      <c r="G37" s="65">
        <f t="shared" si="5"/>
        <v>0.50227999999999995</v>
      </c>
      <c r="H37" s="65">
        <f t="shared" si="5"/>
        <v>3.35575</v>
      </c>
      <c r="I37" s="65">
        <f t="shared" si="5"/>
        <v>0.43083499999999991</v>
      </c>
      <c r="J37" s="65">
        <f t="shared" si="5"/>
        <v>4.7629999999999999E-3</v>
      </c>
      <c r="K37" s="65">
        <f t="shared" si="5"/>
        <v>1.0067250000000002E-2</v>
      </c>
      <c r="L37" s="65">
        <f t="shared" si="5"/>
        <v>0.25979999999999998</v>
      </c>
      <c r="M37" s="65">
        <f t="shared" si="5"/>
        <v>0.205675</v>
      </c>
      <c r="N37" s="65">
        <f t="shared" si="5"/>
        <v>1277.3499999999999</v>
      </c>
      <c r="O37" s="65">
        <f t="shared" si="5"/>
        <v>323.66750000000002</v>
      </c>
      <c r="P37" s="65">
        <f t="shared" si="5"/>
        <v>0</v>
      </c>
      <c r="Q37" s="65">
        <f t="shared" si="10"/>
        <v>151.82062499999998</v>
      </c>
      <c r="R37" s="65">
        <f t="shared" si="11"/>
        <v>0</v>
      </c>
      <c r="S37" s="65">
        <f t="shared" si="11"/>
        <v>0.257635</v>
      </c>
      <c r="T37" s="65">
        <f t="shared" si="11"/>
        <v>0</v>
      </c>
      <c r="U37" s="126">
        <f t="shared" si="11"/>
        <v>0</v>
      </c>
    </row>
    <row r="38" spans="1:21" s="48" customFormat="1" x14ac:dyDescent="0.25">
      <c r="A38" s="125" t="str">
        <f>J8</f>
        <v>C</v>
      </c>
      <c r="B38" s="11">
        <v>250</v>
      </c>
      <c r="C38" s="65">
        <f t="shared" si="6"/>
        <v>125.57</v>
      </c>
      <c r="D38" s="65">
        <f t="shared" si="7"/>
        <v>30.2560915</v>
      </c>
      <c r="E38" s="65">
        <f t="shared" si="8"/>
        <v>1.4348537500000001E-3</v>
      </c>
      <c r="F38" s="65">
        <f t="shared" si="9"/>
        <v>54.023028499999995</v>
      </c>
      <c r="G38" s="65">
        <f t="shared" si="5"/>
        <v>0.50227999999999995</v>
      </c>
      <c r="H38" s="65">
        <f t="shared" si="5"/>
        <v>3.35575</v>
      </c>
      <c r="I38" s="65">
        <f t="shared" si="5"/>
        <v>0.43083499999999991</v>
      </c>
      <c r="J38" s="65">
        <f t="shared" si="5"/>
        <v>4.7629999999999999E-3</v>
      </c>
      <c r="K38" s="65">
        <f t="shared" si="5"/>
        <v>1.0067250000000002E-2</v>
      </c>
      <c r="L38" s="65">
        <f t="shared" si="5"/>
        <v>0.25979999999999998</v>
      </c>
      <c r="M38" s="65">
        <f t="shared" si="5"/>
        <v>0.205675</v>
      </c>
      <c r="N38" s="65">
        <f t="shared" si="5"/>
        <v>1277.3499999999999</v>
      </c>
      <c r="O38" s="65">
        <f t="shared" si="5"/>
        <v>323.66750000000002</v>
      </c>
      <c r="P38" s="65">
        <f t="shared" si="5"/>
        <v>0</v>
      </c>
      <c r="Q38" s="65">
        <f t="shared" si="10"/>
        <v>151.82062499999998</v>
      </c>
      <c r="R38" s="65">
        <f t="shared" si="11"/>
        <v>0</v>
      </c>
      <c r="S38" s="65">
        <f t="shared" si="11"/>
        <v>0.257635</v>
      </c>
      <c r="T38" s="65">
        <f t="shared" si="11"/>
        <v>0</v>
      </c>
      <c r="U38" s="126">
        <f t="shared" si="11"/>
        <v>0</v>
      </c>
    </row>
    <row r="39" spans="1:21" s="48" customFormat="1" x14ac:dyDescent="0.25">
      <c r="A39" s="125" t="str">
        <f>K8</f>
        <v>BB</v>
      </c>
      <c r="B39" s="11">
        <v>195</v>
      </c>
      <c r="C39" s="65">
        <f t="shared" si="6"/>
        <v>97.944599999999994</v>
      </c>
      <c r="D39" s="65">
        <f t="shared" si="7"/>
        <v>23.599751369999996</v>
      </c>
      <c r="E39" s="65">
        <f t="shared" si="8"/>
        <v>1.1191859250000002E-3</v>
      </c>
      <c r="F39" s="65">
        <f t="shared" si="9"/>
        <v>42.137962229999999</v>
      </c>
      <c r="G39" s="65">
        <f t="shared" si="5"/>
        <v>0.39177839999999992</v>
      </c>
      <c r="H39" s="65">
        <f t="shared" si="5"/>
        <v>2.6174849999999998</v>
      </c>
      <c r="I39" s="65">
        <f t="shared" si="5"/>
        <v>0.33605129999999994</v>
      </c>
      <c r="J39" s="65">
        <f t="shared" si="5"/>
        <v>3.71514E-3</v>
      </c>
      <c r="K39" s="65">
        <f t="shared" si="5"/>
        <v>7.8524550000000012E-3</v>
      </c>
      <c r="L39" s="65">
        <f t="shared" si="5"/>
        <v>0.20264399999999999</v>
      </c>
      <c r="M39" s="65">
        <f t="shared" si="5"/>
        <v>0.1604265</v>
      </c>
      <c r="N39" s="65">
        <f t="shared" si="5"/>
        <v>996.33299999999997</v>
      </c>
      <c r="O39" s="65">
        <f t="shared" si="5"/>
        <v>252.46064999999999</v>
      </c>
      <c r="P39" s="65">
        <f t="shared" si="5"/>
        <v>0</v>
      </c>
      <c r="Q39" s="65">
        <f t="shared" si="10"/>
        <v>118.42008749999999</v>
      </c>
      <c r="R39" s="65">
        <f t="shared" si="11"/>
        <v>0</v>
      </c>
      <c r="S39" s="65">
        <f t="shared" si="11"/>
        <v>0.20095529999999998</v>
      </c>
      <c r="T39" s="65">
        <f t="shared" si="11"/>
        <v>0</v>
      </c>
      <c r="U39" s="126">
        <f t="shared" si="11"/>
        <v>0</v>
      </c>
    </row>
    <row r="40" spans="1:21" s="48" customFormat="1" x14ac:dyDescent="0.25">
      <c r="A40" s="125" t="str">
        <f>L8</f>
        <v>LM</v>
      </c>
      <c r="B40" s="11">
        <v>250</v>
      </c>
      <c r="C40" s="65">
        <f t="shared" si="6"/>
        <v>125.57</v>
      </c>
      <c r="D40" s="65">
        <f t="shared" si="7"/>
        <v>30.2560915</v>
      </c>
      <c r="E40" s="65">
        <f t="shared" si="8"/>
        <v>1.4348537500000001E-3</v>
      </c>
      <c r="F40" s="65">
        <f t="shared" si="9"/>
        <v>54.023028499999995</v>
      </c>
      <c r="G40" s="65">
        <f t="shared" si="5"/>
        <v>0.50227999999999995</v>
      </c>
      <c r="H40" s="65">
        <f t="shared" si="5"/>
        <v>3.35575</v>
      </c>
      <c r="I40" s="65">
        <f t="shared" si="5"/>
        <v>0.43083499999999991</v>
      </c>
      <c r="J40" s="65">
        <f t="shared" si="5"/>
        <v>4.7629999999999999E-3</v>
      </c>
      <c r="K40" s="65">
        <f t="shared" si="5"/>
        <v>1.0067250000000002E-2</v>
      </c>
      <c r="L40" s="65">
        <f t="shared" si="5"/>
        <v>0.25979999999999998</v>
      </c>
      <c r="M40" s="65">
        <f t="shared" si="5"/>
        <v>0.205675</v>
      </c>
      <c r="N40" s="65">
        <f t="shared" si="5"/>
        <v>1277.3499999999999</v>
      </c>
      <c r="O40" s="65">
        <f t="shared" si="5"/>
        <v>323.66750000000002</v>
      </c>
      <c r="P40" s="65">
        <f t="shared" si="5"/>
        <v>0</v>
      </c>
      <c r="Q40" s="65">
        <f t="shared" si="10"/>
        <v>151.82062499999998</v>
      </c>
      <c r="R40" s="65">
        <f t="shared" si="11"/>
        <v>0</v>
      </c>
      <c r="S40" s="65">
        <f t="shared" si="11"/>
        <v>0.257635</v>
      </c>
      <c r="T40" s="65">
        <f t="shared" si="11"/>
        <v>0</v>
      </c>
      <c r="U40" s="126">
        <f t="shared" si="11"/>
        <v>0</v>
      </c>
    </row>
    <row r="41" spans="1:21" s="48" customFormat="1" x14ac:dyDescent="0.25">
      <c r="A41" s="125" t="str">
        <f>M8</f>
        <v>SS</v>
      </c>
      <c r="B41" s="11">
        <v>250</v>
      </c>
      <c r="C41" s="65">
        <f t="shared" si="6"/>
        <v>125.57</v>
      </c>
      <c r="D41" s="65">
        <f t="shared" si="7"/>
        <v>30.2560915</v>
      </c>
      <c r="E41" s="65">
        <f t="shared" si="8"/>
        <v>1.4348537500000001E-3</v>
      </c>
      <c r="F41" s="65">
        <f t="shared" si="9"/>
        <v>54.023028499999995</v>
      </c>
      <c r="G41" s="65">
        <f t="shared" si="5"/>
        <v>0.50227999999999995</v>
      </c>
      <c r="H41" s="65">
        <f t="shared" si="5"/>
        <v>3.35575</v>
      </c>
      <c r="I41" s="65">
        <f t="shared" si="5"/>
        <v>0.43083499999999991</v>
      </c>
      <c r="J41" s="65">
        <f t="shared" si="5"/>
        <v>4.7629999999999999E-3</v>
      </c>
      <c r="K41" s="65">
        <f t="shared" si="5"/>
        <v>1.0067250000000002E-2</v>
      </c>
      <c r="L41" s="65">
        <f t="shared" si="5"/>
        <v>0.25979999999999998</v>
      </c>
      <c r="M41" s="65">
        <f t="shared" si="5"/>
        <v>0.205675</v>
      </c>
      <c r="N41" s="65">
        <f t="shared" si="5"/>
        <v>1277.3499999999999</v>
      </c>
      <c r="O41" s="65">
        <f t="shared" si="5"/>
        <v>323.66750000000002</v>
      </c>
      <c r="P41" s="65">
        <f t="shared" si="5"/>
        <v>0</v>
      </c>
      <c r="Q41" s="65">
        <f t="shared" si="10"/>
        <v>151.82062499999998</v>
      </c>
      <c r="R41" s="65">
        <f t="shared" si="11"/>
        <v>0</v>
      </c>
      <c r="S41" s="65">
        <f t="shared" si="11"/>
        <v>0.257635</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Arable</v>
      </c>
      <c r="K58" s="10" t="str">
        <f>L16&amp;" I "&amp;(VLOOKUP(L14,Table245[],6,FALSE))</f>
        <v>Medium/Clay I Grass</v>
      </c>
      <c r="L58" s="10" t="str">
        <f>M16&amp;" I "&amp;(VLOOKUP(M14,Table245[],6,FALSE))</f>
        <v>Medium/Clay I Grass</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6.7</v>
      </c>
      <c r="K59" s="64">
        <f>VLOOKUP(L$14,Table245[],5,FALSE)</f>
        <v>6.2</v>
      </c>
      <c r="L59" s="64">
        <f>VLOOKUP(M$14,Table245[],5,FALSE)</f>
        <v>6.2</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195</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27" sqref="C2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v>7.6</v>
      </c>
      <c r="J1" s="158" t="s">
        <v>153</v>
      </c>
      <c r="K1" s="159"/>
      <c r="L1" s="109">
        <v>242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t="s">
        <v>176</v>
      </c>
      <c r="G2" s="136" t="s">
        <v>110</v>
      </c>
      <c r="H2" s="137"/>
      <c r="I2" s="110"/>
      <c r="J2" s="138" t="s">
        <v>158</v>
      </c>
      <c r="K2" s="139"/>
      <c r="L2" s="110">
        <v>0.72</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t="s">
        <v>78</v>
      </c>
      <c r="G3" s="138" t="s">
        <v>159</v>
      </c>
      <c r="H3" s="139"/>
      <c r="I3" s="110"/>
      <c r="J3" s="160" t="s">
        <v>154</v>
      </c>
      <c r="K3" s="161"/>
      <c r="L3" s="110">
        <f>(L1/(L2*10000))*100</f>
        <v>3.3611111111111112</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t="s">
        <v>179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6.4048341500000001</v>
      </c>
      <c r="D18" s="12">
        <f>$D32</f>
        <v>6.4048341500000001</v>
      </c>
      <c r="E18" s="12">
        <f>$D33</f>
        <v>6.4048341500000001</v>
      </c>
      <c r="F18" s="12">
        <f>$D34</f>
        <v>6.4048341500000001</v>
      </c>
      <c r="G18" s="12">
        <f>$D35</f>
        <v>6.4048341500000001</v>
      </c>
      <c r="H18" s="12">
        <f>$D36</f>
        <v>3.3305137580000004</v>
      </c>
      <c r="I18" s="12">
        <f>$D37</f>
        <v>3.3305137580000004</v>
      </c>
      <c r="J18" s="12">
        <f>$D38</f>
        <v>3.3305137580000004</v>
      </c>
      <c r="K18" s="12">
        <f>$D39</f>
        <v>2.4338369770000003</v>
      </c>
      <c r="L18" s="12">
        <f>$D40</f>
        <v>6.4048341500000001</v>
      </c>
      <c r="M18" s="12">
        <f>$D41</f>
        <v>6.4048341500000001</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-58.195165849999995</v>
      </c>
      <c r="D19" s="12">
        <f t="shared" ref="D19:V19" si="1">D18-D17</f>
        <v>-58.195165849999995</v>
      </c>
      <c r="E19" s="12">
        <f t="shared" si="1"/>
        <v>-58.195165849999995</v>
      </c>
      <c r="F19" s="12">
        <f t="shared" si="1"/>
        <v>-58.195165849999995</v>
      </c>
      <c r="G19" s="12">
        <f t="shared" si="1"/>
        <v>-58.195165849999995</v>
      </c>
      <c r="H19" s="12">
        <f t="shared" si="1"/>
        <v>-61.269486241999992</v>
      </c>
      <c r="I19" s="12">
        <f t="shared" si="1"/>
        <v>-61.269486241999992</v>
      </c>
      <c r="J19" s="12">
        <f t="shared" si="1"/>
        <v>-61.269486241999992</v>
      </c>
      <c r="K19" s="12">
        <f t="shared" si="1"/>
        <v>-69.816163023000001</v>
      </c>
      <c r="L19" s="12">
        <f t="shared" si="1"/>
        <v>-58.195165849999995</v>
      </c>
      <c r="M19" s="12">
        <f t="shared" si="1"/>
        <v>-58.195165849999995</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0.75835168750000015</v>
      </c>
      <c r="D22" s="12">
        <f>$E32</f>
        <v>0.75835168750000015</v>
      </c>
      <c r="E22" s="12">
        <f>$E33</f>
        <v>0.75835168750000015</v>
      </c>
      <c r="F22" s="12">
        <f>$E34</f>
        <v>0.75835168750000015</v>
      </c>
      <c r="G22" s="12">
        <f>$E35</f>
        <v>0.75835168750000015</v>
      </c>
      <c r="H22" s="12">
        <f>$E36</f>
        <v>0.39434287750000008</v>
      </c>
      <c r="I22" s="12">
        <f>$E37</f>
        <v>0.39434287750000008</v>
      </c>
      <c r="J22" s="12">
        <f>$E38</f>
        <v>0.39434287750000008</v>
      </c>
      <c r="K22" s="12">
        <f>$E39</f>
        <v>0.28817364125000006</v>
      </c>
      <c r="L22" s="12">
        <f>$E40</f>
        <v>0.75835168750000015</v>
      </c>
      <c r="M22" s="12">
        <f>$E41</f>
        <v>0.75835168750000015</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-227.24164831249999</v>
      </c>
      <c r="D23" s="12">
        <f t="shared" ref="D23:V23" si="3">D22-D21</f>
        <v>-227.24164831249999</v>
      </c>
      <c r="E23" s="12">
        <f t="shared" si="3"/>
        <v>-227.24164831249999</v>
      </c>
      <c r="F23" s="12">
        <f t="shared" si="3"/>
        <v>-227.24164831249999</v>
      </c>
      <c r="G23" s="12">
        <f t="shared" si="3"/>
        <v>-227.24164831249999</v>
      </c>
      <c r="H23" s="12">
        <f t="shared" si="3"/>
        <v>-227.60565712249999</v>
      </c>
      <c r="I23" s="12">
        <f t="shared" si="3"/>
        <v>-227.60565712249999</v>
      </c>
      <c r="J23" s="12">
        <f t="shared" si="3"/>
        <v>-227.60565712249999</v>
      </c>
      <c r="K23" s="12">
        <f t="shared" si="3"/>
        <v>-101.71182635875</v>
      </c>
      <c r="L23" s="12">
        <f t="shared" si="3"/>
        <v>-227.24164831249999</v>
      </c>
      <c r="M23" s="12">
        <f t="shared" si="3"/>
        <v>-227.24164831249999</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2.5299999999999998</v>
      </c>
      <c r="C28" s="11">
        <v>0.72</v>
      </c>
      <c r="D28" s="11">
        <v>4.4200000000000003E-2</v>
      </c>
      <c r="E28" s="11">
        <v>9.9500000000000005E-3</v>
      </c>
      <c r="F28" s="11">
        <v>691</v>
      </c>
      <c r="G28" s="11">
        <v>11.1</v>
      </c>
      <c r="H28" s="11">
        <v>92.1</v>
      </c>
      <c r="I28" s="11">
        <v>6.2</v>
      </c>
      <c r="J28" s="11">
        <v>0.11</v>
      </c>
      <c r="K28" s="15">
        <v>1.58</v>
      </c>
      <c r="L28" s="11">
        <v>21.9</v>
      </c>
      <c r="M28" s="11">
        <v>17</v>
      </c>
      <c r="N28" s="11">
        <v>1840</v>
      </c>
      <c r="O28" s="11">
        <v>363000</v>
      </c>
      <c r="P28" s="11"/>
      <c r="Q28" s="11">
        <v>1880</v>
      </c>
      <c r="R28" s="11"/>
      <c r="S28" s="11">
        <v>40.1</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v>250</v>
      </c>
      <c r="C31" s="65">
        <f>IF(C$27="%w/w SAR",((C$28*10)*$B31),IF(C$27="%w/w DM",(((C$28*10)*($B$28/100))*$B31),IF(C$27="kg/t SAR",(C$28*$B31),IF(C$27="kg/t DM",((C$28*($B$28/100))*$B31),IF(C$27="mg/kg SAR",((C$28*0.001)*$B31),IF(C$27="mg/kg DM",(((C$28*0.001)*($B$28/100))*$B31),0))))))</f>
        <v>45.54</v>
      </c>
      <c r="D31" s="65">
        <f>(IF(D$27="%w/w SAR",((D$28*10)*$B31),IF(D$27="%w/w DM",(((D$28*10)*($B$28/100))*$B31),IF(D$27="kg/t SAR",(D$28*$B31),IF(D$27="kg/t DM",((D$28*($B$28/100))*$B31),IF(D$27="mg/kg SAR",((D$28*0.001)*$B31),IF(D$27="mg/kg DM",(((D$28*0.001)*($B$28/100))*$B31),"0")))))))*2.291</f>
        <v>6.4048341500000001</v>
      </c>
      <c r="E31" s="65">
        <f>(IF(E$27="%w/w SAR",((E$28*10)*$B31),IF(E$27="%w/w DM",(((E$28*10)*($B$28/100))*$B31),IF(E$27="kg/t SAR",(E$28*$B31),IF(E$27="kg/t DM",((E$28*($B$28/100))*$B31),IF(E$27="mg/kg SAR",((E$28*0.001)*$B31),IF(E$27="mg/kg DM",(((E$28*0.001)*($B$28/100))*$B31),"0")))))))*1.205</f>
        <v>0.75835168750000015</v>
      </c>
      <c r="F31" s="65">
        <f>(IF(F$27="%w/w SAR",((F$28*10)*$B31),IF(F$27="%w/w DM",(((F$28*10)*($B$28/100))*$B31),IF(F$27="kg/t SAR",(F$28*$B31),IF(F$27="kg/t DM",((F$28*($B$28/100))*$B31),IF(F$27="mg/kg SAR",((F$28*0.001)*$B31),IF(F$27="mg/kg DM",(((F$28*0.001)*($B$28/100))*$B31),"0")))))))*1.658</f>
        <v>7.246413350000001</v>
      </c>
      <c r="G31" s="65">
        <f t="shared" ref="G31:P46" si="5">IF(G$27="%w/w SAR",((G$28*10)*$B31),IF(G$27="%w/w DM",(((G$28*10)*($B$28/100))*$B31),IF(G$27="kg/t SAR",(G$28*$B31),IF(G$27="kg/t DM",((G$28*($B$28/100))*$B31),IF(G$27="mg/kg SAR",((G$28*0.001)*$B31),IF(G$27="mg/kg DM",(((G$28*0.001)*($B$28/100))*$B31),0))))))</f>
        <v>7.0207500000000006E-2</v>
      </c>
      <c r="H31" s="65">
        <f t="shared" si="5"/>
        <v>0.58253250000000001</v>
      </c>
      <c r="I31" s="65">
        <f t="shared" si="5"/>
        <v>3.9215E-2</v>
      </c>
      <c r="J31" s="65">
        <f t="shared" si="5"/>
        <v>6.9574999999999997E-4</v>
      </c>
      <c r="K31" s="65">
        <f t="shared" si="5"/>
        <v>9.9935000000000006E-3</v>
      </c>
      <c r="L31" s="65">
        <f t="shared" si="5"/>
        <v>0.13851749999999999</v>
      </c>
      <c r="M31" s="65">
        <f t="shared" si="5"/>
        <v>0.10752500000000001</v>
      </c>
      <c r="N31" s="65">
        <f t="shared" si="5"/>
        <v>11.638</v>
      </c>
      <c r="O31" s="65">
        <f t="shared" si="5"/>
        <v>2295.9749999999999</v>
      </c>
      <c r="P31" s="65">
        <f t="shared" si="5"/>
        <v>0</v>
      </c>
      <c r="Q31" s="65">
        <f>(IF(Q$27="%w/w SAR",((Q$28*10)*$B31),IF(Q$27="%w/w DM",(((Q$28*10)*($B$28/100))*$B31),IF(Q$27="kg/t SAR",(Q$28*$B31),IF(Q$27="kg/t DM",((Q$28*($B$28/100))*$B31),IF(Q$27="mg/kg SAR",((Q$28*0.001)*$B31),IF(Q$27="mg/kg DM",(((Q$28*0.001)*($B$28/100))*$B31),0)))))))*2.5</f>
        <v>29.727499999999999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0.25363249999999998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v>250</v>
      </c>
      <c r="C32" s="65">
        <f t="shared" ref="C32:C50" si="6">IF(C$27="%w/w SAR",((C$28*10)*$B32),IF(C$27="%w/w DM",(((C$28*10)*($B$28/100))*$B32),IF(C$27="kg/t SAR",(C$28*$B32),IF(C$27="kg/t DM",((C$28*($B$28/100))*$B32),IF(C$27="mg/kg SAR",((C$28*0.001)*$B32),IF(C$27="mg/kg DM",(((C$28*0.001)*($B$28/100))*$B32),0))))))</f>
        <v>45.54</v>
      </c>
      <c r="D32" s="65">
        <f t="shared" ref="D32:D50" si="7">(IF(D$27="%w/w SAR",((D$28*10)*$B32),IF(D$27="%w/w DM",(((D$28*10)*($B$28/100))*$B32),IF(D$27="kg/t SAR",(D$28*$B32),IF(D$27="kg/t DM",((D$28*($B$28/100))*$B32),IF(D$27="mg/kg SAR",((D$28*0.001)*$B32),IF(D$27="mg/kg DM",(((D$28*0.001)*($B$28/100))*$B32),"0")))))))*2.291</f>
        <v>6.4048341500000001</v>
      </c>
      <c r="E32" s="65">
        <f t="shared" ref="E32:E50" si="8">(IF(E$27="%w/w SAR",((E$28*10)*$B32),IF(E$27="%w/w DM",(((E$28*10)*($B$28/100))*$B32),IF(E$27="kg/t SAR",(E$28*$B32),IF(E$27="kg/t DM",((E$28*($B$28/100))*$B32),IF(E$27="mg/kg SAR",((E$28*0.001)*$B32),IF(E$27="mg/kg DM",(((E$28*0.001)*($B$28/100))*$B32),"0")))))))*1.205</f>
        <v>0.75835168750000015</v>
      </c>
      <c r="F32" s="65">
        <f t="shared" ref="F32:F50" si="9">(IF(F$27="%w/w SAR",((F$28*10)*$B32),IF(F$27="%w/w DM",(((F$28*10)*($B$28/100))*$B32),IF(F$27="kg/t SAR",(F$28*$B32),IF(F$27="kg/t DM",((F$28*($B$28/100))*$B32),IF(F$27="mg/kg SAR",((F$28*0.001)*$B32),IF(F$27="mg/kg DM",(((F$28*0.001)*($B$28/100))*$B32),"0")))))))*1.658</f>
        <v>7.246413350000001</v>
      </c>
      <c r="G32" s="65">
        <f t="shared" si="5"/>
        <v>7.0207500000000006E-2</v>
      </c>
      <c r="H32" s="65">
        <f t="shared" si="5"/>
        <v>0.58253250000000001</v>
      </c>
      <c r="I32" s="65">
        <f t="shared" si="5"/>
        <v>3.9215E-2</v>
      </c>
      <c r="J32" s="65">
        <f t="shared" si="5"/>
        <v>6.9574999999999997E-4</v>
      </c>
      <c r="K32" s="65">
        <f t="shared" si="5"/>
        <v>9.9935000000000006E-3</v>
      </c>
      <c r="L32" s="65">
        <f t="shared" si="5"/>
        <v>0.13851749999999999</v>
      </c>
      <c r="M32" s="65">
        <f t="shared" si="5"/>
        <v>0.10752500000000001</v>
      </c>
      <c r="N32" s="65">
        <f t="shared" si="5"/>
        <v>11.638</v>
      </c>
      <c r="O32" s="65">
        <f t="shared" si="5"/>
        <v>2295.9749999999999</v>
      </c>
      <c r="P32" s="65">
        <f t="shared" si="5"/>
        <v>0</v>
      </c>
      <c r="Q32" s="65">
        <f t="shared" ref="Q32:Q50" si="10">(IF(Q$27="%w/w SAR",((Q$28*10)*$B32),IF(Q$27="%w/w DM",(((Q$28*10)*($B$28/100))*$B32),IF(Q$27="kg/t SAR",(Q$28*$B32),IF(Q$27="kg/t DM",((Q$28*($B$28/100))*$B32),IF(Q$27="mg/kg SAR",((Q$28*0.001)*$B32),IF(Q$27="mg/kg DM",(((Q$28*0.001)*($B$28/100))*$B32),0)))))))*2.5</f>
        <v>29.727499999999999</v>
      </c>
      <c r="R32" s="65">
        <f t="shared" ref="R32:U50" si="11">IF(R$27="%w/w SAR",((R$28*10)*$B32),IF(R$27="%w/w DM",(((R$28*10)*($B$28/100))*$B32),IF(R$27="kg/t SAR",(R$28*$B32),IF(R$27="kg/t DM",((R$28*($B$28/100))*$B32),IF(R$27="mg/kg SAR",((R$28*0.001)*$B32),IF(R$27="mg/kg DM",(((R$28*0.001)*($B$28/100))*$B32),0))))))</f>
        <v>0</v>
      </c>
      <c r="S32" s="65">
        <f t="shared" si="11"/>
        <v>0.25363249999999998</v>
      </c>
      <c r="T32" s="65">
        <f t="shared" si="11"/>
        <v>0</v>
      </c>
      <c r="U32" s="126">
        <f t="shared" si="11"/>
        <v>0</v>
      </c>
    </row>
    <row r="33" spans="1:21" s="48" customFormat="1" x14ac:dyDescent="0.25">
      <c r="A33" s="125" t="str">
        <f>E8</f>
        <v>PC</v>
      </c>
      <c r="B33" s="11">
        <v>250</v>
      </c>
      <c r="C33" s="65">
        <f t="shared" si="6"/>
        <v>45.54</v>
      </c>
      <c r="D33" s="65">
        <f t="shared" si="7"/>
        <v>6.4048341500000001</v>
      </c>
      <c r="E33" s="65">
        <f t="shared" si="8"/>
        <v>0.75835168750000015</v>
      </c>
      <c r="F33" s="65">
        <f t="shared" si="9"/>
        <v>7.246413350000001</v>
      </c>
      <c r="G33" s="65">
        <f t="shared" si="5"/>
        <v>7.0207500000000006E-2</v>
      </c>
      <c r="H33" s="65">
        <f t="shared" si="5"/>
        <v>0.58253250000000001</v>
      </c>
      <c r="I33" s="65">
        <f t="shared" si="5"/>
        <v>3.9215E-2</v>
      </c>
      <c r="J33" s="65">
        <f t="shared" si="5"/>
        <v>6.9574999999999997E-4</v>
      </c>
      <c r="K33" s="65">
        <f t="shared" si="5"/>
        <v>9.9935000000000006E-3</v>
      </c>
      <c r="L33" s="65">
        <f t="shared" si="5"/>
        <v>0.13851749999999999</v>
      </c>
      <c r="M33" s="65">
        <f t="shared" si="5"/>
        <v>0.10752500000000001</v>
      </c>
      <c r="N33" s="65">
        <f t="shared" si="5"/>
        <v>11.638</v>
      </c>
      <c r="O33" s="65">
        <f t="shared" si="5"/>
        <v>2295.9749999999999</v>
      </c>
      <c r="P33" s="65">
        <f t="shared" si="5"/>
        <v>0</v>
      </c>
      <c r="Q33" s="65">
        <f t="shared" si="10"/>
        <v>29.727499999999999</v>
      </c>
      <c r="R33" s="65">
        <f t="shared" si="11"/>
        <v>0</v>
      </c>
      <c r="S33" s="65">
        <f t="shared" si="11"/>
        <v>0.25363249999999998</v>
      </c>
      <c r="T33" s="65">
        <f t="shared" si="11"/>
        <v>0</v>
      </c>
      <c r="U33" s="126">
        <f t="shared" si="11"/>
        <v>0</v>
      </c>
    </row>
    <row r="34" spans="1:21" s="48" customFormat="1" x14ac:dyDescent="0.25">
      <c r="A34" s="125" t="str">
        <f>F8</f>
        <v>17A</v>
      </c>
      <c r="B34" s="11">
        <v>250</v>
      </c>
      <c r="C34" s="65">
        <f t="shared" si="6"/>
        <v>45.54</v>
      </c>
      <c r="D34" s="65">
        <f t="shared" si="7"/>
        <v>6.4048341500000001</v>
      </c>
      <c r="E34" s="65">
        <f t="shared" si="8"/>
        <v>0.75835168750000015</v>
      </c>
      <c r="F34" s="65">
        <f t="shared" si="9"/>
        <v>7.246413350000001</v>
      </c>
      <c r="G34" s="65">
        <f t="shared" si="5"/>
        <v>7.0207500000000006E-2</v>
      </c>
      <c r="H34" s="65">
        <f t="shared" si="5"/>
        <v>0.58253250000000001</v>
      </c>
      <c r="I34" s="65">
        <f t="shared" si="5"/>
        <v>3.9215E-2</v>
      </c>
      <c r="J34" s="65">
        <f t="shared" si="5"/>
        <v>6.9574999999999997E-4</v>
      </c>
      <c r="K34" s="65">
        <f t="shared" si="5"/>
        <v>9.9935000000000006E-3</v>
      </c>
      <c r="L34" s="65">
        <f t="shared" si="5"/>
        <v>0.13851749999999999</v>
      </c>
      <c r="M34" s="65">
        <f t="shared" si="5"/>
        <v>0.10752500000000001</v>
      </c>
      <c r="N34" s="65">
        <f t="shared" si="5"/>
        <v>11.638</v>
      </c>
      <c r="O34" s="65">
        <f t="shared" si="5"/>
        <v>2295.9749999999999</v>
      </c>
      <c r="P34" s="65">
        <f t="shared" si="5"/>
        <v>0</v>
      </c>
      <c r="Q34" s="65">
        <f t="shared" si="10"/>
        <v>29.727499999999999</v>
      </c>
      <c r="R34" s="65">
        <f t="shared" si="11"/>
        <v>0</v>
      </c>
      <c r="S34" s="65">
        <f t="shared" si="11"/>
        <v>0.25363249999999998</v>
      </c>
      <c r="T34" s="65">
        <f t="shared" si="11"/>
        <v>0</v>
      </c>
      <c r="U34" s="126">
        <f t="shared" si="11"/>
        <v>0</v>
      </c>
    </row>
    <row r="35" spans="1:21" s="48" customFormat="1" x14ac:dyDescent="0.25">
      <c r="A35" s="125" t="str">
        <f>G8</f>
        <v>16A</v>
      </c>
      <c r="B35" s="11">
        <v>250</v>
      </c>
      <c r="C35" s="65">
        <f t="shared" si="6"/>
        <v>45.54</v>
      </c>
      <c r="D35" s="65">
        <f t="shared" si="7"/>
        <v>6.4048341500000001</v>
      </c>
      <c r="E35" s="65">
        <f t="shared" si="8"/>
        <v>0.75835168750000015</v>
      </c>
      <c r="F35" s="65">
        <f t="shared" si="9"/>
        <v>7.246413350000001</v>
      </c>
      <c r="G35" s="65">
        <f t="shared" si="5"/>
        <v>7.0207500000000006E-2</v>
      </c>
      <c r="H35" s="65">
        <f t="shared" si="5"/>
        <v>0.58253250000000001</v>
      </c>
      <c r="I35" s="65">
        <f t="shared" si="5"/>
        <v>3.9215E-2</v>
      </c>
      <c r="J35" s="65">
        <f t="shared" si="5"/>
        <v>6.9574999999999997E-4</v>
      </c>
      <c r="K35" s="65">
        <f t="shared" si="5"/>
        <v>9.9935000000000006E-3</v>
      </c>
      <c r="L35" s="65">
        <f t="shared" si="5"/>
        <v>0.13851749999999999</v>
      </c>
      <c r="M35" s="65">
        <f t="shared" si="5"/>
        <v>0.10752500000000001</v>
      </c>
      <c r="N35" s="65">
        <f t="shared" si="5"/>
        <v>11.638</v>
      </c>
      <c r="O35" s="65">
        <f t="shared" si="5"/>
        <v>2295.9749999999999</v>
      </c>
      <c r="P35" s="65">
        <f t="shared" si="5"/>
        <v>0</v>
      </c>
      <c r="Q35" s="65">
        <f t="shared" si="10"/>
        <v>29.727499999999999</v>
      </c>
      <c r="R35" s="65">
        <f t="shared" si="11"/>
        <v>0</v>
      </c>
      <c r="S35" s="65">
        <f t="shared" si="11"/>
        <v>0.25363249999999998</v>
      </c>
      <c r="T35" s="65">
        <f t="shared" si="11"/>
        <v>0</v>
      </c>
      <c r="U35" s="126">
        <f t="shared" si="11"/>
        <v>0</v>
      </c>
    </row>
    <row r="36" spans="1:21" s="48" customFormat="1" x14ac:dyDescent="0.25">
      <c r="A36" s="125" t="str">
        <f>H8</f>
        <v>A</v>
      </c>
      <c r="B36" s="11">
        <v>130</v>
      </c>
      <c r="C36" s="65">
        <f t="shared" si="6"/>
        <v>23.680799999999998</v>
      </c>
      <c r="D36" s="65">
        <f t="shared" si="7"/>
        <v>3.3305137580000004</v>
      </c>
      <c r="E36" s="65">
        <f t="shared" si="8"/>
        <v>0.39434287750000008</v>
      </c>
      <c r="F36" s="65">
        <f t="shared" si="9"/>
        <v>3.7681349420000001</v>
      </c>
      <c r="G36" s="65">
        <f t="shared" si="5"/>
        <v>3.6507900000000003E-2</v>
      </c>
      <c r="H36" s="65">
        <f t="shared" si="5"/>
        <v>0.30291690000000004</v>
      </c>
      <c r="I36" s="65">
        <f t="shared" si="5"/>
        <v>2.0391800000000002E-2</v>
      </c>
      <c r="J36" s="65">
        <f t="shared" si="5"/>
        <v>3.6178999999999996E-4</v>
      </c>
      <c r="K36" s="65">
        <f t="shared" si="5"/>
        <v>5.1966199999999999E-3</v>
      </c>
      <c r="L36" s="65">
        <f t="shared" si="5"/>
        <v>7.2029099999999985E-2</v>
      </c>
      <c r="M36" s="65">
        <f t="shared" si="5"/>
        <v>5.5913000000000004E-2</v>
      </c>
      <c r="N36" s="65">
        <f t="shared" si="5"/>
        <v>6.0517600000000007</v>
      </c>
      <c r="O36" s="65">
        <f t="shared" si="5"/>
        <v>1193.9069999999999</v>
      </c>
      <c r="P36" s="65">
        <f t="shared" si="5"/>
        <v>0</v>
      </c>
      <c r="Q36" s="65">
        <f t="shared" si="10"/>
        <v>15.458300000000001</v>
      </c>
      <c r="R36" s="65">
        <f t="shared" si="11"/>
        <v>0</v>
      </c>
      <c r="S36" s="65">
        <f t="shared" si="11"/>
        <v>0.1318889</v>
      </c>
      <c r="T36" s="65">
        <f t="shared" si="11"/>
        <v>0</v>
      </c>
      <c r="U36" s="126">
        <f t="shared" si="11"/>
        <v>0</v>
      </c>
    </row>
    <row r="37" spans="1:21" s="48" customFormat="1" x14ac:dyDescent="0.25">
      <c r="A37" s="125" t="str">
        <f>I8</f>
        <v>B</v>
      </c>
      <c r="B37" s="11">
        <v>130</v>
      </c>
      <c r="C37" s="65">
        <f t="shared" si="6"/>
        <v>23.680799999999998</v>
      </c>
      <c r="D37" s="65">
        <f t="shared" si="7"/>
        <v>3.3305137580000004</v>
      </c>
      <c r="E37" s="65">
        <f t="shared" si="8"/>
        <v>0.39434287750000008</v>
      </c>
      <c r="F37" s="65">
        <f t="shared" si="9"/>
        <v>3.7681349420000001</v>
      </c>
      <c r="G37" s="65">
        <f t="shared" si="5"/>
        <v>3.6507900000000003E-2</v>
      </c>
      <c r="H37" s="65">
        <f t="shared" si="5"/>
        <v>0.30291690000000004</v>
      </c>
      <c r="I37" s="65">
        <f t="shared" si="5"/>
        <v>2.0391800000000002E-2</v>
      </c>
      <c r="J37" s="65">
        <f t="shared" si="5"/>
        <v>3.6178999999999996E-4</v>
      </c>
      <c r="K37" s="65">
        <f t="shared" si="5"/>
        <v>5.1966199999999999E-3</v>
      </c>
      <c r="L37" s="65">
        <f t="shared" si="5"/>
        <v>7.2029099999999985E-2</v>
      </c>
      <c r="M37" s="65">
        <f t="shared" si="5"/>
        <v>5.5913000000000004E-2</v>
      </c>
      <c r="N37" s="65">
        <f t="shared" si="5"/>
        <v>6.0517600000000007</v>
      </c>
      <c r="O37" s="65">
        <f t="shared" si="5"/>
        <v>1193.9069999999999</v>
      </c>
      <c r="P37" s="65">
        <f t="shared" si="5"/>
        <v>0</v>
      </c>
      <c r="Q37" s="65">
        <f t="shared" si="10"/>
        <v>15.458300000000001</v>
      </c>
      <c r="R37" s="65">
        <f t="shared" si="11"/>
        <v>0</v>
      </c>
      <c r="S37" s="65">
        <f t="shared" si="11"/>
        <v>0.1318889</v>
      </c>
      <c r="T37" s="65">
        <f t="shared" si="11"/>
        <v>0</v>
      </c>
      <c r="U37" s="126">
        <f t="shared" si="11"/>
        <v>0</v>
      </c>
    </row>
    <row r="38" spans="1:21" s="48" customFormat="1" x14ac:dyDescent="0.25">
      <c r="A38" s="125" t="str">
        <f>J8</f>
        <v>C</v>
      </c>
      <c r="B38" s="11">
        <v>130</v>
      </c>
      <c r="C38" s="65">
        <f t="shared" si="6"/>
        <v>23.680799999999998</v>
      </c>
      <c r="D38" s="65">
        <f t="shared" si="7"/>
        <v>3.3305137580000004</v>
      </c>
      <c r="E38" s="65">
        <f t="shared" si="8"/>
        <v>0.39434287750000008</v>
      </c>
      <c r="F38" s="65">
        <f t="shared" si="9"/>
        <v>3.7681349420000001</v>
      </c>
      <c r="G38" s="65">
        <f t="shared" si="5"/>
        <v>3.6507900000000003E-2</v>
      </c>
      <c r="H38" s="65">
        <f t="shared" si="5"/>
        <v>0.30291690000000004</v>
      </c>
      <c r="I38" s="65">
        <f t="shared" si="5"/>
        <v>2.0391800000000002E-2</v>
      </c>
      <c r="J38" s="65">
        <f t="shared" si="5"/>
        <v>3.6178999999999996E-4</v>
      </c>
      <c r="K38" s="65">
        <f t="shared" si="5"/>
        <v>5.1966199999999999E-3</v>
      </c>
      <c r="L38" s="65">
        <f t="shared" si="5"/>
        <v>7.2029099999999985E-2</v>
      </c>
      <c r="M38" s="65">
        <f t="shared" si="5"/>
        <v>5.5913000000000004E-2</v>
      </c>
      <c r="N38" s="65">
        <f t="shared" si="5"/>
        <v>6.0517600000000007</v>
      </c>
      <c r="O38" s="65">
        <f t="shared" si="5"/>
        <v>1193.9069999999999</v>
      </c>
      <c r="P38" s="65">
        <f t="shared" si="5"/>
        <v>0</v>
      </c>
      <c r="Q38" s="65">
        <f t="shared" si="10"/>
        <v>15.458300000000001</v>
      </c>
      <c r="R38" s="65">
        <f t="shared" si="11"/>
        <v>0</v>
      </c>
      <c r="S38" s="65">
        <f t="shared" si="11"/>
        <v>0.1318889</v>
      </c>
      <c r="T38" s="65">
        <f t="shared" si="11"/>
        <v>0</v>
      </c>
      <c r="U38" s="126">
        <f t="shared" si="11"/>
        <v>0</v>
      </c>
    </row>
    <row r="39" spans="1:21" s="48" customFormat="1" x14ac:dyDescent="0.25">
      <c r="A39" s="125" t="str">
        <f>K8</f>
        <v>BB</v>
      </c>
      <c r="B39" s="11">
        <v>95</v>
      </c>
      <c r="C39" s="65">
        <f t="shared" si="6"/>
        <v>17.305199999999999</v>
      </c>
      <c r="D39" s="65">
        <f t="shared" si="7"/>
        <v>2.4338369770000003</v>
      </c>
      <c r="E39" s="65">
        <f t="shared" si="8"/>
        <v>0.28817364125000006</v>
      </c>
      <c r="F39" s="65">
        <f t="shared" si="9"/>
        <v>2.7536370730000002</v>
      </c>
      <c r="G39" s="65">
        <f t="shared" si="5"/>
        <v>2.6678850000000004E-2</v>
      </c>
      <c r="H39" s="65">
        <f t="shared" si="5"/>
        <v>0.22136235000000001</v>
      </c>
      <c r="I39" s="65">
        <f t="shared" si="5"/>
        <v>1.49017E-2</v>
      </c>
      <c r="J39" s="65">
        <f t="shared" si="5"/>
        <v>2.6438500000000001E-4</v>
      </c>
      <c r="K39" s="65">
        <f t="shared" si="5"/>
        <v>3.7975299999999999E-3</v>
      </c>
      <c r="L39" s="65">
        <f t="shared" si="5"/>
        <v>5.2636649999999993E-2</v>
      </c>
      <c r="M39" s="65">
        <f t="shared" si="5"/>
        <v>4.0859500000000007E-2</v>
      </c>
      <c r="N39" s="65">
        <f t="shared" si="5"/>
        <v>4.4224399999999999</v>
      </c>
      <c r="O39" s="65">
        <f t="shared" si="5"/>
        <v>872.4704999999999</v>
      </c>
      <c r="P39" s="65">
        <f t="shared" si="5"/>
        <v>0</v>
      </c>
      <c r="Q39" s="65">
        <f t="shared" si="10"/>
        <v>11.29645</v>
      </c>
      <c r="R39" s="65">
        <f t="shared" si="11"/>
        <v>0</v>
      </c>
      <c r="S39" s="65">
        <f t="shared" si="11"/>
        <v>9.6380350000000004E-2</v>
      </c>
      <c r="T39" s="65">
        <f t="shared" si="11"/>
        <v>0</v>
      </c>
      <c r="U39" s="126">
        <f t="shared" si="11"/>
        <v>0</v>
      </c>
    </row>
    <row r="40" spans="1:21" s="48" customFormat="1" x14ac:dyDescent="0.25">
      <c r="A40" s="125" t="str">
        <f>L8</f>
        <v>LM</v>
      </c>
      <c r="B40" s="11">
        <v>250</v>
      </c>
      <c r="C40" s="65">
        <f t="shared" si="6"/>
        <v>45.54</v>
      </c>
      <c r="D40" s="65">
        <f t="shared" si="7"/>
        <v>6.4048341500000001</v>
      </c>
      <c r="E40" s="65">
        <f t="shared" si="8"/>
        <v>0.75835168750000015</v>
      </c>
      <c r="F40" s="65">
        <f t="shared" si="9"/>
        <v>7.246413350000001</v>
      </c>
      <c r="G40" s="65">
        <f t="shared" si="5"/>
        <v>7.0207500000000006E-2</v>
      </c>
      <c r="H40" s="65">
        <f t="shared" si="5"/>
        <v>0.58253250000000001</v>
      </c>
      <c r="I40" s="65">
        <f t="shared" si="5"/>
        <v>3.9215E-2</v>
      </c>
      <c r="J40" s="65">
        <f t="shared" si="5"/>
        <v>6.9574999999999997E-4</v>
      </c>
      <c r="K40" s="65">
        <f t="shared" si="5"/>
        <v>9.9935000000000006E-3</v>
      </c>
      <c r="L40" s="65">
        <f t="shared" si="5"/>
        <v>0.13851749999999999</v>
      </c>
      <c r="M40" s="65">
        <f t="shared" si="5"/>
        <v>0.10752500000000001</v>
      </c>
      <c r="N40" s="65">
        <f t="shared" si="5"/>
        <v>11.638</v>
      </c>
      <c r="O40" s="65">
        <f t="shared" si="5"/>
        <v>2295.9749999999999</v>
      </c>
      <c r="P40" s="65">
        <f t="shared" si="5"/>
        <v>0</v>
      </c>
      <c r="Q40" s="65">
        <f t="shared" si="10"/>
        <v>29.727499999999999</v>
      </c>
      <c r="R40" s="65">
        <f t="shared" si="11"/>
        <v>0</v>
      </c>
      <c r="S40" s="65">
        <f t="shared" si="11"/>
        <v>0.25363249999999998</v>
      </c>
      <c r="T40" s="65">
        <f t="shared" si="11"/>
        <v>0</v>
      </c>
      <c r="U40" s="126">
        <f t="shared" si="11"/>
        <v>0</v>
      </c>
    </row>
    <row r="41" spans="1:21" s="48" customFormat="1" x14ac:dyDescent="0.25">
      <c r="A41" s="125" t="str">
        <f>M8</f>
        <v>SS</v>
      </c>
      <c r="B41" s="11">
        <v>250</v>
      </c>
      <c r="C41" s="65">
        <f t="shared" si="6"/>
        <v>45.54</v>
      </c>
      <c r="D41" s="65">
        <f t="shared" si="7"/>
        <v>6.4048341500000001</v>
      </c>
      <c r="E41" s="65">
        <f t="shared" si="8"/>
        <v>0.75835168750000015</v>
      </c>
      <c r="F41" s="65">
        <f t="shared" si="9"/>
        <v>7.246413350000001</v>
      </c>
      <c r="G41" s="65">
        <f t="shared" si="5"/>
        <v>7.0207500000000006E-2</v>
      </c>
      <c r="H41" s="65">
        <f t="shared" si="5"/>
        <v>0.58253250000000001</v>
      </c>
      <c r="I41" s="65">
        <f t="shared" si="5"/>
        <v>3.9215E-2</v>
      </c>
      <c r="J41" s="65">
        <f t="shared" si="5"/>
        <v>6.9574999999999997E-4</v>
      </c>
      <c r="K41" s="65">
        <f t="shared" si="5"/>
        <v>9.9935000000000006E-3</v>
      </c>
      <c r="L41" s="65">
        <f t="shared" si="5"/>
        <v>0.13851749999999999</v>
      </c>
      <c r="M41" s="65">
        <f t="shared" si="5"/>
        <v>0.10752500000000001</v>
      </c>
      <c r="N41" s="65">
        <f t="shared" si="5"/>
        <v>11.638</v>
      </c>
      <c r="O41" s="65">
        <f t="shared" si="5"/>
        <v>2295.9749999999999</v>
      </c>
      <c r="P41" s="65">
        <f t="shared" si="5"/>
        <v>0</v>
      </c>
      <c r="Q41" s="65">
        <f t="shared" si="10"/>
        <v>29.727499999999999</v>
      </c>
      <c r="R41" s="65">
        <f t="shared" si="11"/>
        <v>0</v>
      </c>
      <c r="S41" s="65">
        <f t="shared" si="11"/>
        <v>0.25363249999999998</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Arable</v>
      </c>
      <c r="K58" s="10" t="str">
        <f>L16&amp;" I "&amp;(VLOOKUP(L14,Table245811[],6,FALSE))</f>
        <v>Medium/Clay I Grass</v>
      </c>
      <c r="L58" s="10" t="str">
        <f>M16&amp;" I "&amp;(VLOOKUP(M14,Table245811[],6,FALSE))</f>
        <v>Medium/Clay I Grass</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6.7</v>
      </c>
      <c r="K59" s="64">
        <f>VLOOKUP(L$14,Table245811[],5,FALSE)</f>
        <v>6.2</v>
      </c>
      <c r="L59" s="64">
        <f>VLOOKUP(M$14,Table245811[],5,FALSE)</f>
        <v>6.2</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130</v>
      </c>
      <c r="H62" s="65">
        <f>B37</f>
        <v>130</v>
      </c>
      <c r="I62" s="65">
        <f>B38</f>
        <v>130</v>
      </c>
      <c r="J62" s="65">
        <f>B39</f>
        <v>95</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Arable</v>
      </c>
      <c r="K58" s="10" t="str">
        <f>L16&amp;" I "&amp;(VLOOKUP(L14,Table24581112[],6,FALSE))</f>
        <v>Medium/Clay I Grass</v>
      </c>
      <c r="L58" s="10" t="str">
        <f>M16&amp;" I "&amp;(VLOOKUP(M14,Table24581112[],6,FALSE))</f>
        <v>Medium/Clay I Grass</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6.7</v>
      </c>
      <c r="K59" s="64">
        <f>VLOOKUP(L$14,Table24581112[],5,FALSE)</f>
        <v>6.2</v>
      </c>
      <c r="L59" s="64">
        <f>VLOOKUP(M$14,Table24581112[],5,FALSE)</f>
        <v>6.2</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Arable</v>
      </c>
      <c r="K58" s="10" t="str">
        <f>L16&amp;" I "&amp;(VLOOKUP(L14,Table24581114[],6,FALSE))</f>
        <v>Medium/Clay I Grass</v>
      </c>
      <c r="L58" s="10" t="str">
        <f>M16&amp;" I "&amp;(VLOOKUP(M14,Table24581114[],6,FALSE))</f>
        <v>Medium/Clay I Grass</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6.7</v>
      </c>
      <c r="K59" s="64">
        <f>VLOOKUP(L$14,Table24581114[],5,FALSE)</f>
        <v>6.2</v>
      </c>
      <c r="L59" s="64">
        <f>VLOOKUP(M$14,Table24581114[],5,FALSE)</f>
        <v>6.2</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Arable</v>
      </c>
      <c r="K58" s="10" t="str">
        <f>L16&amp;" I "&amp;(VLOOKUP(L14,Table245810[],6,FALSE))</f>
        <v>Medium/Clay I Grass</v>
      </c>
      <c r="L58" s="10" t="str">
        <f>M16&amp;" I "&amp;(VLOOKUP(M14,Table245810[],6,FALSE))</f>
        <v>Medium/Clay I Grass</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6.7</v>
      </c>
      <c r="K59" s="64">
        <f>VLOOKUP(L$14,Table245810[],5,FALSE)</f>
        <v>6.2</v>
      </c>
      <c r="L59" s="64">
        <f>VLOOKUP(M$14,Table245810[],5,FALSE)</f>
        <v>6.2</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Arable</v>
      </c>
      <c r="K58" s="10" t="str">
        <f>L16&amp;" I "&amp;(VLOOKUP(L14,Table2458[],6,FALSE))</f>
        <v>Medium/Clay I Grass</v>
      </c>
      <c r="L58" s="10" t="str">
        <f>M16&amp;" I "&amp;(VLOOKUP(M14,Table2458[],6,FALSE))</f>
        <v>Medium/Clay I Grass</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6.7</v>
      </c>
      <c r="K59" s="64">
        <f>VLOOKUP(L$14,Table2458[],5,FALSE)</f>
        <v>6.2</v>
      </c>
      <c r="L59" s="64">
        <f>VLOOKUP(M$14,Table2458[],5,FALSE)</f>
        <v>6.2</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Arable</v>
      </c>
      <c r="K58" s="10" t="str">
        <f>L16&amp;" I "&amp;(VLOOKUP(L14,Table24581113[],6,FALSE))</f>
        <v>Medium/Clay I Grass</v>
      </c>
      <c r="L58" s="10" t="str">
        <f>M16&amp;" I "&amp;(VLOOKUP(M14,Table24581113[],6,FALSE))</f>
        <v>Medium/Clay I Grass</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6.7</v>
      </c>
      <c r="K59" s="64">
        <f>VLOOKUP(L$14,Table24581113[],5,FALSE)</f>
        <v>6.2</v>
      </c>
      <c r="L59" s="64">
        <f>VLOOKUP(M$14,Table24581113[],5,FALSE)</f>
        <v>6.2</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Arable</v>
      </c>
      <c r="K58" s="10" t="str">
        <f>L16&amp;" I "&amp;(VLOOKUP(L14,Table24567[],6,FALSE))</f>
        <v>Medium/Clay I Grass</v>
      </c>
      <c r="L58" s="10" t="str">
        <f>M16&amp;" I "&amp;(VLOOKUP(M14,Table24567[],6,FALSE))</f>
        <v>Medium/Clay I Grass</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6.7</v>
      </c>
      <c r="K59" s="64">
        <f>VLOOKUP(L$14,Table24567[],5,FALSE)</f>
        <v>6.2</v>
      </c>
      <c r="L59" s="64">
        <f>VLOOKUP(M$14,Table24567[],5,FALSE)</f>
        <v>6.2</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PAN-028776</v>
      </c>
      <c r="D1" s="167"/>
      <c r="E1" s="106" t="s">
        <v>45</v>
      </c>
      <c r="F1" s="113">
        <f>'Field data and Waste 1'!F1</f>
        <v>49.24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Byproduct Recovery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Pentwyn Farm, Three Cocks, Brecon, LD3 0SW</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TP</v>
      </c>
      <c r="D8" s="49" t="str">
        <f>'Field data and Waste 1'!D8</f>
        <v>BP</v>
      </c>
      <c r="E8" s="49" t="str">
        <f>'Field data and Waste 1'!E8</f>
        <v>PC</v>
      </c>
      <c r="F8" s="49" t="str">
        <f>'Field data and Waste 1'!F8</f>
        <v>17A</v>
      </c>
      <c r="G8" s="49" t="str">
        <f>'Field data and Waste 1'!G8</f>
        <v>16A</v>
      </c>
      <c r="H8" s="49" t="str">
        <f>'Field data and Waste 1'!H8</f>
        <v>A</v>
      </c>
      <c r="I8" s="49" t="str">
        <f>'Field data and Waste 1'!I8</f>
        <v>B</v>
      </c>
      <c r="J8" s="49" t="str">
        <f>'Field data and Waste 1'!J8</f>
        <v>C</v>
      </c>
      <c r="K8" s="49" t="str">
        <f>'Field data and Waste 1'!K8</f>
        <v>BB</v>
      </c>
      <c r="L8" s="49" t="str">
        <f>'Field data and Waste 1'!L8</f>
        <v>LM</v>
      </c>
      <c r="M8" s="49" t="str">
        <f>'Field data and Waste 1'!M8</f>
        <v>SS</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1</v>
      </c>
      <c r="L9" s="49" t="str">
        <f>'Field data and Waste 1'!L9</f>
        <v>Moderate</v>
      </c>
      <c r="M9" s="49" t="str">
        <f>'Field data and Waste 1'!M9</f>
        <v>Moderate</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6.4</v>
      </c>
      <c r="D10" s="49">
        <f>'Field data and Waste 1'!D10</f>
        <v>6.36</v>
      </c>
      <c r="E10" s="49">
        <f>'Field data and Waste 1'!E10</f>
        <v>6.4</v>
      </c>
      <c r="F10" s="49">
        <f>'Field data and Waste 1'!F10</f>
        <v>6.3</v>
      </c>
      <c r="G10" s="49">
        <f>'Field data and Waste 1'!G10</f>
        <v>6.3</v>
      </c>
      <c r="H10" s="49">
        <f>'Field data and Waste 1'!H10</f>
        <v>6.1</v>
      </c>
      <c r="I10" s="49">
        <f>'Field data and Waste 1'!I10</f>
        <v>6.3</v>
      </c>
      <c r="J10" s="49">
        <f>'Field data and Waste 1'!J10</f>
        <v>6.2</v>
      </c>
      <c r="K10" s="49">
        <f>'Field data and Waste 1'!K10</f>
        <v>6.3</v>
      </c>
      <c r="L10" s="49">
        <f>'Field data and Waste 1'!L10</f>
        <v>6.2</v>
      </c>
      <c r="M10" s="49">
        <f>'Field data and Waste 1'!M10</f>
        <v>6.1</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1</v>
      </c>
      <c r="D11" s="49">
        <f>'Field data and Waste 1'!D11</f>
        <v>2</v>
      </c>
      <c r="E11" s="49">
        <f>'Field data and Waste 1'!E11</f>
        <v>2</v>
      </c>
      <c r="F11" s="49">
        <f>'Field data and Waste 1'!F11</f>
        <v>2</v>
      </c>
      <c r="G11" s="49">
        <f>'Field data and Waste 1'!G11</f>
        <v>0</v>
      </c>
      <c r="H11" s="49">
        <f>'Field data and Waste 1'!H11</f>
        <v>3</v>
      </c>
      <c r="I11" s="49">
        <f>'Field data and Waste 1'!I11</f>
        <v>3</v>
      </c>
      <c r="J11" s="49">
        <f>'Field data and Waste 1'!J11</f>
        <v>3</v>
      </c>
      <c r="K11" s="49">
        <f>'Field data and Waste 1'!K11</f>
        <v>3</v>
      </c>
      <c r="L11" s="49">
        <f>'Field data and Waste 1'!L11</f>
        <v>2</v>
      </c>
      <c r="M11" s="49">
        <f>'Field data and Waste 1'!M11</f>
        <v>2</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2</v>
      </c>
      <c r="F12" s="49">
        <f>'Field data and Waste 1'!F12</f>
        <v>1</v>
      </c>
      <c r="G12" s="49">
        <f>'Field data and Waste 1'!G12</f>
        <v>2</v>
      </c>
      <c r="H12" s="49">
        <f>'Field data and Waste 1'!H12</f>
        <v>2</v>
      </c>
      <c r="I12" s="49">
        <f>'Field data and Waste 1'!I12</f>
        <v>2</v>
      </c>
      <c r="J12" s="49">
        <f>'Field data and Waste 1'!J12</f>
        <v>2</v>
      </c>
      <c r="K12" s="49">
        <f>'Field data and Waste 1'!K12</f>
        <v>4</v>
      </c>
      <c r="L12" s="49">
        <f>'Field data and Waste 1'!L12</f>
        <v>2</v>
      </c>
      <c r="M12" s="49">
        <f>'Field data and Waste 1'!M12</f>
        <v>2</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3</v>
      </c>
      <c r="E13" s="49">
        <f>'Field data and Waste 1'!E13</f>
        <v>2</v>
      </c>
      <c r="F13" s="49">
        <f>'Field data and Waste 1'!F13</f>
        <v>3</v>
      </c>
      <c r="G13" s="49">
        <f>'Field data and Waste 1'!G13</f>
        <v>3</v>
      </c>
      <c r="H13" s="49">
        <f>'Field data and Waste 1'!H13</f>
        <v>3</v>
      </c>
      <c r="I13" s="49">
        <f>'Field data and Waste 1'!I13</f>
        <v>3</v>
      </c>
      <c r="J13" s="49">
        <f>'Field data and Waste 1'!J13</f>
        <v>3</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Spring wheat/barley</v>
      </c>
      <c r="L14" s="83" t="str">
        <f>'Field data and Waste 1'!L14</f>
        <v xml:space="preserve">Grass Silage (25% DM) </v>
      </c>
      <c r="M14" s="83" t="str">
        <f>'Field data and Waste 1'!M14</f>
        <v xml:space="preserve">Grass Silage (25% DM) </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38</v>
      </c>
      <c r="D15" s="49">
        <f>'Field data and Waste 1'!D15</f>
        <v>38</v>
      </c>
      <c r="E15" s="49">
        <f>'Field data and Waste 1'!E15</f>
        <v>38</v>
      </c>
      <c r="F15" s="49">
        <f>'Field data and Waste 1'!F15</f>
        <v>38</v>
      </c>
      <c r="G15" s="49">
        <f>'Field data and Waste 1'!G15</f>
        <v>38</v>
      </c>
      <c r="H15" s="49">
        <f>'Field data and Waste 1'!H15</f>
        <v>38</v>
      </c>
      <c r="I15" s="49">
        <f>'Field data and Waste 1'!I15</f>
        <v>38</v>
      </c>
      <c r="J15" s="49">
        <f>'Field data and Waste 1'!J15</f>
        <v>38</v>
      </c>
      <c r="K15" s="49">
        <f>'Field data and Waste 1'!K15</f>
        <v>8.5</v>
      </c>
      <c r="L15" s="49">
        <f>'Field data and Waste 1'!L15</f>
        <v>38</v>
      </c>
      <c r="M15" s="49">
        <f>'Field data and Waste 1'!M15</f>
        <v>38</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72.25</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-72.25</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102</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-102</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TP</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BP</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PC</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17A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16A</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A</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B</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C</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BB</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LM</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SS</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TP</v>
      </c>
      <c r="C57" s="8" t="str">
        <f t="shared" ref="C57:U57" si="13">D8</f>
        <v>BP</v>
      </c>
      <c r="D57" s="8" t="str">
        <f t="shared" si="13"/>
        <v>PC</v>
      </c>
      <c r="E57" s="8" t="str">
        <f t="shared" si="13"/>
        <v>17A</v>
      </c>
      <c r="F57" s="8" t="str">
        <f t="shared" si="13"/>
        <v>16A</v>
      </c>
      <c r="G57" s="8" t="str">
        <f t="shared" si="13"/>
        <v>A</v>
      </c>
      <c r="H57" s="8" t="str">
        <f t="shared" si="13"/>
        <v>B</v>
      </c>
      <c r="I57" s="8" t="str">
        <f t="shared" si="13"/>
        <v>C</v>
      </c>
      <c r="J57" s="8" t="str">
        <f t="shared" si="13"/>
        <v>BB</v>
      </c>
      <c r="K57" s="8" t="str">
        <f t="shared" si="13"/>
        <v>LM</v>
      </c>
      <c r="L57" s="8" t="str">
        <f t="shared" si="13"/>
        <v>SS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Arable</v>
      </c>
      <c r="K58" s="10" t="str">
        <f>L16&amp;" I "&amp;(VLOOKUP(L14,Table2456[],6,FALSE))</f>
        <v>Medium/Clay I Grass</v>
      </c>
      <c r="L58" s="10" t="str">
        <f>M16&amp;" I "&amp;(VLOOKUP(M14,Table2456[],6,FALSE))</f>
        <v>Medium/Clay I Grass</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6.7</v>
      </c>
      <c r="K59" s="64">
        <f>VLOOKUP(L$14,Table2456[],5,FALSE)</f>
        <v>6.2</v>
      </c>
      <c r="L59" s="64">
        <f>VLOOKUP(M$14,Table2456[],5,FALSE)</f>
        <v>6.2</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6.4</v>
      </c>
      <c r="C60" s="64">
        <f t="shared" ref="C60:U60" si="14">D10</f>
        <v>6.36</v>
      </c>
      <c r="D60" s="64">
        <f t="shared" si="14"/>
        <v>6.4</v>
      </c>
      <c r="E60" s="64">
        <f t="shared" si="14"/>
        <v>6.3</v>
      </c>
      <c r="F60" s="64">
        <f t="shared" si="14"/>
        <v>6.3</v>
      </c>
      <c r="G60" s="64">
        <f t="shared" si="14"/>
        <v>6.1</v>
      </c>
      <c r="H60" s="64">
        <f t="shared" si="14"/>
        <v>6.3</v>
      </c>
      <c r="I60" s="64">
        <f t="shared" si="14"/>
        <v>6.2</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8</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-1.2000000000000011</v>
      </c>
      <c r="C64" s="65">
        <f t="shared" ref="C64:U64" si="17">(C59-C60)*C61</f>
        <v>-0.96000000000000085</v>
      </c>
      <c r="D64" s="65">
        <f t="shared" si="17"/>
        <v>-1.2000000000000011</v>
      </c>
      <c r="E64" s="65">
        <f t="shared" si="17"/>
        <v>-0.59999999999999787</v>
      </c>
      <c r="F64" s="65">
        <f t="shared" si="17"/>
        <v>-0.59999999999999787</v>
      </c>
      <c r="G64" s="65">
        <f t="shared" si="17"/>
        <v>0.6000000000000032</v>
      </c>
      <c r="H64" s="65">
        <f t="shared" si="17"/>
        <v>-0.59999999999999787</v>
      </c>
      <c r="I64" s="65">
        <f t="shared" si="17"/>
        <v>0</v>
      </c>
      <c r="J64" s="65">
        <f t="shared" si="17"/>
        <v>3.2000000000000028</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1.2000000000000011</v>
      </c>
      <c r="C65" s="65">
        <f t="shared" ref="C65:U65" si="18">C63-C64</f>
        <v>0.96000000000000085</v>
      </c>
      <c r="D65" s="65">
        <f t="shared" si="18"/>
        <v>1.2000000000000011</v>
      </c>
      <c r="E65" s="65">
        <f t="shared" si="18"/>
        <v>0.59999999999999787</v>
      </c>
      <c r="F65" s="65">
        <f t="shared" si="18"/>
        <v>0.59999999999999787</v>
      </c>
      <c r="G65" s="65">
        <f t="shared" si="18"/>
        <v>-0.6000000000000032</v>
      </c>
      <c r="H65" s="65">
        <f t="shared" si="18"/>
        <v>0.59999999999999787</v>
      </c>
      <c r="I65" s="65">
        <f t="shared" si="18"/>
        <v>0</v>
      </c>
      <c r="J65" s="65">
        <f t="shared" si="18"/>
        <v>-3.2000000000000028</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f>'Field data and Waste 1'!B31</f>
        <v>250</v>
      </c>
      <c r="C3" s="24">
        <f>'Field data and Waste 1'!C31</f>
        <v>95.680000000000021</v>
      </c>
      <c r="D3" s="24">
        <f>'Field data and Waste 1'!D31</f>
        <v>61.993314500000004</v>
      </c>
      <c r="E3" s="24">
        <f>'Field data and Waste 1'!E31</f>
        <v>2.6661830000000002</v>
      </c>
      <c r="F3" s="24">
        <f>'Field data and Waste 1'!F31</f>
        <v>6.9032073500000006</v>
      </c>
      <c r="G3" s="24">
        <f>'Field data and Waste 1'!G31</f>
        <v>0.34385000000000004</v>
      </c>
      <c r="H3" s="24">
        <f>'Field data and Waste 1'!H31</f>
        <v>1.2034750000000001</v>
      </c>
      <c r="I3" s="24">
        <f>'Field data and Waste 1'!I31</f>
        <v>4.6345000000000011E-2</v>
      </c>
      <c r="J3" s="24">
        <f>'Field data and Waste 1'!J31</f>
        <v>3.5880000000000005E-3</v>
      </c>
      <c r="K3" s="24">
        <f>'Field data and Waste 1'!K31</f>
        <v>1.0016500000000001E-2</v>
      </c>
      <c r="L3" s="24">
        <f>'Field data and Waste 1'!L31</f>
        <v>2.8853500000000004E-2</v>
      </c>
      <c r="M3" s="24">
        <f>'Field data and Waste 1'!M31</f>
        <v>3.2142500000000004E-2</v>
      </c>
      <c r="N3" s="24">
        <f>'Field data and Waste 1'!N31</f>
        <v>1487.5250000000003</v>
      </c>
      <c r="O3" s="24">
        <f>'Field data and Waste 1'!O31</f>
        <v>40.365000000000002</v>
      </c>
      <c r="P3" s="24">
        <f>'Field data and Waste 1'!P31</f>
        <v>0</v>
      </c>
      <c r="Q3" s="24">
        <f>'Field data and Waste 1'!Q31</f>
        <v>285.91875000000005</v>
      </c>
      <c r="R3" s="24">
        <f>'Field data and Waste 1'!R31</f>
        <v>0</v>
      </c>
      <c r="S3" s="24">
        <f>'Field data and Waste 1'!S31</f>
        <v>0.13380250000000002</v>
      </c>
      <c r="T3" s="24">
        <f>'Field data and Waste 1'!T31</f>
        <v>0</v>
      </c>
      <c r="U3" s="24">
        <f>'Field data and Waste 1'!U31</f>
        <v>0</v>
      </c>
    </row>
    <row r="4" spans="1:21" x14ac:dyDescent="0.2">
      <c r="A4" s="27">
        <v>2</v>
      </c>
      <c r="B4" s="24">
        <f>'Waste 2'!B31</f>
        <v>250</v>
      </c>
      <c r="C4" s="24">
        <f>'Waste 2'!C31</f>
        <v>125.57</v>
      </c>
      <c r="D4" s="24">
        <f>'Waste 2'!D31</f>
        <v>30.2560915</v>
      </c>
      <c r="E4" s="24">
        <f>'Waste 2'!E31</f>
        <v>1.4348537500000001E-3</v>
      </c>
      <c r="F4" s="24">
        <f>'Waste 2'!F31</f>
        <v>54.023028499999995</v>
      </c>
      <c r="G4" s="24">
        <f>'Waste 2'!G31</f>
        <v>0.50227999999999995</v>
      </c>
      <c r="H4" s="24">
        <f>'Waste 2'!H31</f>
        <v>3.35575</v>
      </c>
      <c r="I4" s="24">
        <f>'Waste 2'!I31</f>
        <v>0.43083499999999991</v>
      </c>
      <c r="J4" s="24">
        <f>'Waste 2'!J31</f>
        <v>4.7629999999999999E-3</v>
      </c>
      <c r="K4" s="24">
        <f>'Waste 2'!K31</f>
        <v>1.0067250000000002E-2</v>
      </c>
      <c r="L4" s="24">
        <f>'Waste 2'!L31</f>
        <v>0.25979999999999998</v>
      </c>
      <c r="M4" s="24">
        <f>'Waste 2'!M31</f>
        <v>0.205675</v>
      </c>
      <c r="N4" s="24">
        <f>'Waste 2'!N31</f>
        <v>1277.3499999999999</v>
      </c>
      <c r="O4" s="24">
        <f>'Waste 2'!O31</f>
        <v>323.66750000000002</v>
      </c>
      <c r="P4" s="24">
        <f>'Waste 2'!P31</f>
        <v>0</v>
      </c>
      <c r="Q4" s="24">
        <f>'Waste 2'!Q31</f>
        <v>151.82062499999998</v>
      </c>
      <c r="R4" s="24">
        <f>'Waste 2'!R31</f>
        <v>0</v>
      </c>
      <c r="S4" s="24">
        <f>'Waste 2'!S31</f>
        <v>0.257635</v>
      </c>
      <c r="T4" s="24">
        <f>'Waste 2'!T31</f>
        <v>0</v>
      </c>
      <c r="U4" s="24">
        <f>'Waste 2'!U31</f>
        <v>0</v>
      </c>
    </row>
    <row r="5" spans="1:21" x14ac:dyDescent="0.2">
      <c r="A5" s="27">
        <v>3</v>
      </c>
      <c r="B5" s="24">
        <f>'Waste 3'!B31</f>
        <v>250</v>
      </c>
      <c r="C5" s="24">
        <f>'Waste 3'!C31</f>
        <v>45.54</v>
      </c>
      <c r="D5" s="24">
        <f>'Waste 3'!D31</f>
        <v>6.4048341500000001</v>
      </c>
      <c r="E5" s="24">
        <f>'Waste 3'!E31</f>
        <v>0.75835168750000015</v>
      </c>
      <c r="F5" s="24">
        <f>'Waste 3'!F31</f>
        <v>7.246413350000001</v>
      </c>
      <c r="G5" s="24">
        <f>'Waste 3'!G31</f>
        <v>7.0207500000000006E-2</v>
      </c>
      <c r="H5" s="24">
        <f>'Waste 3'!H31</f>
        <v>0.58253250000000001</v>
      </c>
      <c r="I5" s="24">
        <f>'Waste 3'!I31</f>
        <v>3.9215E-2</v>
      </c>
      <c r="J5" s="24">
        <f>'Waste 3'!J31</f>
        <v>6.9574999999999997E-4</v>
      </c>
      <c r="K5" s="24">
        <f>'Waste 3'!K31</f>
        <v>9.9935000000000006E-3</v>
      </c>
      <c r="L5" s="24">
        <f>'Waste 3'!L31</f>
        <v>0.13851749999999999</v>
      </c>
      <c r="M5" s="24">
        <f>'Waste 3'!M31</f>
        <v>0.10752500000000001</v>
      </c>
      <c r="N5" s="24">
        <f>'Waste 3'!N31</f>
        <v>11.638</v>
      </c>
      <c r="O5" s="24">
        <f>'Waste 3'!O31</f>
        <v>2295.9749999999999</v>
      </c>
      <c r="P5" s="24">
        <f>'Waste 3'!P31</f>
        <v>0</v>
      </c>
      <c r="Q5" s="24">
        <f>'Waste 3'!Q31</f>
        <v>29.727499999999999</v>
      </c>
      <c r="R5" s="24">
        <f>'Waste 3'!R31</f>
        <v>0</v>
      </c>
      <c r="S5" s="24">
        <f>'Waste 3'!S31</f>
        <v>0.25363249999999998</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750</v>
      </c>
      <c r="C13" s="68">
        <f t="shared" ref="C13:U13" si="0">SUM(C3:C12)</f>
        <v>266.79000000000002</v>
      </c>
      <c r="D13" s="68">
        <f t="shared" si="0"/>
        <v>98.654240150000007</v>
      </c>
      <c r="E13" s="68">
        <f t="shared" si="0"/>
        <v>3.4259695412500006</v>
      </c>
      <c r="F13" s="68">
        <f t="shared" si="0"/>
        <v>68.172649199999995</v>
      </c>
      <c r="G13" s="68">
        <f t="shared" si="0"/>
        <v>0.91633750000000003</v>
      </c>
      <c r="H13" s="68">
        <f t="shared" si="0"/>
        <v>5.1417574999999998</v>
      </c>
      <c r="I13" s="68">
        <f t="shared" si="0"/>
        <v>0.51639499999999994</v>
      </c>
      <c r="J13" s="68">
        <f t="shared" si="0"/>
        <v>9.046750000000001E-3</v>
      </c>
      <c r="K13" s="68">
        <f t="shared" si="0"/>
        <v>3.0077250000000007E-2</v>
      </c>
      <c r="L13" s="68">
        <f t="shared" si="0"/>
        <v>0.42717099999999997</v>
      </c>
      <c r="M13" s="68">
        <f t="shared" si="0"/>
        <v>0.3453425</v>
      </c>
      <c r="N13" s="68">
        <f t="shared" si="0"/>
        <v>2776.5129999999999</v>
      </c>
      <c r="O13" s="68">
        <f t="shared" si="0"/>
        <v>2660.0074999999997</v>
      </c>
      <c r="P13" s="68">
        <f t="shared" si="0"/>
        <v>0</v>
      </c>
      <c r="Q13" s="68">
        <f t="shared" si="0"/>
        <v>467.46687500000002</v>
      </c>
      <c r="R13" s="68">
        <f t="shared" si="0"/>
        <v>0</v>
      </c>
      <c r="S13" s="68">
        <f t="shared" si="0"/>
        <v>0.64507000000000003</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f>'Field data and Waste 1'!B31</f>
        <v>250</v>
      </c>
      <c r="D3" s="24">
        <f>'Field data and Waste 1'!C31</f>
        <v>95.680000000000021</v>
      </c>
      <c r="E3" s="24">
        <f>'Field data and Waste 1'!D31</f>
        <v>61.993314500000004</v>
      </c>
      <c r="F3" s="24">
        <f>'Field data and Waste 1'!E31</f>
        <v>2.6661830000000002</v>
      </c>
      <c r="G3" s="24">
        <f>'Field data and Waste 1'!F31</f>
        <v>6.9032073500000006</v>
      </c>
      <c r="H3" s="24">
        <f>'Field data and Waste 1'!G31</f>
        <v>0.34385000000000004</v>
      </c>
      <c r="I3" s="24">
        <f>'Field data and Waste 1'!H31</f>
        <v>1.2034750000000001</v>
      </c>
      <c r="J3" s="24">
        <f>'Field data and Waste 1'!I31</f>
        <v>4.6345000000000011E-2</v>
      </c>
      <c r="K3" s="24">
        <f>'Field data and Waste 1'!J31</f>
        <v>3.5880000000000005E-3</v>
      </c>
      <c r="L3" s="24">
        <f>'Field data and Waste 1'!K31</f>
        <v>1.0016500000000001E-2</v>
      </c>
      <c r="M3" s="24">
        <f>'Field data and Waste 1'!L31</f>
        <v>2.8853500000000004E-2</v>
      </c>
      <c r="N3" s="24">
        <f>'Field data and Waste 1'!M31</f>
        <v>3.2142500000000004E-2</v>
      </c>
      <c r="O3" s="24">
        <f>'Field data and Waste 1'!N31</f>
        <v>1487.5250000000003</v>
      </c>
      <c r="P3" s="24">
        <f>'Field data and Waste 1'!O31</f>
        <v>40.365000000000002</v>
      </c>
      <c r="Q3" s="24">
        <f>'Field data and Waste 1'!P31</f>
        <v>0</v>
      </c>
      <c r="R3" s="24">
        <f>'Field data and Waste 1'!Q31</f>
        <v>285.91875000000005</v>
      </c>
      <c r="S3" s="24">
        <f>'Field data and Waste 1'!R31</f>
        <v>0</v>
      </c>
      <c r="T3" s="24">
        <f>'Field data and Waste 1'!S31</f>
        <v>0.13380250000000002</v>
      </c>
      <c r="U3" s="24">
        <f>'Field data and Waste 1'!T31</f>
        <v>0</v>
      </c>
      <c r="V3" s="24">
        <f>'Field data and Waste 1'!U31</f>
        <v>0</v>
      </c>
    </row>
    <row r="4" spans="1:22" x14ac:dyDescent="0.2">
      <c r="A4" s="27">
        <v>2</v>
      </c>
      <c r="B4" s="78"/>
      <c r="C4" s="24">
        <f>'Waste 2'!B31</f>
        <v>250</v>
      </c>
      <c r="D4" s="24">
        <f>'Waste 2'!C31</f>
        <v>125.57</v>
      </c>
      <c r="E4" s="24">
        <f>'Waste 2'!D31</f>
        <v>30.2560915</v>
      </c>
      <c r="F4" s="24">
        <f>'Waste 2'!E31</f>
        <v>1.4348537500000001E-3</v>
      </c>
      <c r="G4" s="24">
        <f>'Waste 2'!F31</f>
        <v>54.023028499999995</v>
      </c>
      <c r="H4" s="24">
        <f>'Waste 2'!G31</f>
        <v>0.50227999999999995</v>
      </c>
      <c r="I4" s="24">
        <f>'Waste 2'!H31</f>
        <v>3.35575</v>
      </c>
      <c r="J4" s="24">
        <f>'Waste 2'!I31</f>
        <v>0.43083499999999991</v>
      </c>
      <c r="K4" s="24">
        <f>'Waste 2'!J31</f>
        <v>4.7629999999999999E-3</v>
      </c>
      <c r="L4" s="24">
        <f>'Waste 2'!K31</f>
        <v>1.0067250000000002E-2</v>
      </c>
      <c r="M4" s="24">
        <f>'Waste 2'!L31</f>
        <v>0.25979999999999998</v>
      </c>
      <c r="N4" s="24">
        <f>'Waste 2'!M31</f>
        <v>0.205675</v>
      </c>
      <c r="O4" s="24">
        <f>'Waste 2'!N31</f>
        <v>1277.3499999999999</v>
      </c>
      <c r="P4" s="24">
        <f>'Waste 2'!O31</f>
        <v>323.66750000000002</v>
      </c>
      <c r="Q4" s="24">
        <f>'Waste 2'!P31</f>
        <v>0</v>
      </c>
      <c r="R4" s="24">
        <f>'Waste 2'!Q31</f>
        <v>151.82062499999998</v>
      </c>
      <c r="S4" s="24">
        <f>'Waste 2'!R31</f>
        <v>0</v>
      </c>
      <c r="T4" s="24">
        <f>'Waste 2'!S31</f>
        <v>0.257635</v>
      </c>
      <c r="U4" s="24">
        <f>'Waste 2'!T31</f>
        <v>0</v>
      </c>
      <c r="V4" s="24">
        <f>'Waste 2'!U31</f>
        <v>0</v>
      </c>
    </row>
    <row r="5" spans="1:22" x14ac:dyDescent="0.2">
      <c r="A5" s="27">
        <v>3</v>
      </c>
      <c r="B5" s="78"/>
      <c r="C5" s="24">
        <f>'Waste 3'!B31</f>
        <v>250</v>
      </c>
      <c r="D5" s="24">
        <f>'Waste 3'!C31</f>
        <v>45.54</v>
      </c>
      <c r="E5" s="24">
        <f>'Waste 3'!D31</f>
        <v>6.4048341500000001</v>
      </c>
      <c r="F5" s="24">
        <f>'Waste 3'!E31</f>
        <v>0.75835168750000015</v>
      </c>
      <c r="G5" s="24">
        <f>'Waste 3'!F31</f>
        <v>7.246413350000001</v>
      </c>
      <c r="H5" s="24">
        <f>'Waste 3'!G31</f>
        <v>7.0207500000000006E-2</v>
      </c>
      <c r="I5" s="24">
        <f>'Waste 3'!H31</f>
        <v>0.58253250000000001</v>
      </c>
      <c r="J5" s="24">
        <f>'Waste 3'!I31</f>
        <v>3.9215E-2</v>
      </c>
      <c r="K5" s="24">
        <f>'Waste 3'!J31</f>
        <v>6.9574999999999997E-4</v>
      </c>
      <c r="L5" s="24">
        <f>'Waste 3'!K31</f>
        <v>9.9935000000000006E-3</v>
      </c>
      <c r="M5" s="24">
        <f>'Waste 3'!L31</f>
        <v>0.13851749999999999</v>
      </c>
      <c r="N5" s="24">
        <f>'Waste 3'!M31</f>
        <v>0.10752500000000001</v>
      </c>
      <c r="O5" s="24">
        <f>'Waste 3'!N31</f>
        <v>11.638</v>
      </c>
      <c r="P5" s="24">
        <f>'Waste 3'!O31</f>
        <v>2295.9749999999999</v>
      </c>
      <c r="Q5" s="24">
        <f>'Waste 3'!P31</f>
        <v>0</v>
      </c>
      <c r="R5" s="24">
        <f>'Waste 3'!Q31</f>
        <v>29.727499999999999</v>
      </c>
      <c r="S5" s="24">
        <f>'Waste 3'!R31</f>
        <v>0</v>
      </c>
      <c r="T5" s="24">
        <f>'Waste 3'!S31</f>
        <v>0.25363249999999998</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'Field data and Waste 1'!B43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'Field data and Waste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948db07bd7e56e2573d057a01da92ec6">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a0da6a409d84d01df2d268cb46a72ff3"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REGU-415-1632670</_dlc_DocId>
    <_dlc_DocIdUrl xmlns="9be56660-2c31-41ef-bc00-23e72f632f2a">
      <Url>https://cyfoethnaturiolcymru.sharepoint.com/teams/Regulatory/Permitting/_layouts/15/DocIdRedir.aspx?ID=REGU-415-1632670</Url>
      <Description>REGU-415-1632670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2025-05-01T23:00:00+00:00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372676E-AE8C-4D7E-B386-DF5314C847BC}"/>
</file>

<file path=customXml/itemProps2.xml><?xml version="1.0" encoding="utf-8"?>
<ds:datastoreItem xmlns:ds="http://schemas.openxmlformats.org/officeDocument/2006/customXml" ds:itemID="{6D90C52C-B9D7-4A9F-BEBB-3D87E1B2D785}"/>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9be56660-2c31-41ef-bc00-23e72f632f2a"/>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2025-04-24T14:26:11Z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7afed60b-6519-41ce-a45f-0488a78d3820</vt:lpwstr>
  </property>
  <property fmtid="{D5CDD505-2E9C-101B-9397-08002B2CF9AE}" pid="4" name="Order">
    <vt:r8>163267000</vt:r8>
  </property>
  <property fmtid="{D5CDD505-2E9C-101B-9397-08002B2CF9AE}" pid="5" name="MediaServiceImageTags">
    <vt:lpwstr/>
  </property>
  <property fmtid="{D5CDD505-2E9C-101B-9397-08002B2CF9AE}" pid="6" name="lcf76f155ced4ddcb4097134ff3c332f">
    <vt:lpwstr/>
  </property>
</Properties>
</file>