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Water Resources/PAN-006492/"/>
    </mc:Choice>
  </mc:AlternateContent>
  <xr:revisionPtr revIDLastSave="0" documentId="13_ncr:1_{6E209CAB-9E62-46EF-B84E-E63BA3ACAE90}" xr6:coauthVersionLast="45" xr6:coauthVersionMax="45" xr10:uidLastSave="{00000000-0000-0000-0000-000000000000}"/>
  <bookViews>
    <workbookView xWindow="-108" yWindow="-108" windowWidth="23256" windowHeight="12576" activeTab="2" xr2:uid="{25EA8F04-25DE-4D02-B7CC-9B6FCF971051}"/>
  </bookViews>
  <sheets>
    <sheet name="READ ME" sheetId="1" r:id="rId1"/>
    <sheet name="Annual Summary " sheetId="2" r:id="rId2"/>
    <sheet name="Abstraction Volumes 11-17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3" l="1"/>
  <c r="C13" i="2" l="1"/>
  <c r="D7" i="2"/>
  <c r="D8" i="2"/>
  <c r="D9" i="2"/>
  <c r="D10" i="2"/>
  <c r="D11" i="2"/>
  <c r="D12" i="2"/>
  <c r="D6" i="2"/>
  <c r="Z7" i="3"/>
  <c r="AA7" i="3" s="1"/>
  <c r="Z8" i="3"/>
  <c r="AA8" i="3" s="1"/>
  <c r="Z9" i="3"/>
  <c r="AA9" i="3" s="1"/>
  <c r="Z10" i="3"/>
  <c r="AA10" i="3" s="1"/>
  <c r="Z11" i="3"/>
  <c r="AA11" i="3" s="1"/>
  <c r="Z12" i="3"/>
  <c r="AA12" i="3"/>
  <c r="Z6" i="3"/>
  <c r="AA6" i="3" s="1"/>
  <c r="Q12" i="3"/>
  <c r="U12" i="3" s="1"/>
  <c r="T12" i="3" s="1"/>
  <c r="Q11" i="3"/>
  <c r="U11" i="3" s="1"/>
  <c r="T11" i="3" s="1"/>
  <c r="Q10" i="3"/>
  <c r="U10" i="3" s="1"/>
  <c r="T10" i="3" s="1"/>
  <c r="Q9" i="3"/>
  <c r="U9" i="3" s="1"/>
  <c r="T9" i="3" s="1"/>
  <c r="Q8" i="3"/>
  <c r="U8" i="3" s="1"/>
  <c r="T8" i="3" s="1"/>
  <c r="Q7" i="3"/>
  <c r="U7" i="3" s="1"/>
  <c r="T7" i="3" s="1"/>
  <c r="Q6" i="3"/>
  <c r="U6" i="3" s="1"/>
  <c r="T6" i="3" s="1"/>
  <c r="D13" i="2" l="1"/>
  <c r="D7" i="3"/>
  <c r="E7" i="3" s="1"/>
  <c r="D8" i="3"/>
  <c r="E8" i="3" s="1"/>
  <c r="D9" i="3"/>
  <c r="D10" i="3"/>
  <c r="D11" i="3"/>
  <c r="D12" i="3"/>
  <c r="D6" i="3"/>
  <c r="E6" i="3" s="1"/>
  <c r="E10" i="3" l="1"/>
  <c r="E9" i="3"/>
  <c r="E12" i="3"/>
  <c r="E11" i="3"/>
  <c r="G6" i="3"/>
  <c r="H6" i="3" s="1"/>
  <c r="G7" i="3" l="1"/>
  <c r="H7" i="3" s="1"/>
  <c r="G8" i="3"/>
  <c r="G9" i="3"/>
  <c r="G10" i="3"/>
  <c r="G11" i="3"/>
  <c r="G12" i="3"/>
  <c r="H8" i="3" l="1"/>
  <c r="H9" i="3"/>
  <c r="E9" i="2"/>
  <c r="F9" i="2" s="1"/>
  <c r="H12" i="3"/>
  <c r="H11" i="3"/>
  <c r="H10" i="3"/>
  <c r="L7" i="3"/>
  <c r="M7" i="3" s="1"/>
  <c r="N7" i="3" s="1"/>
  <c r="AC7" i="3" s="1"/>
  <c r="L8" i="3"/>
  <c r="M8" i="3" s="1"/>
  <c r="N8" i="3" s="1"/>
  <c r="AC8" i="3" s="1"/>
  <c r="L9" i="3"/>
  <c r="M9" i="3" s="1"/>
  <c r="N9" i="3" s="1"/>
  <c r="L10" i="3"/>
  <c r="M10" i="3" s="1"/>
  <c r="N10" i="3" s="1"/>
  <c r="L11" i="3"/>
  <c r="M11" i="3" s="1"/>
  <c r="N11" i="3" s="1"/>
  <c r="AC11" i="3" s="1"/>
  <c r="L12" i="3"/>
  <c r="M12" i="3" s="1"/>
  <c r="N12" i="3" s="1"/>
  <c r="AC12" i="3" s="1"/>
  <c r="L6" i="3"/>
  <c r="M6" i="3" s="1"/>
  <c r="E6" i="2" s="1"/>
  <c r="F6" i="2" s="1"/>
  <c r="AC10" i="3" l="1"/>
  <c r="AC9" i="3"/>
  <c r="E11" i="2"/>
  <c r="F11" i="2" s="1"/>
  <c r="E7" i="2"/>
  <c r="F7" i="2" s="1"/>
  <c r="F13" i="2" s="1"/>
  <c r="E10" i="2"/>
  <c r="F10" i="2" s="1"/>
  <c r="E12" i="2"/>
  <c r="F12" i="2" s="1"/>
  <c r="E8" i="2"/>
  <c r="F8" i="2" s="1"/>
  <c r="N6" i="3"/>
  <c r="AC6" i="3" s="1"/>
  <c r="B6" i="2"/>
  <c r="E13" i="2" l="1"/>
  <c r="B11" i="2"/>
  <c r="B7" i="2"/>
  <c r="B10" i="2"/>
  <c r="B9" i="2"/>
  <c r="B12" i="2"/>
  <c r="B8" i="2"/>
  <c r="B13" i="2" l="1"/>
</calcChain>
</file>

<file path=xl/sharedStrings.xml><?xml version="1.0" encoding="utf-8"?>
<sst xmlns="http://schemas.openxmlformats.org/spreadsheetml/2006/main" count="61" uniqueCount="54">
  <si>
    <t>The Water Resources (Transitional Provisions) Regulations 2017</t>
  </si>
  <si>
    <t>TREWERN FARM LTD</t>
  </si>
  <si>
    <t xml:space="preserve">APPLICATION FOR NEW GROUNDWATER ABSTRACTION </t>
  </si>
  <si>
    <t>LICENCE FOR A PREVIOUSLY EXEPMT ABSTRACTION AT TREWERN FARM</t>
  </si>
  <si>
    <t>YEAR</t>
  </si>
  <si>
    <t>MAX</t>
  </si>
  <si>
    <t>TREWERN FARM, FELINDRE FARCHOG, PEMBROKESHIRE</t>
  </si>
  <si>
    <t>GROUNDWATER ABSTRACTION ANNUAL SUMMARY 2011 - 2017</t>
  </si>
  <si>
    <t>TOTAL ABSTRACTION (m3/yr)</t>
  </si>
  <si>
    <t>Year</t>
  </si>
  <si>
    <t>Number of Cows</t>
  </si>
  <si>
    <t>Domestic</t>
  </si>
  <si>
    <t>Number of people present all year</t>
  </si>
  <si>
    <t>Annual Abstraction for Domestic Use (m3/year)</t>
  </si>
  <si>
    <t>Crop</t>
  </si>
  <si>
    <t>Water Usage m3/d/pp</t>
  </si>
  <si>
    <t>Water Usage m3/day</t>
  </si>
  <si>
    <t xml:space="preserve">Milk Production (Washdown and Drinking) </t>
  </si>
  <si>
    <t>Daily Water Usage for Washdown (m3/day)</t>
  </si>
  <si>
    <t>Daily Water Usage for Drinking (m3/day)</t>
  </si>
  <si>
    <t>Machinery Washing</t>
  </si>
  <si>
    <t>Agrochemical Spraying</t>
  </si>
  <si>
    <t>GROUNDWATER ABSTRACTION ANNUAL SUMMARY 'POINT A' 2011 - 2017</t>
  </si>
  <si>
    <t>Time to wash (minute)</t>
  </si>
  <si>
    <t>*Standard usage figures from ‘R&amp;D Best Practice Manual W6-056/TR for industry and agriculture’</t>
  </si>
  <si>
    <t>*from British Water - Codes of Practice: Flows and Loads</t>
  </si>
  <si>
    <t>Annual Abstraction for crop spraying (m3/yr)</t>
  </si>
  <si>
    <t>Annual Abstraction for Plant Wash (m3/yr)</t>
  </si>
  <si>
    <t>Total Annual Abstraction - all uses (m3/year)</t>
  </si>
  <si>
    <t>Number of Vehicles / day</t>
  </si>
  <si>
    <t>Dairy Cows drinking</t>
  </si>
  <si>
    <t>45-70l/d/head</t>
  </si>
  <si>
    <t>Wheat &amp; Grass</t>
  </si>
  <si>
    <t>Area (Ha) *</t>
  </si>
  <si>
    <t>*28.3 Ha Wheat sprayed 3x per year</t>
  </si>
  <si>
    <t>*40Ha grass sprayed 1x per year</t>
  </si>
  <si>
    <t>Water Usage  l/day/pp*</t>
  </si>
  <si>
    <t>Application Rate (l/Ha)</t>
  </si>
  <si>
    <t>Days to spray</t>
  </si>
  <si>
    <t>Water Usage (m3/day)</t>
  </si>
  <si>
    <t>Water Usage (m3/d)</t>
  </si>
  <si>
    <t>Typical drinking requirement - adults (l/day/animal)*</t>
  </si>
  <si>
    <t>Hourly Max (m3/hr)</t>
  </si>
  <si>
    <t>Peak Instantaneous (l/s)</t>
  </si>
  <si>
    <t>Daily Max (m3/d)</t>
  </si>
  <si>
    <t>Annual Abstraction Volume for Parlour Washdown (m3/yr)</t>
  </si>
  <si>
    <t>Annual Abstraction Volume for Drinking (m3/yr)</t>
  </si>
  <si>
    <t>Typical Water Requirement - Cleaning with power hose (l/day/animal)*</t>
  </si>
  <si>
    <t>Dairy Cows cleaning power hose</t>
  </si>
  <si>
    <t>27-45l/d/head</t>
  </si>
  <si>
    <t>Hrs/Day</t>
  </si>
  <si>
    <t>Point A</t>
  </si>
  <si>
    <t>Wash equipment flow (l/min)*</t>
  </si>
  <si>
    <t>*pressure washer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</si>
</sst>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yyyy"/>
    <numFmt numFmtId="165" formatCode="#,##0_ ;\-#,##0\ "/>
    <numFmt numFmtId="166" formatCode="0.0"/>
    <numFmt numFmtId="167" formatCode="#,##0.0_ ;\-#,##0.0\ "/>
    <numFmt numFmtId="168" formatCode="#,##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0" fillId="0" borderId="0" xfId="0" applyNumberFormat="1"/>
    <xf numFmtId="3" fontId="2" fillId="2" borderId="3" xfId="0" applyNumberFormat="1" applyFon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165" fontId="0" fillId="0" borderId="3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3" fontId="2" fillId="2" borderId="4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/>
    </xf>
    <xf numFmtId="1" fontId="0" fillId="0" borderId="0" xfId="0" applyNumberFormat="1"/>
    <xf numFmtId="0" fontId="0" fillId="0" borderId="0" xfId="0" applyFill="1"/>
    <xf numFmtId="0" fontId="2" fillId="2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3" fontId="0" fillId="0" borderId="0" xfId="0" quotePrefix="1" applyNumberFormat="1"/>
    <xf numFmtId="0" fontId="0" fillId="0" borderId="0" xfId="0" quotePrefix="1"/>
    <xf numFmtId="165" fontId="0" fillId="0" borderId="0" xfId="0" applyNumberFormat="1"/>
    <xf numFmtId="3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6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65" fontId="0" fillId="0" borderId="3" xfId="1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3" fontId="0" fillId="0" borderId="0" xfId="0" applyNumberFormat="1" applyFill="1"/>
    <xf numFmtId="3" fontId="0" fillId="0" borderId="0" xfId="0" quotePrefix="1" applyNumberFormat="1" applyFill="1" applyAlignment="1">
      <alignment horizontal="right"/>
    </xf>
    <xf numFmtId="1" fontId="0" fillId="0" borderId="0" xfId="0" applyNumberFormat="1" applyFill="1"/>
    <xf numFmtId="3" fontId="0" fillId="0" borderId="0" xfId="0" applyNumberFormat="1" applyFill="1" applyAlignment="1">
      <alignment horizontal="right"/>
    </xf>
    <xf numFmtId="0" fontId="0" fillId="0" borderId="3" xfId="0" applyFill="1" applyBorder="1" applyAlignment="1">
      <alignment horizontal="center" vertical="center" wrapText="1"/>
    </xf>
    <xf numFmtId="167" fontId="0" fillId="0" borderId="3" xfId="1" applyNumberFormat="1" applyFont="1" applyFill="1" applyBorder="1" applyAlignment="1">
      <alignment horizontal="center" vertical="center"/>
    </xf>
    <xf numFmtId="0" fontId="0" fillId="0" borderId="0" xfId="0" quotePrefix="1" applyFill="1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7B833-EBDB-446E-B8D9-4516ACC880D7}">
  <dimension ref="A1:A6"/>
  <sheetViews>
    <sheetView workbookViewId="0">
      <selection activeCell="A10" sqref="A10"/>
    </sheetView>
  </sheetViews>
  <sheetFormatPr defaultRowHeight="14.4" x14ac:dyDescent="0.3"/>
  <sheetData>
    <row r="1" spans="1:1" x14ac:dyDescent="0.3">
      <c r="A1" s="1" t="s">
        <v>1</v>
      </c>
    </row>
    <row r="2" spans="1:1" x14ac:dyDescent="0.3">
      <c r="A2" s="1"/>
    </row>
    <row r="3" spans="1:1" x14ac:dyDescent="0.3">
      <c r="A3" s="1" t="s">
        <v>0</v>
      </c>
    </row>
    <row r="4" spans="1:1" x14ac:dyDescent="0.3">
      <c r="A4" s="1"/>
    </row>
    <row r="5" spans="1:1" x14ac:dyDescent="0.3">
      <c r="A5" s="1" t="s">
        <v>2</v>
      </c>
    </row>
    <row r="6" spans="1:1" x14ac:dyDescent="0.3">
      <c r="A6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C7705-9E76-45F8-B341-982AF3C3744B}">
  <dimension ref="A1:F14"/>
  <sheetViews>
    <sheetView workbookViewId="0">
      <selection activeCell="B10" sqref="B10"/>
    </sheetView>
  </sheetViews>
  <sheetFormatPr defaultRowHeight="14.4" x14ac:dyDescent="0.3"/>
  <cols>
    <col min="1" max="1" width="17.33203125" customWidth="1"/>
    <col min="2" max="2" width="18.6640625" customWidth="1"/>
    <col min="4" max="4" width="13.5546875" customWidth="1"/>
  </cols>
  <sheetData>
    <row r="1" spans="1:6" x14ac:dyDescent="0.3">
      <c r="A1" s="1" t="s">
        <v>6</v>
      </c>
    </row>
    <row r="2" spans="1:6" x14ac:dyDescent="0.3">
      <c r="A2" s="1" t="s">
        <v>7</v>
      </c>
    </row>
    <row r="3" spans="1:6" x14ac:dyDescent="0.3">
      <c r="A3" s="1"/>
    </row>
    <row r="4" spans="1:6" x14ac:dyDescent="0.3">
      <c r="A4" s="42" t="s">
        <v>51</v>
      </c>
      <c r="B4" s="43"/>
      <c r="C4" s="43"/>
      <c r="D4" s="43"/>
      <c r="E4" s="43"/>
      <c r="F4" s="43"/>
    </row>
    <row r="5" spans="1:6" ht="86.4" customHeight="1" x14ac:dyDescent="0.3">
      <c r="A5" s="2" t="s">
        <v>4</v>
      </c>
      <c r="B5" s="2" t="s">
        <v>8</v>
      </c>
      <c r="C5" s="2" t="s">
        <v>42</v>
      </c>
      <c r="D5" s="2" t="s">
        <v>43</v>
      </c>
      <c r="E5" s="2" t="s">
        <v>44</v>
      </c>
      <c r="F5" s="39" t="s">
        <v>50</v>
      </c>
    </row>
    <row r="6" spans="1:6" x14ac:dyDescent="0.3">
      <c r="A6" s="3">
        <v>2011</v>
      </c>
      <c r="B6" s="4">
        <f>'Abstraction Volumes 11-17'!AC6</f>
        <v>44500.229999999996</v>
      </c>
      <c r="C6" s="15">
        <v>6.5</v>
      </c>
      <c r="D6" s="29">
        <f>C6/60/60*1000</f>
        <v>1.8055555555555556</v>
      </c>
      <c r="E6" s="30">
        <f>'Abstraction Volumes 11-17'!D6+'Abstraction Volumes 11-17'!G6+'Abstraction Volumes 11-17'!M6+'Abstraction Volumes 11-17'!T6+'Abstraction Volumes 11-17'!Z6</f>
        <v>128.095</v>
      </c>
      <c r="F6" s="30">
        <f>E6/C6</f>
        <v>19.706923076923076</v>
      </c>
    </row>
    <row r="7" spans="1:6" x14ac:dyDescent="0.3">
      <c r="A7" s="3">
        <v>2012</v>
      </c>
      <c r="B7" s="4">
        <f>'Abstraction Volumes 11-17'!AC7</f>
        <v>45759.48</v>
      </c>
      <c r="C7" s="15">
        <v>6.5</v>
      </c>
      <c r="D7" s="29">
        <f t="shared" ref="D7:D12" si="0">C7/60/60*1000</f>
        <v>1.8055555555555556</v>
      </c>
      <c r="E7" s="30">
        <f>'Abstraction Volumes 11-17'!D7+'Abstraction Volumes 11-17'!G7+'Abstraction Volumes 11-17'!M7+'Abstraction Volumes 11-17'!T7+'Abstraction Volumes 11-17'!Z7</f>
        <v>131.54499999999999</v>
      </c>
      <c r="F7" s="30">
        <f t="shared" ref="F7:F12" si="1">E7/C7</f>
        <v>20.237692307692306</v>
      </c>
    </row>
    <row r="8" spans="1:6" x14ac:dyDescent="0.3">
      <c r="A8" s="3">
        <v>2013</v>
      </c>
      <c r="B8" s="4">
        <f>'Abstraction Volumes 11-17'!AC8</f>
        <v>47858.23</v>
      </c>
      <c r="C8" s="15">
        <v>6.5</v>
      </c>
      <c r="D8" s="29">
        <f t="shared" si="0"/>
        <v>1.8055555555555556</v>
      </c>
      <c r="E8" s="30">
        <f>'Abstraction Volumes 11-17'!D8+'Abstraction Volumes 11-17'!G8+'Abstraction Volumes 11-17'!M8+'Abstraction Volumes 11-17'!T8+'Abstraction Volumes 11-17'!Z8</f>
        <v>137.29500000000002</v>
      </c>
      <c r="F8" s="30">
        <f t="shared" si="1"/>
        <v>21.122307692307693</v>
      </c>
    </row>
    <row r="9" spans="1:6" x14ac:dyDescent="0.3">
      <c r="A9" s="3">
        <v>2014</v>
      </c>
      <c r="B9" s="4">
        <f>'Abstraction Volumes 11-17'!AC9</f>
        <v>48068.104999999996</v>
      </c>
      <c r="C9" s="15">
        <v>6.5</v>
      </c>
      <c r="D9" s="29">
        <f t="shared" si="0"/>
        <v>1.8055555555555556</v>
      </c>
      <c r="E9" s="30">
        <f>'Abstraction Volumes 11-17'!D9+'Abstraction Volumes 11-17'!G9+'Abstraction Volumes 11-17'!M9+'Abstraction Volumes 11-17'!T9+'Abstraction Volumes 11-17'!Z9</f>
        <v>137.87</v>
      </c>
      <c r="F9" s="30">
        <f t="shared" si="1"/>
        <v>21.21076923076923</v>
      </c>
    </row>
    <row r="10" spans="1:6" x14ac:dyDescent="0.3">
      <c r="A10" s="3">
        <v>2015</v>
      </c>
      <c r="B10" s="4">
        <f>'Abstraction Volumes 11-17'!AC10</f>
        <v>48697.729999999996</v>
      </c>
      <c r="C10" s="15">
        <v>6.5</v>
      </c>
      <c r="D10" s="29">
        <f t="shared" si="0"/>
        <v>1.8055555555555556</v>
      </c>
      <c r="E10" s="30">
        <f>'Abstraction Volumes 11-17'!D10+'Abstraction Volumes 11-17'!G10+'Abstraction Volumes 11-17'!M10+'Abstraction Volumes 11-17'!T10+'Abstraction Volumes 11-17'!Z10</f>
        <v>139.595</v>
      </c>
      <c r="F10" s="30">
        <f t="shared" si="1"/>
        <v>21.476153846153846</v>
      </c>
    </row>
    <row r="11" spans="1:6" x14ac:dyDescent="0.3">
      <c r="A11" s="3">
        <v>2016</v>
      </c>
      <c r="B11" s="4">
        <f>'Abstraction Volumes 11-17'!AC11</f>
        <v>47858.23</v>
      </c>
      <c r="C11" s="15">
        <v>6.5</v>
      </c>
      <c r="D11" s="29">
        <f t="shared" si="0"/>
        <v>1.8055555555555556</v>
      </c>
      <c r="E11" s="30">
        <f>'Abstraction Volumes 11-17'!D11+'Abstraction Volumes 11-17'!G11+'Abstraction Volumes 11-17'!M11+'Abstraction Volumes 11-17'!T11+'Abstraction Volumes 11-17'!Z11</f>
        <v>137.29500000000002</v>
      </c>
      <c r="F11" s="30">
        <f t="shared" si="1"/>
        <v>21.122307692307693</v>
      </c>
    </row>
    <row r="12" spans="1:6" x14ac:dyDescent="0.3">
      <c r="A12" s="3">
        <v>2017</v>
      </c>
      <c r="B12" s="4">
        <f>'Abstraction Volumes 11-17'!AC12</f>
        <v>48194.03</v>
      </c>
      <c r="C12" s="15">
        <v>6.5</v>
      </c>
      <c r="D12" s="29">
        <f t="shared" si="0"/>
        <v>1.8055555555555556</v>
      </c>
      <c r="E12" s="30">
        <f>'Abstraction Volumes 11-17'!D12+'Abstraction Volumes 11-17'!G12+'Abstraction Volumes 11-17'!M12+'Abstraction Volumes 11-17'!T12+'Abstraction Volumes 11-17'!Z12</f>
        <v>138.215</v>
      </c>
      <c r="F12" s="30">
        <f t="shared" si="1"/>
        <v>21.263846153846153</v>
      </c>
    </row>
    <row r="13" spans="1:6" x14ac:dyDescent="0.3">
      <c r="A13" s="5" t="s">
        <v>5</v>
      </c>
      <c r="B13" s="6">
        <f>MAX(B6:B12)</f>
        <v>48697.729999999996</v>
      </c>
      <c r="C13" s="31">
        <f t="shared" ref="C13:F13" si="2">MAX(C6:C12)</f>
        <v>6.5</v>
      </c>
      <c r="D13" s="31">
        <f t="shared" si="2"/>
        <v>1.8055555555555556</v>
      </c>
      <c r="E13" s="6">
        <f t="shared" si="2"/>
        <v>139.595</v>
      </c>
      <c r="F13" s="6">
        <f t="shared" si="2"/>
        <v>21.476153846153846</v>
      </c>
    </row>
    <row r="14" spans="1:6" x14ac:dyDescent="0.3">
      <c r="A14" s="7"/>
      <c r="B14" s="8"/>
    </row>
  </sheetData>
  <mergeCells count="1">
    <mergeCell ref="A4:F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293E2-725B-466C-BBC1-D3A49F64CB26}">
  <dimension ref="A1:AC22"/>
  <sheetViews>
    <sheetView tabSelected="1" workbookViewId="0">
      <pane ySplit="5" topLeftCell="A6" activePane="bottomLeft" state="frozen"/>
      <selection pane="bottomLeft" activeCell="E22" sqref="E22"/>
    </sheetView>
  </sheetViews>
  <sheetFormatPr defaultRowHeight="14.4" x14ac:dyDescent="0.3"/>
  <cols>
    <col min="1" max="1" width="12.33203125" customWidth="1"/>
    <col min="2" max="2" width="16.6640625" customWidth="1"/>
    <col min="3" max="3" width="21.109375" style="9" customWidth="1"/>
    <col min="4" max="5" width="14.6640625" style="6" customWidth="1"/>
    <col min="6" max="6" width="17" customWidth="1"/>
    <col min="7" max="8" width="14.6640625" customWidth="1"/>
    <col min="9" max="9" width="4.44140625" customWidth="1"/>
    <col min="10" max="10" width="19" customWidth="1"/>
    <col min="11" max="11" width="13.33203125" customWidth="1"/>
    <col min="12" max="14" width="13.88671875" customWidth="1"/>
    <col min="15" max="15" width="4.44140625" customWidth="1"/>
    <col min="16" max="16" width="15.33203125" customWidth="1"/>
    <col min="17" max="17" width="8" customWidth="1"/>
    <col min="18" max="18" width="13.88671875" customWidth="1"/>
    <col min="19" max="19" width="10" customWidth="1"/>
    <col min="20" max="20" width="10.5546875" customWidth="1"/>
    <col min="21" max="21" width="14.6640625" customWidth="1"/>
    <col min="22" max="22" width="4.44140625" customWidth="1"/>
    <col min="23" max="23" width="12.88671875" customWidth="1"/>
    <col min="24" max="27" width="12.33203125" customWidth="1"/>
    <col min="28" max="28" width="4.44140625" customWidth="1"/>
    <col min="29" max="29" width="20.33203125" customWidth="1"/>
    <col min="30" max="31" width="12.33203125" customWidth="1"/>
    <col min="32" max="32" width="19.5546875" customWidth="1"/>
  </cols>
  <sheetData>
    <row r="1" spans="1:29" x14ac:dyDescent="0.3">
      <c r="A1" s="1" t="s">
        <v>6</v>
      </c>
    </row>
    <row r="2" spans="1:29" x14ac:dyDescent="0.3">
      <c r="A2" s="1" t="s">
        <v>22</v>
      </c>
    </row>
    <row r="3" spans="1:29" x14ac:dyDescent="0.3">
      <c r="G3" s="25"/>
    </row>
    <row r="4" spans="1:29" x14ac:dyDescent="0.3">
      <c r="A4" s="21"/>
      <c r="B4" s="44" t="s">
        <v>17</v>
      </c>
      <c r="C4" s="45"/>
      <c r="D4" s="45"/>
      <c r="E4" s="45"/>
      <c r="F4" s="45"/>
      <c r="G4" s="45"/>
      <c r="H4" s="46"/>
      <c r="J4" s="44" t="s">
        <v>11</v>
      </c>
      <c r="K4" s="45"/>
      <c r="L4" s="45"/>
      <c r="M4" s="45"/>
      <c r="N4" s="46"/>
      <c r="P4" s="44" t="s">
        <v>21</v>
      </c>
      <c r="Q4" s="45"/>
      <c r="R4" s="45"/>
      <c r="S4" s="45"/>
      <c r="T4" s="45"/>
      <c r="U4" s="46"/>
      <c r="W4" s="44" t="s">
        <v>20</v>
      </c>
      <c r="X4" s="45"/>
      <c r="Y4" s="45"/>
      <c r="Z4" s="45"/>
      <c r="AA4" s="46"/>
      <c r="AC4" s="47" t="s">
        <v>28</v>
      </c>
    </row>
    <row r="5" spans="1:29" ht="79.2" x14ac:dyDescent="0.3">
      <c r="A5" s="13" t="s">
        <v>9</v>
      </c>
      <c r="B5" s="17" t="s">
        <v>10</v>
      </c>
      <c r="C5" s="17" t="s">
        <v>47</v>
      </c>
      <c r="D5" s="17" t="s">
        <v>18</v>
      </c>
      <c r="E5" s="16" t="s">
        <v>45</v>
      </c>
      <c r="F5" s="16" t="s">
        <v>41</v>
      </c>
      <c r="G5" s="17" t="s">
        <v>19</v>
      </c>
      <c r="H5" s="16" t="s">
        <v>46</v>
      </c>
      <c r="J5" s="10" t="s">
        <v>12</v>
      </c>
      <c r="K5" s="10" t="s">
        <v>36</v>
      </c>
      <c r="L5" s="10" t="s">
        <v>15</v>
      </c>
      <c r="M5" s="10" t="s">
        <v>16</v>
      </c>
      <c r="N5" s="10" t="s">
        <v>13</v>
      </c>
      <c r="P5" s="10" t="s">
        <v>14</v>
      </c>
      <c r="Q5" s="10" t="s">
        <v>33</v>
      </c>
      <c r="R5" s="10" t="s">
        <v>37</v>
      </c>
      <c r="S5" s="10" t="s">
        <v>38</v>
      </c>
      <c r="T5" s="10" t="s">
        <v>39</v>
      </c>
      <c r="U5" s="10" t="s">
        <v>26</v>
      </c>
      <c r="W5" s="10" t="s">
        <v>29</v>
      </c>
      <c r="X5" s="10" t="s">
        <v>23</v>
      </c>
      <c r="Y5" s="10" t="s">
        <v>52</v>
      </c>
      <c r="Z5" s="10" t="s">
        <v>40</v>
      </c>
      <c r="AA5" s="10" t="s">
        <v>27</v>
      </c>
      <c r="AC5" s="48"/>
    </row>
    <row r="6" spans="1:29" x14ac:dyDescent="0.3">
      <c r="A6" s="12">
        <v>40544</v>
      </c>
      <c r="B6" s="11">
        <v>1040</v>
      </c>
      <c r="C6" s="11">
        <v>45</v>
      </c>
      <c r="D6" s="14">
        <f>B6*(C6/1000)</f>
        <v>46.8</v>
      </c>
      <c r="E6" s="14">
        <f>(D6*365)</f>
        <v>17082</v>
      </c>
      <c r="F6" s="11">
        <v>70</v>
      </c>
      <c r="G6" s="14">
        <f t="shared" ref="G6:G12" si="0">(F6*B6)/1000</f>
        <v>72.8</v>
      </c>
      <c r="H6" s="14">
        <f>(G6*365)</f>
        <v>26572</v>
      </c>
      <c r="J6" s="15">
        <v>12</v>
      </c>
      <c r="K6" s="15">
        <v>150</v>
      </c>
      <c r="L6" s="15">
        <f>K6/1000</f>
        <v>0.15</v>
      </c>
      <c r="M6" s="15">
        <f>L6*J6</f>
        <v>1.7999999999999998</v>
      </c>
      <c r="N6" s="15">
        <f t="shared" ref="N6:N12" si="1">M6*365</f>
        <v>656.99999999999989</v>
      </c>
      <c r="P6" s="15" t="s">
        <v>32</v>
      </c>
      <c r="Q6" s="15">
        <f>(28.3*3)+40</f>
        <v>124.9</v>
      </c>
      <c r="R6" s="22">
        <v>200</v>
      </c>
      <c r="S6" s="15">
        <v>4</v>
      </c>
      <c r="T6" s="30">
        <f>U6/S6</f>
        <v>6.2450000000000001</v>
      </c>
      <c r="U6" s="14">
        <f>(Q6*R6)/1000</f>
        <v>24.98</v>
      </c>
      <c r="W6" s="14">
        <v>3</v>
      </c>
      <c r="X6" s="32">
        <v>10</v>
      </c>
      <c r="Y6" s="40">
        <v>15</v>
      </c>
      <c r="Z6" s="40">
        <f>((X6*Y6)*W6)/1000</f>
        <v>0.45</v>
      </c>
      <c r="AA6" s="32">
        <f>Z6*365</f>
        <v>164.25</v>
      </c>
      <c r="AC6" s="18">
        <f t="shared" ref="AC6:AC12" si="2">E6+U6+N6+H6+AA6</f>
        <v>44500.229999999996</v>
      </c>
    </row>
    <row r="7" spans="1:29" x14ac:dyDescent="0.3">
      <c r="A7" s="12">
        <v>40909</v>
      </c>
      <c r="B7" s="11">
        <v>1070</v>
      </c>
      <c r="C7" s="11">
        <v>45</v>
      </c>
      <c r="D7" s="14">
        <f t="shared" ref="D7:D12" si="3">B7*(C7/1000)</f>
        <v>48.15</v>
      </c>
      <c r="E7" s="14">
        <f t="shared" ref="E7:E12" si="4">(D7*365)</f>
        <v>17574.75</v>
      </c>
      <c r="F7" s="11">
        <v>70</v>
      </c>
      <c r="G7" s="14">
        <f t="shared" si="0"/>
        <v>74.900000000000006</v>
      </c>
      <c r="H7" s="14">
        <f t="shared" ref="H7:H12" si="5">(G7*365)</f>
        <v>27338.500000000004</v>
      </c>
      <c r="J7" s="15">
        <v>12</v>
      </c>
      <c r="K7" s="15">
        <v>150</v>
      </c>
      <c r="L7" s="15">
        <f t="shared" ref="L7:L12" si="6">K7/1000</f>
        <v>0.15</v>
      </c>
      <c r="M7" s="15">
        <f t="shared" ref="M7:M12" si="7">L7*J7</f>
        <v>1.7999999999999998</v>
      </c>
      <c r="N7" s="15">
        <f t="shared" si="1"/>
        <v>656.99999999999989</v>
      </c>
      <c r="P7" s="15" t="s">
        <v>32</v>
      </c>
      <c r="Q7" s="15">
        <f t="shared" ref="Q7:Q12" si="8">(28.3*3)+40</f>
        <v>124.9</v>
      </c>
      <c r="R7" s="22">
        <v>200</v>
      </c>
      <c r="S7" s="15">
        <v>4</v>
      </c>
      <c r="T7" s="30">
        <f t="shared" ref="T7:T12" si="9">U7/S7</f>
        <v>6.2450000000000001</v>
      </c>
      <c r="U7" s="14">
        <f t="shared" ref="U7:U12" si="10">(Q7*R7)/1000</f>
        <v>24.98</v>
      </c>
      <c r="W7" s="14">
        <v>3</v>
      </c>
      <c r="X7" s="32">
        <v>10</v>
      </c>
      <c r="Y7" s="40">
        <v>15</v>
      </c>
      <c r="Z7" s="40">
        <f t="shared" ref="Z7:Z12" si="11">((X7*Y7)*W7)/1000</f>
        <v>0.45</v>
      </c>
      <c r="AA7" s="32">
        <f t="shared" ref="AA7:AA12" si="12">Z7*365</f>
        <v>164.25</v>
      </c>
      <c r="AC7" s="18">
        <f t="shared" si="2"/>
        <v>45759.48</v>
      </c>
    </row>
    <row r="8" spans="1:29" x14ac:dyDescent="0.3">
      <c r="A8" s="12">
        <v>41275</v>
      </c>
      <c r="B8" s="11">
        <v>1120</v>
      </c>
      <c r="C8" s="11">
        <v>45</v>
      </c>
      <c r="D8" s="14">
        <f t="shared" si="3"/>
        <v>50.4</v>
      </c>
      <c r="E8" s="14">
        <f t="shared" si="4"/>
        <v>18396</v>
      </c>
      <c r="F8" s="11">
        <v>70</v>
      </c>
      <c r="G8" s="14">
        <f t="shared" si="0"/>
        <v>78.400000000000006</v>
      </c>
      <c r="H8" s="14">
        <f t="shared" si="5"/>
        <v>28616.000000000004</v>
      </c>
      <c r="J8" s="15">
        <v>12</v>
      </c>
      <c r="K8" s="15">
        <v>150</v>
      </c>
      <c r="L8" s="15">
        <f t="shared" si="6"/>
        <v>0.15</v>
      </c>
      <c r="M8" s="15">
        <f t="shared" si="7"/>
        <v>1.7999999999999998</v>
      </c>
      <c r="N8" s="15">
        <f t="shared" si="1"/>
        <v>656.99999999999989</v>
      </c>
      <c r="P8" s="15" t="s">
        <v>32</v>
      </c>
      <c r="Q8" s="15">
        <f t="shared" si="8"/>
        <v>124.9</v>
      </c>
      <c r="R8" s="22">
        <v>200</v>
      </c>
      <c r="S8" s="15">
        <v>4</v>
      </c>
      <c r="T8" s="30">
        <f t="shared" si="9"/>
        <v>6.2450000000000001</v>
      </c>
      <c r="U8" s="14">
        <f t="shared" si="10"/>
        <v>24.98</v>
      </c>
      <c r="W8" s="14">
        <v>3</v>
      </c>
      <c r="X8" s="32">
        <v>10</v>
      </c>
      <c r="Y8" s="40">
        <v>15</v>
      </c>
      <c r="Z8" s="40">
        <f t="shared" si="11"/>
        <v>0.45</v>
      </c>
      <c r="AA8" s="32">
        <f t="shared" si="12"/>
        <v>164.25</v>
      </c>
      <c r="AC8" s="18">
        <f t="shared" si="2"/>
        <v>47858.23</v>
      </c>
    </row>
    <row r="9" spans="1:29" x14ac:dyDescent="0.3">
      <c r="A9" s="12">
        <v>41640</v>
      </c>
      <c r="B9" s="11">
        <v>1125</v>
      </c>
      <c r="C9" s="11">
        <v>45</v>
      </c>
      <c r="D9" s="14">
        <f t="shared" si="3"/>
        <v>50.625</v>
      </c>
      <c r="E9" s="14">
        <f t="shared" si="4"/>
        <v>18478.125</v>
      </c>
      <c r="F9" s="11">
        <v>70</v>
      </c>
      <c r="G9" s="32">
        <f t="shared" si="0"/>
        <v>78.75</v>
      </c>
      <c r="H9" s="14">
        <f t="shared" si="5"/>
        <v>28743.75</v>
      </c>
      <c r="J9" s="15">
        <v>12</v>
      </c>
      <c r="K9" s="15">
        <v>150</v>
      </c>
      <c r="L9" s="15">
        <f t="shared" si="6"/>
        <v>0.15</v>
      </c>
      <c r="M9" s="15">
        <f t="shared" si="7"/>
        <v>1.7999999999999998</v>
      </c>
      <c r="N9" s="15">
        <f t="shared" si="1"/>
        <v>656.99999999999989</v>
      </c>
      <c r="P9" s="15" t="s">
        <v>32</v>
      </c>
      <c r="Q9" s="15">
        <f t="shared" si="8"/>
        <v>124.9</v>
      </c>
      <c r="R9" s="22">
        <v>200</v>
      </c>
      <c r="S9" s="15">
        <v>4</v>
      </c>
      <c r="T9" s="30">
        <f>U9/S9</f>
        <v>6.2450000000000001</v>
      </c>
      <c r="U9" s="14">
        <f t="shared" si="10"/>
        <v>24.98</v>
      </c>
      <c r="W9" s="14">
        <v>3</v>
      </c>
      <c r="X9" s="32">
        <v>10</v>
      </c>
      <c r="Y9" s="40">
        <v>15</v>
      </c>
      <c r="Z9" s="40">
        <f t="shared" si="11"/>
        <v>0.45</v>
      </c>
      <c r="AA9" s="32">
        <f t="shared" si="12"/>
        <v>164.25</v>
      </c>
      <c r="AC9" s="18">
        <f t="shared" si="2"/>
        <v>48068.104999999996</v>
      </c>
    </row>
    <row r="10" spans="1:29" x14ac:dyDescent="0.3">
      <c r="A10" s="12">
        <v>42005</v>
      </c>
      <c r="B10" s="11">
        <v>1140</v>
      </c>
      <c r="C10" s="11">
        <v>45</v>
      </c>
      <c r="D10" s="14">
        <f t="shared" si="3"/>
        <v>51.3</v>
      </c>
      <c r="E10" s="14">
        <f t="shared" si="4"/>
        <v>18724.5</v>
      </c>
      <c r="F10" s="11">
        <v>70</v>
      </c>
      <c r="G10" s="32">
        <f t="shared" si="0"/>
        <v>79.8</v>
      </c>
      <c r="H10" s="14">
        <f t="shared" si="5"/>
        <v>29127</v>
      </c>
      <c r="J10" s="15">
        <v>12</v>
      </c>
      <c r="K10" s="15">
        <v>150</v>
      </c>
      <c r="L10" s="15">
        <f t="shared" si="6"/>
        <v>0.15</v>
      </c>
      <c r="M10" s="15">
        <f t="shared" si="7"/>
        <v>1.7999999999999998</v>
      </c>
      <c r="N10" s="15">
        <f t="shared" si="1"/>
        <v>656.99999999999989</v>
      </c>
      <c r="P10" s="15" t="s">
        <v>32</v>
      </c>
      <c r="Q10" s="15">
        <f t="shared" si="8"/>
        <v>124.9</v>
      </c>
      <c r="R10" s="22">
        <v>200</v>
      </c>
      <c r="S10" s="15">
        <v>4</v>
      </c>
      <c r="T10" s="30">
        <f t="shared" si="9"/>
        <v>6.2450000000000001</v>
      </c>
      <c r="U10" s="14">
        <f t="shared" si="10"/>
        <v>24.98</v>
      </c>
      <c r="W10" s="14">
        <v>3</v>
      </c>
      <c r="X10" s="32">
        <v>10</v>
      </c>
      <c r="Y10" s="40">
        <v>15</v>
      </c>
      <c r="Z10" s="40">
        <f t="shared" si="11"/>
        <v>0.45</v>
      </c>
      <c r="AA10" s="32">
        <f t="shared" si="12"/>
        <v>164.25</v>
      </c>
      <c r="AC10" s="18">
        <f t="shared" si="2"/>
        <v>48697.729999999996</v>
      </c>
    </row>
    <row r="11" spans="1:29" x14ac:dyDescent="0.3">
      <c r="A11" s="12">
        <v>42370</v>
      </c>
      <c r="B11" s="11">
        <v>1120</v>
      </c>
      <c r="C11" s="11">
        <v>45</v>
      </c>
      <c r="D11" s="14">
        <f t="shared" si="3"/>
        <v>50.4</v>
      </c>
      <c r="E11" s="14">
        <f t="shared" si="4"/>
        <v>18396</v>
      </c>
      <c r="F11" s="11">
        <v>70</v>
      </c>
      <c r="G11" s="32">
        <f t="shared" si="0"/>
        <v>78.400000000000006</v>
      </c>
      <c r="H11" s="14">
        <f t="shared" si="5"/>
        <v>28616.000000000004</v>
      </c>
      <c r="J11" s="15">
        <v>12</v>
      </c>
      <c r="K11" s="15">
        <v>150</v>
      </c>
      <c r="L11" s="15">
        <f t="shared" si="6"/>
        <v>0.15</v>
      </c>
      <c r="M11" s="15">
        <f t="shared" si="7"/>
        <v>1.7999999999999998</v>
      </c>
      <c r="N11" s="15">
        <f t="shared" si="1"/>
        <v>656.99999999999989</v>
      </c>
      <c r="P11" s="15" t="s">
        <v>32</v>
      </c>
      <c r="Q11" s="15">
        <f t="shared" si="8"/>
        <v>124.9</v>
      </c>
      <c r="R11" s="22">
        <v>200</v>
      </c>
      <c r="S11" s="15">
        <v>4</v>
      </c>
      <c r="T11" s="30">
        <f t="shared" si="9"/>
        <v>6.2450000000000001</v>
      </c>
      <c r="U11" s="14">
        <f t="shared" si="10"/>
        <v>24.98</v>
      </c>
      <c r="W11" s="14">
        <v>3</v>
      </c>
      <c r="X11" s="32">
        <v>10</v>
      </c>
      <c r="Y11" s="40">
        <v>15</v>
      </c>
      <c r="Z11" s="40">
        <f t="shared" si="11"/>
        <v>0.45</v>
      </c>
      <c r="AA11" s="32">
        <f t="shared" si="12"/>
        <v>164.25</v>
      </c>
      <c r="AC11" s="18">
        <f t="shared" si="2"/>
        <v>47858.23</v>
      </c>
    </row>
    <row r="12" spans="1:29" x14ac:dyDescent="0.3">
      <c r="A12" s="12">
        <v>42736</v>
      </c>
      <c r="B12" s="11">
        <v>1128</v>
      </c>
      <c r="C12" s="11">
        <v>45</v>
      </c>
      <c r="D12" s="14">
        <f t="shared" si="3"/>
        <v>50.76</v>
      </c>
      <c r="E12" s="14">
        <f t="shared" si="4"/>
        <v>18527.399999999998</v>
      </c>
      <c r="F12" s="11">
        <v>70</v>
      </c>
      <c r="G12" s="32">
        <f t="shared" si="0"/>
        <v>78.959999999999994</v>
      </c>
      <c r="H12" s="14">
        <f t="shared" si="5"/>
        <v>28820.399999999998</v>
      </c>
      <c r="J12" s="15">
        <v>12</v>
      </c>
      <c r="K12" s="15">
        <v>150</v>
      </c>
      <c r="L12" s="15">
        <f t="shared" si="6"/>
        <v>0.15</v>
      </c>
      <c r="M12" s="15">
        <f t="shared" si="7"/>
        <v>1.7999999999999998</v>
      </c>
      <c r="N12" s="15">
        <f t="shared" si="1"/>
        <v>656.99999999999989</v>
      </c>
      <c r="P12" s="15" t="s">
        <v>32</v>
      </c>
      <c r="Q12" s="15">
        <f t="shared" si="8"/>
        <v>124.9</v>
      </c>
      <c r="R12" s="22">
        <v>200</v>
      </c>
      <c r="S12" s="15">
        <v>4</v>
      </c>
      <c r="T12" s="30">
        <f t="shared" si="9"/>
        <v>6.2450000000000001</v>
      </c>
      <c r="U12" s="14">
        <f t="shared" si="10"/>
        <v>24.98</v>
      </c>
      <c r="W12" s="14">
        <v>3</v>
      </c>
      <c r="X12" s="32">
        <v>10</v>
      </c>
      <c r="Y12" s="40">
        <v>15</v>
      </c>
      <c r="Z12" s="40">
        <f t="shared" si="11"/>
        <v>0.45</v>
      </c>
      <c r="AA12" s="32">
        <f t="shared" si="12"/>
        <v>164.25</v>
      </c>
      <c r="AC12" s="18">
        <f t="shared" si="2"/>
        <v>48194.03</v>
      </c>
    </row>
    <row r="13" spans="1:29" x14ac:dyDescent="0.3">
      <c r="B13" s="9">
        <f>SUM(B6:B12)</f>
        <v>7743</v>
      </c>
      <c r="C13" s="23" t="s">
        <v>24</v>
      </c>
      <c r="K13" s="24" t="s">
        <v>25</v>
      </c>
      <c r="Q13" s="24" t="s">
        <v>34</v>
      </c>
      <c r="X13" s="41" t="s">
        <v>53</v>
      </c>
      <c r="Y13" s="20"/>
      <c r="Z13" s="20"/>
      <c r="AA13" s="20"/>
    </row>
    <row r="14" spans="1:29" x14ac:dyDescent="0.3">
      <c r="D14" s="26" t="s">
        <v>48</v>
      </c>
      <c r="E14" s="26"/>
      <c r="F14" s="6" t="s">
        <v>49</v>
      </c>
      <c r="H14" s="20"/>
      <c r="Q14" s="24" t="s">
        <v>35</v>
      </c>
      <c r="X14" s="20"/>
      <c r="Y14" s="20"/>
      <c r="Z14" s="20"/>
      <c r="AA14" s="20"/>
    </row>
    <row r="15" spans="1:29" x14ac:dyDescent="0.3">
      <c r="D15" s="27" t="s">
        <v>30</v>
      </c>
      <c r="E15" s="27"/>
      <c r="F15" s="28" t="s">
        <v>31</v>
      </c>
      <c r="Y15" s="20"/>
      <c r="Z15" s="20"/>
      <c r="AA15" s="20"/>
      <c r="AB15" s="20"/>
      <c r="AC15" s="20"/>
    </row>
    <row r="16" spans="1:29" x14ac:dyDescent="0.3">
      <c r="C16"/>
      <c r="D16"/>
      <c r="E16"/>
      <c r="Y16" s="20"/>
      <c r="Z16" s="20"/>
      <c r="AA16" s="20"/>
      <c r="AB16" s="20"/>
      <c r="AC16" s="20"/>
    </row>
    <row r="17" spans="3:10" x14ac:dyDescent="0.3">
      <c r="C17"/>
      <c r="D17" s="33"/>
      <c r="E17" s="33"/>
      <c r="F17" s="34"/>
      <c r="G17" s="35"/>
      <c r="H17" s="20"/>
      <c r="I17" s="20"/>
      <c r="J17" s="20"/>
    </row>
    <row r="18" spans="3:10" x14ac:dyDescent="0.3">
      <c r="D18" s="33"/>
      <c r="E18" s="33"/>
      <c r="F18" s="36"/>
      <c r="G18" s="37"/>
      <c r="H18" s="20"/>
      <c r="I18" s="20"/>
      <c r="J18" s="20"/>
    </row>
    <row r="19" spans="3:10" x14ac:dyDescent="0.3">
      <c r="D19" s="33"/>
      <c r="E19" s="33"/>
      <c r="F19" s="38"/>
      <c r="G19" s="37"/>
      <c r="H19" s="20"/>
      <c r="I19" s="20"/>
      <c r="J19" s="20"/>
    </row>
    <row r="20" spans="3:10" x14ac:dyDescent="0.3">
      <c r="D20" s="33"/>
      <c r="E20" s="33"/>
      <c r="F20" s="37"/>
      <c r="G20" s="20"/>
      <c r="H20" s="20"/>
      <c r="I20" s="20"/>
      <c r="J20" s="20"/>
    </row>
    <row r="21" spans="3:10" x14ac:dyDescent="0.3">
      <c r="F21" s="19"/>
    </row>
    <row r="22" spans="3:10" x14ac:dyDescent="0.3">
      <c r="F22" s="19"/>
    </row>
  </sheetData>
  <mergeCells count="5">
    <mergeCell ref="J4:N4"/>
    <mergeCell ref="P4:U4"/>
    <mergeCell ref="B4:H4"/>
    <mergeCell ref="AC4:AC5"/>
    <mergeCell ref="W4:AA4"/>
  </mergeCells>
  <pageMargins left="0.7" right="0.7" top="0.75" bottom="0.75" header="0.3" footer="0.3"/>
  <pageSetup paperSize="9" orientation="portrait" copies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52CE240CB7C1F24EB39EB80B9C7A5E5C" ma:contentTypeVersion="755" ma:contentTypeDescription="Permitting &amp; Compliance Word Document" ma:contentTypeScope="" ma:versionID="1aafe5ed3eb81824303b2d679977bd12">
  <xsd:schema xmlns:xsd="http://www.w3.org/2001/XMLSchema" xmlns:xs="http://www.w3.org/2001/XMLSchema" xmlns:p="http://schemas.microsoft.com/office/2006/metadata/properties" xmlns:ns2="859f7ad6-93f6-4205-b62b-a17f28acbbac" xmlns:ns4="c2f70a08-1207-42db-a706-3a2f4cfa4a88" xmlns:ns5="http://schemas.microsoft.com/sharepoint/v4" xmlns:ns6="6e121689-de5b-41b9-a751-bfeda7fa2b07" xmlns:ns7="9be56660-2c31-41ef-bc00-23e72f632f2a" targetNamespace="http://schemas.microsoft.com/office/2006/metadata/properties" ma:root="true" ma:fieldsID="39933e3c07a672620f9bef5f8ec22532" ns2:_="" ns4:_="" ns5:_="" ns6:_="" ns7:_="">
    <xsd:import namespace="859f7ad6-93f6-4205-b62b-a17f28acbbac"/>
    <xsd:import namespace="c2f70a08-1207-42db-a706-3a2f4cfa4a88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IconOverlay" minOccurs="0"/>
                <xsd:element ref="ns6:LastSharedByUser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f70a08-1207-42db-a706-3a2f4cfa4a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Tags" ma:internalName="MediaServiceAutoTags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Trewern Farm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21 Gold Tops, Newport, NP20 4PG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2019-08-18T23:00:00+00:00</Document_x0020_Date>
    <Facility_x0020_Address xmlns="859f7ad6-93f6-4205-b62b-a17f28acbbac">Felindre Farchog, Crymych</Facility_x0020_Address>
    <Environment_x0020_Sub_x0020_Folder xmlns="859f7ad6-93f6-4205-b62b-a17f28acbbac">Licences applications</Environment_x0020_Sub_x0020_Folder>
    <Customer_x0020_Name xmlns="859f7ad6-93f6-4205-b62b-a17f28acbbac">Trewern Farm Limited</Customer_x0020_Name>
    <Surrendered_x002f_Expired_x0020_Date xmlns="859f7ad6-93f6-4205-b62b-a17f28acbbac" xsi:nil="true"/>
    <_dlc_DocId xmlns="9be56660-2c31-41ef-bc00-23e72f632f2a">REGU-425-39890</_dlc_DocId>
    <_dlc_DocIdUrl xmlns="9be56660-2c31-41ef-bc00-23e72f632f2a">
      <Url>https://cyfoethnaturiolcymru.sharepoint.com/teams/Regulatory/Permitting/_layouts/15/DocIdRedir.aspx?ID=REGU-425-39890</Url>
      <Description>REGU-425-39890</Description>
    </_dlc_DocIdUrl>
  </documentManagement>
</p:properties>
</file>

<file path=customXml/itemProps1.xml><?xml version="1.0" encoding="utf-8"?>
<ds:datastoreItem xmlns:ds="http://schemas.openxmlformats.org/officeDocument/2006/customXml" ds:itemID="{AA8E8CD6-B549-4F53-BAF9-E3FDEC88BB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09B70F-5ED4-4097-B4A5-0739A9B8772E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6DB31570-0C67-4266-A1B2-3B370C44120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2187688A-8DFA-4C63-AE49-96600E78E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c2f70a08-1207-42db-a706-3a2f4cfa4a88"/>
    <ds:schemaRef ds:uri="http://schemas.microsoft.com/sharepoint/v4"/>
    <ds:schemaRef ds:uri="6e121689-de5b-41b9-a751-bfeda7fa2b07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7BAE9543-6D19-4ECB-8DDD-D8D90632C948}">
  <ds:schemaRefs>
    <ds:schemaRef ds:uri="http://schemas.microsoft.com/office/2006/metadata/properties"/>
    <ds:schemaRef ds:uri="c2f70a08-1207-42db-a706-3a2f4cfa4a88"/>
    <ds:schemaRef ds:uri="http://schemas.microsoft.com/office/infopath/2007/PartnerControls"/>
    <ds:schemaRef ds:uri="859f7ad6-93f6-4205-b62b-a17f28acbbac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sharepoint/v4"/>
    <ds:schemaRef ds:uri="9be56660-2c31-41ef-bc00-23e72f632f2a"/>
    <ds:schemaRef ds:uri="http://purl.org/dc/elements/1.1/"/>
    <ds:schemaRef ds:uri="6e121689-de5b-41b9-a751-bfeda7fa2b0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READ ME</vt:lpstr>
      <vt:lpstr>Annual Summary </vt:lpstr>
      <vt:lpstr>Abstraction Volumes 11-17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McDonagh, Deri</cp:lastModifiedBy>
  <dcterms:created xsi:type="dcterms:W3CDTF">2019-05-14T08:57:16Z</dcterms:created>
  <dcterms:modified xsi:type="dcterms:W3CDTF">2021-06-29T14:01:59Z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0x01010067EB80C5FE939D4A9B3D8BA62129B7F501020052CE240CB7C1F24EB39EB80B9C7A5E5C</vt:lpwstr>
  </property>
  <property fmtid="{D5CDD505-2E9C-101B-9397-08002B2CF9AE}" pid="3" name="_dlc_DocId">
    <vt:lpwstr>REGU-425-39890</vt:lpwstr>
  </property>
  <property fmtid="{D5CDD505-2E9C-101B-9397-08002B2CF9AE}" pid="4" name="_dlc_DocIdItemGuid">
    <vt:lpwstr>bafea790-54d3-4e19-ad68-9e3e2d83f91f</vt:lpwstr>
  </property>
  <property fmtid="{D5CDD505-2E9C-101B-9397-08002B2CF9AE}" pid="5" name="_dlc_DocIdUrl">
    <vt:lpwstr>https://cyfoethnaturiolcymru.sharepoint.com/teams/Regulatory/Permitting/_layouts/15/DocIdRedir.aspx?ID=REGU-425-39890, REGU-425-39890</vt:lpwstr>
  </property>
</Properties>
</file>