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3.xml" ContentType="application/vnd.openxmlformats-officedocument.customXmlProperties+xml"/>
  <Override PartName="/xl/threadedComments/threadedComment1.xml" ContentType="application/vnd.ms-excel.threadedcomments+xml"/>
  <Override PartName="/xl/persons/person.xml" ContentType="application/vnd.ms-excel.person+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https://cyfoethnaturiolcymru-my.sharepoint.com/personal/steve_bickerton_cyfoethnaturiolcymru_gov_uk/Documents/Desktop/Steve Apps/"/>
    </mc:Choice>
  </mc:AlternateContent>
  <xr:revisionPtr revIDLastSave="0" documentId="8_{781C3FB5-771B-4590-88BC-8DBFE550A397}" xr6:coauthVersionLast="31" xr6:coauthVersionMax="31" xr10:uidLastSave="{00000000-0000-0000-0000-000000000000}"/>
  <bookViews>
    <workbookView xWindow="0" yWindow="0" windowWidth="23040" windowHeight="9072" activeTab="2" xr2:uid="{97235811-FFC2-47DC-9C7D-7B6C7D0AA14F}"/>
  </bookViews>
  <sheets>
    <sheet name="QA Sheet" sheetId="4" r:id="rId1"/>
    <sheet name="Usage" sheetId="1" r:id="rId2"/>
    <sheet name="Abstractions" sheetId="5" r:id="rId3"/>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 i="5" l="1"/>
  <c r="L8" i="5"/>
  <c r="I11" i="5"/>
  <c r="I19" i="5" s="1"/>
  <c r="I12" i="5"/>
  <c r="D57" i="5" l="1"/>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15" i="1" l="1"/>
  <c r="E37" i="5" l="1"/>
  <c r="F37" i="5"/>
  <c r="I6" i="5"/>
  <c r="F9" i="5"/>
  <c r="F8" i="5"/>
  <c r="I16" i="5"/>
  <c r="I9" i="5"/>
  <c r="H15" i="1"/>
  <c r="G15" i="1"/>
  <c r="F15" i="1"/>
  <c r="F46" i="5" l="1"/>
  <c r="F42"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7" i="5"/>
  <c r="F12" i="5"/>
  <c r="F43" i="5"/>
  <c r="F19" i="5"/>
  <c r="F7" i="5"/>
  <c r="E12" i="1"/>
  <c r="D9" i="1"/>
  <c r="D6" i="1"/>
  <c r="F6" i="1"/>
  <c r="G9" i="1" l="1"/>
  <c r="F9" i="1" l="1"/>
  <c r="F53" i="5" l="1"/>
  <c r="F49" i="5"/>
  <c r="F45" i="5"/>
  <c r="F35" i="5"/>
  <c r="F34" i="5"/>
  <c r="F32" i="5"/>
  <c r="F31" i="5"/>
  <c r="F29" i="5"/>
  <c r="F27" i="5"/>
  <c r="F25" i="5"/>
  <c r="F22" i="5"/>
  <c r="F23" i="5"/>
  <c r="F56" i="5"/>
  <c r="F51" i="5"/>
  <c r="F47" i="5"/>
  <c r="F44" i="5"/>
  <c r="F39" i="5"/>
  <c r="F38" i="5"/>
  <c r="F20" i="5"/>
  <c r="F21" i="5"/>
  <c r="F24" i="5"/>
  <c r="F26" i="5"/>
  <c r="F28" i="5"/>
  <c r="F30" i="5"/>
  <c r="F33" i="5"/>
  <c r="F36" i="5"/>
  <c r="F40" i="5"/>
  <c r="F41" i="5"/>
  <c r="F48" i="5"/>
  <c r="F50" i="5"/>
  <c r="F52" i="5"/>
  <c r="F54" i="5"/>
  <c r="F55" i="5"/>
  <c r="F57" i="5"/>
  <c r="F18" i="5"/>
  <c r="F17" i="5"/>
  <c r="F15" i="5"/>
  <c r="F13" i="5"/>
  <c r="F10" i="5"/>
  <c r="I8" i="5" s="1"/>
  <c r="I20" i="5" s="1"/>
  <c r="F16" i="5"/>
  <c r="F14" i="5"/>
  <c r="F11" i="5"/>
  <c r="A7" i="5" l="1"/>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6" i="5"/>
  <c r="E57" i="5"/>
  <c r="E56" i="5"/>
  <c r="E55" i="5"/>
  <c r="E54" i="5"/>
  <c r="E53" i="5"/>
  <c r="E52" i="5"/>
  <c r="E51" i="5"/>
  <c r="E50" i="5"/>
  <c r="E49" i="5"/>
  <c r="E48" i="5"/>
  <c r="E47" i="5"/>
  <c r="E46" i="5"/>
  <c r="E45" i="5"/>
  <c r="E44" i="5"/>
  <c r="E43" i="5"/>
  <c r="E42" i="5"/>
  <c r="E41" i="5"/>
  <c r="E40" i="5"/>
  <c r="E39" i="5"/>
  <c r="E38"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D12" i="1" l="1"/>
  <c r="G6" i="1" l="1"/>
  <c r="C6"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 Daily</author>
  </authors>
  <commentList>
    <comment ref="B14" authorId="0" shapeId="0" xr:uid="{F18B65CE-4985-4F13-BB6F-0A1052B36DAF}">
      <text>
        <r>
          <rPr>
            <b/>
            <sz val="9"/>
            <color indexed="81"/>
            <rFont val="Tahoma"/>
            <family val="2"/>
          </rPr>
          <t>Paul Daily:</t>
        </r>
        <r>
          <rPr>
            <sz val="9"/>
            <color indexed="81"/>
            <rFont val="Tahoma"/>
            <family val="2"/>
          </rPr>
          <t xml:space="preserve">
Lists files which provide input to the process (source data).  These may be spreadsheet, csv or text file format.</t>
        </r>
      </text>
    </comment>
    <comment ref="B22" authorId="0" shapeId="0" xr:uid="{551189A2-2653-4F6F-87C7-BE9F55B7431A}">
      <text>
        <r>
          <rPr>
            <b/>
            <sz val="9"/>
            <color indexed="81"/>
            <rFont val="Tahoma"/>
            <family val="2"/>
          </rPr>
          <t>Paul Daily:</t>
        </r>
        <r>
          <rPr>
            <sz val="9"/>
            <color indexed="81"/>
            <rFont val="Tahoma"/>
            <family val="2"/>
          </rPr>
          <t xml:space="preserve">
Insert the name of the self checker</t>
        </r>
      </text>
    </comment>
    <comment ref="B33" authorId="0" shapeId="0" xr:uid="{CB8AC25F-635F-49F5-AE4E-F086F230CD33}">
      <text>
        <r>
          <rPr>
            <b/>
            <sz val="9"/>
            <color indexed="81"/>
            <rFont val="Tahoma"/>
            <family val="2"/>
          </rPr>
          <t>Paul Daily:</t>
        </r>
        <r>
          <rPr>
            <sz val="9"/>
            <color indexed="81"/>
            <rFont val="Tahoma"/>
            <family val="2"/>
          </rPr>
          <t xml:space="preserve">
This defines whether an independent chedck is required.  The decision is made by the project manager depednent on the criticality of the calculations in the workbook to the outcome of the project.</t>
        </r>
      </text>
    </comment>
    <comment ref="B34" authorId="0" shapeId="0" xr:uid="{9133AA8B-6657-4EF9-A8E4-CA65607E09A4}">
      <text>
        <r>
          <rPr>
            <b/>
            <sz val="9"/>
            <color indexed="81"/>
            <rFont val="Tahoma"/>
            <family val="2"/>
          </rPr>
          <t>Paul Daily:</t>
        </r>
        <r>
          <rPr>
            <sz val="9"/>
            <color indexed="81"/>
            <rFont val="Tahoma"/>
            <family val="2"/>
          </rPr>
          <t xml:space="preserve">
The project amanger should insert their name here to confirm the decision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tc={4F60B41A-98C0-4FF8-913F-5B35C3038482}</author>
    <author>tc={3926E5E5-80D4-47CB-826B-994D40C6850A}</author>
    <author>tc={5B632872-01D3-4BC0-BDED-7BA8C0649C75}</author>
    <author>Holtham, Richard</author>
    <author>tc={E61D8DC2-9E38-44AF-81FB-97D8CB94D06F}</author>
    <author>tc={B890B43C-2EBB-4143-8E8F-A8D1C2F0EA7B}</author>
  </authors>
  <commentList>
    <comment ref="C6" authorId="0" shapeId="0" xr:uid="{4F60B41A-98C0-4FF8-913F-5B35C3038482}">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Testomy from client</t>
        </r>
      </text>
    </comment>
    <comment ref="G6" authorId="1" shapeId="0" xr:uid="{3926E5E5-80D4-47CB-826B-994D40C6850A}">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H6" authorId="2" shapeId="0" xr:uid="{5B632872-01D3-4BC0-BDED-7BA8C0649C75}">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F9" authorId="3" shapeId="0" xr:uid="{184DB8A1-0C77-41E6-88FC-082333F65853}">
      <text>
        <r>
          <rPr>
            <b/>
            <sz val="9"/>
            <color indexed="81"/>
            <rFont val="Tahoma"/>
            <family val="2"/>
          </rPr>
          <t>Holtham, Richard:</t>
        </r>
        <r>
          <rPr>
            <sz val="9"/>
            <color indexed="81"/>
            <rFont val="Tahoma"/>
            <family val="2"/>
          </rPr>
          <t xml:space="preserve">
For the day that the tank is emptied for cleaning and then refilled.</t>
        </r>
      </text>
    </comment>
    <comment ref="G9" authorId="4" shapeId="0" xr:uid="{E61D8DC2-9E38-44AF-81FB-97D8CB94D06F}">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 ref="H9" authorId="5" shapeId="0" xr:uid="{B890B43C-2EBB-4143-8E8F-A8D1C2F0EA7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From pump data sheet</t>
        </r>
      </text>
    </comment>
  </commentList>
</comments>
</file>

<file path=xl/sharedStrings.xml><?xml version="1.0" encoding="utf-8"?>
<sst xmlns="http://schemas.openxmlformats.org/spreadsheetml/2006/main" count="109" uniqueCount="90">
  <si>
    <t>Usage Estimates</t>
  </si>
  <si>
    <t>Dust suppression</t>
  </si>
  <si>
    <t>1 bowser</t>
  </si>
  <si>
    <t>litres</t>
  </si>
  <si>
    <t>Winter: none, as frequent rain</t>
  </si>
  <si>
    <t>Instantaeous abstraction rate (l/s)</t>
  </si>
  <si>
    <t>Annual usage (m3)</t>
  </si>
  <si>
    <t>Wheelwash</t>
  </si>
  <si>
    <t>Average daily usage (m3)</t>
  </si>
  <si>
    <t>File information and history</t>
  </si>
  <si>
    <t>Checker information</t>
  </si>
  <si>
    <t>File reference</t>
  </si>
  <si>
    <t>Project Manager</t>
  </si>
  <si>
    <t>Independent checker</t>
  </si>
  <si>
    <t>Spot check of calculations</t>
  </si>
  <si>
    <t>Author</t>
  </si>
  <si>
    <t>RAH</t>
  </si>
  <si>
    <t>Check type</t>
  </si>
  <si>
    <t>Comprehensive check of calculations</t>
  </si>
  <si>
    <t>Created date</t>
  </si>
  <si>
    <t>Full check of calculations and outputs/figures</t>
  </si>
  <si>
    <t>Version</t>
  </si>
  <si>
    <t>Check complete</t>
  </si>
  <si>
    <t>Yes</t>
  </si>
  <si>
    <t>Modifier</t>
  </si>
  <si>
    <t>Amended date</t>
  </si>
  <si>
    <t>Checker comments</t>
  </si>
  <si>
    <t>No</t>
  </si>
  <si>
    <t>Not required</t>
  </si>
  <si>
    <t>Source data file information (enter as hyperlinks)</t>
  </si>
  <si>
    <t>Source file 1</t>
  </si>
  <si>
    <t>Source file 2</t>
  </si>
  <si>
    <t>Source file 3</t>
  </si>
  <si>
    <t>Source file 4</t>
  </si>
  <si>
    <t>Source file 5</t>
  </si>
  <si>
    <t>Self checking section</t>
  </si>
  <si>
    <t>Checking complete</t>
  </si>
  <si>
    <t>Input data checked</t>
  </si>
  <si>
    <t>Formulas checked</t>
  </si>
  <si>
    <t>Outputs/figures checked</t>
  </si>
  <si>
    <t>Self check comments</t>
  </si>
  <si>
    <t>Independent check required</t>
  </si>
  <si>
    <t>Project Manager confirmation</t>
  </si>
  <si>
    <t>KLB</t>
  </si>
  <si>
    <t>OPTIMUM USE OF WATER FOR INDUSTRY AND AGRICULTURE: PHASE 3, R&amp;D Technical Report W6-056/TR2, Environment Agency 2003</t>
  </si>
  <si>
    <t>Processing</t>
  </si>
  <si>
    <t>180,000 tonnes of mineral per year.
Assume 0.02 m3 of water / tonne of mineral (Based on EA guidance document - reference below)</t>
  </si>
  <si>
    <t xml:space="preserve">Assumes 5.6 days a week operation, all weeks of the year. This reflects 5 full weekdays and a shorter Saturday working day (10 hours reduced from 16 hours). </t>
  </si>
  <si>
    <t>Maximum hourly abstraction rate (m3/hr)</t>
  </si>
  <si>
    <t xml:space="preserve">Maximum pump rate is 60 l/s taken from manufacturer's data sheet for Godwin HL100M Dri Prime Pump </t>
  </si>
  <si>
    <t>RAH 21/11/2018</t>
  </si>
  <si>
    <t>Date</t>
  </si>
  <si>
    <t>m3</t>
  </si>
  <si>
    <t>difference</t>
  </si>
  <si>
    <t>Transcribed from data from client here: O:\66664 TS Rees quarry abstraction licences\Data\Original data\Gaens Quarry</t>
  </si>
  <si>
    <t>Summer: 9 trips to fill up 3 bowsers every day i.e. 27 bowsers per day.  Assuming April to September</t>
  </si>
  <si>
    <t>Average daily between readings</t>
  </si>
  <si>
    <t>measured</t>
  </si>
  <si>
    <t>Measured May - Nov + average daily</t>
  </si>
  <si>
    <t>Measured May-Nov + maximum</t>
  </si>
  <si>
    <t>m3/yr</t>
  </si>
  <si>
    <t>mm</t>
  </si>
  <si>
    <t>calculated</t>
  </si>
  <si>
    <r>
      <t xml:space="preserve">Average </t>
    </r>
    <r>
      <rPr>
        <b/>
        <sz val="11"/>
        <color theme="1"/>
        <rFont val="Calibri"/>
        <family val="2"/>
        <scheme val="minor"/>
      </rPr>
      <t>daily</t>
    </r>
    <r>
      <rPr>
        <sz val="11"/>
        <color theme="1"/>
        <rFont val="Calibri"/>
        <family val="2"/>
        <scheme val="minor"/>
      </rPr>
      <t xml:space="preserve"> abs</t>
    </r>
  </si>
  <si>
    <r>
      <t xml:space="preserve">Maximum </t>
    </r>
    <r>
      <rPr>
        <b/>
        <sz val="11"/>
        <color theme="1"/>
        <rFont val="Calibri"/>
        <family val="2"/>
        <scheme val="minor"/>
      </rPr>
      <t>daily</t>
    </r>
    <r>
      <rPr>
        <sz val="11"/>
        <color theme="1"/>
        <rFont val="Calibri"/>
        <family val="2"/>
        <scheme val="minor"/>
      </rPr>
      <t xml:space="preserve"> abs</t>
    </r>
  </si>
  <si>
    <t>Measured abstraction (May - November)</t>
  </si>
  <si>
    <t>Annual transferred water (metered-usage)</t>
  </si>
  <si>
    <t>m3/year</t>
  </si>
  <si>
    <t>Daily transferred</t>
  </si>
  <si>
    <t>Max daily usage (m3)</t>
  </si>
  <si>
    <t xml:space="preserve">Pumping data May-Nov 18 received 13.11.18.pdf </t>
  </si>
  <si>
    <t xml:space="preserve">Godwin HL100 Pump details.pdf </t>
  </si>
  <si>
    <t>The data is misleading in the orginal PDF (see link above). We believe that the first column of data needs to be x10 as indicated by the column header, but the second column has already been multiplied by 10 as the pumping rate is 10x higher.
Checked calculations</t>
  </si>
  <si>
    <t>Total</t>
  </si>
  <si>
    <t>m3/day</t>
  </si>
  <si>
    <t>Data entered/ measured</t>
  </si>
  <si>
    <t>Data calculated</t>
  </si>
  <si>
    <t>CDW</t>
  </si>
  <si>
    <t>Site testimony: Topped up with approximately 2 bowsers per week and cleaned approximately every 1.5 weeks and emptied completely and refilled (25000 litres). Every 1.5 weeks in a year = 35 times a year (approx)</t>
  </si>
  <si>
    <t>Area of catchment</t>
  </si>
  <si>
    <t>m2</t>
  </si>
  <si>
    <t>Precipitation</t>
  </si>
  <si>
    <t>O:\6227_Cornelly\reports\R23 2017 Annual Report</t>
  </si>
  <si>
    <t>rainfall</t>
  </si>
  <si>
    <t>Total annual rainfall (mm) for 2014 (highest rainfall in qualifying period 2011 to 2017)</t>
  </si>
  <si>
    <t>Unit</t>
  </si>
  <si>
    <t>Comment</t>
  </si>
  <si>
    <t>Precip*Area of catchment/1000</t>
  </si>
  <si>
    <t>-</t>
  </si>
  <si>
    <t>CDW - full review of formulae and sort of rainfall and instantaneous assumptions.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</si>
</sst>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F800]dddd\,\ mmmm\ dd\,\ yyyy"/>
    <numFmt numFmtId="166" formatCode="_-* #,##0.0_-;\-* #,##0.0_-;_-* &quot;-&quot;??_-;_-@_-"/>
  </numFmts>
  <fonts count="11" x14ac:knownFonts="1">
    <font>
      <sz val="11"/>
      <color theme="1"/>
      <name val="Calibri"/>
      <family val="2"/>
      <scheme val="minor"/>
    </font>
    <font>
      <sz val="11"/>
      <color theme="1"/>
      <name val="Calibri"/>
      <family val="2"/>
      <scheme val="minor"/>
    </font>
    <font>
      <u/>
      <sz val="11"/>
      <color theme="10"/>
      <name val="Calibri"/>
      <family val="2"/>
      <scheme val="minor"/>
    </font>
    <font>
      <sz val="8"/>
      <color theme="1"/>
      <name val="Arial"/>
      <family val="2"/>
    </font>
    <font>
      <b/>
      <sz val="8"/>
      <color theme="1"/>
      <name val="Arial"/>
      <family val="2"/>
    </font>
    <font>
      <b/>
      <sz val="9"/>
      <color indexed="81"/>
      <name val="Tahoma"/>
      <family val="2"/>
    </font>
    <font>
      <sz val="9"/>
      <color indexed="81"/>
      <name val="Tahoma"/>
      <family val="2"/>
    </font>
    <font>
      <sz val="11"/>
      <color rgb="FFFF0000"/>
      <name val="Calibri"/>
      <family val="2"/>
      <scheme val="minor"/>
    </font>
    <font>
      <sz val="11"/>
      <name val="Calibri"/>
      <family val="2"/>
      <scheme val="minor"/>
    </font>
    <font>
      <b/>
      <sz val="11"/>
      <color theme="1"/>
      <name val="Calibri"/>
      <family val="2"/>
      <scheme val="minor"/>
    </font>
    <font>
      <b/>
      <u/>
      <sz val="10"/>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99FF99"/>
        <bgColor indexed="64"/>
      </patternFill>
    </fill>
    <fill>
      <patternFill patternType="solid">
        <fgColor rgb="FFFFFF99"/>
        <bgColor indexed="64"/>
      </patternFill>
    </fill>
  </fills>
  <borders count="27">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0"/>
  </cellStyleXfs>
  <cellXfs count="85">
    <xf numFmtId="0" fontId="0" fillId="0" borderId="0" xfId="0"/>
    <xf numFmtId="0" fontId="0" fillId="0" borderId="0" xfId="0" applyAlignment="1">
      <alignment wrapText="1"/>
    </xf>
    <xf numFmtId="164" fontId="0" fillId="0" borderId="0" xfId="1" applyNumberFormat="1" applyFont="1"/>
    <xf numFmtId="0" fontId="3" fillId="0" borderId="0" xfId="3" applyAlignment="1">
      <alignment vertical="center"/>
    </xf>
    <xf numFmtId="0" fontId="4" fillId="3" borderId="5" xfId="3" applyFont="1" applyFill="1" applyBorder="1" applyAlignment="1">
      <alignment vertical="center"/>
    </xf>
    <xf numFmtId="0" fontId="3" fillId="0" borderId="6" xfId="3" applyBorder="1" applyAlignment="1">
      <alignment horizontal="left" vertical="center"/>
    </xf>
    <xf numFmtId="0" fontId="4" fillId="3" borderId="7" xfId="3" applyFont="1" applyFill="1" applyBorder="1" applyAlignment="1">
      <alignment vertical="center"/>
    </xf>
    <xf numFmtId="0" fontId="4" fillId="3" borderId="9" xfId="3" applyFont="1" applyFill="1" applyBorder="1" applyAlignment="1">
      <alignment vertical="center"/>
    </xf>
    <xf numFmtId="0" fontId="3" fillId="0" borderId="10" xfId="3" applyBorder="1" applyAlignment="1">
      <alignment horizontal="left" vertical="center"/>
    </xf>
    <xf numFmtId="14" fontId="3" fillId="0" borderId="6" xfId="3" applyNumberFormat="1" applyBorder="1" applyAlignment="1">
      <alignment horizontal="left" vertical="center"/>
    </xf>
    <xf numFmtId="0" fontId="3" fillId="0" borderId="0" xfId="3" applyAlignment="1">
      <alignment horizontal="left" vertical="center"/>
    </xf>
    <xf numFmtId="0" fontId="4" fillId="3" borderId="11" xfId="3" applyFont="1" applyFill="1" applyBorder="1" applyAlignment="1">
      <alignment vertical="center"/>
    </xf>
    <xf numFmtId="0" fontId="4" fillId="3" borderId="13" xfId="3" applyFont="1" applyFill="1" applyBorder="1" applyAlignment="1">
      <alignment vertical="center"/>
    </xf>
    <xf numFmtId="14" fontId="3" fillId="0" borderId="10" xfId="3" applyNumberFormat="1" applyBorder="1" applyAlignment="1">
      <alignment horizontal="left" vertical="center"/>
    </xf>
    <xf numFmtId="0" fontId="4" fillId="0" borderId="0" xfId="3" applyFont="1" applyAlignment="1">
      <alignment vertical="center"/>
    </xf>
    <xf numFmtId="0" fontId="4" fillId="3" borderId="3" xfId="3" applyFont="1" applyFill="1" applyBorder="1" applyAlignment="1">
      <alignment vertical="center"/>
    </xf>
    <xf numFmtId="0" fontId="4" fillId="3" borderId="21" xfId="3" applyFont="1" applyFill="1" applyBorder="1" applyAlignment="1">
      <alignment vertical="center"/>
    </xf>
    <xf numFmtId="0" fontId="4" fillId="3" borderId="3" xfId="3" applyFont="1" applyFill="1" applyBorder="1" applyAlignment="1">
      <alignment horizontal="left" vertical="center"/>
    </xf>
    <xf numFmtId="0" fontId="3" fillId="0" borderId="22" xfId="3" applyBorder="1" applyAlignment="1">
      <alignment horizontal="left" vertical="center"/>
    </xf>
    <xf numFmtId="0" fontId="4" fillId="3" borderId="14" xfId="3" applyFont="1" applyFill="1" applyBorder="1" applyAlignment="1">
      <alignment vertical="center"/>
    </xf>
    <xf numFmtId="0" fontId="3" fillId="0" borderId="17" xfId="3" applyBorder="1" applyAlignment="1">
      <alignment horizontal="left" vertical="center"/>
    </xf>
    <xf numFmtId="0" fontId="7" fillId="0" borderId="0" xfId="0" applyFont="1" applyAlignment="1">
      <alignment wrapText="1"/>
    </xf>
    <xf numFmtId="0" fontId="0" fillId="0" borderId="23" xfId="0" applyBorder="1"/>
    <xf numFmtId="0" fontId="0" fillId="0" borderId="12" xfId="0" applyBorder="1"/>
    <xf numFmtId="0" fontId="8" fillId="0" borderId="0" xfId="0" applyFont="1" applyAlignment="1">
      <alignment wrapText="1"/>
    </xf>
    <xf numFmtId="0" fontId="2" fillId="0" borderId="0" xfId="2"/>
    <xf numFmtId="14" fontId="0" fillId="0" borderId="0" xfId="0" applyNumberFormat="1"/>
    <xf numFmtId="165" fontId="0" fillId="0" borderId="0" xfId="0" applyNumberFormat="1"/>
    <xf numFmtId="1" fontId="0" fillId="0" borderId="0" xfId="0" applyNumberFormat="1"/>
    <xf numFmtId="0" fontId="0" fillId="0" borderId="0" xfId="0" applyBorder="1"/>
    <xf numFmtId="164" fontId="0" fillId="0" borderId="0" xfId="1" applyNumberFormat="1" applyFont="1" applyFill="1"/>
    <xf numFmtId="0" fontId="2" fillId="0" borderId="0" xfId="2" applyAlignment="1">
      <alignment horizontal="left" vertical="center"/>
    </xf>
    <xf numFmtId="0" fontId="3" fillId="0" borderId="0" xfId="3" applyFill="1" applyAlignment="1">
      <alignment vertical="center"/>
    </xf>
    <xf numFmtId="0" fontId="0" fillId="0" borderId="0" xfId="0" applyFill="1"/>
    <xf numFmtId="0" fontId="0" fillId="0" borderId="25" xfId="0" applyBorder="1"/>
    <xf numFmtId="0" fontId="0" fillId="0" borderId="25" xfId="0" applyBorder="1" applyAlignment="1">
      <alignment wrapText="1"/>
    </xf>
    <xf numFmtId="164" fontId="0" fillId="0" borderId="25" xfId="0" applyNumberFormat="1" applyBorder="1"/>
    <xf numFmtId="0" fontId="0" fillId="4" borderId="0" xfId="0" applyFill="1"/>
    <xf numFmtId="0" fontId="0" fillId="5" borderId="0" xfId="0" applyFill="1"/>
    <xf numFmtId="0" fontId="7" fillId="5" borderId="0" xfId="0" applyFont="1" applyFill="1"/>
    <xf numFmtId="164" fontId="0" fillId="4" borderId="0" xfId="1" applyNumberFormat="1" applyFont="1" applyFill="1"/>
    <xf numFmtId="164" fontId="0" fillId="5" borderId="0" xfId="1" applyNumberFormat="1" applyFont="1" applyFill="1"/>
    <xf numFmtId="164" fontId="0" fillId="5" borderId="25" xfId="0" applyNumberFormat="1" applyFill="1" applyBorder="1"/>
    <xf numFmtId="0" fontId="0" fillId="4" borderId="24" xfId="0" applyFill="1" applyBorder="1"/>
    <xf numFmtId="0" fontId="0" fillId="0" borderId="26" xfId="0" applyBorder="1"/>
    <xf numFmtId="0" fontId="0" fillId="0" borderId="17" xfId="0" applyBorder="1"/>
    <xf numFmtId="0" fontId="0" fillId="0" borderId="9" xfId="0" applyBorder="1"/>
    <xf numFmtId="0" fontId="0" fillId="0" borderId="10" xfId="0" applyBorder="1"/>
    <xf numFmtId="2" fontId="0" fillId="5" borderId="0" xfId="0" applyNumberFormat="1" applyFill="1"/>
    <xf numFmtId="2" fontId="0" fillId="0" borderId="0" xfId="0" applyNumberFormat="1"/>
    <xf numFmtId="0" fontId="3" fillId="0" borderId="10" xfId="3" applyFill="1" applyBorder="1" applyAlignment="1">
      <alignment horizontal="left" vertical="center"/>
    </xf>
    <xf numFmtId="0" fontId="3" fillId="0" borderId="12" xfId="3" applyFill="1" applyBorder="1" applyAlignment="1">
      <alignment horizontal="left" vertical="center"/>
    </xf>
    <xf numFmtId="0" fontId="2" fillId="0" borderId="6" xfId="2" applyBorder="1" applyAlignment="1">
      <alignment horizontal="left" vertical="center"/>
    </xf>
    <xf numFmtId="0" fontId="0" fillId="0" borderId="6" xfId="0" applyBorder="1"/>
    <xf numFmtId="0" fontId="10" fillId="0" borderId="10" xfId="0" applyFont="1" applyBorder="1" applyAlignment="1">
      <alignment horizontal="left" vertical="center"/>
    </xf>
    <xf numFmtId="43" fontId="0" fillId="0" borderId="0" xfId="0" applyNumberFormat="1"/>
    <xf numFmtId="0" fontId="9" fillId="0" borderId="0" xfId="0" applyFont="1" applyFill="1" applyAlignment="1">
      <alignment wrapText="1"/>
    </xf>
    <xf numFmtId="0" fontId="0" fillId="0" borderId="0" xfId="0" applyFill="1" applyAlignment="1">
      <alignment wrapText="1"/>
    </xf>
    <xf numFmtId="166" fontId="0" fillId="0" borderId="0" xfId="1" applyNumberFormat="1" applyFont="1"/>
    <xf numFmtId="164" fontId="0" fillId="4" borderId="25" xfId="0" applyNumberFormat="1" applyFill="1" applyBorder="1"/>
    <xf numFmtId="164" fontId="0" fillId="0" borderId="0" xfId="1" applyNumberFormat="1" applyFont="1" applyFill="1" applyAlignment="1">
      <alignment horizontal="center" vertical="center"/>
    </xf>
    <xf numFmtId="164" fontId="8" fillId="4" borderId="0" xfId="1" applyNumberFormat="1" applyFont="1" applyFill="1"/>
    <xf numFmtId="164" fontId="0" fillId="4" borderId="16" xfId="1" applyNumberFormat="1" applyFont="1" applyFill="1" applyBorder="1"/>
    <xf numFmtId="164" fontId="0" fillId="4" borderId="20" xfId="1" applyNumberFormat="1" applyFont="1" applyFill="1" applyBorder="1"/>
    <xf numFmtId="0" fontId="4" fillId="0" borderId="1" xfId="3" applyFont="1" applyBorder="1" applyAlignment="1">
      <alignment horizontal="center" vertical="center"/>
    </xf>
    <xf numFmtId="0" fontId="4" fillId="0" borderId="2" xfId="3" applyFont="1" applyBorder="1" applyAlignment="1">
      <alignment horizontal="center" vertical="center"/>
    </xf>
    <xf numFmtId="0" fontId="4" fillId="3" borderId="14" xfId="3" applyFont="1" applyFill="1" applyBorder="1" applyAlignment="1">
      <alignment horizontal="center" vertical="center"/>
    </xf>
    <xf numFmtId="0" fontId="4" fillId="3" borderId="7" xfId="3" applyFont="1" applyFill="1" applyBorder="1" applyAlignment="1">
      <alignment horizontal="center" vertical="center"/>
    </xf>
    <xf numFmtId="0" fontId="4" fillId="3" borderId="13" xfId="3" applyFont="1" applyFill="1" applyBorder="1" applyAlignment="1">
      <alignment horizontal="center" vertical="center"/>
    </xf>
    <xf numFmtId="0" fontId="3" fillId="0" borderId="15" xfId="3" applyFill="1" applyBorder="1" applyAlignment="1">
      <alignment horizontal="left" vertical="center" wrapText="1"/>
    </xf>
    <xf numFmtId="0" fontId="3" fillId="0" borderId="16" xfId="3" applyFill="1" applyBorder="1" applyAlignment="1">
      <alignment horizontal="left" vertical="center" wrapText="1"/>
    </xf>
    <xf numFmtId="0" fontId="3" fillId="0" borderId="17" xfId="3" applyFill="1" applyBorder="1" applyAlignment="1">
      <alignment horizontal="left" vertical="center" wrapText="1"/>
    </xf>
    <xf numFmtId="0" fontId="3" fillId="0" borderId="18" xfId="3" applyFill="1" applyBorder="1" applyAlignment="1">
      <alignment horizontal="left" vertical="center" wrapText="1"/>
    </xf>
    <xf numFmtId="0" fontId="3" fillId="0" borderId="0" xfId="3" applyFill="1" applyAlignment="1">
      <alignment horizontal="left" vertical="center" wrapText="1"/>
    </xf>
    <xf numFmtId="0" fontId="3" fillId="0" borderId="6" xfId="3" applyFill="1" applyBorder="1" applyAlignment="1">
      <alignment horizontal="left" vertical="center" wrapText="1"/>
    </xf>
    <xf numFmtId="0" fontId="3" fillId="0" borderId="19" xfId="3" applyFill="1" applyBorder="1" applyAlignment="1">
      <alignment horizontal="left" vertical="center" wrapText="1"/>
    </xf>
    <xf numFmtId="0" fontId="3" fillId="0" borderId="20" xfId="3" applyFill="1" applyBorder="1" applyAlignment="1">
      <alignment horizontal="left" vertical="center" wrapText="1"/>
    </xf>
    <xf numFmtId="0" fontId="3" fillId="0" borderId="10" xfId="3" applyFill="1" applyBorder="1" applyAlignment="1">
      <alignment horizontal="left" vertical="center" wrapText="1"/>
    </xf>
    <xf numFmtId="0" fontId="3" fillId="0" borderId="0" xfId="3" applyAlignment="1">
      <alignment horizontal="center" vertical="center"/>
    </xf>
    <xf numFmtId="0" fontId="4" fillId="2" borderId="1" xfId="3" applyFont="1" applyFill="1" applyBorder="1" applyAlignment="1">
      <alignment horizontal="center" vertical="center"/>
    </xf>
    <xf numFmtId="0" fontId="4" fillId="2" borderId="2" xfId="3" applyFont="1" applyFill="1" applyBorder="1" applyAlignment="1">
      <alignment horizontal="center" vertical="center"/>
    </xf>
    <xf numFmtId="0" fontId="4" fillId="3" borderId="3" xfId="3" applyFont="1" applyFill="1" applyBorder="1" applyAlignment="1">
      <alignment horizontal="left" vertical="center"/>
    </xf>
    <xf numFmtId="0" fontId="4" fillId="3" borderId="7" xfId="3" applyFont="1" applyFill="1" applyBorder="1" applyAlignment="1">
      <alignment horizontal="left" vertical="center"/>
    </xf>
    <xf numFmtId="0" fontId="3" fillId="0" borderId="4" xfId="3" applyBorder="1" applyAlignment="1">
      <alignment horizontal="left" vertical="center" wrapText="1"/>
    </xf>
    <xf numFmtId="0" fontId="3" fillId="0" borderId="8" xfId="3" applyBorder="1" applyAlignment="1">
      <alignment horizontal="left" vertical="center" wrapText="1"/>
    </xf>
  </cellXfs>
  <cellStyles count="4">
    <cellStyle name="Comma" xfId="1" builtinId="3"/>
    <cellStyle name="Hyperlink" xfId="2" builtinId="8"/>
    <cellStyle name="Normal" xfId="0" builtinId="0"/>
    <cellStyle name="Normal 2" xfId="3" xr:uid="{31471CB5-8DB5-41F0-8591-21AF0ABB1228}"/>
  </cellStyles>
  <dxfs count="0"/>
  <tableStyles count="0" defaultTableStyle="TableStyleMedium2" defaultPivotStyle="PivotStyleLight16"/>
  <colors>
    <mruColors>
      <color rgb="FF99FF99"/>
      <color rgb="FFFFFF99"/>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266700</xdr:colOff>
      <xdr:row>0</xdr:row>
      <xdr:rowOff>0</xdr:rowOff>
    </xdr:from>
    <xdr:to>
      <xdr:col>2</xdr:col>
      <xdr:colOff>768350</xdr:colOff>
      <xdr:row>2</xdr:row>
      <xdr:rowOff>228859</xdr:rowOff>
    </xdr:to>
    <xdr:pic>
      <xdr:nvPicPr>
        <xdr:cNvPr id="2" name="Picture 1">
          <a:extLst>
            <a:ext uri="{FF2B5EF4-FFF2-40B4-BE49-F238E27FC236}">
              <a16:creationId xmlns:a16="http://schemas.microsoft.com/office/drawing/2014/main" id="{7DDB5E8D-44EF-46F8-8E9D-3F290511CC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0"/>
          <a:ext cx="2546985" cy="7165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337112</xdr:colOff>
      <xdr:row>4</xdr:row>
      <xdr:rowOff>6724</xdr:rowOff>
    </xdr:from>
    <xdr:to>
      <xdr:col>19</xdr:col>
      <xdr:colOff>354280</xdr:colOff>
      <xdr:row>10</xdr:row>
      <xdr:rowOff>39735</xdr:rowOff>
    </xdr:to>
    <xdr:pic>
      <xdr:nvPicPr>
        <xdr:cNvPr id="2" name="Picture 1">
          <a:extLst>
            <a:ext uri="{FF2B5EF4-FFF2-40B4-BE49-F238E27FC236}">
              <a16:creationId xmlns:a16="http://schemas.microsoft.com/office/drawing/2014/main" id="{83F6D7F5-370F-4200-BFAA-44B38F5BCC6C}"/>
            </a:ext>
          </a:extLst>
        </xdr:cNvPr>
        <xdr:cNvPicPr>
          <a:picLocks noChangeAspect="1"/>
        </xdr:cNvPicPr>
      </xdr:nvPicPr>
      <xdr:blipFill>
        <a:blip xmlns:r="http://schemas.openxmlformats.org/officeDocument/2006/relationships" r:embed="rId1"/>
        <a:stretch>
          <a:fillRect/>
        </a:stretch>
      </xdr:blipFill>
      <xdr:spPr>
        <a:xfrm>
          <a:off x="12316200" y="791136"/>
          <a:ext cx="4858109" cy="270001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Brady, Kate" id="{56568FB0-F52C-4917-9308-9825F7A86FDF}" userId="S::kate.brady@stantec.com::d59c783d-90f4-4513-8ec7-c01ad59b41da" providerId="AD"/>
  <person displayName="Holtham, Richard" id="{F9D214FF-B9E8-40FD-8F5C-0ECCDB59125C}" userId="S::Richard.Holtham@stantec.com::acf97b51-fe25-45d4-acaf-eaf51e112da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6" dT="2019-08-16T10:05:31.40" personId="{56568FB0-F52C-4917-9308-9825F7A86FDF}" id="{4F60B41A-98C0-4FF8-913F-5B35C3038482}">
    <text>Testomy from client</text>
  </threadedComment>
  <threadedComment ref="G6" dT="2019-08-16T12:19:39.37" personId="{56568FB0-F52C-4917-9308-9825F7A86FDF}" id="{3926E5E5-80D4-47CB-826B-994D40C6850A}">
    <text>From pump data sheet</text>
  </threadedComment>
  <threadedComment ref="H6" dT="2019-08-16T12:19:26.52" personId="{56568FB0-F52C-4917-9308-9825F7A86FDF}" id="{5B632872-01D3-4BC0-BDED-7BA8C0649C75}">
    <text>From pump data sheet</text>
  </threadedComment>
  <threadedComment ref="G9" dT="2019-08-16T12:19:39.37" personId="{56568FB0-F52C-4917-9308-9825F7A86FDF}" id="{E61D8DC2-9E38-44AF-81FB-97D8CB94D06F}">
    <text>From pump data sheet</text>
  </threadedComment>
  <threadedComment ref="H9" dT="2019-08-16T12:19:26.52" personId="{56568FB0-F52C-4917-9308-9825F7A86FDF}" id="{B890B43C-2EBB-4143-8E8F-A8D1C2F0EA7B}">
    <text>From pump data sheet</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file://Gb1029-ppfss01/projects/6227_Cornelly/reports/R26%202018%20Annual%20Report/6227R26%20Cornelly%202018%20Annual%20Report.pdf" TargetMode="External"/><Relationship Id="rId7" Type="http://schemas.openxmlformats.org/officeDocument/2006/relationships/comments" Target="../comments1.xml"/><Relationship Id="rId2" Type="http://schemas.openxmlformats.org/officeDocument/2006/relationships/hyperlink" Target="file:///C:/Users/Steve.Bickerton/AppData/Local/Packages/Microsoft.MicrosoftEdge_8wekyb3d8bbwe/TempState/Original%20data/Godwin%20HL100%20Pump%20details.pdf" TargetMode="External"/><Relationship Id="rId1" Type="http://schemas.openxmlformats.org/officeDocument/2006/relationships/hyperlink" Target="file:///C:/Users/Steve.Bickerton/AppData/Local/Packages/Microsoft.MicrosoftEdge_8wekyb3d8bbwe/TempState/Original%20data/Gaens%20Quarry/Pumping%20data%20May-Nov%2018%20received%2013.11.18.pdf"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hyperlink" Target="file:///C:/Users/Steve.Bickerton/AppData/Local/Packages/Microsoft.MicrosoftEdge_8wekyb3d8bbwe/Original%20data/Gaens%20Quarry/Pumping%20data%20May-Nov%2018%20received%2013.11.18.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8A021-649F-48BF-B12A-18CA7A03B35D}">
  <dimension ref="A1:AF34"/>
  <sheetViews>
    <sheetView zoomScale="85" zoomScaleNormal="85" workbookViewId="0">
      <selection activeCell="G12" sqref="G12:J18"/>
    </sheetView>
  </sheetViews>
  <sheetFormatPr defaultColWidth="7.33203125" defaultRowHeight="19.5" customHeight="1" x14ac:dyDescent="0.3"/>
  <cols>
    <col min="1" max="1" width="7.33203125" style="3"/>
    <col min="2" max="2" width="22.44140625" style="3" customWidth="1"/>
    <col min="3" max="3" width="42.33203125" style="3" customWidth="1"/>
    <col min="4" max="4" width="7.33203125" style="3"/>
    <col min="5" max="5" width="51.109375" style="3" customWidth="1"/>
    <col min="6" max="6" width="17" style="3" customWidth="1"/>
    <col min="7" max="7" width="31.33203125" style="3" customWidth="1"/>
    <col min="8" max="8" width="16.6640625" style="3" customWidth="1"/>
    <col min="9" max="9" width="25.44140625" style="3" customWidth="1"/>
    <col min="10" max="10" width="10.6640625" style="3" customWidth="1"/>
    <col min="11" max="11" width="11" style="3" customWidth="1"/>
    <col min="12" max="12" width="12" style="3" customWidth="1"/>
    <col min="13" max="16384" width="7.33203125" style="3"/>
  </cols>
  <sheetData>
    <row r="1" spans="1:32" ht="19.5" customHeight="1" x14ac:dyDescent="0.3">
      <c r="A1" s="78"/>
      <c r="B1" s="78"/>
      <c r="C1" s="78"/>
    </row>
    <row r="2" spans="1:32" ht="19.5" customHeight="1" x14ac:dyDescent="0.3">
      <c r="A2" s="78"/>
      <c r="B2" s="78"/>
      <c r="C2" s="78"/>
    </row>
    <row r="3" spans="1:32" ht="19.5" customHeight="1" x14ac:dyDescent="0.3">
      <c r="A3" s="78"/>
      <c r="B3" s="78"/>
      <c r="C3" s="78"/>
    </row>
    <row r="4" spans="1:32" ht="19.5" customHeight="1" thickBot="1" x14ac:dyDescent="0.35"/>
    <row r="5" spans="1:32" ht="19.5" customHeight="1" x14ac:dyDescent="0.3">
      <c r="B5" s="64" t="s">
        <v>9</v>
      </c>
      <c r="C5" s="65"/>
      <c r="F5" s="79" t="s">
        <v>10</v>
      </c>
      <c r="G5" s="80"/>
    </row>
    <row r="6" spans="1:32" ht="18" customHeight="1" x14ac:dyDescent="0.3">
      <c r="B6" s="81" t="s">
        <v>11</v>
      </c>
      <c r="C6" s="83" t="e">
        <f ca="1">CELL("filename")</f>
        <v>#N/A</v>
      </c>
      <c r="F6" s="4" t="s">
        <v>12</v>
      </c>
      <c r="G6" s="5" t="s">
        <v>43</v>
      </c>
    </row>
    <row r="7" spans="1:32" ht="18" customHeight="1" x14ac:dyDescent="0.3">
      <c r="B7" s="82"/>
      <c r="C7" s="84"/>
      <c r="F7" s="4" t="s">
        <v>13</v>
      </c>
      <c r="G7" s="5" t="s">
        <v>77</v>
      </c>
      <c r="AF7" s="3" t="s">
        <v>14</v>
      </c>
    </row>
    <row r="8" spans="1:32" ht="19.5" customHeight="1" thickBot="1" x14ac:dyDescent="0.35">
      <c r="B8" s="6" t="s">
        <v>15</v>
      </c>
      <c r="C8" s="5" t="s">
        <v>16</v>
      </c>
      <c r="F8" s="7" t="s">
        <v>17</v>
      </c>
      <c r="G8" s="50" t="s">
        <v>18</v>
      </c>
      <c r="AF8" s="3" t="s">
        <v>18</v>
      </c>
    </row>
    <row r="9" spans="1:32" ht="19.5" customHeight="1" thickBot="1" x14ac:dyDescent="0.35">
      <c r="B9" s="6" t="s">
        <v>19</v>
      </c>
      <c r="C9" s="9">
        <v>43677</v>
      </c>
      <c r="G9" s="10"/>
      <c r="AF9" s="3" t="s">
        <v>20</v>
      </c>
    </row>
    <row r="10" spans="1:32" ht="19.5" customHeight="1" thickBot="1" x14ac:dyDescent="0.35">
      <c r="B10" s="6" t="s">
        <v>21</v>
      </c>
      <c r="C10" s="5">
        <v>1</v>
      </c>
      <c r="F10" s="11" t="s">
        <v>22</v>
      </c>
      <c r="G10" s="51" t="s">
        <v>23</v>
      </c>
    </row>
    <row r="11" spans="1:32" ht="19.5" customHeight="1" thickBot="1" x14ac:dyDescent="0.35">
      <c r="B11" s="6" t="s">
        <v>24</v>
      </c>
      <c r="C11" s="5" t="s">
        <v>43</v>
      </c>
      <c r="AF11" s="3" t="s">
        <v>23</v>
      </c>
    </row>
    <row r="12" spans="1:32" ht="19.5" customHeight="1" thickBot="1" x14ac:dyDescent="0.35">
      <c r="B12" s="12" t="s">
        <v>25</v>
      </c>
      <c r="C12" s="13">
        <v>43684</v>
      </c>
      <c r="F12" s="66" t="s">
        <v>26</v>
      </c>
      <c r="G12" s="69" t="s">
        <v>89</v>
      </c>
      <c r="H12" s="70"/>
      <c r="I12" s="70"/>
      <c r="J12" s="71"/>
      <c r="AF12" s="3" t="s">
        <v>27</v>
      </c>
    </row>
    <row r="13" spans="1:32" ht="19.5" customHeight="1" thickBot="1" x14ac:dyDescent="0.35">
      <c r="B13" s="14"/>
      <c r="F13" s="67"/>
      <c r="G13" s="72"/>
      <c r="H13" s="73"/>
      <c r="I13" s="73"/>
      <c r="J13" s="74"/>
      <c r="AF13" s="3" t="s">
        <v>28</v>
      </c>
    </row>
    <row r="14" spans="1:32" ht="19.5" customHeight="1" x14ac:dyDescent="0.3">
      <c r="B14" s="64" t="s">
        <v>29</v>
      </c>
      <c r="C14" s="65"/>
      <c r="F14" s="67"/>
      <c r="G14" s="72"/>
      <c r="H14" s="73"/>
      <c r="I14" s="73"/>
      <c r="J14" s="74"/>
    </row>
    <row r="15" spans="1:32" ht="19.5" customHeight="1" x14ac:dyDescent="0.3">
      <c r="B15" s="15" t="s">
        <v>30</v>
      </c>
      <c r="C15" s="52" t="s">
        <v>70</v>
      </c>
      <c r="D15" s="32"/>
      <c r="F15" s="67"/>
      <c r="G15" s="72"/>
      <c r="H15" s="73"/>
      <c r="I15" s="73"/>
      <c r="J15" s="74"/>
    </row>
    <row r="16" spans="1:32" ht="19.5" customHeight="1" x14ac:dyDescent="0.3">
      <c r="B16" s="15" t="s">
        <v>31</v>
      </c>
      <c r="C16" s="52" t="s">
        <v>71</v>
      </c>
      <c r="F16" s="67"/>
      <c r="G16" s="72"/>
      <c r="H16" s="73"/>
      <c r="I16" s="73"/>
      <c r="J16" s="74"/>
    </row>
    <row r="17" spans="2:10" ht="19.5" customHeight="1" x14ac:dyDescent="0.3">
      <c r="B17" s="15" t="s">
        <v>32</v>
      </c>
      <c r="C17" s="52" t="s">
        <v>82</v>
      </c>
      <c r="D17" s="3" t="s">
        <v>83</v>
      </c>
      <c r="F17" s="67"/>
      <c r="G17" s="72"/>
      <c r="H17" s="73"/>
      <c r="I17" s="73"/>
      <c r="J17" s="74"/>
    </row>
    <row r="18" spans="2:10" ht="19.5" customHeight="1" thickBot="1" x14ac:dyDescent="0.35">
      <c r="B18" s="15" t="s">
        <v>33</v>
      </c>
      <c r="C18" s="53"/>
      <c r="F18" s="68"/>
      <c r="G18" s="75"/>
      <c r="H18" s="76"/>
      <c r="I18" s="76"/>
      <c r="J18" s="77"/>
    </row>
    <row r="19" spans="2:10" ht="19.5" customHeight="1" thickBot="1" x14ac:dyDescent="0.35">
      <c r="B19" s="16" t="s">
        <v>34</v>
      </c>
      <c r="C19" s="54"/>
    </row>
    <row r="20" spans="2:10" ht="19.5" customHeight="1" thickBot="1" x14ac:dyDescent="0.35">
      <c r="C20" s="31"/>
    </row>
    <row r="21" spans="2:10" ht="19.5" customHeight="1" x14ac:dyDescent="0.3">
      <c r="B21" s="64" t="s">
        <v>35</v>
      </c>
      <c r="C21" s="65"/>
    </row>
    <row r="22" spans="2:10" ht="19.5" customHeight="1" x14ac:dyDescent="0.3">
      <c r="B22" s="17" t="s">
        <v>36</v>
      </c>
      <c r="C22" s="5" t="s">
        <v>16</v>
      </c>
    </row>
    <row r="23" spans="2:10" ht="19.5" customHeight="1" x14ac:dyDescent="0.3">
      <c r="B23" s="6" t="s">
        <v>37</v>
      </c>
      <c r="C23" s="5" t="s">
        <v>23</v>
      </c>
    </row>
    <row r="24" spans="2:10" ht="19.5" customHeight="1" x14ac:dyDescent="0.3">
      <c r="B24" s="6" t="s">
        <v>38</v>
      </c>
      <c r="C24" s="5" t="s">
        <v>23</v>
      </c>
    </row>
    <row r="25" spans="2:10" ht="19.5" customHeight="1" thickBot="1" x14ac:dyDescent="0.35">
      <c r="B25" s="12" t="s">
        <v>39</v>
      </c>
      <c r="C25" s="18" t="s">
        <v>28</v>
      </c>
    </row>
    <row r="26" spans="2:10" ht="19.5" customHeight="1" thickBot="1" x14ac:dyDescent="0.35">
      <c r="B26" s="14"/>
    </row>
    <row r="27" spans="2:10" ht="19.5" customHeight="1" x14ac:dyDescent="0.3">
      <c r="B27" s="66" t="s">
        <v>40</v>
      </c>
      <c r="C27" s="69" t="s">
        <v>72</v>
      </c>
      <c r="D27" s="70"/>
      <c r="E27" s="70"/>
      <c r="F27" s="71"/>
    </row>
    <row r="28" spans="2:10" ht="19.5" customHeight="1" x14ac:dyDescent="0.3">
      <c r="B28" s="67"/>
      <c r="C28" s="72"/>
      <c r="D28" s="73"/>
      <c r="E28" s="73"/>
      <c r="F28" s="74"/>
    </row>
    <row r="29" spans="2:10" ht="19.5" customHeight="1" x14ac:dyDescent="0.3">
      <c r="B29" s="67"/>
      <c r="C29" s="72"/>
      <c r="D29" s="73"/>
      <c r="E29" s="73"/>
      <c r="F29" s="74"/>
    </row>
    <row r="30" spans="2:10" ht="19.5" customHeight="1" x14ac:dyDescent="0.3">
      <c r="B30" s="67"/>
      <c r="C30" s="72"/>
      <c r="D30" s="73"/>
      <c r="E30" s="73"/>
      <c r="F30" s="74"/>
    </row>
    <row r="31" spans="2:10" ht="19.5" customHeight="1" thickBot="1" x14ac:dyDescent="0.35">
      <c r="B31" s="68"/>
      <c r="C31" s="75"/>
      <c r="D31" s="76"/>
      <c r="E31" s="76"/>
      <c r="F31" s="77"/>
    </row>
    <row r="32" spans="2:10" ht="19.5" customHeight="1" thickBot="1" x14ac:dyDescent="0.35"/>
    <row r="33" spans="2:3" ht="19.5" customHeight="1" x14ac:dyDescent="0.3">
      <c r="B33" s="19" t="s">
        <v>41</v>
      </c>
      <c r="C33" s="20" t="s">
        <v>23</v>
      </c>
    </row>
    <row r="34" spans="2:3" ht="19.5" customHeight="1" thickBot="1" x14ac:dyDescent="0.35">
      <c r="B34" s="12" t="s">
        <v>42</v>
      </c>
      <c r="C34" s="8" t="s">
        <v>43</v>
      </c>
    </row>
  </sheetData>
  <mergeCells count="11">
    <mergeCell ref="B21:C21"/>
    <mergeCell ref="B27:B31"/>
    <mergeCell ref="C27:F31"/>
    <mergeCell ref="A1:C3"/>
    <mergeCell ref="B5:C5"/>
    <mergeCell ref="F5:G5"/>
    <mergeCell ref="B6:B7"/>
    <mergeCell ref="C6:C7"/>
    <mergeCell ref="F12:F18"/>
    <mergeCell ref="G12:J18"/>
    <mergeCell ref="B14:C14"/>
  </mergeCells>
  <dataValidations count="3">
    <dataValidation type="list" allowBlank="1" showInputMessage="1" showErrorMessage="1" sqref="G8" xr:uid="{B8B75188-F548-4B07-B601-096BA25B0753}">
      <formula1>$AF$7:$AF$9</formula1>
    </dataValidation>
    <dataValidation type="list" allowBlank="1" showInputMessage="1" showErrorMessage="1" sqref="C33 G10" xr:uid="{B4A19AC7-40D5-44C4-A836-890F323C120E}">
      <formula1>$AF$11:$AF$12</formula1>
    </dataValidation>
    <dataValidation type="list" allowBlank="1" showInputMessage="1" showErrorMessage="1" sqref="C23:C25" xr:uid="{F0636E4B-331E-4AA6-BAEB-D18B3B2FFB4E}">
      <formula1>$AF$11:$AF$13</formula1>
    </dataValidation>
  </dataValidations>
  <hyperlinks>
    <hyperlink ref="C15" r:id="rId1" display="../Original data/Gaens Quarry/Pumping data May-Nov 18 received 13.11.18.pdf" xr:uid="{81483023-F268-4974-96ED-D7F8E41B99F6}"/>
    <hyperlink ref="C16" r:id="rId2" display="../Original data/Godwin HL100 Pump details.pdf" xr:uid="{9CB58D53-C2CB-45C2-A92B-B28F15FCAE6E}"/>
    <hyperlink ref="C17" r:id="rId3" xr:uid="{659A2C8C-280C-411A-BB69-4BCF1CCA68C9}"/>
  </hyperlinks>
  <pageMargins left="0.7" right="0.7" top="0.75" bottom="0.75" header="0.3" footer="0.3"/>
  <pageSetup orientation="portrait" r:id="rId4"/>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CCFE-2DCB-4DF3-879F-5D431D54681D}">
  <dimension ref="A1:J21"/>
  <sheetViews>
    <sheetView zoomScale="85" zoomScaleNormal="85" workbookViewId="0">
      <selection activeCell="G14" sqref="G14"/>
    </sheetView>
  </sheetViews>
  <sheetFormatPr defaultRowHeight="14.4" x14ac:dyDescent="0.3"/>
  <cols>
    <col min="1" max="1" width="14.6640625" bestFit="1" customWidth="1"/>
    <col min="3" max="3" width="64.44140625" customWidth="1"/>
    <col min="4" max="5" width="11.5546875" customWidth="1"/>
    <col min="6" max="6" width="10.5546875" customWidth="1"/>
    <col min="7" max="7" width="17" customWidth="1"/>
    <col min="8" max="8" width="13.44140625" customWidth="1"/>
  </cols>
  <sheetData>
    <row r="1" spans="1:10" x14ac:dyDescent="0.3">
      <c r="A1" s="38" t="s">
        <v>75</v>
      </c>
      <c r="B1" s="39"/>
      <c r="C1" t="s">
        <v>49</v>
      </c>
    </row>
    <row r="2" spans="1:10" x14ac:dyDescent="0.3">
      <c r="A2" s="37" t="s">
        <v>76</v>
      </c>
      <c r="B2" s="37"/>
    </row>
    <row r="3" spans="1:10" ht="15" thickBot="1" x14ac:dyDescent="0.35">
      <c r="A3" t="s">
        <v>0</v>
      </c>
      <c r="F3" s="33"/>
    </row>
    <row r="4" spans="1:10" ht="15" thickBot="1" x14ac:dyDescent="0.35">
      <c r="B4" s="22" t="s">
        <v>2</v>
      </c>
      <c r="C4" s="43">
        <v>5000</v>
      </c>
      <c r="D4" s="23" t="s">
        <v>3</v>
      </c>
      <c r="E4" s="29"/>
      <c r="F4" s="33"/>
    </row>
    <row r="5" spans="1:10" ht="43.2" x14ac:dyDescent="0.3">
      <c r="D5" s="1" t="s">
        <v>6</v>
      </c>
      <c r="E5" s="1" t="s">
        <v>8</v>
      </c>
      <c r="F5" s="1" t="s">
        <v>69</v>
      </c>
      <c r="G5" s="1" t="s">
        <v>48</v>
      </c>
      <c r="H5" s="1" t="s">
        <v>5</v>
      </c>
      <c r="I5" s="1"/>
      <c r="J5" s="56"/>
    </row>
    <row r="6" spans="1:10" ht="28.8" x14ac:dyDescent="0.3">
      <c r="A6" t="s">
        <v>1</v>
      </c>
      <c r="C6" s="24" t="s">
        <v>55</v>
      </c>
      <c r="D6" s="41">
        <f>(C4/1000)*30*(30+31+30+31+31+30-26)</f>
        <v>23550</v>
      </c>
      <c r="E6" s="30"/>
      <c r="F6" s="41">
        <f>27*C4/1000</f>
        <v>135</v>
      </c>
      <c r="G6" s="40">
        <f>H6*60*60/1000</f>
        <v>216</v>
      </c>
      <c r="H6" s="40">
        <v>60</v>
      </c>
      <c r="J6" s="33"/>
    </row>
    <row r="7" spans="1:10" x14ac:dyDescent="0.3">
      <c r="C7" s="1" t="s">
        <v>4</v>
      </c>
      <c r="D7" s="2">
        <v>0</v>
      </c>
      <c r="E7" s="30"/>
      <c r="F7" s="2">
        <v>0</v>
      </c>
      <c r="G7" s="2">
        <v>0</v>
      </c>
      <c r="H7" s="2">
        <v>0</v>
      </c>
    </row>
    <row r="8" spans="1:10" x14ac:dyDescent="0.3">
      <c r="C8" s="1"/>
      <c r="D8" s="2"/>
      <c r="E8" s="30"/>
      <c r="F8" s="2"/>
      <c r="G8" s="2"/>
      <c r="H8" s="2"/>
    </row>
    <row r="9" spans="1:10" ht="43.2" x14ac:dyDescent="0.3">
      <c r="A9" t="s">
        <v>7</v>
      </c>
      <c r="C9" s="1" t="s">
        <v>78</v>
      </c>
      <c r="D9" s="41">
        <f>((25000*35) + (52*10000))/1000</f>
        <v>1395</v>
      </c>
      <c r="E9" s="30"/>
      <c r="F9" s="41">
        <f>25000/1000</f>
        <v>25</v>
      </c>
      <c r="G9" s="40">
        <f>H9*60*60/1000</f>
        <v>216</v>
      </c>
      <c r="H9" s="40">
        <v>60</v>
      </c>
    </row>
    <row r="10" spans="1:10" ht="43.2" x14ac:dyDescent="0.3">
      <c r="C10" s="57" t="s">
        <v>47</v>
      </c>
    </row>
    <row r="11" spans="1:10" x14ac:dyDescent="0.3">
      <c r="C11" s="21"/>
    </row>
    <row r="12" spans="1:10" ht="43.2" x14ac:dyDescent="0.3">
      <c r="A12" t="s">
        <v>45</v>
      </c>
      <c r="C12" s="24" t="s">
        <v>46</v>
      </c>
      <c r="D12" s="41">
        <f>180000*0.02</f>
        <v>3600</v>
      </c>
      <c r="E12" s="48">
        <f>(D12/292)</f>
        <v>12.328767123287671</v>
      </c>
      <c r="G12" s="60" t="s">
        <v>88</v>
      </c>
      <c r="H12" s="60" t="s">
        <v>88</v>
      </c>
      <c r="J12" s="33"/>
    </row>
    <row r="13" spans="1:10" ht="28.8" x14ac:dyDescent="0.3">
      <c r="C13" s="1" t="s">
        <v>44</v>
      </c>
    </row>
    <row r="14" spans="1:10" x14ac:dyDescent="0.3">
      <c r="C14" s="1"/>
    </row>
    <row r="15" spans="1:10" ht="15" thickBot="1" x14ac:dyDescent="0.35">
      <c r="A15" s="34" t="s">
        <v>73</v>
      </c>
      <c r="B15" s="34"/>
      <c r="C15" s="35"/>
      <c r="D15" s="42">
        <f>SUM(D6,D9,D12)</f>
        <v>28545</v>
      </c>
      <c r="E15" s="36"/>
      <c r="F15" s="42">
        <f>SUM(F6,F9,E12)</f>
        <v>172.32876712328766</v>
      </c>
      <c r="G15" s="59">
        <f>G9</f>
        <v>216</v>
      </c>
      <c r="H15" s="59">
        <f>H9</f>
        <v>60</v>
      </c>
    </row>
    <row r="16" spans="1:10" x14ac:dyDescent="0.3">
      <c r="C16" s="1"/>
    </row>
    <row r="17" spans="3:3" x14ac:dyDescent="0.3">
      <c r="C17" s="1"/>
    </row>
    <row r="18" spans="3:3" x14ac:dyDescent="0.3">
      <c r="C18" s="1"/>
    </row>
    <row r="19" spans="3:3" x14ac:dyDescent="0.3">
      <c r="C19" s="1"/>
    </row>
    <row r="20" spans="3:3" x14ac:dyDescent="0.3">
      <c r="C20" s="1"/>
    </row>
    <row r="21" spans="3:3" x14ac:dyDescent="0.3">
      <c r="C21" s="1"/>
    </row>
  </sheetData>
  <pageMargins left="0.7" right="0.7" top="0.75" bottom="0.75" header="0.3" footer="0.3"/>
  <pageSetup paperSize="9" orientation="portrait" verticalDpi="12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AD740-1EC6-4AD0-A368-531EAB45AEF3}">
  <dimension ref="A1:N57"/>
  <sheetViews>
    <sheetView tabSelected="1" topLeftCell="A4" zoomScale="85" zoomScaleNormal="85" workbookViewId="0">
      <selection activeCell="I8" sqref="I8"/>
    </sheetView>
  </sheetViews>
  <sheetFormatPr defaultRowHeight="14.4" x14ac:dyDescent="0.3"/>
  <cols>
    <col min="1" max="1" width="16.6640625" style="27" bestFit="1" customWidth="1"/>
    <col min="2" max="2" width="15.88671875" customWidth="1"/>
    <col min="3" max="3" width="12.44140625" bestFit="1" customWidth="1"/>
    <col min="4" max="4" width="0" hidden="1" customWidth="1"/>
    <col min="5" max="5" width="10.33203125" bestFit="1" customWidth="1"/>
    <col min="6" max="6" width="12.44140625" customWidth="1"/>
    <col min="8" max="8" width="41.33203125" customWidth="1"/>
    <col min="9" max="9" width="13.44140625" bestFit="1" customWidth="1"/>
    <col min="10" max="10" width="10.6640625" customWidth="1"/>
    <col min="11" max="11" width="11.109375" customWidth="1"/>
    <col min="14" max="14" width="20.33203125" customWidth="1"/>
  </cols>
  <sheetData>
    <row r="1" spans="1:14" x14ac:dyDescent="0.3">
      <c r="A1" s="38" t="s">
        <v>75</v>
      </c>
    </row>
    <row r="2" spans="1:14" x14ac:dyDescent="0.3">
      <c r="A2" s="37" t="s">
        <v>76</v>
      </c>
    </row>
    <row r="3" spans="1:14" x14ac:dyDescent="0.3">
      <c r="B3" s="25" t="s">
        <v>54</v>
      </c>
    </row>
    <row r="4" spans="1:14" x14ac:dyDescent="0.3">
      <c r="B4" t="s">
        <v>50</v>
      </c>
    </row>
    <row r="5" spans="1:14" ht="43.2" x14ac:dyDescent="0.3">
      <c r="B5" t="s">
        <v>51</v>
      </c>
      <c r="C5" t="s">
        <v>52</v>
      </c>
      <c r="E5" t="s">
        <v>53</v>
      </c>
      <c r="F5" s="1" t="s">
        <v>56</v>
      </c>
      <c r="J5" t="s">
        <v>85</v>
      </c>
      <c r="K5" t="s">
        <v>86</v>
      </c>
      <c r="N5" s="1"/>
    </row>
    <row r="6" spans="1:14" ht="15" customHeight="1" x14ac:dyDescent="0.3">
      <c r="A6" s="27" t="str">
        <f>TEXT(B6,"dddd")</f>
        <v>Friday</v>
      </c>
      <c r="B6" s="26">
        <v>43224</v>
      </c>
      <c r="C6" s="41">
        <v>56700</v>
      </c>
      <c r="D6" s="41">
        <f>C6*10</f>
        <v>567000</v>
      </c>
      <c r="E6" s="2"/>
      <c r="F6" s="2"/>
      <c r="H6" s="1" t="s">
        <v>65</v>
      </c>
      <c r="I6" s="41">
        <f>C57-C6</f>
        <v>89260</v>
      </c>
      <c r="J6" t="s">
        <v>52</v>
      </c>
      <c r="K6" t="s">
        <v>57</v>
      </c>
    </row>
    <row r="7" spans="1:14" x14ac:dyDescent="0.3">
      <c r="A7" s="27" t="str">
        <f t="shared" ref="A7:A57" si="0">TEXT(B7,"dddd")</f>
        <v>Thursday</v>
      </c>
      <c r="B7" s="26">
        <v>43230</v>
      </c>
      <c r="C7" s="41">
        <v>58000</v>
      </c>
      <c r="D7" s="41">
        <f t="shared" ref="D7:D57" si="1">C7*10</f>
        <v>580000</v>
      </c>
      <c r="E7" s="61">
        <f>C7-C6</f>
        <v>1300</v>
      </c>
      <c r="F7" s="61">
        <f>(C7-C6)/((B7-B6-1))</f>
        <v>260</v>
      </c>
      <c r="G7">
        <f>B7-B6</f>
        <v>6</v>
      </c>
      <c r="I7" s="2"/>
    </row>
    <row r="8" spans="1:14" x14ac:dyDescent="0.3">
      <c r="A8" s="27" t="str">
        <f t="shared" si="0"/>
        <v>Monday</v>
      </c>
      <c r="B8" s="26">
        <v>43234</v>
      </c>
      <c r="C8" s="41">
        <v>59300</v>
      </c>
      <c r="D8" s="41">
        <f t="shared" si="1"/>
        <v>593000</v>
      </c>
      <c r="E8" s="61">
        <f t="shared" ref="E8:E57" si="2">C8-C7</f>
        <v>1300</v>
      </c>
      <c r="F8" s="61">
        <f>(C8-C7)/((B8-B7-1))</f>
        <v>433.33333333333331</v>
      </c>
      <c r="G8">
        <f t="shared" ref="G8:G57" si="3">B8-B7</f>
        <v>4</v>
      </c>
      <c r="H8" t="s">
        <v>64</v>
      </c>
      <c r="I8" s="40">
        <f>MAX($F$7:$F$57)</f>
        <v>4100</v>
      </c>
      <c r="J8" t="s">
        <v>52</v>
      </c>
      <c r="K8" t="s">
        <v>57</v>
      </c>
      <c r="L8" s="55">
        <f>I8/216</f>
        <v>18.981481481481481</v>
      </c>
    </row>
    <row r="9" spans="1:14" x14ac:dyDescent="0.3">
      <c r="A9" s="27" t="str">
        <f t="shared" si="0"/>
        <v>Thursday</v>
      </c>
      <c r="B9" s="26">
        <v>43237</v>
      </c>
      <c r="C9" s="41">
        <v>60500</v>
      </c>
      <c r="D9" s="41">
        <f t="shared" si="1"/>
        <v>605000</v>
      </c>
      <c r="E9" s="61">
        <f t="shared" si="2"/>
        <v>1200</v>
      </c>
      <c r="F9" s="61">
        <f>(C9-C8)/((B9-B8))</f>
        <v>400</v>
      </c>
      <c r="G9">
        <f t="shared" si="3"/>
        <v>3</v>
      </c>
      <c r="H9" t="s">
        <v>63</v>
      </c>
      <c r="I9" s="40">
        <f>(C57-C6)/(B57-B6-28)</f>
        <v>544.26829268292681</v>
      </c>
      <c r="J9" t="s">
        <v>52</v>
      </c>
      <c r="K9" t="s">
        <v>62</v>
      </c>
      <c r="L9" s="55">
        <f>I9/216</f>
        <v>2.5197606142728093</v>
      </c>
    </row>
    <row r="10" spans="1:14" x14ac:dyDescent="0.3">
      <c r="A10" s="27" t="str">
        <f t="shared" si="0"/>
        <v>Tuesday</v>
      </c>
      <c r="B10" s="26">
        <v>43242</v>
      </c>
      <c r="C10" s="41">
        <v>61700</v>
      </c>
      <c r="D10" s="41">
        <f t="shared" si="1"/>
        <v>617000</v>
      </c>
      <c r="E10" s="61">
        <f t="shared" si="2"/>
        <v>1200</v>
      </c>
      <c r="F10" s="61">
        <f>(C10-C9)/((B10-B9-1))</f>
        <v>300</v>
      </c>
      <c r="G10">
        <f t="shared" si="3"/>
        <v>5</v>
      </c>
      <c r="I10" s="2"/>
    </row>
    <row r="11" spans="1:14" x14ac:dyDescent="0.3">
      <c r="A11" s="27" t="str">
        <f t="shared" si="0"/>
        <v>Friday</v>
      </c>
      <c r="B11" s="26">
        <v>43245</v>
      </c>
      <c r="C11" s="41">
        <v>62200</v>
      </c>
      <c r="D11" s="41">
        <f t="shared" si="1"/>
        <v>622000</v>
      </c>
      <c r="E11" s="61">
        <f t="shared" si="2"/>
        <v>500</v>
      </c>
      <c r="F11" s="61">
        <f>(C11-C10)/((B11-B10))</f>
        <v>166.66666666666666</v>
      </c>
      <c r="G11">
        <f t="shared" si="3"/>
        <v>3</v>
      </c>
      <c r="H11" s="1" t="s">
        <v>59</v>
      </c>
      <c r="I11" s="40">
        <f>I6+((365-(B57-B6))*(5.6/7)*I8)</f>
        <v>656699.99999999988</v>
      </c>
      <c r="J11" t="s">
        <v>60</v>
      </c>
    </row>
    <row r="12" spans="1:14" x14ac:dyDescent="0.3">
      <c r="A12" s="27" t="str">
        <f t="shared" si="0"/>
        <v>Wednesday</v>
      </c>
      <c r="B12" s="26">
        <v>43250</v>
      </c>
      <c r="C12" s="41">
        <v>63400</v>
      </c>
      <c r="D12" s="41">
        <f t="shared" si="1"/>
        <v>634000</v>
      </c>
      <c r="E12" s="61">
        <f t="shared" si="2"/>
        <v>1200</v>
      </c>
      <c r="F12" s="61">
        <f>(C12-C11)/((B12-B11-1))</f>
        <v>300</v>
      </c>
      <c r="G12">
        <f t="shared" si="3"/>
        <v>5</v>
      </c>
      <c r="H12" s="1" t="s">
        <v>58</v>
      </c>
      <c r="I12" s="40">
        <f>I6+((365-(B57-B6))*(5.6/7)*I9)</f>
        <v>164586.73170731706</v>
      </c>
      <c r="J12" t="s">
        <v>60</v>
      </c>
      <c r="K12" t="s">
        <v>62</v>
      </c>
    </row>
    <row r="13" spans="1:14" x14ac:dyDescent="0.3">
      <c r="A13" s="27" t="str">
        <f t="shared" si="0"/>
        <v>Monday</v>
      </c>
      <c r="B13" s="26">
        <v>43255</v>
      </c>
      <c r="C13" s="41">
        <v>64000</v>
      </c>
      <c r="D13" s="41">
        <f t="shared" si="1"/>
        <v>640000</v>
      </c>
      <c r="E13" s="61">
        <f t="shared" si="2"/>
        <v>600</v>
      </c>
      <c r="F13" s="61">
        <f>(C13-C12)/((B13-B12-1))</f>
        <v>150</v>
      </c>
      <c r="G13">
        <f t="shared" si="3"/>
        <v>5</v>
      </c>
      <c r="I13" s="2"/>
    </row>
    <row r="14" spans="1:14" x14ac:dyDescent="0.3">
      <c r="A14" s="27" t="str">
        <f t="shared" si="0"/>
        <v>Friday</v>
      </c>
      <c r="B14" s="26">
        <v>43259</v>
      </c>
      <c r="C14" s="41">
        <v>65400</v>
      </c>
      <c r="D14" s="41">
        <f t="shared" si="1"/>
        <v>654000</v>
      </c>
      <c r="E14" s="61">
        <f t="shared" si="2"/>
        <v>1400</v>
      </c>
      <c r="F14" s="61">
        <f>(C14-C13)/((B14-B13))</f>
        <v>350</v>
      </c>
      <c r="G14">
        <f t="shared" si="3"/>
        <v>4</v>
      </c>
      <c r="H14" s="1" t="s">
        <v>81</v>
      </c>
      <c r="I14" s="41">
        <v>1149</v>
      </c>
      <c r="J14" t="s">
        <v>61</v>
      </c>
      <c r="K14" t="s">
        <v>84</v>
      </c>
    </row>
    <row r="15" spans="1:14" x14ac:dyDescent="0.3">
      <c r="A15" s="27" t="str">
        <f t="shared" si="0"/>
        <v>Monday</v>
      </c>
      <c r="B15" s="26">
        <v>43262</v>
      </c>
      <c r="C15" s="41">
        <v>66400</v>
      </c>
      <c r="D15" s="41">
        <f t="shared" si="1"/>
        <v>664000</v>
      </c>
      <c r="E15" s="61">
        <f t="shared" si="2"/>
        <v>1000</v>
      </c>
      <c r="F15" s="61">
        <f>(C15-C14)/((B15-B14-1))</f>
        <v>500</v>
      </c>
      <c r="G15">
        <f t="shared" si="3"/>
        <v>3</v>
      </c>
      <c r="H15" s="1" t="s">
        <v>79</v>
      </c>
      <c r="I15" s="41">
        <v>77449</v>
      </c>
      <c r="J15" t="s">
        <v>80</v>
      </c>
    </row>
    <row r="16" spans="1:14" x14ac:dyDescent="0.3">
      <c r="A16" s="27" t="str">
        <f t="shared" si="0"/>
        <v>Thursday</v>
      </c>
      <c r="B16" s="26">
        <v>43265</v>
      </c>
      <c r="C16" s="41">
        <v>67000</v>
      </c>
      <c r="D16" s="41">
        <f t="shared" si="1"/>
        <v>670000</v>
      </c>
      <c r="E16" s="61">
        <f t="shared" si="2"/>
        <v>600</v>
      </c>
      <c r="F16" s="61">
        <f>(C16-C15)/((B16-B15))</f>
        <v>200</v>
      </c>
      <c r="G16">
        <f t="shared" si="3"/>
        <v>3</v>
      </c>
      <c r="H16" s="1" t="s">
        <v>87</v>
      </c>
      <c r="I16" s="40">
        <f>I14*I15/1000</f>
        <v>88988.900999999998</v>
      </c>
      <c r="J16" t="s">
        <v>52</v>
      </c>
    </row>
    <row r="17" spans="1:10" x14ac:dyDescent="0.3">
      <c r="A17" s="27" t="str">
        <f t="shared" si="0"/>
        <v>Tuesday</v>
      </c>
      <c r="B17" s="26">
        <v>43270</v>
      </c>
      <c r="C17" s="41">
        <v>68000</v>
      </c>
      <c r="D17" s="41">
        <f t="shared" si="1"/>
        <v>680000</v>
      </c>
      <c r="E17" s="61">
        <f t="shared" si="2"/>
        <v>1000</v>
      </c>
      <c r="F17" s="61">
        <f>(C17-C16)/((B17-B16-1))</f>
        <v>250</v>
      </c>
      <c r="G17">
        <f t="shared" si="3"/>
        <v>5</v>
      </c>
      <c r="I17" s="2"/>
    </row>
    <row r="18" spans="1:10" ht="15" thickBot="1" x14ac:dyDescent="0.35">
      <c r="A18" s="27" t="str">
        <f t="shared" si="0"/>
        <v>Tuesday</v>
      </c>
      <c r="B18" s="26">
        <v>43277</v>
      </c>
      <c r="C18" s="41">
        <v>69000</v>
      </c>
      <c r="D18" s="41">
        <f t="shared" si="1"/>
        <v>690000</v>
      </c>
      <c r="E18" s="61">
        <f t="shared" si="2"/>
        <v>1000</v>
      </c>
      <c r="F18" s="61">
        <f>(C18-C17)/((B18-B17-1))</f>
        <v>166.66666666666666</v>
      </c>
      <c r="G18">
        <f t="shared" si="3"/>
        <v>7</v>
      </c>
      <c r="I18" s="2"/>
    </row>
    <row r="19" spans="1:10" x14ac:dyDescent="0.3">
      <c r="A19" s="27" t="str">
        <f t="shared" si="0"/>
        <v>Saturday</v>
      </c>
      <c r="B19" s="26">
        <v>43281</v>
      </c>
      <c r="C19" s="41">
        <v>70000</v>
      </c>
      <c r="D19" s="41">
        <f t="shared" si="1"/>
        <v>700000</v>
      </c>
      <c r="E19" s="61">
        <f t="shared" si="2"/>
        <v>1000</v>
      </c>
      <c r="F19" s="61">
        <f>(C19-C18)/((B19-B18))</f>
        <v>250</v>
      </c>
      <c r="G19">
        <f t="shared" si="3"/>
        <v>4</v>
      </c>
      <c r="H19" s="44" t="s">
        <v>66</v>
      </c>
      <c r="I19" s="62">
        <f>I11-Usage!D15</f>
        <v>628154.99999999988</v>
      </c>
      <c r="J19" s="45" t="s">
        <v>67</v>
      </c>
    </row>
    <row r="20" spans="1:10" ht="15" thickBot="1" x14ac:dyDescent="0.35">
      <c r="A20" s="27" t="str">
        <f t="shared" si="0"/>
        <v>Thursday</v>
      </c>
      <c r="B20" s="26">
        <v>43286</v>
      </c>
      <c r="C20" s="41">
        <v>71000</v>
      </c>
      <c r="D20" s="41">
        <f t="shared" si="1"/>
        <v>710000</v>
      </c>
      <c r="E20" s="61">
        <f t="shared" si="2"/>
        <v>1000</v>
      </c>
      <c r="F20" s="61">
        <f t="shared" ref="F20:F57" si="4">(C20-C19)/((B20-B19-1))</f>
        <v>250</v>
      </c>
      <c r="G20">
        <f t="shared" si="3"/>
        <v>5</v>
      </c>
      <c r="H20" s="46" t="s">
        <v>68</v>
      </c>
      <c r="I20" s="63">
        <f>I8-Usage!F15</f>
        <v>3927.6712328767126</v>
      </c>
      <c r="J20" s="47" t="s">
        <v>74</v>
      </c>
    </row>
    <row r="21" spans="1:10" x14ac:dyDescent="0.3">
      <c r="A21" s="27" t="str">
        <f t="shared" si="0"/>
        <v>Monday</v>
      </c>
      <c r="B21" s="26">
        <v>43290</v>
      </c>
      <c r="C21" s="41">
        <v>73000</v>
      </c>
      <c r="D21" s="41">
        <f t="shared" si="1"/>
        <v>730000</v>
      </c>
      <c r="E21" s="61">
        <f t="shared" si="2"/>
        <v>2000</v>
      </c>
      <c r="F21" s="61">
        <f t="shared" si="4"/>
        <v>666.66666666666663</v>
      </c>
      <c r="G21">
        <f t="shared" si="3"/>
        <v>4</v>
      </c>
      <c r="I21" s="58"/>
    </row>
    <row r="22" spans="1:10" x14ac:dyDescent="0.3">
      <c r="A22" s="27" t="str">
        <f t="shared" si="0"/>
        <v>Wednesday</v>
      </c>
      <c r="B22" s="26">
        <v>43292</v>
      </c>
      <c r="C22" s="41">
        <v>77000</v>
      </c>
      <c r="D22" s="41">
        <f t="shared" si="1"/>
        <v>770000</v>
      </c>
      <c r="E22" s="61">
        <f t="shared" si="2"/>
        <v>4000</v>
      </c>
      <c r="F22" s="61">
        <f>(C22-C21)/((B22-B21))</f>
        <v>2000</v>
      </c>
      <c r="G22">
        <f t="shared" si="3"/>
        <v>2</v>
      </c>
    </row>
    <row r="23" spans="1:10" x14ac:dyDescent="0.3">
      <c r="A23" s="27" t="str">
        <f t="shared" si="0"/>
        <v>Friday</v>
      </c>
      <c r="B23" s="26">
        <v>43294</v>
      </c>
      <c r="C23" s="41">
        <v>80000</v>
      </c>
      <c r="D23" s="41">
        <f t="shared" si="1"/>
        <v>800000</v>
      </c>
      <c r="E23" s="61">
        <f t="shared" si="2"/>
        <v>3000</v>
      </c>
      <c r="F23" s="61">
        <f>(C23-C22)/((B23-B22))</f>
        <v>1500</v>
      </c>
      <c r="G23">
        <f t="shared" si="3"/>
        <v>2</v>
      </c>
    </row>
    <row r="24" spans="1:10" x14ac:dyDescent="0.3">
      <c r="A24" s="27" t="str">
        <f t="shared" si="0"/>
        <v>Monday</v>
      </c>
      <c r="B24" s="26">
        <v>43297</v>
      </c>
      <c r="C24" s="41">
        <v>83000</v>
      </c>
      <c r="D24" s="41">
        <f t="shared" si="1"/>
        <v>830000</v>
      </c>
      <c r="E24" s="61">
        <f t="shared" si="2"/>
        <v>3000</v>
      </c>
      <c r="F24" s="61">
        <f t="shared" si="4"/>
        <v>1500</v>
      </c>
      <c r="G24">
        <f t="shared" si="3"/>
        <v>3</v>
      </c>
    </row>
    <row r="25" spans="1:10" x14ac:dyDescent="0.3">
      <c r="A25" s="27" t="str">
        <f t="shared" si="0"/>
        <v>Thursday</v>
      </c>
      <c r="B25" s="26">
        <v>43300</v>
      </c>
      <c r="C25" s="41">
        <v>86500</v>
      </c>
      <c r="D25" s="41">
        <f t="shared" si="1"/>
        <v>865000</v>
      </c>
      <c r="E25" s="61">
        <f t="shared" si="2"/>
        <v>3500</v>
      </c>
      <c r="F25" s="61">
        <f>(C25-C24)/((B25-B24))</f>
        <v>1166.6666666666667</v>
      </c>
      <c r="G25">
        <f t="shared" si="3"/>
        <v>3</v>
      </c>
      <c r="H25" s="49"/>
    </row>
    <row r="26" spans="1:10" x14ac:dyDescent="0.3">
      <c r="A26" s="27" t="str">
        <f t="shared" si="0"/>
        <v>Monday</v>
      </c>
      <c r="B26" s="26">
        <v>43304</v>
      </c>
      <c r="C26" s="41">
        <v>87200</v>
      </c>
      <c r="D26" s="41">
        <f t="shared" si="1"/>
        <v>872000</v>
      </c>
      <c r="E26" s="61">
        <f t="shared" si="2"/>
        <v>700</v>
      </c>
      <c r="F26" s="61">
        <f t="shared" si="4"/>
        <v>233.33333333333334</v>
      </c>
      <c r="G26">
        <f t="shared" si="3"/>
        <v>4</v>
      </c>
      <c r="H26" s="28"/>
      <c r="I26" s="55"/>
    </row>
    <row r="27" spans="1:10" x14ac:dyDescent="0.3">
      <c r="A27" s="27" t="str">
        <f t="shared" si="0"/>
        <v>Saturday</v>
      </c>
      <c r="B27" s="26">
        <v>43309</v>
      </c>
      <c r="C27" s="41">
        <v>88500</v>
      </c>
      <c r="D27" s="41">
        <f t="shared" si="1"/>
        <v>885000</v>
      </c>
      <c r="E27" s="61">
        <f t="shared" si="2"/>
        <v>1300</v>
      </c>
      <c r="F27" s="61">
        <f>(C27-C26)/((B27-B26))</f>
        <v>260</v>
      </c>
      <c r="G27">
        <f t="shared" si="3"/>
        <v>5</v>
      </c>
    </row>
    <row r="28" spans="1:10" x14ac:dyDescent="0.3">
      <c r="A28" s="27" t="str">
        <f t="shared" si="0"/>
        <v>Tuesday</v>
      </c>
      <c r="B28" s="26">
        <v>43312</v>
      </c>
      <c r="C28" s="41">
        <v>90000</v>
      </c>
      <c r="D28" s="41">
        <f t="shared" si="1"/>
        <v>900000</v>
      </c>
      <c r="E28" s="61">
        <f t="shared" si="2"/>
        <v>1500</v>
      </c>
      <c r="F28" s="61">
        <f t="shared" si="4"/>
        <v>750</v>
      </c>
      <c r="G28">
        <f t="shared" si="3"/>
        <v>3</v>
      </c>
    </row>
    <row r="29" spans="1:10" x14ac:dyDescent="0.3">
      <c r="A29" s="27" t="str">
        <f t="shared" si="0"/>
        <v>Friday</v>
      </c>
      <c r="B29" s="26">
        <v>43315</v>
      </c>
      <c r="C29" s="41">
        <v>91500</v>
      </c>
      <c r="D29" s="41">
        <f t="shared" si="1"/>
        <v>915000</v>
      </c>
      <c r="E29" s="61">
        <f t="shared" si="2"/>
        <v>1500</v>
      </c>
      <c r="F29" s="61">
        <f>(C29-C28)/((B29-B28))</f>
        <v>500</v>
      </c>
      <c r="G29">
        <f t="shared" si="3"/>
        <v>3</v>
      </c>
    </row>
    <row r="30" spans="1:10" x14ac:dyDescent="0.3">
      <c r="A30" s="27" t="str">
        <f t="shared" si="0"/>
        <v>Monday</v>
      </c>
      <c r="B30" s="26">
        <v>43318</v>
      </c>
      <c r="C30" s="41">
        <v>93500</v>
      </c>
      <c r="D30" s="41">
        <f t="shared" si="1"/>
        <v>935000</v>
      </c>
      <c r="E30" s="61">
        <f t="shared" si="2"/>
        <v>2000</v>
      </c>
      <c r="F30" s="61">
        <f t="shared" si="4"/>
        <v>1000</v>
      </c>
      <c r="G30">
        <f t="shared" si="3"/>
        <v>3</v>
      </c>
    </row>
    <row r="31" spans="1:10" x14ac:dyDescent="0.3">
      <c r="A31" s="27" t="str">
        <f t="shared" si="0"/>
        <v>Wednesday</v>
      </c>
      <c r="B31" s="26">
        <v>43320</v>
      </c>
      <c r="C31" s="41">
        <v>96500</v>
      </c>
      <c r="D31" s="41">
        <f t="shared" si="1"/>
        <v>965000</v>
      </c>
      <c r="E31" s="61">
        <f t="shared" si="2"/>
        <v>3000</v>
      </c>
      <c r="F31" s="61">
        <f>(C31-C30)/((B31-B30))</f>
        <v>1500</v>
      </c>
      <c r="G31">
        <f t="shared" si="3"/>
        <v>2</v>
      </c>
    </row>
    <row r="32" spans="1:10" x14ac:dyDescent="0.3">
      <c r="A32" s="27" t="str">
        <f t="shared" si="0"/>
        <v>Friday</v>
      </c>
      <c r="B32" s="26">
        <v>43322</v>
      </c>
      <c r="C32" s="41">
        <v>97500</v>
      </c>
      <c r="D32" s="41">
        <f t="shared" si="1"/>
        <v>975000</v>
      </c>
      <c r="E32" s="61">
        <f t="shared" si="2"/>
        <v>1000</v>
      </c>
      <c r="F32" s="61">
        <f>(C32-C31)/((B32-B31))</f>
        <v>500</v>
      </c>
      <c r="G32">
        <f t="shared" si="3"/>
        <v>2</v>
      </c>
    </row>
    <row r="33" spans="1:7" x14ac:dyDescent="0.3">
      <c r="A33" s="27" t="str">
        <f t="shared" si="0"/>
        <v>Monday</v>
      </c>
      <c r="B33" s="26">
        <v>43325</v>
      </c>
      <c r="C33" s="41">
        <v>100000</v>
      </c>
      <c r="D33" s="41">
        <f t="shared" si="1"/>
        <v>1000000</v>
      </c>
      <c r="E33" s="61">
        <f t="shared" si="2"/>
        <v>2500</v>
      </c>
      <c r="F33" s="61">
        <f t="shared" si="4"/>
        <v>1250</v>
      </c>
      <c r="G33">
        <f t="shared" si="3"/>
        <v>3</v>
      </c>
    </row>
    <row r="34" spans="1:7" x14ac:dyDescent="0.3">
      <c r="A34" s="27" t="str">
        <f t="shared" si="0"/>
        <v>Wednesday</v>
      </c>
      <c r="B34" s="26">
        <v>43327</v>
      </c>
      <c r="C34" s="41">
        <v>103000</v>
      </c>
      <c r="D34" s="41">
        <f t="shared" si="1"/>
        <v>1030000</v>
      </c>
      <c r="E34" s="61">
        <f t="shared" si="2"/>
        <v>3000</v>
      </c>
      <c r="F34" s="61">
        <f>(C34-C33)/((B34-B33))</f>
        <v>1500</v>
      </c>
      <c r="G34">
        <f t="shared" si="3"/>
        <v>2</v>
      </c>
    </row>
    <row r="35" spans="1:7" x14ac:dyDescent="0.3">
      <c r="A35" s="27" t="str">
        <f t="shared" si="0"/>
        <v>Saturday</v>
      </c>
      <c r="B35" s="26">
        <v>43330</v>
      </c>
      <c r="C35" s="41">
        <v>105000</v>
      </c>
      <c r="D35" s="41">
        <f t="shared" si="1"/>
        <v>1050000</v>
      </c>
      <c r="E35" s="61">
        <f t="shared" si="2"/>
        <v>2000</v>
      </c>
      <c r="F35" s="61">
        <f>(C35-C34)/((B35-B34))</f>
        <v>666.66666666666663</v>
      </c>
      <c r="G35">
        <f t="shared" si="3"/>
        <v>3</v>
      </c>
    </row>
    <row r="36" spans="1:7" x14ac:dyDescent="0.3">
      <c r="A36" s="27" t="str">
        <f t="shared" si="0"/>
        <v>Monday</v>
      </c>
      <c r="B36" s="26">
        <v>43332</v>
      </c>
      <c r="C36" s="41">
        <v>108000</v>
      </c>
      <c r="D36" s="41">
        <f t="shared" si="1"/>
        <v>1080000</v>
      </c>
      <c r="E36" s="61">
        <f t="shared" si="2"/>
        <v>3000</v>
      </c>
      <c r="F36" s="61">
        <f t="shared" si="4"/>
        <v>3000</v>
      </c>
      <c r="G36">
        <f t="shared" si="3"/>
        <v>2</v>
      </c>
    </row>
    <row r="37" spans="1:7" x14ac:dyDescent="0.3">
      <c r="A37" s="27" t="str">
        <f t="shared" si="0"/>
        <v>Tuesday</v>
      </c>
      <c r="B37" s="26">
        <v>43333</v>
      </c>
      <c r="C37" s="41">
        <v>112100</v>
      </c>
      <c r="D37" s="41">
        <f t="shared" si="1"/>
        <v>1121000</v>
      </c>
      <c r="E37" s="61">
        <f>C37-C36</f>
        <v>4100</v>
      </c>
      <c r="F37" s="61">
        <f>(C37-C36)/((B37-B36))</f>
        <v>4100</v>
      </c>
      <c r="G37">
        <f t="shared" si="3"/>
        <v>1</v>
      </c>
    </row>
    <row r="38" spans="1:7" x14ac:dyDescent="0.3">
      <c r="A38" s="27" t="str">
        <f t="shared" si="0"/>
        <v>Wednesday</v>
      </c>
      <c r="B38" s="26">
        <v>43334</v>
      </c>
      <c r="C38" s="41">
        <v>112390</v>
      </c>
      <c r="D38" s="41">
        <f t="shared" si="1"/>
        <v>1123900</v>
      </c>
      <c r="E38" s="61">
        <f t="shared" si="2"/>
        <v>290</v>
      </c>
      <c r="F38" s="61">
        <f>(C38-C37)/((B38-B37))</f>
        <v>290</v>
      </c>
      <c r="G38">
        <f t="shared" si="3"/>
        <v>1</v>
      </c>
    </row>
    <row r="39" spans="1:7" x14ac:dyDescent="0.3">
      <c r="A39" s="27" t="str">
        <f t="shared" si="0"/>
        <v>Thursday</v>
      </c>
      <c r="B39" s="26">
        <v>43335</v>
      </c>
      <c r="C39" s="41">
        <v>112910</v>
      </c>
      <c r="D39" s="41">
        <f t="shared" si="1"/>
        <v>1129100</v>
      </c>
      <c r="E39" s="61">
        <f t="shared" si="2"/>
        <v>520</v>
      </c>
      <c r="F39" s="61">
        <f>(C39-C38)/((B39-B38))</f>
        <v>520</v>
      </c>
      <c r="G39">
        <f t="shared" si="3"/>
        <v>1</v>
      </c>
    </row>
    <row r="40" spans="1:7" x14ac:dyDescent="0.3">
      <c r="A40" s="27" t="str">
        <f t="shared" si="0"/>
        <v>Thursday</v>
      </c>
      <c r="B40" s="26">
        <v>43342</v>
      </c>
      <c r="C40" s="41">
        <v>114680</v>
      </c>
      <c r="D40" s="41">
        <f t="shared" si="1"/>
        <v>1146800</v>
      </c>
      <c r="E40" s="61">
        <f t="shared" si="2"/>
        <v>1770</v>
      </c>
      <c r="F40" s="61">
        <f t="shared" si="4"/>
        <v>295</v>
      </c>
      <c r="G40">
        <f t="shared" si="3"/>
        <v>7</v>
      </c>
    </row>
    <row r="41" spans="1:7" x14ac:dyDescent="0.3">
      <c r="A41" s="27" t="str">
        <f t="shared" si="0"/>
        <v>Monday</v>
      </c>
      <c r="B41" s="26">
        <v>43346</v>
      </c>
      <c r="C41" s="41">
        <v>115200</v>
      </c>
      <c r="D41" s="41">
        <f t="shared" si="1"/>
        <v>1152000</v>
      </c>
      <c r="E41" s="61">
        <f t="shared" si="2"/>
        <v>520</v>
      </c>
      <c r="F41" s="61">
        <f t="shared" si="4"/>
        <v>173.33333333333334</v>
      </c>
      <c r="G41">
        <f t="shared" si="3"/>
        <v>4</v>
      </c>
    </row>
    <row r="42" spans="1:7" x14ac:dyDescent="0.3">
      <c r="A42" s="27" t="str">
        <f t="shared" si="0"/>
        <v>Monday</v>
      </c>
      <c r="B42" s="26">
        <v>43360</v>
      </c>
      <c r="C42" s="41">
        <v>118130</v>
      </c>
      <c r="D42" s="41">
        <f t="shared" si="1"/>
        <v>1181300</v>
      </c>
      <c r="E42" s="61">
        <f t="shared" si="2"/>
        <v>2930</v>
      </c>
      <c r="F42" s="61">
        <f>(C42-C41)/((B42-B41-2))</f>
        <v>244.16666666666666</v>
      </c>
      <c r="G42">
        <f t="shared" si="3"/>
        <v>14</v>
      </c>
    </row>
    <row r="43" spans="1:7" x14ac:dyDescent="0.3">
      <c r="A43" s="27" t="str">
        <f t="shared" si="0"/>
        <v>Wednesday</v>
      </c>
      <c r="B43" s="26">
        <v>43362</v>
      </c>
      <c r="C43" s="41">
        <v>118790</v>
      </c>
      <c r="D43" s="41">
        <f t="shared" si="1"/>
        <v>1187900</v>
      </c>
      <c r="E43" s="61">
        <f t="shared" si="2"/>
        <v>660</v>
      </c>
      <c r="F43" s="61">
        <f>(C43-C42)/((B43-B42))</f>
        <v>330</v>
      </c>
      <c r="G43">
        <f t="shared" si="3"/>
        <v>2</v>
      </c>
    </row>
    <row r="44" spans="1:7" x14ac:dyDescent="0.3">
      <c r="A44" s="27" t="str">
        <f t="shared" si="0"/>
        <v>Thursday</v>
      </c>
      <c r="B44" s="26">
        <v>43363</v>
      </c>
      <c r="C44" s="41">
        <v>120530</v>
      </c>
      <c r="D44" s="41">
        <f t="shared" si="1"/>
        <v>1205300</v>
      </c>
      <c r="E44" s="61">
        <f t="shared" si="2"/>
        <v>1740</v>
      </c>
      <c r="F44" s="61">
        <f>(C44-C43)/((B44-B43))</f>
        <v>1740</v>
      </c>
      <c r="G44">
        <f t="shared" si="3"/>
        <v>1</v>
      </c>
    </row>
    <row r="45" spans="1:7" x14ac:dyDescent="0.3">
      <c r="A45" s="27" t="str">
        <f t="shared" si="0"/>
        <v>Saturday</v>
      </c>
      <c r="B45" s="26">
        <v>43365</v>
      </c>
      <c r="C45" s="41">
        <v>121930</v>
      </c>
      <c r="D45" s="41">
        <f t="shared" si="1"/>
        <v>1219300</v>
      </c>
      <c r="E45" s="61">
        <f t="shared" si="2"/>
        <v>1400</v>
      </c>
      <c r="F45" s="61">
        <f>(C45-C44)/((B45-B44))</f>
        <v>700</v>
      </c>
      <c r="G45">
        <f t="shared" si="3"/>
        <v>2</v>
      </c>
    </row>
    <row r="46" spans="1:7" x14ac:dyDescent="0.3">
      <c r="A46" s="27" t="str">
        <f t="shared" si="0"/>
        <v>Wednesday</v>
      </c>
      <c r="B46" s="26">
        <v>43376</v>
      </c>
      <c r="C46" s="41">
        <v>125450</v>
      </c>
      <c r="D46" s="41">
        <f t="shared" si="1"/>
        <v>1254500</v>
      </c>
      <c r="E46" s="61">
        <f t="shared" si="2"/>
        <v>3520</v>
      </c>
      <c r="F46" s="61">
        <f>(C46-C45)/((B46-B45-2))</f>
        <v>391.11111111111109</v>
      </c>
      <c r="G46">
        <f t="shared" si="3"/>
        <v>11</v>
      </c>
    </row>
    <row r="47" spans="1:7" x14ac:dyDescent="0.3">
      <c r="A47" s="27" t="str">
        <f t="shared" si="0"/>
        <v>Thursday</v>
      </c>
      <c r="B47" s="26">
        <v>43377</v>
      </c>
      <c r="C47" s="41">
        <v>127740</v>
      </c>
      <c r="D47" s="41">
        <f t="shared" si="1"/>
        <v>1277400</v>
      </c>
      <c r="E47" s="61">
        <f t="shared" si="2"/>
        <v>2290</v>
      </c>
      <c r="F47" s="61">
        <f>(C47-C46)/((B47-B46))</f>
        <v>2290</v>
      </c>
      <c r="G47">
        <f t="shared" si="3"/>
        <v>1</v>
      </c>
    </row>
    <row r="48" spans="1:7" x14ac:dyDescent="0.3">
      <c r="A48" s="27" t="str">
        <f t="shared" si="0"/>
        <v>Tuesday</v>
      </c>
      <c r="B48" s="26">
        <v>43382</v>
      </c>
      <c r="C48" s="41">
        <v>129400</v>
      </c>
      <c r="D48" s="41">
        <f t="shared" si="1"/>
        <v>1294000</v>
      </c>
      <c r="E48" s="61">
        <f t="shared" si="2"/>
        <v>1660</v>
      </c>
      <c r="F48" s="61">
        <f t="shared" si="4"/>
        <v>415</v>
      </c>
      <c r="G48">
        <f t="shared" si="3"/>
        <v>5</v>
      </c>
    </row>
    <row r="49" spans="1:7" x14ac:dyDescent="0.3">
      <c r="A49" s="27" t="str">
        <f t="shared" si="0"/>
        <v>Friday</v>
      </c>
      <c r="B49" s="26">
        <v>43385</v>
      </c>
      <c r="C49" s="41">
        <v>131380</v>
      </c>
      <c r="D49" s="41">
        <f t="shared" si="1"/>
        <v>1313800</v>
      </c>
      <c r="E49" s="61">
        <f t="shared" si="2"/>
        <v>1980</v>
      </c>
      <c r="F49" s="61">
        <f>(C49-C48)/((B49-B48))</f>
        <v>660</v>
      </c>
      <c r="G49">
        <f t="shared" si="3"/>
        <v>3</v>
      </c>
    </row>
    <row r="50" spans="1:7" x14ac:dyDescent="0.3">
      <c r="A50" s="27" t="str">
        <f t="shared" si="0"/>
        <v>Monday</v>
      </c>
      <c r="B50" s="26">
        <v>43388</v>
      </c>
      <c r="C50" s="41">
        <v>133840</v>
      </c>
      <c r="D50" s="41">
        <f t="shared" si="1"/>
        <v>1338400</v>
      </c>
      <c r="E50" s="61">
        <f t="shared" si="2"/>
        <v>2460</v>
      </c>
      <c r="F50" s="61">
        <f t="shared" si="4"/>
        <v>1230</v>
      </c>
      <c r="G50">
        <f t="shared" si="3"/>
        <v>3</v>
      </c>
    </row>
    <row r="51" spans="1:7" x14ac:dyDescent="0.3">
      <c r="A51" s="27" t="str">
        <f t="shared" si="0"/>
        <v>Tuesday</v>
      </c>
      <c r="B51" s="26">
        <v>43389</v>
      </c>
      <c r="C51" s="41">
        <v>135310</v>
      </c>
      <c r="D51" s="41">
        <f t="shared" si="1"/>
        <v>1353100</v>
      </c>
      <c r="E51" s="61">
        <f t="shared" si="2"/>
        <v>1470</v>
      </c>
      <c r="F51" s="61">
        <f>(C51-C50)/((B51-B50))</f>
        <v>1470</v>
      </c>
      <c r="G51">
        <f t="shared" si="3"/>
        <v>1</v>
      </c>
    </row>
    <row r="52" spans="1:7" x14ac:dyDescent="0.3">
      <c r="A52" s="27" t="str">
        <f t="shared" si="0"/>
        <v>Monday</v>
      </c>
      <c r="B52" s="26">
        <v>43395</v>
      </c>
      <c r="C52" s="41">
        <v>137840</v>
      </c>
      <c r="D52" s="41">
        <f t="shared" si="1"/>
        <v>1378400</v>
      </c>
      <c r="E52" s="61">
        <f t="shared" si="2"/>
        <v>2530</v>
      </c>
      <c r="F52" s="61">
        <f t="shared" si="4"/>
        <v>506</v>
      </c>
      <c r="G52">
        <f t="shared" si="3"/>
        <v>6</v>
      </c>
    </row>
    <row r="53" spans="1:7" x14ac:dyDescent="0.3">
      <c r="A53" s="27" t="str">
        <f t="shared" si="0"/>
        <v>Friday</v>
      </c>
      <c r="B53" s="26">
        <v>43399</v>
      </c>
      <c r="C53" s="41">
        <v>139290</v>
      </c>
      <c r="D53" s="41">
        <f t="shared" si="1"/>
        <v>1392900</v>
      </c>
      <c r="E53" s="61">
        <f t="shared" si="2"/>
        <v>1450</v>
      </c>
      <c r="F53" s="61">
        <f>(C53-C52)/((B53-B52))</f>
        <v>362.5</v>
      </c>
      <c r="G53">
        <f t="shared" si="3"/>
        <v>4</v>
      </c>
    </row>
    <row r="54" spans="1:7" x14ac:dyDescent="0.3">
      <c r="A54" s="27" t="str">
        <f t="shared" si="0"/>
        <v>Thursday</v>
      </c>
      <c r="B54" s="26">
        <v>43405</v>
      </c>
      <c r="C54" s="41">
        <v>141210</v>
      </c>
      <c r="D54" s="41">
        <f t="shared" si="1"/>
        <v>1412100</v>
      </c>
      <c r="E54" s="61">
        <f t="shared" si="2"/>
        <v>1920</v>
      </c>
      <c r="F54" s="61">
        <f t="shared" si="4"/>
        <v>384</v>
      </c>
      <c r="G54">
        <f t="shared" si="3"/>
        <v>6</v>
      </c>
    </row>
    <row r="55" spans="1:7" x14ac:dyDescent="0.3">
      <c r="A55" s="27" t="str">
        <f t="shared" si="0"/>
        <v>Wednesday</v>
      </c>
      <c r="B55" s="26">
        <v>43411</v>
      </c>
      <c r="C55" s="41">
        <v>143290</v>
      </c>
      <c r="D55" s="41">
        <f t="shared" si="1"/>
        <v>1432900</v>
      </c>
      <c r="E55" s="61">
        <f t="shared" si="2"/>
        <v>2080</v>
      </c>
      <c r="F55" s="61">
        <f t="shared" si="4"/>
        <v>416</v>
      </c>
      <c r="G55">
        <f t="shared" si="3"/>
        <v>6</v>
      </c>
    </row>
    <row r="56" spans="1:7" x14ac:dyDescent="0.3">
      <c r="A56" s="27" t="str">
        <f t="shared" si="0"/>
        <v>Thursday</v>
      </c>
      <c r="B56" s="26">
        <v>43412</v>
      </c>
      <c r="C56" s="41">
        <v>144870</v>
      </c>
      <c r="D56" s="41">
        <f t="shared" si="1"/>
        <v>1448700</v>
      </c>
      <c r="E56" s="61">
        <f t="shared" si="2"/>
        <v>1580</v>
      </c>
      <c r="F56" s="61">
        <f>(C56-C55)/((B56-B55))</f>
        <v>1580</v>
      </c>
      <c r="G56">
        <f t="shared" si="3"/>
        <v>1</v>
      </c>
    </row>
    <row r="57" spans="1:7" x14ac:dyDescent="0.3">
      <c r="A57" s="27" t="str">
        <f t="shared" si="0"/>
        <v>Monday</v>
      </c>
      <c r="B57" s="26">
        <v>43416</v>
      </c>
      <c r="C57" s="41">
        <v>145960</v>
      </c>
      <c r="D57" s="41">
        <f t="shared" si="1"/>
        <v>1459600</v>
      </c>
      <c r="E57" s="61">
        <f t="shared" si="2"/>
        <v>1090</v>
      </c>
      <c r="F57" s="61">
        <f t="shared" si="4"/>
        <v>363.33333333333331</v>
      </c>
      <c r="G57">
        <f t="shared" si="3"/>
        <v>4</v>
      </c>
    </row>
  </sheetData>
  <hyperlinks>
    <hyperlink ref="B3" r:id="rId1" display="Transposed from data from client here: O:\66664 TS Rees quarry abstraction licences\Data\Original data\Gaens Quarry" xr:uid="{1CF1C49F-9A8A-4DBB-9762-F3839A173EF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52CE240CB7C1F24EB39EB80B9C7A5E5C" ma:contentTypeVersion="344" ma:contentTypeDescription="Permitting &amp; Compliance Word Document" ma:contentTypeScope="" ma:versionID="75b2c9de37489b84aaf2a2c7897e826f">
  <xsd:schema xmlns:xsd="http://www.w3.org/2001/XMLSchema" xmlns:xs="http://www.w3.org/2001/XMLSchema" xmlns:p="http://schemas.microsoft.com/office/2006/metadata/properties" xmlns:ns2="859f7ad6-93f6-4205-b62b-a17f28acbbac" xmlns:ns4="c2f70a08-1207-42db-a706-3a2f4cfa4a88" xmlns:ns5="http://schemas.microsoft.com/sharepoint/v4" xmlns:ns6="6e121689-de5b-41b9-a751-bfeda7fa2b07" targetNamespace="http://schemas.microsoft.com/office/2006/metadata/properties" ma:root="true" ma:fieldsID="3f84eb75ac77b064d0091447a65256a3" ns2:_="" ns4:_="" ns5:_="" ns6:_="">
    <xsd:import namespace="859f7ad6-93f6-4205-b62b-a17f28acbbac"/>
    <xsd:import namespace="c2f70a08-1207-42db-a706-3a2f4cfa4a88"/>
    <xsd:import namespace="http://schemas.microsoft.com/sharepoint/v4"/>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IconOverlay" minOccurs="0"/>
                <xsd:element ref="ns6:LastSharedByUser" minOccurs="0"/>
                <xsd:element ref="ns6:LastSharedByTime" minOccurs="0"/>
                <xsd:element ref="ns4:MediaServiceMetadata" minOccurs="0"/>
                <xsd:element ref="ns4:MediaServiceFastMetadata" minOccurs="0"/>
                <xsd:element ref="ns4:MediaServiceAutoTags"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2f70a08-1207-42db-a706-3a2f4cfa4a88"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Tags" ma:index="30" nillable="true" ma:displayName="Tags" ma:internalName="MediaServiceAutoTags" ma:readOnly="true">
      <xsd:simpleType>
        <xsd:restriction base="dms:Text"/>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Gaens Quarry</Site_x0020_Name>
    <Internal_x002f_External xmlns="859f7ad6-93f6-4205-b62b-a17f28acbbac">Incoming document</Internal_x002f_External>
    <Post_x0020_code xmlns="859f7ad6-93f6-4205-b62b-a17f28acbbac">CF33 4RD</Post_x0020_code>
    <IconOverlay xmlns="http://schemas.microsoft.com/sharepoint/v4"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Cornelly Quarries, Pyle, Bridgend, CF33 4RD </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2019-09-10T23:00:00+00:00</Document_x0020_Date>
    <Facility_x0020_Address xmlns="859f7ad6-93f6-4205-b62b-a17f28acbbac">South Cornelly Pyle</Facility_x0020_Address>
    <Environment_x0020_Sub_x0020_Folder xmlns="859f7ad6-93f6-4205-b62b-a17f28acbbac">Licences applications</Environment_x0020_Sub_x0020_Folder>
    <Customer_x0020_Name xmlns="859f7ad6-93f6-4205-b62b-a17f28acbbac">TS Rees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A0F5CBB-65B2-4185-923E-5890DDE202CE}"/>
</file>

<file path=customXml/itemProps2.xml><?xml version="1.0" encoding="utf-8"?>
<ds:datastoreItem xmlns:ds="http://schemas.openxmlformats.org/officeDocument/2006/customXml" ds:itemID="{34E18684-C3E3-48CF-8AAB-ACB74E0D0237}">
  <ds:schemaRefs>
    <ds:schemaRef ds:uri="http://schemas.microsoft.com/sharepoint/v3/contenttype/forms"/>
  </ds:schemaRefs>
</ds:datastoreItem>
</file>

<file path=customXml/itemProps3.xml><?xml version="1.0" encoding="utf-8"?>
<ds:datastoreItem xmlns:ds="http://schemas.openxmlformats.org/officeDocument/2006/customXml" ds:itemID="{D924B5C2-C5C8-4E20-9B4D-F3F09C85CF6E}">
  <ds:schemaRefs>
    <ds:schemaRef ds:uri="http://schemas.microsoft.com/office/2006/documentManagement/types"/>
    <ds:schemaRef ds:uri="http://schemas.openxmlformats.org/package/2006/metadata/core-properties"/>
    <ds:schemaRef ds:uri="http://purl.org/dc/dcmitype/"/>
    <ds:schemaRef ds:uri="b30b4123-4821-408d-a34d-455af48a178c"/>
    <ds:schemaRef ds:uri="http://schemas.microsoft.com/office/2006/metadata/properties"/>
    <ds:schemaRef ds:uri="http://purl.org/dc/elements/1.1/"/>
    <ds:schemaRef ds:uri="http://schemas.microsoft.com/office/infopath/2007/PartnerControls"/>
    <ds:schemaRef ds:uri="http://www.w3.org/XML/1998/namespace"/>
    <ds:schemaRef ds:uri="http://purl.org/dc/terms/"/>
  </ds:schemaRefs>
</ds:datastoreItem>
</file>

<file path=customXml/itemProps4.xml><?xml version="1.0" encoding="utf-8"?>
<ds:datastoreItem xmlns:ds="http://schemas.openxmlformats.org/officeDocument/2006/customXml" ds:itemID="{44D0455C-1D95-4588-9819-BFDDECC44258}"/>
</file>

<file path=customXml/itemProps5.xml><?xml version="1.0" encoding="utf-8"?>
<ds:datastoreItem xmlns:ds="http://schemas.openxmlformats.org/officeDocument/2006/customXml" ds:itemID="{C1A23A2E-4980-4FCF-8EEB-22328E124B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QA Sheet</vt:lpstr>
      <vt:lpstr>Usage</vt:lpstr>
      <vt:lpstr>Abstractions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Holtham, Richard</dc:creator>
  <cp:lastModifiedBy>Steve.Bickerton</cp:lastModifiedBy>
  <dcterms:created xsi:type="dcterms:W3CDTF">2019-07-31T14:52:11Z</dcterms:created>
  <dcterms:modified xsi:type="dcterms:W3CDTF">2019-09-12T08:49:53Z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0x01010067EB80C5FE939D4A9B3D8BA62129B7F501020052CE240CB7C1F24EB39EB80B9C7A5E5C</vt:lpwstr>
  </property>
  <property fmtid="{D5CDD505-2E9C-101B-9397-08002B2CF9AE}" pid="3" name="_dlc_DocId">
    <vt:lpwstr>REGU-425-39994</vt:lpwstr>
  </property>
  <property fmtid="{D5CDD505-2E9C-101B-9397-08002B2CF9AE}" pid="4" name="Email Has Attachments">
    <vt:bool>false</vt:bool>
  </property>
  <property fmtid="{D5CDD505-2E9C-101B-9397-08002B2CF9AE}" pid="5" name="_dlc_DocIdItemGuid">
    <vt:lpwstr>d66666cf-e4bb-4e3e-9fde-a1d60b608c2a</vt:lpwstr>
  </property>
  <property fmtid="{D5CDD505-2E9C-101B-9397-08002B2CF9AE}" pid="6" name="_dlc_DocIdUrl">
    <vt:lpwstr>https://cyfoethnaturiolcymru.sharepoint.com/teams/Regulatory/Permitting/_layouts/15/DocIdRedir.aspx?ID=REGU-425-39994, REGU-425-39994</vt:lpwstr>
  </property>
</Properties>
</file>