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28923 - Dan and Carys/"/>
    </mc:Choice>
  </mc:AlternateContent>
  <xr:revisionPtr revIDLastSave="0" documentId="13_ncr:1_{6AC99623-6471-4C3E-86C0-7568B3F3C591}" xr6:coauthVersionLast="47" xr6:coauthVersionMax="47" xr10:uidLastSave="{00000000-0000-0000-0000-000000000000}"/>
  <bookViews>
    <workbookView xWindow="-120" yWindow="-120" windowWidth="38640" windowHeight="21120" tabRatio="870" activeTab="9" xr2:uid="{00000000-000D-0000-FFFF-FFFF00000000}"/>
  </bookViews>
  <sheets>
    <sheet name="Volac Sensient" sheetId="1" r:id="rId1"/>
    <sheet name="First Milk" sheetId="21" r:id="rId2"/>
    <sheet name="DCWW Llechryd" sheetId="27" r:id="rId3"/>
    <sheet name="DCWW Strata Florida" sheetId="28" r:id="rId4"/>
    <sheet name="DCWW Bontgoch" sheetId="30" r:id="rId5"/>
    <sheet name="DCWW Bryngwyn" sheetId="26" r:id="rId6"/>
    <sheet name="DCWW Capel Dewi" sheetId="24" r:id="rId7"/>
    <sheet name="DCWW Cray" sheetId="29" r:id="rId8"/>
    <sheet name="DCWW Bolton Hill" sheetId="23" r:id="rId9"/>
    <sheet name="DCWW Preseli"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M22" i="30"/>
  <c r="E22" i="30"/>
  <c r="V20" i="30"/>
  <c r="U20" i="30"/>
  <c r="T20" i="30"/>
  <c r="S20" i="30"/>
  <c r="R20" i="30"/>
  <c r="V18" i="30"/>
  <c r="T18" i="30"/>
  <c r="Q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R22" i="29"/>
  <c r="V20" i="29"/>
  <c r="U20" i="29"/>
  <c r="T20" i="29"/>
  <c r="S20" i="29"/>
  <c r="R20" i="29"/>
  <c r="P18" i="29"/>
  <c r="M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V18" i="28"/>
  <c r="N18" i="28"/>
  <c r="M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U18" i="27"/>
  <c r="S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V20" i="26"/>
  <c r="U20" i="26"/>
  <c r="T20" i="26"/>
  <c r="S20" i="26"/>
  <c r="R20" i="26"/>
  <c r="T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E22" i="24"/>
  <c r="V20" i="24"/>
  <c r="U20" i="24"/>
  <c r="T20" i="24"/>
  <c r="S20" i="24"/>
  <c r="R20" i="24"/>
  <c r="P18" i="24"/>
  <c r="M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I22" i="23"/>
  <c r="V20" i="23"/>
  <c r="U20" i="23"/>
  <c r="T20" i="23"/>
  <c r="S20" i="23"/>
  <c r="R20"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V20" i="22"/>
  <c r="U20" i="22"/>
  <c r="T20" i="22"/>
  <c r="S20" i="22"/>
  <c r="R20" i="22"/>
  <c r="S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0" i="26" s="1"/>
  <c r="F21" i="26"/>
  <c r="F23" i="26" s="1"/>
  <c r="F24" i="26" s="1"/>
  <c r="M59" i="26"/>
  <c r="N17" i="26"/>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M23" i="28" s="1"/>
  <c r="M24" i="28" s="1"/>
  <c r="T59" i="28"/>
  <c r="U17" i="28"/>
  <c r="U21" i="28"/>
  <c r="U23" i="28" s="1"/>
  <c r="U24" i="28" s="1"/>
  <c r="I4" i="20"/>
  <c r="J4" i="19"/>
  <c r="J18" i="19" s="1"/>
  <c r="I59" i="21"/>
  <c r="J17" i="21"/>
  <c r="J19" i="21" s="1"/>
  <c r="J20" i="21" s="1"/>
  <c r="J21" i="21"/>
  <c r="C59" i="22"/>
  <c r="D21" i="22"/>
  <c r="D23" i="22" s="1"/>
  <c r="D24" i="22" s="1"/>
  <c r="D17" i="22"/>
  <c r="D19" i="22" s="1"/>
  <c r="D20" i="22" s="1"/>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23" i="22" s="1"/>
  <c r="L24" i="22" s="1"/>
  <c r="L17" i="22"/>
  <c r="L19" i="22" s="1"/>
  <c r="L20" i="22" s="1"/>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R19"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L23" i="21" s="1"/>
  <c r="L24" i="21" s="1"/>
  <c r="I59" i="22"/>
  <c r="J17" i="22"/>
  <c r="J21" i="22"/>
  <c r="J23" i="22" s="1"/>
  <c r="J24" i="22" s="1"/>
  <c r="K59" i="23"/>
  <c r="L17" i="23"/>
  <c r="L21" i="23"/>
  <c r="L23" i="23" s="1"/>
  <c r="L24" i="23" s="1"/>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19" i="23" s="1"/>
  <c r="M20" i="23" s="1"/>
  <c r="M21" i="23"/>
  <c r="T59" i="23"/>
  <c r="U17" i="23"/>
  <c r="U19" i="23" s="1"/>
  <c r="U21" i="23"/>
  <c r="U23" i="23" s="1"/>
  <c r="U24" i="23" s="1"/>
  <c r="H21" i="24"/>
  <c r="H17" i="24"/>
  <c r="H19" i="24" s="1"/>
  <c r="H20" i="24" s="1"/>
  <c r="P17" i="24"/>
  <c r="P21" i="24"/>
  <c r="P23" i="24" s="1"/>
  <c r="P24" i="24" s="1"/>
  <c r="C59" i="26"/>
  <c r="D21" i="26"/>
  <c r="D23" i="26" s="1"/>
  <c r="D24" i="26" s="1"/>
  <c r="D17" i="26"/>
  <c r="D19" i="26" s="1"/>
  <c r="D20" i="26" s="1"/>
  <c r="K59" i="26"/>
  <c r="L21" i="26"/>
  <c r="L17" i="26"/>
  <c r="L19" i="26" s="1"/>
  <c r="L20" i="26" s="1"/>
  <c r="S59" i="26"/>
  <c r="T21" i="26"/>
  <c r="T17" i="26"/>
  <c r="N63" i="26"/>
  <c r="J59" i="27"/>
  <c r="K17" i="27"/>
  <c r="K19" i="27" s="1"/>
  <c r="K20" i="27" s="1"/>
  <c r="R59" i="27"/>
  <c r="S17" i="27"/>
  <c r="S19" i="27" s="1"/>
  <c r="J59" i="28"/>
  <c r="K17" i="28"/>
  <c r="K21" i="28"/>
  <c r="K23" i="28" s="1"/>
  <c r="K24" i="28" s="1"/>
  <c r="R59" i="28"/>
  <c r="S17" i="28"/>
  <c r="S21" i="28"/>
  <c r="S23" i="28" s="1"/>
  <c r="S24" i="28" s="1"/>
  <c r="I59" i="29"/>
  <c r="J17" i="29"/>
  <c r="J21" i="29"/>
  <c r="Q59" i="29"/>
  <c r="R21" i="29"/>
  <c r="R23" i="29" s="1"/>
  <c r="R24" i="29" s="1"/>
  <c r="R17" i="29"/>
  <c r="R19" i="29" s="1"/>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N20" i="23" s="1"/>
  <c r="U59" i="23"/>
  <c r="V21" i="23"/>
  <c r="V23" i="23" s="1"/>
  <c r="V24" i="23" s="1"/>
  <c r="V17" i="23"/>
  <c r="I17" i="24"/>
  <c r="I19" i="24" s="1"/>
  <c r="I20" i="24" s="1"/>
  <c r="I21" i="24"/>
  <c r="I23" i="24" s="1"/>
  <c r="I24" i="24" s="1"/>
  <c r="Q17" i="24"/>
  <c r="Q19" i="24" s="1"/>
  <c r="Q20" i="24" s="1"/>
  <c r="Q21" i="24"/>
  <c r="Q23" i="24" s="1"/>
  <c r="Q24" i="24" s="1"/>
  <c r="D59" i="26"/>
  <c r="E21" i="26"/>
  <c r="E17" i="26"/>
  <c r="E19" i="26" s="1"/>
  <c r="E20" i="26" s="1"/>
  <c r="L59" i="26"/>
  <c r="M21" i="26"/>
  <c r="M23" i="26" s="1"/>
  <c r="M24" i="26" s="1"/>
  <c r="M17" i="26"/>
  <c r="T59" i="26"/>
  <c r="U21" i="26"/>
  <c r="U23" i="26" s="1"/>
  <c r="U24" i="26" s="1"/>
  <c r="U17" i="26"/>
  <c r="U19" i="26" s="1"/>
  <c r="C59" i="27"/>
  <c r="D17" i="27"/>
  <c r="K59" i="27"/>
  <c r="L17" i="27"/>
  <c r="L19" i="27" s="1"/>
  <c r="L20" i="27" s="1"/>
  <c r="S59" i="27"/>
  <c r="T17" i="27"/>
  <c r="T19" i="27" s="1"/>
  <c r="C59" i="28"/>
  <c r="D21" i="28"/>
  <c r="D23" i="28" s="1"/>
  <c r="D24" i="28" s="1"/>
  <c r="D17" i="28"/>
  <c r="K59" i="28"/>
  <c r="L21" i="28"/>
  <c r="L23" i="28" s="1"/>
  <c r="L24" i="28" s="1"/>
  <c r="L17" i="28"/>
  <c r="L19" i="28" s="1"/>
  <c r="L20" i="28" s="1"/>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P19" i="21" s="1"/>
  <c r="P20" i="21" s="1"/>
  <c r="H21" i="21"/>
  <c r="H17" i="21"/>
  <c r="H19" i="21" s="1"/>
  <c r="H20" i="21" s="1"/>
  <c r="E59" i="22"/>
  <c r="F21" i="22"/>
  <c r="F23" i="22" s="1"/>
  <c r="F24" i="22" s="1"/>
  <c r="F17" i="22"/>
  <c r="F19" i="22" s="1"/>
  <c r="F20" i="22" s="1"/>
  <c r="M59" i="22"/>
  <c r="N21" i="22"/>
  <c r="N23" i="22" s="1"/>
  <c r="N24" i="22" s="1"/>
  <c r="N17" i="22"/>
  <c r="N19" i="22" s="1"/>
  <c r="N20" i="22" s="1"/>
  <c r="U59" i="22"/>
  <c r="V17" i="22"/>
  <c r="V21" i="22"/>
  <c r="C18" i="22"/>
  <c r="H21" i="23"/>
  <c r="H23" i="23" s="1"/>
  <c r="H24" i="23" s="1"/>
  <c r="H17" i="23"/>
  <c r="P17" i="23"/>
  <c r="P19" i="23" s="1"/>
  <c r="P20" i="23" s="1"/>
  <c r="P21" i="23"/>
  <c r="P23" i="23" s="1"/>
  <c r="P24" i="23" s="1"/>
  <c r="J59" i="24"/>
  <c r="K21" i="24"/>
  <c r="K23" i="24" s="1"/>
  <c r="K24" i="24" s="1"/>
  <c r="K17" i="24"/>
  <c r="R59" i="24"/>
  <c r="S21" i="24"/>
  <c r="S23" i="24" s="1"/>
  <c r="S24" i="24" s="1"/>
  <c r="S17" i="24"/>
  <c r="G21" i="26"/>
  <c r="G17" i="26"/>
  <c r="O17" i="26"/>
  <c r="O21" i="26"/>
  <c r="E59" i="27"/>
  <c r="F17" i="27"/>
  <c r="F19" i="27" s="1"/>
  <c r="F20" i="27" s="1"/>
  <c r="M59" i="27"/>
  <c r="N17" i="27"/>
  <c r="U59" i="27"/>
  <c r="V17" i="27"/>
  <c r="E59" i="28"/>
  <c r="F17" i="28"/>
  <c r="F19" i="28" s="1"/>
  <c r="F20" i="28" s="1"/>
  <c r="F21" i="28"/>
  <c r="M59" i="28"/>
  <c r="N17" i="28"/>
  <c r="N19" i="28" s="1"/>
  <c r="N20" i="28" s="1"/>
  <c r="N21" i="28"/>
  <c r="N23" i="28" s="1"/>
  <c r="N24" i="28" s="1"/>
  <c r="U59" i="28"/>
  <c r="V17" i="28"/>
  <c r="V21" i="28"/>
  <c r="D59" i="29"/>
  <c r="E17" i="29"/>
  <c r="E21" i="29"/>
  <c r="E23" i="29" s="1"/>
  <c r="E24" i="29" s="1"/>
  <c r="L59" i="29"/>
  <c r="M17" i="29"/>
  <c r="M21" i="29"/>
  <c r="M23" i="29" s="1"/>
  <c r="M24" i="29" s="1"/>
  <c r="T59" i="29"/>
  <c r="U17" i="29"/>
  <c r="U21" i="29"/>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19" i="22" s="1"/>
  <c r="G20" i="22" s="1"/>
  <c r="G21" i="22"/>
  <c r="O17" i="22"/>
  <c r="O19" i="22" s="1"/>
  <c r="O20"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0" i="28" s="1"/>
  <c r="O21" i="28"/>
  <c r="E59" i="29"/>
  <c r="F17" i="29"/>
  <c r="F19" i="29" s="1"/>
  <c r="F20" i="29" s="1"/>
  <c r="F21" i="29"/>
  <c r="M59" i="29"/>
  <c r="N17" i="29"/>
  <c r="N19" i="29" s="1"/>
  <c r="N20" i="29" s="1"/>
  <c r="N21" i="29"/>
  <c r="N23" i="29" s="1"/>
  <c r="N24" i="29" s="1"/>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H20" i="22" s="1"/>
  <c r="I59" i="23"/>
  <c r="J21" i="23"/>
  <c r="J23" i="23" s="1"/>
  <c r="J24" i="23" s="1"/>
  <c r="J17" i="23"/>
  <c r="J19" i="23" s="1"/>
  <c r="J20" i="23" s="1"/>
  <c r="Q59" i="23"/>
  <c r="R21" i="23"/>
  <c r="R17" i="23"/>
  <c r="D59" i="24"/>
  <c r="E17" i="24"/>
  <c r="E21" i="24"/>
  <c r="L59" i="24"/>
  <c r="M17" i="24"/>
  <c r="M19" i="24" s="1"/>
  <c r="M20" i="24" s="1"/>
  <c r="M21" i="24"/>
  <c r="M23" i="24" s="1"/>
  <c r="M24" i="24" s="1"/>
  <c r="T59" i="24"/>
  <c r="U21" i="24"/>
  <c r="U17" i="24"/>
  <c r="H59" i="26"/>
  <c r="I17" i="26"/>
  <c r="I19" i="26" s="1"/>
  <c r="I20" i="26" s="1"/>
  <c r="I21" i="26"/>
  <c r="I23" i="26" s="1"/>
  <c r="I24" i="26" s="1"/>
  <c r="P59" i="26"/>
  <c r="Q17" i="26"/>
  <c r="Q19" i="26" s="1"/>
  <c r="Q20" i="26" s="1"/>
  <c r="Q21" i="26"/>
  <c r="Q23" i="26" s="1"/>
  <c r="Q24" i="26" s="1"/>
  <c r="E63" i="26"/>
  <c r="H17" i="27"/>
  <c r="P17" i="27"/>
  <c r="P19" i="27" s="1"/>
  <c r="P20" i="27" s="1"/>
  <c r="H21" i="28"/>
  <c r="H23" i="28" s="1"/>
  <c r="H24" i="28" s="1"/>
  <c r="H17" i="28"/>
  <c r="H19" i="28" s="1"/>
  <c r="H20" i="28" s="1"/>
  <c r="P21" i="28"/>
  <c r="P23" i="28" s="1"/>
  <c r="P24" i="28" s="1"/>
  <c r="P17" i="28"/>
  <c r="P19" i="28" s="1"/>
  <c r="P20" i="28" s="1"/>
  <c r="G17" i="29"/>
  <c r="G21" i="29"/>
  <c r="G23" i="29" s="1"/>
  <c r="G24" i="29" s="1"/>
  <c r="O17" i="29"/>
  <c r="O21" i="29"/>
  <c r="E59" i="30"/>
  <c r="F21" i="30"/>
  <c r="F23" i="30" s="1"/>
  <c r="F24" i="30" s="1"/>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23" i="22" s="1"/>
  <c r="P24" i="22" s="1"/>
  <c r="P17" i="22"/>
  <c r="P19" i="22" s="1"/>
  <c r="P20" i="22" s="1"/>
  <c r="T59" i="21"/>
  <c r="T64" i="21" s="1"/>
  <c r="U17" i="21"/>
  <c r="U19" i="21" s="1"/>
  <c r="U21" i="21"/>
  <c r="U23" i="21" s="1"/>
  <c r="U24" i="21" s="1"/>
  <c r="M17" i="21"/>
  <c r="M21" i="21"/>
  <c r="M23" i="21" s="1"/>
  <c r="M24" i="21" s="1"/>
  <c r="E17" i="21"/>
  <c r="E19" i="21" s="1"/>
  <c r="E20" i="21" s="1"/>
  <c r="E21" i="21"/>
  <c r="E23" i="21" s="1"/>
  <c r="E24" i="21" s="1"/>
  <c r="H59" i="22"/>
  <c r="I17" i="22"/>
  <c r="I19" i="22" s="1"/>
  <c r="I20" i="22" s="1"/>
  <c r="I21" i="22"/>
  <c r="I23" i="22" s="1"/>
  <c r="I24" i="22" s="1"/>
  <c r="P59" i="22"/>
  <c r="Q17" i="22"/>
  <c r="Q19" i="22" s="1"/>
  <c r="Q20" i="22" s="1"/>
  <c r="Q21" i="22"/>
  <c r="J59" i="23"/>
  <c r="K17" i="23"/>
  <c r="K19" i="23" s="1"/>
  <c r="K20" i="23" s="1"/>
  <c r="K21" i="23"/>
  <c r="K23" i="23" s="1"/>
  <c r="K24" i="23" s="1"/>
  <c r="R59" i="23"/>
  <c r="S17" i="23"/>
  <c r="S19" i="23" s="1"/>
  <c r="S21" i="23"/>
  <c r="E59" i="24"/>
  <c r="F21" i="24"/>
  <c r="F23" i="24" s="1"/>
  <c r="F24" i="24" s="1"/>
  <c r="F17" i="24"/>
  <c r="M59" i="24"/>
  <c r="N21" i="24"/>
  <c r="N23" i="24" s="1"/>
  <c r="N24" i="24" s="1"/>
  <c r="N17" i="24"/>
  <c r="N19" i="24" s="1"/>
  <c r="N20"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Q20" i="28" s="1"/>
  <c r="H21" i="29"/>
  <c r="H23" i="29" s="1"/>
  <c r="H24" i="29" s="1"/>
  <c r="H17" i="29"/>
  <c r="P21" i="29"/>
  <c r="P23" i="29" s="1"/>
  <c r="P24" i="29" s="1"/>
  <c r="P17" i="29"/>
  <c r="P19" i="29" s="1"/>
  <c r="P20" i="29" s="1"/>
  <c r="G21" i="30"/>
  <c r="G17" i="30"/>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Q59" i="27"/>
  <c r="R17" i="27"/>
  <c r="R19" i="27" s="1"/>
  <c r="R20" i="27" s="1"/>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Q20"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G23" i="22"/>
  <c r="G24" i="22" s="1"/>
  <c r="K58" i="21"/>
  <c r="K61" i="21" s="1"/>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D65" i="30" s="1"/>
  <c r="L58" i="30"/>
  <c r="L61" i="30" s="1"/>
  <c r="L64" i="30" s="1"/>
  <c r="R58" i="23"/>
  <c r="R61" i="23" s="1"/>
  <c r="H21" i="27"/>
  <c r="H23" i="27" s="1"/>
  <c r="H24" i="27" s="1"/>
  <c r="P21" i="27"/>
  <c r="J58" i="22"/>
  <c r="J61" i="22" s="1"/>
  <c r="J58" i="26"/>
  <c r="J61" i="26" s="1"/>
  <c r="R19" i="23"/>
  <c r="J58" i="27"/>
  <c r="J61" i="27" s="1"/>
  <c r="J64" i="27" s="1"/>
  <c r="J65"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P64" i="21" s="1"/>
  <c r="P65" i="21" s="1"/>
  <c r="H58" i="21"/>
  <c r="H61" i="21" s="1"/>
  <c r="N59" i="23"/>
  <c r="R58" i="26"/>
  <c r="R61" i="26" s="1"/>
  <c r="R57" i="21"/>
  <c r="H58" i="22"/>
  <c r="H61" i="22" s="1"/>
  <c r="H64" i="22" s="1"/>
  <c r="P58" i="22"/>
  <c r="P61" i="22" s="1"/>
  <c r="F59" i="22"/>
  <c r="K58" i="29"/>
  <c r="K61" i="29" s="1"/>
  <c r="I58" i="23"/>
  <c r="I61"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J20" i="27" s="1"/>
  <c r="R21" i="27"/>
  <c r="R23" i="27" s="1"/>
  <c r="R24" i="27" s="1"/>
  <c r="E58" i="27"/>
  <c r="E61" i="27" s="1"/>
  <c r="M58" i="27"/>
  <c r="M61" i="27" s="1"/>
  <c r="U58" i="27"/>
  <c r="U61" i="27" s="1"/>
  <c r="I58" i="29"/>
  <c r="I61" i="29" s="1"/>
  <c r="I64" i="29" s="1"/>
  <c r="Q58" i="29"/>
  <c r="Q61" i="29" s="1"/>
  <c r="Q64" i="29" s="1"/>
  <c r="F58" i="30"/>
  <c r="F61" i="30" s="1"/>
  <c r="N58" i="30"/>
  <c r="N61" i="30" s="1"/>
  <c r="G59" i="21"/>
  <c r="G58" i="22"/>
  <c r="G61" i="22" s="1"/>
  <c r="O58" i="22"/>
  <c r="O61"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T23" i="30"/>
  <c r="T24" i="30" s="1"/>
  <c r="G58" i="30"/>
  <c r="G61" i="30" s="1"/>
  <c r="O58" i="30"/>
  <c r="O61" i="30" s="1"/>
  <c r="Q57" i="30"/>
  <c r="A36" i="22"/>
  <c r="G58" i="27"/>
  <c r="G61" i="27" s="1"/>
  <c r="T58" i="28"/>
  <c r="T61" i="28" s="1"/>
  <c r="T64" i="28" s="1"/>
  <c r="C58" i="29"/>
  <c r="C61" i="29" s="1"/>
  <c r="H58" i="30"/>
  <c r="H61" i="30" s="1"/>
  <c r="N59" i="30"/>
  <c r="K19" i="21"/>
  <c r="K20" i="21" s="1"/>
  <c r="Q57" i="21"/>
  <c r="B58" i="21"/>
  <c r="B61" i="21" s="1"/>
  <c r="I58" i="22"/>
  <c r="I61" i="22" s="1"/>
  <c r="Q58" i="22"/>
  <c r="Q61" i="22" s="1"/>
  <c r="D58" i="23"/>
  <c r="D61" i="23" s="1"/>
  <c r="L58" i="23"/>
  <c r="L61"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L65" i="24" s="1"/>
  <c r="P58" i="26"/>
  <c r="P61" i="26" s="1"/>
  <c r="F59" i="26"/>
  <c r="O58" i="27"/>
  <c r="O61" i="27" s="1"/>
  <c r="A38" i="21"/>
  <c r="F57" i="22"/>
  <c r="N59" i="22"/>
  <c r="E58" i="23"/>
  <c r="E61"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H23" i="22"/>
  <c r="H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M20" i="21" s="1"/>
  <c r="G57" i="21"/>
  <c r="J19" i="22"/>
  <c r="J20" i="22" s="1"/>
  <c r="E58" i="22"/>
  <c r="E61" i="22" s="1"/>
  <c r="E64" i="22" s="1"/>
  <c r="E65" i="22" s="1"/>
  <c r="M58" i="22"/>
  <c r="M61" i="22" s="1"/>
  <c r="M64" i="22" s="1"/>
  <c r="M65" i="22" s="1"/>
  <c r="U58" i="22"/>
  <c r="U61" i="22" s="1"/>
  <c r="A45" i="22"/>
  <c r="O57" i="22"/>
  <c r="H58" i="23"/>
  <c r="H61" i="23" s="1"/>
  <c r="H64" i="23" s="1"/>
  <c r="P58" i="23"/>
  <c r="P61" i="23" s="1"/>
  <c r="P64" i="23" s="1"/>
  <c r="P65" i="23" s="1"/>
  <c r="I58" i="24"/>
  <c r="I61" i="24" s="1"/>
  <c r="Q58" i="24"/>
  <c r="Q61" i="24" s="1"/>
  <c r="Q64" i="24" s="1"/>
  <c r="E58" i="26"/>
  <c r="E61" i="26" s="1"/>
  <c r="M58" i="26"/>
  <c r="M61" i="26" s="1"/>
  <c r="M64" i="26" s="1"/>
  <c r="U58" i="26"/>
  <c r="U61" i="26" s="1"/>
  <c r="N57" i="26"/>
  <c r="P59" i="27"/>
  <c r="I58" i="28"/>
  <c r="I61" i="28" s="1"/>
  <c r="I64" i="28" s="1"/>
  <c r="I65" i="28" s="1"/>
  <c r="Q58" i="28"/>
  <c r="Q61" i="28" s="1"/>
  <c r="Q64" i="28" s="1"/>
  <c r="H58" i="29"/>
  <c r="H61" i="29" s="1"/>
  <c r="P58" i="29"/>
  <c r="P61" i="29" s="1"/>
  <c r="E58" i="30"/>
  <c r="E61" i="30" s="1"/>
  <c r="E64" i="30" s="1"/>
  <c r="E65"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H24" i="30" s="1"/>
  <c r="G23" i="30"/>
  <c r="G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N19" i="30"/>
  <c r="N20" i="30" s="1"/>
  <c r="V19" i="30"/>
  <c r="B63" i="30"/>
  <c r="J63" i="30"/>
  <c r="R63" i="30"/>
  <c r="G19" i="30"/>
  <c r="G20" i="30" s="1"/>
  <c r="A32" i="30"/>
  <c r="A34" i="30"/>
  <c r="A40" i="30"/>
  <c r="A42" i="30"/>
  <c r="A48" i="30"/>
  <c r="A50" i="30"/>
  <c r="C63" i="30"/>
  <c r="K63" i="30"/>
  <c r="S63" i="30"/>
  <c r="P19" i="30"/>
  <c r="P20" i="30" s="1"/>
  <c r="D63" i="30"/>
  <c r="L63" i="30"/>
  <c r="T63" i="30"/>
  <c r="H63" i="30"/>
  <c r="Q19" i="30"/>
  <c r="Q20" i="30" s="1"/>
  <c r="E63" i="30"/>
  <c r="M63" i="30"/>
  <c r="O23" i="29"/>
  <c r="O24" i="29" s="1"/>
  <c r="T19" i="29"/>
  <c r="P63" i="29"/>
  <c r="J19" i="29"/>
  <c r="J20" i="29" s="1"/>
  <c r="J23" i="29"/>
  <c r="J24" i="29" s="1"/>
  <c r="F57" i="29"/>
  <c r="N57" i="29"/>
  <c r="F59" i="29"/>
  <c r="N59" i="29"/>
  <c r="F63" i="29"/>
  <c r="N63" i="29"/>
  <c r="H63" i="29"/>
  <c r="K19" i="29"/>
  <c r="K20" i="29" s="1"/>
  <c r="S19" i="29"/>
  <c r="K23" i="29"/>
  <c r="K24" i="29" s="1"/>
  <c r="S23" i="29"/>
  <c r="S24" i="29" s="1"/>
  <c r="A31" i="29"/>
  <c r="A33" i="29"/>
  <c r="A39" i="29"/>
  <c r="A41" i="29"/>
  <c r="A47" i="29"/>
  <c r="A49" i="29"/>
  <c r="G57" i="29"/>
  <c r="O57" i="29"/>
  <c r="G59" i="29"/>
  <c r="O59" i="29"/>
  <c r="G63" i="29"/>
  <c r="O63" i="29"/>
  <c r="E19" i="29"/>
  <c r="E20" i="29" s="1"/>
  <c r="M19" i="29"/>
  <c r="M20" i="29" s="1"/>
  <c r="U19" i="29"/>
  <c r="U23" i="29"/>
  <c r="U24" i="29" s="1"/>
  <c r="I57" i="29"/>
  <c r="Q57" i="29"/>
  <c r="I63" i="29"/>
  <c r="Q63" i="29"/>
  <c r="V19" i="29"/>
  <c r="F23" i="29"/>
  <c r="F24" i="29" s="1"/>
  <c r="B63" i="29"/>
  <c r="J63" i="29"/>
  <c r="R63" i="29"/>
  <c r="L19" i="29"/>
  <c r="L20" i="29" s="1"/>
  <c r="G19" i="29"/>
  <c r="G20" i="29" s="1"/>
  <c r="O19" i="29"/>
  <c r="O20" i="29" s="1"/>
  <c r="A32" i="29"/>
  <c r="A34" i="29"/>
  <c r="A40" i="29"/>
  <c r="A42" i="29"/>
  <c r="A48" i="29"/>
  <c r="A50" i="29"/>
  <c r="C63" i="29"/>
  <c r="K63" i="29"/>
  <c r="S63" i="29"/>
  <c r="H19" i="29"/>
  <c r="H20" i="29" s="1"/>
  <c r="D63" i="29"/>
  <c r="L63" i="29"/>
  <c r="T63" i="29"/>
  <c r="E63" i="29"/>
  <c r="M63" i="29"/>
  <c r="K19" i="28"/>
  <c r="K20" i="28" s="1"/>
  <c r="S19" i="28"/>
  <c r="A31" i="28"/>
  <c r="A33" i="28"/>
  <c r="A37" i="28"/>
  <c r="A39" i="28"/>
  <c r="A41" i="28"/>
  <c r="A45" i="28"/>
  <c r="A47" i="28"/>
  <c r="A49" i="28"/>
  <c r="G57" i="28"/>
  <c r="O57" i="28"/>
  <c r="G59" i="28"/>
  <c r="O59" i="28"/>
  <c r="G63" i="28"/>
  <c r="O63" i="28"/>
  <c r="D19" i="28"/>
  <c r="D20" i="28" s="1"/>
  <c r="T23" i="28"/>
  <c r="T24" i="28" s="1"/>
  <c r="H59" i="28"/>
  <c r="P59" i="28"/>
  <c r="H63" i="28"/>
  <c r="P63" i="28"/>
  <c r="E19" i="28"/>
  <c r="E20" i="28" s="1"/>
  <c r="M19" i="28"/>
  <c r="M20" i="28" s="1"/>
  <c r="U19" i="28"/>
  <c r="I57" i="28"/>
  <c r="Q57" i="28"/>
  <c r="I63" i="28"/>
  <c r="Q63" i="28"/>
  <c r="R19" i="28"/>
  <c r="V19" i="28"/>
  <c r="F23" i="28"/>
  <c r="F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Q65" i="27" s="1"/>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H19" i="27"/>
  <c r="H20" i="27" s="1"/>
  <c r="D63" i="27"/>
  <c r="L63" i="27"/>
  <c r="T63" i="27"/>
  <c r="H63" i="27"/>
  <c r="Q19" i="27"/>
  <c r="Q20" i="27" s="1"/>
  <c r="E63" i="27"/>
  <c r="M63" i="27"/>
  <c r="U64" i="26"/>
  <c r="U66" i="26" s="1"/>
  <c r="O23" i="26"/>
  <c r="O24" i="26" s="1"/>
  <c r="C19" i="26"/>
  <c r="C20" i="26" s="1"/>
  <c r="A31" i="26"/>
  <c r="A33" i="26"/>
  <c r="A37" i="26"/>
  <c r="A39" i="26"/>
  <c r="A41" i="26"/>
  <c r="A45" i="26"/>
  <c r="A47" i="26"/>
  <c r="A49" i="26"/>
  <c r="G57" i="26"/>
  <c r="O57" i="26"/>
  <c r="G59" i="26"/>
  <c r="O59" i="26"/>
  <c r="G63" i="26"/>
  <c r="O63" i="26"/>
  <c r="T19" i="26"/>
  <c r="L23" i="26"/>
  <c r="L24" i="26" s="1"/>
  <c r="T23" i="26"/>
  <c r="T24" i="26" s="1"/>
  <c r="H63" i="26"/>
  <c r="P63" i="26"/>
  <c r="M19" i="26"/>
  <c r="M20" i="26" s="1"/>
  <c r="E23" i="26"/>
  <c r="E24" i="26" s="1"/>
  <c r="I57" i="26"/>
  <c r="Q57" i="26"/>
  <c r="I59" i="26"/>
  <c r="I64" i="26" s="1"/>
  <c r="Q59" i="26"/>
  <c r="Q64" i="26" s="1"/>
  <c r="I63" i="26"/>
  <c r="Q63" i="26"/>
  <c r="N19" i="26"/>
  <c r="N20" i="26" s="1"/>
  <c r="V23" i="26"/>
  <c r="V24" i="26" s="1"/>
  <c r="B63" i="26"/>
  <c r="J63" i="26"/>
  <c r="R63" i="26"/>
  <c r="G19" i="26"/>
  <c r="G20" i="26" s="1"/>
  <c r="O19" i="26"/>
  <c r="O20" i="26" s="1"/>
  <c r="A32" i="26"/>
  <c r="A34" i="26"/>
  <c r="A40" i="26"/>
  <c r="A42" i="26"/>
  <c r="A48" i="26"/>
  <c r="A50" i="26"/>
  <c r="C63" i="26"/>
  <c r="K63" i="26"/>
  <c r="S63" i="26"/>
  <c r="H19" i="26"/>
  <c r="H20" i="26" s="1"/>
  <c r="P19" i="26"/>
  <c r="P20" i="26" s="1"/>
  <c r="D63" i="26"/>
  <c r="L63" i="26"/>
  <c r="H23" i="24"/>
  <c r="H24" i="24" s="1"/>
  <c r="K19" i="24"/>
  <c r="K20" i="24" s="1"/>
  <c r="S19" i="24"/>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R24" i="23" s="1"/>
  <c r="S23" i="23"/>
  <c r="S24" i="23" s="1"/>
  <c r="A31" i="23"/>
  <c r="A33" i="23"/>
  <c r="A37" i="23"/>
  <c r="A39" i="23"/>
  <c r="A41" i="23"/>
  <c r="A45" i="23"/>
  <c r="A47" i="23"/>
  <c r="A49" i="23"/>
  <c r="G57" i="23"/>
  <c r="O57" i="23"/>
  <c r="G59" i="23"/>
  <c r="O59" i="23"/>
  <c r="L19" i="23"/>
  <c r="L20" i="23" s="1"/>
  <c r="T19" i="23"/>
  <c r="D23" i="23"/>
  <c r="D24" i="23" s="1"/>
  <c r="T23" i="23"/>
  <c r="T24" i="23" s="1"/>
  <c r="E19" i="23"/>
  <c r="E20" i="23" s="1"/>
  <c r="E23" i="23"/>
  <c r="E24" i="23" s="1"/>
  <c r="M23" i="23"/>
  <c r="M24" i="23" s="1"/>
  <c r="I57" i="23"/>
  <c r="Q57" i="23"/>
  <c r="F23" i="23"/>
  <c r="F24" i="23" s="1"/>
  <c r="O19" i="23"/>
  <c r="O20" i="23" s="1"/>
  <c r="A32" i="23"/>
  <c r="A34" i="23"/>
  <c r="A40" i="23"/>
  <c r="A42" i="23"/>
  <c r="A48" i="23"/>
  <c r="A50" i="23"/>
  <c r="H19" i="23"/>
  <c r="H20" i="23" s="1"/>
  <c r="I19" i="23"/>
  <c r="I20" i="23" s="1"/>
  <c r="Q19" i="23"/>
  <c r="Q20" i="23" s="1"/>
  <c r="U63" i="22"/>
  <c r="M63" i="22"/>
  <c r="E63" i="22"/>
  <c r="F63" i="22"/>
  <c r="T63" i="22"/>
  <c r="L63" i="22"/>
  <c r="D63" i="22"/>
  <c r="S63" i="22"/>
  <c r="K63" i="22"/>
  <c r="C63" i="22"/>
  <c r="N63" i="22"/>
  <c r="R63" i="22"/>
  <c r="J63" i="22"/>
  <c r="B63" i="22"/>
  <c r="Q63" i="22"/>
  <c r="I63" i="22"/>
  <c r="P63" i="22"/>
  <c r="H63" i="22"/>
  <c r="O63" i="22"/>
  <c r="G63" i="22"/>
  <c r="S19" i="22"/>
  <c r="T19" i="22"/>
  <c r="T23" i="22"/>
  <c r="T24" i="22" s="1"/>
  <c r="K23" i="22"/>
  <c r="K24" i="22" s="1"/>
  <c r="A31" i="22"/>
  <c r="A33" i="22"/>
  <c r="A41" i="22"/>
  <c r="A47" i="22"/>
  <c r="M19" i="22"/>
  <c r="M20" i="22" s="1"/>
  <c r="E23" i="22"/>
  <c r="E24" i="22" s="1"/>
  <c r="U23" i="22"/>
  <c r="U24" i="22" s="1"/>
  <c r="I57" i="22"/>
  <c r="Q57" i="22"/>
  <c r="K19" i="22"/>
  <c r="K20" i="22" s="1"/>
  <c r="A39" i="22"/>
  <c r="A49" i="22"/>
  <c r="V19" i="22"/>
  <c r="V23" i="22"/>
  <c r="V24" i="22" s="1"/>
  <c r="A32" i="22"/>
  <c r="A34" i="22"/>
  <c r="A40" i="22"/>
  <c r="A42" i="22"/>
  <c r="A48" i="22"/>
  <c r="A50" i="22"/>
  <c r="H23" i="21"/>
  <c r="H24" i="21" s="1"/>
  <c r="A33" i="21"/>
  <c r="A37" i="21"/>
  <c r="A41" i="21"/>
  <c r="A45" i="21"/>
  <c r="A49" i="21"/>
  <c r="E58" i="21"/>
  <c r="E61" i="21" s="1"/>
  <c r="M58" i="21"/>
  <c r="M61" i="21" s="1"/>
  <c r="U58" i="21"/>
  <c r="U61" i="21" s="1"/>
  <c r="U64" i="21" s="1"/>
  <c r="U66" i="21" s="1"/>
  <c r="S19" i="21"/>
  <c r="I23" i="21"/>
  <c r="I24" i="21" s="1"/>
  <c r="G23" i="21"/>
  <c r="G24" i="21" s="1"/>
  <c r="C57" i="21"/>
  <c r="K57" i="21"/>
  <c r="S57" i="21"/>
  <c r="G19" i="21"/>
  <c r="G20" i="21" s="1"/>
  <c r="Q19" i="21"/>
  <c r="Q20" i="21" s="1"/>
  <c r="J23" i="21"/>
  <c r="J24" i="21" s="1"/>
  <c r="R23" i="21"/>
  <c r="R24" i="21" s="1"/>
  <c r="I19" i="21"/>
  <c r="I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N65" i="22" l="1"/>
  <c r="K65" i="22"/>
  <c r="H65" i="22"/>
  <c r="C65" i="22"/>
  <c r="J65" i="23"/>
  <c r="H65" i="23"/>
  <c r="C65" i="23"/>
  <c r="I65" i="29"/>
  <c r="J65" i="24"/>
  <c r="D65" i="24"/>
  <c r="L65" i="26"/>
  <c r="I65" i="26"/>
  <c r="H65" i="26"/>
  <c r="C65" i="26"/>
  <c r="L65" i="30"/>
  <c r="J65" i="30"/>
  <c r="I65" i="30"/>
  <c r="B65" i="30"/>
  <c r="J65" i="28"/>
  <c r="D65" i="28"/>
  <c r="K65" i="27"/>
  <c r="D65" i="27"/>
  <c r="C65" i="27"/>
  <c r="C23" i="21"/>
  <c r="C24" i="21" s="1"/>
  <c r="C65" i="21"/>
  <c r="H64" i="30"/>
  <c r="H65" i="30" s="1"/>
  <c r="G64" i="30"/>
  <c r="G65" i="30" s="1"/>
  <c r="P64" i="22"/>
  <c r="P65" i="22" s="1"/>
  <c r="O64" i="21"/>
  <c r="O65" i="21" s="1"/>
  <c r="O64" i="22"/>
  <c r="O65" i="22" s="1"/>
  <c r="L64" i="23"/>
  <c r="L65" i="23" s="1"/>
  <c r="L64" i="28"/>
  <c r="L65" i="28" s="1"/>
  <c r="I64" i="23"/>
  <c r="I65" i="23" s="1"/>
  <c r="I64" i="22"/>
  <c r="I65" i="22" s="1"/>
  <c r="F64" i="26"/>
  <c r="F66" i="26" s="1"/>
  <c r="E64" i="23"/>
  <c r="E65" i="23" s="1"/>
  <c r="E64" i="27"/>
  <c r="E65" i="27" s="1"/>
  <c r="C64" i="29"/>
  <c r="C65" i="29" s="1"/>
  <c r="C64" i="30"/>
  <c r="C65" i="30" s="1"/>
  <c r="N66" i="21"/>
  <c r="N65" i="21"/>
  <c r="K64" i="21"/>
  <c r="K65" i="21" s="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5" i="27" s="1"/>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U66" i="29" s="1"/>
  <c r="M64" i="30"/>
  <c r="K64" i="26"/>
  <c r="C64" i="28"/>
  <c r="C64" i="24"/>
  <c r="L64" i="27"/>
  <c r="R64" i="24"/>
  <c r="R66" i="24" s="1"/>
  <c r="K64" i="29"/>
  <c r="J64" i="29"/>
  <c r="E64" i="29"/>
  <c r="M64" i="21"/>
  <c r="M65" i="21" s="1"/>
  <c r="P64" i="28"/>
  <c r="I64" i="21"/>
  <c r="U64" i="28"/>
  <c r="U66" i="28" s="1"/>
  <c r="U64" i="24"/>
  <c r="U66" i="24" s="1"/>
  <c r="F64" i="23"/>
  <c r="U64" i="27"/>
  <c r="U66" i="27" s="1"/>
  <c r="C19" i="22"/>
  <c r="C20" i="22" s="1"/>
  <c r="S66" i="27"/>
  <c r="D66" i="30"/>
  <c r="Q66" i="30"/>
  <c r="N66" i="22"/>
  <c r="B64" i="22"/>
  <c r="B64" i="29"/>
  <c r="B64" i="28"/>
  <c r="B64" i="27"/>
  <c r="B64" i="26"/>
  <c r="B64" i="21"/>
  <c r="T66" i="29"/>
  <c r="O64" i="27"/>
  <c r="O64" i="28"/>
  <c r="N64" i="27"/>
  <c r="N64" i="30"/>
  <c r="L66" i="30"/>
  <c r="J66" i="28"/>
  <c r="G64" i="26"/>
  <c r="G64" i="29"/>
  <c r="F64" i="22"/>
  <c r="D66" i="29"/>
  <c r="O64" i="26"/>
  <c r="R66" i="22"/>
  <c r="T66" i="24"/>
  <c r="U66" i="23"/>
  <c r="P64" i="30"/>
  <c r="C66" i="23"/>
  <c r="P66" i="23"/>
  <c r="E66" i="22"/>
  <c r="T66" i="23"/>
  <c r="Q66" i="21"/>
  <c r="P66" i="21"/>
  <c r="K66" i="27"/>
  <c r="G64" i="23"/>
  <c r="Q66" i="24"/>
  <c r="R66" i="27"/>
  <c r="C66" i="27"/>
  <c r="H66" i="23"/>
  <c r="J66" i="27"/>
  <c r="G64" i="27"/>
  <c r="G66" i="30"/>
  <c r="J66" i="30"/>
  <c r="F64" i="27"/>
  <c r="T66" i="27"/>
  <c r="Q66" i="22"/>
  <c r="C66" i="22"/>
  <c r="T66" i="21"/>
  <c r="S66" i="23"/>
  <c r="H66" i="30"/>
  <c r="E66" i="30"/>
  <c r="S66" i="24"/>
  <c r="L66" i="21"/>
  <c r="D66" i="22"/>
  <c r="S66" i="26"/>
  <c r="L66" i="26"/>
  <c r="T66" i="30"/>
  <c r="H66" i="22"/>
  <c r="R66" i="28"/>
  <c r="N64" i="26"/>
  <c r="O64" i="29"/>
  <c r="P64" i="29"/>
  <c r="S64" i="1"/>
  <c r="R66" i="26"/>
  <c r="D66" i="27"/>
  <c r="N64" i="29"/>
  <c r="R66" i="30"/>
  <c r="D66" i="23"/>
  <c r="O66" i="22"/>
  <c r="R64" i="1"/>
  <c r="J66" i="23"/>
  <c r="Q64" i="1"/>
  <c r="U64" i="1"/>
  <c r="P64" i="1"/>
  <c r="J66" i="24"/>
  <c r="Q66" i="29"/>
  <c r="F64" i="29"/>
  <c r="O64" i="23"/>
  <c r="O64" i="30"/>
  <c r="N64" i="24"/>
  <c r="B66" i="30"/>
  <c r="B66" i="24"/>
  <c r="K66" i="30"/>
  <c r="I66" i="30"/>
  <c r="R66" i="29"/>
  <c r="I66" i="29"/>
  <c r="S66" i="29"/>
  <c r="T66" i="28"/>
  <c r="D66" i="28"/>
  <c r="Q66" i="28"/>
  <c r="I66" i="28"/>
  <c r="S66" i="28"/>
  <c r="K66" i="28"/>
  <c r="Q66" i="27"/>
  <c r="I66" i="27"/>
  <c r="P66" i="27"/>
  <c r="Q66" i="26"/>
  <c r="C66" i="26"/>
  <c r="I66" i="26"/>
  <c r="H66" i="26"/>
  <c r="D66" i="26"/>
  <c r="L66" i="24"/>
  <c r="I66" i="24"/>
  <c r="D66" i="24"/>
  <c r="E66" i="23"/>
  <c r="I66" i="22"/>
  <c r="M66" i="22"/>
  <c r="S66" i="22"/>
  <c r="K66" i="22"/>
  <c r="T66" i="22"/>
  <c r="K66" i="21"/>
  <c r="C66" i="21"/>
  <c r="D66" i="21"/>
  <c r="R66" i="21"/>
  <c r="N64" i="1"/>
  <c r="N65" i="1" s="1"/>
  <c r="M64" i="1"/>
  <c r="T64" i="1"/>
  <c r="L64" i="1"/>
  <c r="J64" i="1"/>
  <c r="K64" i="1"/>
  <c r="O64" i="1"/>
  <c r="C64" i="1"/>
  <c r="C65" i="1" s="1"/>
  <c r="I64" i="1"/>
  <c r="H64" i="1"/>
  <c r="G64" i="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P65" i="1" l="1"/>
  <c r="O65" i="1"/>
  <c r="M65" i="1"/>
  <c r="L65" i="1"/>
  <c r="K65" i="1"/>
  <c r="J65" i="1"/>
  <c r="I65" i="1"/>
  <c r="H65" i="1"/>
  <c r="G65" i="1"/>
  <c r="F65" i="1"/>
  <c r="D65" i="1"/>
  <c r="B65" i="1"/>
  <c r="O66" i="21"/>
  <c r="I66" i="23"/>
  <c r="F65" i="26"/>
  <c r="E66" i="27"/>
  <c r="C66" i="29"/>
  <c r="P66" i="26"/>
  <c r="P66" i="22"/>
  <c r="P66" i="24"/>
  <c r="M66" i="28"/>
  <c r="L66" i="28"/>
  <c r="L66" i="23"/>
  <c r="J66" i="26"/>
  <c r="H66" i="21"/>
  <c r="C66" i="30"/>
  <c r="M66" i="29"/>
  <c r="M66" i="24"/>
  <c r="P66" i="28"/>
  <c r="P65" i="28"/>
  <c r="P66" i="29"/>
  <c r="P65" i="29"/>
  <c r="P66" i="30"/>
  <c r="P65" i="30"/>
  <c r="O66" i="29"/>
  <c r="O65" i="29"/>
  <c r="O66" i="26"/>
  <c r="O65" i="26"/>
  <c r="O66" i="28"/>
  <c r="O65" i="28"/>
  <c r="O66" i="27"/>
  <c r="O65" i="27"/>
  <c r="O66" i="30"/>
  <c r="O65" i="30"/>
  <c r="O66" i="23"/>
  <c r="O65" i="23"/>
  <c r="O66" i="24"/>
  <c r="O65" i="24"/>
  <c r="N66" i="30"/>
  <c r="N65" i="30"/>
  <c r="N66" i="28"/>
  <c r="N65" i="28"/>
  <c r="N66" i="26"/>
  <c r="N65" i="26"/>
  <c r="N66" i="27"/>
  <c r="N65" i="27"/>
  <c r="N66" i="23"/>
  <c r="N66" i="24"/>
  <c r="N65" i="24"/>
  <c r="N66" i="29"/>
  <c r="N65" i="29"/>
  <c r="L66" i="22"/>
  <c r="L66" i="27"/>
  <c r="L65" i="27"/>
  <c r="L66" i="29"/>
  <c r="K66" i="24"/>
  <c r="M66" i="23"/>
  <c r="M65" i="23"/>
  <c r="M66" i="27"/>
  <c r="M65" i="27"/>
  <c r="M66" i="21"/>
  <c r="M66" i="30"/>
  <c r="M65" i="30"/>
  <c r="K66" i="29"/>
  <c r="K65" i="29"/>
  <c r="K66" i="26"/>
  <c r="K65" i="26"/>
  <c r="K66" i="23"/>
  <c r="K65" i="23"/>
  <c r="J66" i="22"/>
  <c r="J65" i="22"/>
  <c r="J66" i="29"/>
  <c r="J65" i="29"/>
  <c r="J66" i="21"/>
  <c r="J65" i="21"/>
  <c r="I66" i="21"/>
  <c r="I65" i="21"/>
  <c r="H66" i="27"/>
  <c r="H65" i="27"/>
  <c r="H66" i="28"/>
  <c r="H65" i="28"/>
  <c r="H66" i="29"/>
  <c r="H65" i="29"/>
  <c r="H66" i="24"/>
  <c r="H65" i="24"/>
  <c r="G66" i="22"/>
  <c r="G65" i="22"/>
  <c r="G66" i="29"/>
  <c r="G65" i="29"/>
  <c r="G66" i="21"/>
  <c r="G65" i="21"/>
  <c r="G66" i="26"/>
  <c r="G65" i="26"/>
  <c r="G66" i="27"/>
  <c r="G65" i="27"/>
  <c r="G66" i="23"/>
  <c r="G65" i="23"/>
  <c r="G66" i="28"/>
  <c r="G65" i="28"/>
  <c r="G66" i="24"/>
  <c r="G65" i="24"/>
  <c r="F66" i="23"/>
  <c r="F65" i="23"/>
  <c r="F66" i="21"/>
  <c r="F65" i="21"/>
  <c r="F66" i="27"/>
  <c r="F65" i="27"/>
  <c r="F66" i="22"/>
  <c r="F65" i="22"/>
  <c r="F66" i="29"/>
  <c r="F65" i="29"/>
  <c r="F66" i="28"/>
  <c r="F65" i="28"/>
  <c r="F66" i="24"/>
  <c r="F65" i="24"/>
  <c r="F66" i="30"/>
  <c r="F65" i="30"/>
  <c r="E66" i="26"/>
  <c r="E65" i="26"/>
  <c r="E66" i="28"/>
  <c r="E65" i="28"/>
  <c r="E66" i="29"/>
  <c r="E65" i="29"/>
  <c r="E66" i="21"/>
  <c r="E65" i="21"/>
  <c r="E66" i="24"/>
  <c r="E65" i="24"/>
  <c r="C66" i="24"/>
  <c r="C65" i="24"/>
  <c r="C66" i="28"/>
  <c r="C65" i="28"/>
  <c r="B66" i="28"/>
  <c r="B65" i="28"/>
  <c r="B66" i="29"/>
  <c r="B65" i="29"/>
  <c r="B66" i="27"/>
  <c r="B65" i="27"/>
  <c r="B66" i="22"/>
  <c r="B65" i="22"/>
  <c r="B66" i="23"/>
  <c r="B65" i="23"/>
  <c r="B66" i="26"/>
  <c r="B65" i="26"/>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<sst xmlns="http://schemas.openxmlformats.org/spreadsheetml/2006/main" count="2278" uniqueCount="195">
  <si>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</si>
  <si>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</si>
  <si>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</si>
  <si>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</si>
  <si>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</si>
  <si>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</si>
  <si>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</si>
  <si>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</si>
  <si>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</si>
  <si>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</si>
  <si>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</si>
  <si>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</si>
  <si>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</si>
  <si>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</si>
  <si>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</si>
  <si>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</si>
  <si>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</si>
  <si>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</si>
  <si>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</si>
  <si>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</si>
  <si>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</si>
  <si>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</si>
  <si>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</si>
  <si>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</si>
  <si>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</si>
  <si>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</si>
  <si>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</si>
  <si>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</si>
  <si>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</si>
  <si>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</si>
  <si>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</si>
  <si>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</si>
  <si>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</si>
  <si>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</si>
  <si>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</si>
  <si>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</si>
  <si>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</si>
  <si>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</si>
  <si>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</si>
  <si>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</si>
  <si>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</si>
  <si>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</si>
  <si>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</si>
  <si>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</si>
  <si>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</si>
  <si>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</si>
  <si>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</si>
  <si>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</si>
  <si>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</si>
  <si>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</si>
  <si>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</si>
  <si>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</si>
  <si>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</si>
  <si>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</si>
  <si>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</si>
  <si>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</si>
  <si>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</si>
  <si>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</si>
  <si>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</si>
  <si>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</si>
  <si>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</si>
  <si>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</si>
  <si>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</si>
  <si>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</si>
  <si>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</si>
  <si>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</si>
  <si>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</si>
  <si>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</si>
  <si>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</si>
  <si>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</si>
  <si>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</si>
  <si>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</si>
  <si>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</si>
  <si>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</si>
  <si>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</si>
  <si>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</si>
  <si>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</si>
  <si>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</si>
  <si>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</si>
  <si>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</si>
  <si>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</si>
  <si>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</si>
  <si>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</si>
  <si>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</si>
  <si>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</si>
  <si>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</si>
  <si>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</si>
  <si>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</si>
  <si>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</si>
  <si>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</si>
  <si>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</si>
  <si>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</si>
  <si>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</si>
  <si>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</si>
  <si>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</si>
  <si>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</si>
  <si>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</si>
  <si>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</si>
  <si>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</si>
  <si>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</si>
  <si>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</si>
  <si>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</si>
  <si>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</si>
  <si>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</si>
  <si>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</si>
  <si>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</si>
  <si>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</si>
  <si>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</si>
  <si>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</si>
  <si>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</si>
  <si>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</si>
  <si>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</si>
  <si>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</si>
  <si>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</si>
  <si>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</si>
  <si>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</si>
  <si>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</si>
  <si>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</si>
  <si>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</si>
  <si>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</si>
  <si>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</si>
  <si>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</si>
  <si>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</si>
  <si>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</si>
  <si>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</si>
  <si>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</si>
  <si>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</si>
  <si>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</si>
  <si>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</si>
  <si>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</si>
  <si>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</si>
  <si>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</si>
  <si>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</si>
  <si>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</si>
  <si>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</si>
  <si>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</si>
  <si>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</si>
  <si>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</si>
  <si>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</si>
  <si>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</si>
  <si>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</si>
  <si>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</si>
  <si>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</si>
  <si>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</si>
  <si>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</si>
  <si>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</si>
  <si>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</si>
  <si>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</si>
  <si>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</si>
  <si>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</si>
  <si>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</si>
  <si>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</si>
  <si>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</si>
  <si>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</si>
  <si>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</si>
  <si>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</si>
  <si>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</si>
  <si>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</si>
  <si>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</si>
  <si>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</si>
  <si>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PAN-028923</t>
  </si>
  <si>
    <t>EPR/AB3891CX</t>
  </si>
  <si>
    <t>Mr Daniel James and Mrs Carys James</t>
  </si>
  <si>
    <t>Hafod Farm, Ferwig, Cardigan, Ceredigion, SA43 1PU</t>
  </si>
  <si>
    <t>Rhiannon Smith</t>
  </si>
  <si>
    <t>49.1 ha</t>
  </si>
  <si>
    <t>4-B</t>
  </si>
  <si>
    <t>5-B</t>
  </si>
  <si>
    <t>6-B</t>
  </si>
  <si>
    <t>7-B</t>
  </si>
  <si>
    <t>8-B</t>
  </si>
  <si>
    <t>9-B</t>
  </si>
  <si>
    <t>8222-B</t>
  </si>
  <si>
    <t>7233-B</t>
  </si>
  <si>
    <t>5641-B</t>
  </si>
  <si>
    <t>4956-B</t>
  </si>
  <si>
    <t>HAFOD B/FRON 2849</t>
  </si>
  <si>
    <t>HAFOD B/FRON 3836</t>
  </si>
  <si>
    <t>BOLAFRON 4718</t>
  </si>
  <si>
    <t>BOLAFRON 3107</t>
  </si>
  <si>
    <t>BOLAFRON 6609</t>
  </si>
  <si>
    <t>Medium</t>
  </si>
  <si>
    <t>Moderate</t>
  </si>
  <si>
    <t>02 05 02</t>
  </si>
  <si>
    <t>Volac/Sensient</t>
  </si>
  <si>
    <t>First Milk</t>
  </si>
  <si>
    <t>19 09 02</t>
  </si>
  <si>
    <t>DCWW Llecryd</t>
  </si>
  <si>
    <t>DCWW Strata Florida</t>
  </si>
  <si>
    <t>DCWW Bontgoch</t>
  </si>
  <si>
    <t>DCWW Bryngwyn</t>
  </si>
  <si>
    <t>DCWW Capel Dewi</t>
  </si>
  <si>
    <t>DCWW Cray</t>
  </si>
  <si>
    <t>DCWW Bolton Hill</t>
  </si>
  <si>
    <t>DCWW Preseli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</si>
</sst>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106" zoomScaleNormal="106"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160</v>
      </c>
      <c r="D1" s="161"/>
      <c r="E1" s="106" t="s">
        <v>45</v>
      </c>
      <c r="F1" s="109" t="s">
        <v>165</v>
      </c>
      <c r="G1" s="162" t="s">
        <v>43</v>
      </c>
      <c r="H1" s="163"/>
      <c r="I1" s="109">
        <v>5.95</v>
      </c>
      <c r="J1" s="130" t="s">
        <v>153</v>
      </c>
      <c r="K1" s="131"/>
      <c r="L1" s="109">
        <v>30.6</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161</v>
      </c>
      <c r="D2" s="155"/>
      <c r="E2" s="96" t="s">
        <v>109</v>
      </c>
      <c r="F2" s="110" t="s">
        <v>183</v>
      </c>
      <c r="G2" s="164" t="s">
        <v>110</v>
      </c>
      <c r="H2" s="165"/>
      <c r="I2" s="110">
        <v>1928</v>
      </c>
      <c r="J2" s="132" t="s">
        <v>158</v>
      </c>
      <c r="K2" s="133"/>
      <c r="L2" s="110">
        <v>0.22</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162</v>
      </c>
      <c r="D3" s="155"/>
      <c r="E3" s="96" t="s">
        <v>108</v>
      </c>
      <c r="F3" s="111" t="s">
        <v>78</v>
      </c>
      <c r="G3" s="132" t="s">
        <v>159</v>
      </c>
      <c r="H3" s="133"/>
      <c r="I3" s="110">
        <v>4820</v>
      </c>
      <c r="J3" s="134" t="s">
        <v>154</v>
      </c>
      <c r="K3" s="135"/>
      <c r="L3" s="110">
        <f>(L1/(L2*10000))*100</f>
        <v>1.3909090909090909</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163</v>
      </c>
      <c r="D4" s="157"/>
      <c r="E4" s="99" t="s">
        <v>1</v>
      </c>
      <c r="F4" s="110" t="s">
        <v>184</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t="s">
        <v>166</v>
      </c>
      <c r="D8" s="11" t="s">
        <v>167</v>
      </c>
      <c r="E8" s="11" t="s">
        <v>168</v>
      </c>
      <c r="F8" s="11" t="s">
        <v>169</v>
      </c>
      <c r="G8" s="11" t="s">
        <v>170</v>
      </c>
      <c r="H8" s="11" t="s">
        <v>171</v>
      </c>
      <c r="I8" s="11" t="s">
        <v>172</v>
      </c>
      <c r="J8" s="11" t="s">
        <v>173</v>
      </c>
      <c r="K8" s="11" t="s">
        <v>174</v>
      </c>
      <c r="L8" s="11" t="s">
        <v>175</v>
      </c>
      <c r="M8" s="11" t="s">
        <v>176</v>
      </c>
      <c r="N8" s="11" t="s">
        <v>177</v>
      </c>
      <c r="O8" s="11" t="s">
        <v>178</v>
      </c>
      <c r="P8" s="11" t="s">
        <v>179</v>
      </c>
      <c r="Q8" s="11" t="s">
        <v>180</v>
      </c>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t="s">
        <v>182</v>
      </c>
      <c r="D9" s="11" t="s">
        <v>182</v>
      </c>
      <c r="E9" s="11" t="s">
        <v>182</v>
      </c>
      <c r="F9" s="11" t="s">
        <v>182</v>
      </c>
      <c r="G9" s="11" t="s">
        <v>182</v>
      </c>
      <c r="H9" s="11" t="s">
        <v>182</v>
      </c>
      <c r="I9" s="11" t="s">
        <v>182</v>
      </c>
      <c r="J9" s="11" t="s">
        <v>182</v>
      </c>
      <c r="K9" s="11" t="s">
        <v>182</v>
      </c>
      <c r="L9" s="11" t="s">
        <v>182</v>
      </c>
      <c r="M9" s="11" t="s">
        <v>182</v>
      </c>
      <c r="N9" s="11" t="s">
        <v>182</v>
      </c>
      <c r="O9" s="11" t="s">
        <v>182</v>
      </c>
      <c r="P9" s="11" t="s">
        <v>182</v>
      </c>
      <c r="Q9" s="11" t="s">
        <v>182</v>
      </c>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6</v>
      </c>
      <c r="D10" s="11">
        <v>5.8</v>
      </c>
      <c r="E10" s="11">
        <v>6.1</v>
      </c>
      <c r="F10" s="11">
        <v>6.1</v>
      </c>
      <c r="G10" s="11">
        <v>5.8</v>
      </c>
      <c r="H10" s="11">
        <v>5.9</v>
      </c>
      <c r="I10" s="11">
        <v>6</v>
      </c>
      <c r="J10" s="11">
        <v>6.3</v>
      </c>
      <c r="K10" s="11">
        <v>6.3</v>
      </c>
      <c r="L10" s="11">
        <v>6</v>
      </c>
      <c r="M10" s="11">
        <v>6.1</v>
      </c>
      <c r="N10" s="11">
        <v>5.6</v>
      </c>
      <c r="O10" s="11">
        <v>5.9</v>
      </c>
      <c r="P10" s="11">
        <v>5.9</v>
      </c>
      <c r="Q10" s="11">
        <v>6.1</v>
      </c>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3</v>
      </c>
      <c r="D11" s="11">
        <v>2</v>
      </c>
      <c r="E11" s="11">
        <v>2</v>
      </c>
      <c r="F11" s="11">
        <v>2</v>
      </c>
      <c r="G11" s="11">
        <v>3</v>
      </c>
      <c r="H11" s="11">
        <v>2</v>
      </c>
      <c r="I11" s="11">
        <v>2</v>
      </c>
      <c r="J11" s="11">
        <v>2</v>
      </c>
      <c r="K11" s="11">
        <v>2</v>
      </c>
      <c r="L11" s="11">
        <v>2</v>
      </c>
      <c r="M11" s="11">
        <v>3</v>
      </c>
      <c r="N11" s="11">
        <v>3</v>
      </c>
      <c r="O11" s="11">
        <v>3</v>
      </c>
      <c r="P11" s="11">
        <v>3</v>
      </c>
      <c r="Q11" s="11">
        <v>3</v>
      </c>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3</v>
      </c>
      <c r="D12" s="11">
        <v>3</v>
      </c>
      <c r="E12" s="11">
        <v>3</v>
      </c>
      <c r="F12" s="11">
        <v>3</v>
      </c>
      <c r="G12" s="11">
        <v>3</v>
      </c>
      <c r="H12" s="11">
        <v>3</v>
      </c>
      <c r="I12" s="11">
        <v>3</v>
      </c>
      <c r="J12" s="11">
        <v>3</v>
      </c>
      <c r="K12" s="11">
        <v>3</v>
      </c>
      <c r="L12" s="11">
        <v>2</v>
      </c>
      <c r="M12" s="11">
        <v>1</v>
      </c>
      <c r="N12" s="11">
        <v>1</v>
      </c>
      <c r="O12" s="11">
        <v>1</v>
      </c>
      <c r="P12" s="11">
        <v>1</v>
      </c>
      <c r="Q12" s="11">
        <v>1</v>
      </c>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3</v>
      </c>
      <c r="D13" s="11">
        <v>3</v>
      </c>
      <c r="E13" s="11">
        <v>3</v>
      </c>
      <c r="F13" s="11">
        <v>3</v>
      </c>
      <c r="G13" s="11">
        <v>3</v>
      </c>
      <c r="H13" s="11">
        <v>2</v>
      </c>
      <c r="I13" s="11">
        <v>3</v>
      </c>
      <c r="J13" s="11">
        <v>3</v>
      </c>
      <c r="K13" s="11">
        <v>3</v>
      </c>
      <c r="L13" s="11">
        <v>3</v>
      </c>
      <c r="M13" s="11">
        <v>3</v>
      </c>
      <c r="N13" s="11">
        <v>3</v>
      </c>
      <c r="O13" s="11">
        <v>3</v>
      </c>
      <c r="P13" s="11">
        <v>3</v>
      </c>
      <c r="Q13" s="11">
        <v>3</v>
      </c>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t="s">
        <v>113</v>
      </c>
      <c r="Q14" s="82" t="s">
        <v>113</v>
      </c>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v>47</v>
      </c>
      <c r="D15" s="11">
        <v>47</v>
      </c>
      <c r="E15" s="11">
        <v>47</v>
      </c>
      <c r="F15" s="11">
        <v>47</v>
      </c>
      <c r="G15" s="11">
        <v>47</v>
      </c>
      <c r="H15" s="11">
        <v>47</v>
      </c>
      <c r="I15" s="11">
        <v>47</v>
      </c>
      <c r="J15" s="11">
        <v>47</v>
      </c>
      <c r="K15" s="11">
        <v>47</v>
      </c>
      <c r="L15" s="11">
        <v>47</v>
      </c>
      <c r="M15" s="11">
        <v>47</v>
      </c>
      <c r="N15" s="11">
        <v>47</v>
      </c>
      <c r="O15" s="11">
        <v>47</v>
      </c>
      <c r="P15" s="11">
        <v>47</v>
      </c>
      <c r="Q15" s="11">
        <v>47</v>
      </c>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181</v>
      </c>
      <c r="D16" s="100" t="s">
        <v>181</v>
      </c>
      <c r="E16" s="100" t="s">
        <v>181</v>
      </c>
      <c r="F16" s="100" t="s">
        <v>181</v>
      </c>
      <c r="G16" s="100" t="s">
        <v>181</v>
      </c>
      <c r="H16" s="100" t="s">
        <v>181</v>
      </c>
      <c r="I16" s="100" t="s">
        <v>181</v>
      </c>
      <c r="J16" s="100" t="s">
        <v>181</v>
      </c>
      <c r="K16" s="100" t="s">
        <v>181</v>
      </c>
      <c r="L16" s="100" t="s">
        <v>181</v>
      </c>
      <c r="M16" s="100" t="s">
        <v>181</v>
      </c>
      <c r="N16" s="100" t="s">
        <v>181</v>
      </c>
      <c r="O16" s="100" t="s">
        <v>181</v>
      </c>
      <c r="P16" s="100" t="s">
        <v>181</v>
      </c>
      <c r="Q16" s="100" t="s">
        <v>181</v>
      </c>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79.981100999999995</v>
      </c>
      <c r="D18" s="12">
        <f>$D32</f>
        <v>79.981100999999995</v>
      </c>
      <c r="E18" s="12">
        <f>$D33</f>
        <v>79.981100999999995</v>
      </c>
      <c r="F18" s="12">
        <f>$D34</f>
        <v>79.981100999999995</v>
      </c>
      <c r="G18" s="12">
        <f>$D35</f>
        <v>79.981100999999995</v>
      </c>
      <c r="H18" s="12">
        <f>$D36</f>
        <v>79.981100999999995</v>
      </c>
      <c r="I18" s="12">
        <f>$D37</f>
        <v>79.981100999999995</v>
      </c>
      <c r="J18" s="12">
        <f>$D38</f>
        <v>79.981100999999995</v>
      </c>
      <c r="K18" s="12">
        <f>$D39</f>
        <v>79.981100999999995</v>
      </c>
      <c r="L18" s="12">
        <f>$D40</f>
        <v>79.981100999999995</v>
      </c>
      <c r="M18" s="12">
        <f>$D41</f>
        <v>79.981100999999995</v>
      </c>
      <c r="N18" s="12">
        <f>$D42</f>
        <v>79.981100999999995</v>
      </c>
      <c r="O18" s="12">
        <f>$D43</f>
        <v>79.981100999999995</v>
      </c>
      <c r="P18" s="12">
        <f>$D44</f>
        <v>79.981100999999995</v>
      </c>
      <c r="Q18" s="12">
        <f>$D45</f>
        <v>79.981100999999995</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8.1101000000003864E-2</v>
      </c>
      <c r="D19" s="12">
        <f t="shared" ref="D19:V19" si="1">D18-D17</f>
        <v>8.1101000000003864E-2</v>
      </c>
      <c r="E19" s="12">
        <f t="shared" si="1"/>
        <v>8.1101000000003864E-2</v>
      </c>
      <c r="F19" s="12">
        <f t="shared" si="1"/>
        <v>8.1101000000003864E-2</v>
      </c>
      <c r="G19" s="12">
        <f t="shared" si="1"/>
        <v>8.1101000000003864E-2</v>
      </c>
      <c r="H19" s="12">
        <f t="shared" si="1"/>
        <v>8.1101000000003864E-2</v>
      </c>
      <c r="I19" s="12">
        <f t="shared" si="1"/>
        <v>8.1101000000003864E-2</v>
      </c>
      <c r="J19" s="12">
        <f t="shared" si="1"/>
        <v>8.1101000000003864E-2</v>
      </c>
      <c r="K19" s="12">
        <f t="shared" si="1"/>
        <v>8.1101000000003864E-2</v>
      </c>
      <c r="L19" s="12">
        <f t="shared" si="1"/>
        <v>8.1101000000003864E-2</v>
      </c>
      <c r="M19" s="12">
        <f t="shared" si="1"/>
        <v>8.1101000000003864E-2</v>
      </c>
      <c r="N19" s="12">
        <f t="shared" si="1"/>
        <v>8.1101000000003864E-2</v>
      </c>
      <c r="O19" s="12">
        <f t="shared" si="1"/>
        <v>8.1101000000003864E-2</v>
      </c>
      <c r="P19" s="12">
        <f t="shared" si="1"/>
        <v>8.1101000000003864E-2</v>
      </c>
      <c r="Q19" s="12">
        <f t="shared" si="1"/>
        <v>8.1101000000003864E-2</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20.204235000000004</v>
      </c>
      <c r="D22" s="12">
        <f>$E32</f>
        <v>20.204235000000004</v>
      </c>
      <c r="E22" s="12">
        <f>$E33</f>
        <v>20.204235000000004</v>
      </c>
      <c r="F22" s="12">
        <f>$E34</f>
        <v>20.204235000000004</v>
      </c>
      <c r="G22" s="12">
        <f>$E35</f>
        <v>20.204235000000004</v>
      </c>
      <c r="H22" s="12">
        <f>$E36</f>
        <v>20.204235000000004</v>
      </c>
      <c r="I22" s="12">
        <f>$E37</f>
        <v>20.204235000000004</v>
      </c>
      <c r="J22" s="12">
        <f>$E38</f>
        <v>20.204235000000004</v>
      </c>
      <c r="K22" s="12">
        <f>$E39</f>
        <v>20.204235000000004</v>
      </c>
      <c r="L22" s="12">
        <f>$E40</f>
        <v>20.204235000000004</v>
      </c>
      <c r="M22" s="12">
        <f>$E41</f>
        <v>20.204235000000004</v>
      </c>
      <c r="N22" s="12">
        <f>$E42</f>
        <v>20.204235000000004</v>
      </c>
      <c r="O22" s="12">
        <f>$E43</f>
        <v>20.204235000000004</v>
      </c>
      <c r="P22" s="12">
        <f>$E44</f>
        <v>20.204235000000004</v>
      </c>
      <c r="Q22" s="12">
        <f>$E45</f>
        <v>20.204235000000004</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-261.79576500000002</v>
      </c>
      <c r="D23" s="12">
        <f t="shared" ref="D23:V23" si="3">D22-D21</f>
        <v>-261.79576500000002</v>
      </c>
      <c r="E23" s="12">
        <f t="shared" si="3"/>
        <v>-261.79576500000002</v>
      </c>
      <c r="F23" s="12">
        <f t="shared" si="3"/>
        <v>-261.79576500000002</v>
      </c>
      <c r="G23" s="12">
        <f t="shared" si="3"/>
        <v>-261.79576500000002</v>
      </c>
      <c r="H23" s="12">
        <f t="shared" si="3"/>
        <v>-261.79576500000002</v>
      </c>
      <c r="I23" s="12">
        <f t="shared" si="3"/>
        <v>-261.79576500000002</v>
      </c>
      <c r="J23" s="12">
        <f t="shared" si="3"/>
        <v>-261.79576500000002</v>
      </c>
      <c r="K23" s="12">
        <f t="shared" si="3"/>
        <v>-261.79576500000002</v>
      </c>
      <c r="L23" s="12">
        <f t="shared" si="3"/>
        <v>-261.79576500000002</v>
      </c>
      <c r="M23" s="12">
        <f t="shared" si="3"/>
        <v>-261.79576500000002</v>
      </c>
      <c r="N23" s="12">
        <f t="shared" si="3"/>
        <v>-261.79576500000002</v>
      </c>
      <c r="O23" s="12">
        <f t="shared" si="3"/>
        <v>-261.79576500000002</v>
      </c>
      <c r="P23" s="12">
        <f t="shared" si="3"/>
        <v>-261.79576500000002</v>
      </c>
      <c r="Q23" s="12">
        <f t="shared" si="3"/>
        <v>-261.79576500000002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c r="C28" s="11">
        <v>0.22</v>
      </c>
      <c r="D28" s="11">
        <v>431</v>
      </c>
      <c r="E28" s="11">
        <v>207</v>
      </c>
      <c r="F28" s="11">
        <v>28.1</v>
      </c>
      <c r="G28" s="11">
        <v>0.2</v>
      </c>
      <c r="H28" s="11">
        <v>1.08</v>
      </c>
      <c r="I28" s="11">
        <v>0.5</v>
      </c>
      <c r="J28" s="11">
        <v>0.01</v>
      </c>
      <c r="K28" s="15">
        <v>0.05</v>
      </c>
      <c r="L28" s="11">
        <v>0.2</v>
      </c>
      <c r="M28" s="11">
        <v>0.2</v>
      </c>
      <c r="N28" s="11"/>
      <c r="O28" s="11"/>
      <c r="P28" s="11">
        <v>297</v>
      </c>
      <c r="Q28" s="11">
        <v>90.5</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81</v>
      </c>
      <c r="C31" s="65">
        <f>IF(C$27="%w/w SAR",((C$28*10)*$B31),IF(C$27="%w/w DM",(((C$28*10)*($B$28/100))*$B31),IF(C$27="kg/t SAR",(C$28*$B31),IF(C$27="kg/t DM",((C$28*($B$28/100))*$B31),IF(C$27="mg/kg SAR",((C$28*0.001)*$B31),IF(C$27="mg/kg DM",(((C$28*0.001)*($B$28/100))*$B31),0))))))</f>
        <v>178.20000000000002</v>
      </c>
      <c r="D31" s="65">
        <f>(IF(D$27="%w/w SAR",((D$28*10)*$B31),IF(D$27="%w/w DM",(((D$28*10)*($B$28/100))*$B31),IF(D$27="kg/t SAR",(D$28*$B31),IF(D$27="kg/t DM",((D$28*($B$28/100))*$B31),IF(D$27="mg/kg SAR",((D$28*0.001)*$B31),IF(D$27="mg/kg DM",(((D$28*0.001)*($B$28/100))*$B31),"0")))))))*2.291</f>
        <v>79.981100999999995</v>
      </c>
      <c r="E31" s="65">
        <f>(IF(E$27="%w/w SAR",((E$28*10)*$B31),IF(E$27="%w/w DM",(((E$28*10)*($B$28/100))*$B31),IF(E$27="kg/t SAR",(E$28*$B31),IF(E$27="kg/t DM",((E$28*($B$28/100))*$B31),IF(E$27="mg/kg SAR",((E$28*0.001)*$B31),IF(E$27="mg/kg DM",(((E$28*0.001)*($B$28/100))*$B31),"0")))))))*1.205</f>
        <v>20.204235000000004</v>
      </c>
      <c r="F31" s="65">
        <f>(IF(F$27="%w/w SAR",((F$28*10)*$B31),IF(F$27="%w/w DM",(((F$28*10)*($B$28/100))*$B31),IF(F$27="kg/t SAR",(F$28*$B31),IF(F$27="kg/t DM",((F$28*($B$28/100))*$B31),IF(F$27="mg/kg SAR",((F$28*0.001)*$B31),IF(F$27="mg/kg DM",(((F$28*0.001)*($B$28/100))*$B31),"0")))))))*1.658</f>
        <v>3.7737738000000007</v>
      </c>
      <c r="G31" s="65">
        <f t="shared" ref="G31:P31" si="5">IF(G$27="%w/w SAR",((G$28*10)*$B31),IF(G$27="%w/w DM",(((G$28*10)*($B$28/100))*$B31),IF(G$27="kg/t SAR",(G$28*$B31),IF(G$27="kg/t DM",((G$28*($B$28/100))*$B31),IF(G$27="mg/kg SAR",((G$28*0.001)*$B31),IF(G$27="mg/kg DM",(((G$28*0.001)*($B$28/100))*$B31),0))))))</f>
        <v>1.6199999999999999E-2</v>
      </c>
      <c r="H31" s="65">
        <f t="shared" si="5"/>
        <v>8.7480000000000002E-2</v>
      </c>
      <c r="I31" s="65">
        <f t="shared" si="5"/>
        <v>4.0500000000000001E-2</v>
      </c>
      <c r="J31" s="65">
        <f t="shared" si="5"/>
        <v>8.1000000000000006E-4</v>
      </c>
      <c r="K31" s="65">
        <f t="shared" si="5"/>
        <v>4.0499999999999998E-3</v>
      </c>
      <c r="L31" s="65">
        <f t="shared" si="5"/>
        <v>1.6199999999999999E-2</v>
      </c>
      <c r="M31" s="65">
        <f t="shared" si="5"/>
        <v>1.6199999999999999E-2</v>
      </c>
      <c r="N31" s="65">
        <f t="shared" si="5"/>
        <v>0</v>
      </c>
      <c r="O31" s="65">
        <f t="shared" si="5"/>
        <v>0</v>
      </c>
      <c r="P31" s="65">
        <f t="shared" si="5"/>
        <v>24.056999999999999</v>
      </c>
      <c r="Q31" s="65">
        <f>(IF(Q$27="%w/w SAR",((Q$28*10)*$B31),IF(Q$27="%w/w DM",(((Q$28*10)*($B$28/100))*$B31),IF(Q$27="kg/t SAR",(Q$28*$B31),IF(Q$27="kg/t DM",((Q$28*($B$28/100))*$B31),IF(Q$27="mg/kg SAR",((Q$28*0.001)*$B31),IF(Q$27="mg/kg DM",(((Q$28*0.001)*($B$28/100))*$B31),0)))))))*2.5</f>
        <v>18.326249999999998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81</v>
      </c>
      <c r="C32" s="65">
        <f t="shared" ref="C32:C50" si="6">IF(C$27="%w/w SAR",((C$28*10)*$B32),IF(C$27="%w/w DM",(((C$28*10)*($B$28/100))*$B32),IF(C$27="kg/t SAR",(C$28*$B32),IF(C$27="kg/t DM",((C$28*($B$28/100))*$B32),IF(C$27="mg/kg SAR",((C$28*0.001)*$B32),IF(C$27="mg/kg DM",(((C$28*0.001)*($B$28/100))*$B32),0))))))</f>
        <v>178.20000000000002</v>
      </c>
      <c r="D32" s="65">
        <f t="shared" ref="D32:D50" si="7">(IF(D$27="%w/w SAR",((D$28*10)*$B32),IF(D$27="%w/w DM",(((D$28*10)*($B$28/100))*$B32),IF(D$27="kg/t SAR",(D$28*$B32),IF(D$27="kg/t DM",((D$28*($B$28/100))*$B32),IF(D$27="mg/kg SAR",((D$28*0.001)*$B32),IF(D$27="mg/kg DM",(((D$28*0.001)*($B$28/100))*$B32),"0")))))))*2.291</f>
        <v>79.981100999999995</v>
      </c>
      <c r="E32" s="65">
        <f t="shared" ref="E32:E50" si="8">(IF(E$27="%w/w SAR",((E$28*10)*$B32),IF(E$27="%w/w DM",(((E$28*10)*($B$28/100))*$B32),IF(E$27="kg/t SAR",(E$28*$B32),IF(E$27="kg/t DM",((E$28*($B$28/100))*$B32),IF(E$27="mg/kg SAR",((E$28*0.001)*$B32),IF(E$27="mg/kg DM",(((E$28*0.001)*($B$28/100))*$B32),"0")))))))*1.205</f>
        <v>20.204235000000004</v>
      </c>
      <c r="F32" s="65">
        <f t="shared" ref="F32:F50" si="9">(IF(F$27="%w/w SAR",((F$28*10)*$B32),IF(F$27="%w/w DM",(((F$28*10)*($B$28/100))*$B32),IF(F$27="kg/t SAR",(F$28*$B32),IF(F$27="kg/t DM",((F$28*($B$28/100))*$B32),IF(F$27="mg/kg SAR",((F$28*0.001)*$B32),IF(F$27="mg/kg DM",(((F$28*0.001)*($B$28/100))*$B32),"0")))))))*1.658</f>
        <v>3.7737738000000007</v>
      </c>
      <c r="G32" s="65">
        <f t="shared" ref="G32:P50" si="10">IF(G$27="%w/w SAR",((G$28*10)*$B32),IF(G$27="%w/w DM",(((G$28*10)*($B$28/100))*$B32),IF(G$27="kg/t SAR",(G$28*$B32),IF(G$27="kg/t DM",((G$28*($B$28/100))*$B32),IF(G$27="mg/kg SAR",((G$28*0.001)*$B32),IF(G$27="mg/kg DM",(((G$28*0.001)*($B$28/100))*$B32),0))))))</f>
        <v>1.6199999999999999E-2</v>
      </c>
      <c r="H32" s="65">
        <f t="shared" si="10"/>
        <v>8.7480000000000002E-2</v>
      </c>
      <c r="I32" s="65">
        <f t="shared" si="10"/>
        <v>4.0500000000000001E-2</v>
      </c>
      <c r="J32" s="65">
        <f t="shared" si="10"/>
        <v>8.1000000000000006E-4</v>
      </c>
      <c r="K32" s="65">
        <f t="shared" si="10"/>
        <v>4.0499999999999998E-3</v>
      </c>
      <c r="L32" s="65">
        <f t="shared" si="10"/>
        <v>1.6199999999999999E-2</v>
      </c>
      <c r="M32" s="65">
        <f t="shared" si="10"/>
        <v>1.6199999999999999E-2</v>
      </c>
      <c r="N32" s="65">
        <f t="shared" si="10"/>
        <v>0</v>
      </c>
      <c r="O32" s="65">
        <f t="shared" si="10"/>
        <v>0</v>
      </c>
      <c r="P32" s="65">
        <f t="shared" si="10"/>
        <v>24.056999999999999</v>
      </c>
      <c r="Q32" s="65">
        <f t="shared" ref="Q32:Q50" si="11">(IF(Q$27="%w/w SAR",((Q$28*10)*$B32),IF(Q$27="%w/w DM",(((Q$28*10)*($B$28/100))*$B32),IF(Q$27="kg/t SAR",(Q$28*$B32),IF(Q$27="kg/t DM",((Q$28*($B$28/100))*$B32),IF(Q$27="mg/kg SAR",((Q$28*0.001)*$B32),IF(Q$27="mg/kg DM",(((Q$28*0.001)*($B$28/100))*$B32),0)))))))*2.5</f>
        <v>18.326249999999998</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x14ac:dyDescent="0.25">
      <c r="A33" s="125" t="str">
        <f>E8</f>
        <v>6-B</v>
      </c>
      <c r="B33" s="11">
        <v>81</v>
      </c>
      <c r="C33" s="65">
        <f t="shared" si="6"/>
        <v>178.20000000000002</v>
      </c>
      <c r="D33" s="65">
        <f t="shared" si="7"/>
        <v>79.981100999999995</v>
      </c>
      <c r="E33" s="65">
        <f t="shared" si="8"/>
        <v>20.204235000000004</v>
      </c>
      <c r="F33" s="65">
        <f t="shared" si="9"/>
        <v>3.7737738000000007</v>
      </c>
      <c r="G33" s="65">
        <f t="shared" si="10"/>
        <v>1.6199999999999999E-2</v>
      </c>
      <c r="H33" s="65">
        <f t="shared" si="10"/>
        <v>8.7480000000000002E-2</v>
      </c>
      <c r="I33" s="65">
        <f t="shared" si="10"/>
        <v>4.0500000000000001E-2</v>
      </c>
      <c r="J33" s="65">
        <f t="shared" si="10"/>
        <v>8.1000000000000006E-4</v>
      </c>
      <c r="K33" s="65">
        <f t="shared" si="10"/>
        <v>4.0499999999999998E-3</v>
      </c>
      <c r="L33" s="65">
        <f t="shared" si="10"/>
        <v>1.6199999999999999E-2</v>
      </c>
      <c r="M33" s="65">
        <f t="shared" si="10"/>
        <v>1.6199999999999999E-2</v>
      </c>
      <c r="N33" s="65">
        <f t="shared" si="10"/>
        <v>0</v>
      </c>
      <c r="O33" s="65">
        <f t="shared" si="10"/>
        <v>0</v>
      </c>
      <c r="P33" s="65">
        <f t="shared" si="10"/>
        <v>24.056999999999999</v>
      </c>
      <c r="Q33" s="65">
        <f t="shared" si="11"/>
        <v>18.326249999999998</v>
      </c>
      <c r="R33" s="65">
        <f t="shared" si="12"/>
        <v>0</v>
      </c>
      <c r="S33" s="65">
        <f t="shared" si="12"/>
        <v>0</v>
      </c>
      <c r="T33" s="65">
        <f t="shared" si="12"/>
        <v>0</v>
      </c>
      <c r="U33" s="126">
        <f t="shared" si="12"/>
        <v>0</v>
      </c>
    </row>
    <row r="34" spans="1:21" s="48" customFormat="1" x14ac:dyDescent="0.25">
      <c r="A34" s="125" t="str">
        <f>F8</f>
        <v>7-B</v>
      </c>
      <c r="B34" s="11">
        <v>81</v>
      </c>
      <c r="C34" s="65">
        <f t="shared" si="6"/>
        <v>178.20000000000002</v>
      </c>
      <c r="D34" s="65">
        <f t="shared" si="7"/>
        <v>79.981100999999995</v>
      </c>
      <c r="E34" s="65">
        <f t="shared" si="8"/>
        <v>20.204235000000004</v>
      </c>
      <c r="F34" s="65">
        <f t="shared" si="9"/>
        <v>3.7737738000000007</v>
      </c>
      <c r="G34" s="65">
        <f t="shared" si="10"/>
        <v>1.6199999999999999E-2</v>
      </c>
      <c r="H34" s="65">
        <f t="shared" si="10"/>
        <v>8.7480000000000002E-2</v>
      </c>
      <c r="I34" s="65">
        <f t="shared" si="10"/>
        <v>4.0500000000000001E-2</v>
      </c>
      <c r="J34" s="65">
        <f t="shared" si="10"/>
        <v>8.1000000000000006E-4</v>
      </c>
      <c r="K34" s="65">
        <f t="shared" si="10"/>
        <v>4.0499999999999998E-3</v>
      </c>
      <c r="L34" s="65">
        <f t="shared" si="10"/>
        <v>1.6199999999999999E-2</v>
      </c>
      <c r="M34" s="65">
        <f t="shared" si="10"/>
        <v>1.6199999999999999E-2</v>
      </c>
      <c r="N34" s="65">
        <f t="shared" si="10"/>
        <v>0</v>
      </c>
      <c r="O34" s="65">
        <f t="shared" si="10"/>
        <v>0</v>
      </c>
      <c r="P34" s="65">
        <f t="shared" si="10"/>
        <v>24.056999999999999</v>
      </c>
      <c r="Q34" s="65">
        <f t="shared" si="11"/>
        <v>18.326249999999998</v>
      </c>
      <c r="R34" s="65">
        <f t="shared" si="12"/>
        <v>0</v>
      </c>
      <c r="S34" s="65">
        <f t="shared" si="12"/>
        <v>0</v>
      </c>
      <c r="T34" s="65">
        <f t="shared" si="12"/>
        <v>0</v>
      </c>
      <c r="U34" s="126">
        <f t="shared" si="12"/>
        <v>0</v>
      </c>
    </row>
    <row r="35" spans="1:21" s="48" customFormat="1" x14ac:dyDescent="0.25">
      <c r="A35" s="125" t="str">
        <f>G8</f>
        <v>8-B</v>
      </c>
      <c r="B35" s="11">
        <v>81</v>
      </c>
      <c r="C35" s="65">
        <f t="shared" si="6"/>
        <v>178.20000000000002</v>
      </c>
      <c r="D35" s="65">
        <f t="shared" si="7"/>
        <v>79.981100999999995</v>
      </c>
      <c r="E35" s="65">
        <f t="shared" si="8"/>
        <v>20.204235000000004</v>
      </c>
      <c r="F35" s="65">
        <f t="shared" si="9"/>
        <v>3.7737738000000007</v>
      </c>
      <c r="G35" s="65">
        <f t="shared" si="10"/>
        <v>1.6199999999999999E-2</v>
      </c>
      <c r="H35" s="65">
        <f t="shared" si="10"/>
        <v>8.7480000000000002E-2</v>
      </c>
      <c r="I35" s="65">
        <f t="shared" si="10"/>
        <v>4.0500000000000001E-2</v>
      </c>
      <c r="J35" s="65">
        <f t="shared" si="10"/>
        <v>8.1000000000000006E-4</v>
      </c>
      <c r="K35" s="65">
        <f t="shared" si="10"/>
        <v>4.0499999999999998E-3</v>
      </c>
      <c r="L35" s="65">
        <f t="shared" si="10"/>
        <v>1.6199999999999999E-2</v>
      </c>
      <c r="M35" s="65">
        <f t="shared" si="10"/>
        <v>1.6199999999999999E-2</v>
      </c>
      <c r="N35" s="65">
        <f t="shared" si="10"/>
        <v>0</v>
      </c>
      <c r="O35" s="65">
        <f t="shared" si="10"/>
        <v>0</v>
      </c>
      <c r="P35" s="65">
        <f t="shared" si="10"/>
        <v>24.056999999999999</v>
      </c>
      <c r="Q35" s="65">
        <f t="shared" si="11"/>
        <v>18.326249999999998</v>
      </c>
      <c r="R35" s="65">
        <f t="shared" si="12"/>
        <v>0</v>
      </c>
      <c r="S35" s="65">
        <f t="shared" si="12"/>
        <v>0</v>
      </c>
      <c r="T35" s="65">
        <f t="shared" si="12"/>
        <v>0</v>
      </c>
      <c r="U35" s="126">
        <f t="shared" si="12"/>
        <v>0</v>
      </c>
    </row>
    <row r="36" spans="1:21" s="48" customFormat="1" x14ac:dyDescent="0.25">
      <c r="A36" s="125" t="str">
        <f>H8</f>
        <v>9-B</v>
      </c>
      <c r="B36" s="11">
        <v>81</v>
      </c>
      <c r="C36" s="65">
        <f t="shared" si="6"/>
        <v>178.20000000000002</v>
      </c>
      <c r="D36" s="65">
        <f t="shared" si="7"/>
        <v>79.981100999999995</v>
      </c>
      <c r="E36" s="65">
        <f t="shared" si="8"/>
        <v>20.204235000000004</v>
      </c>
      <c r="F36" s="65">
        <f t="shared" si="9"/>
        <v>3.7737738000000007</v>
      </c>
      <c r="G36" s="65">
        <f t="shared" si="10"/>
        <v>1.6199999999999999E-2</v>
      </c>
      <c r="H36" s="65">
        <f t="shared" si="10"/>
        <v>8.7480000000000002E-2</v>
      </c>
      <c r="I36" s="65">
        <f t="shared" si="10"/>
        <v>4.0500000000000001E-2</v>
      </c>
      <c r="J36" s="65">
        <f t="shared" si="10"/>
        <v>8.1000000000000006E-4</v>
      </c>
      <c r="K36" s="65">
        <f t="shared" si="10"/>
        <v>4.0499999999999998E-3</v>
      </c>
      <c r="L36" s="65">
        <f t="shared" si="10"/>
        <v>1.6199999999999999E-2</v>
      </c>
      <c r="M36" s="65">
        <f t="shared" si="10"/>
        <v>1.6199999999999999E-2</v>
      </c>
      <c r="N36" s="65">
        <f t="shared" si="10"/>
        <v>0</v>
      </c>
      <c r="O36" s="65">
        <f t="shared" si="10"/>
        <v>0</v>
      </c>
      <c r="P36" s="65">
        <f t="shared" si="10"/>
        <v>24.056999999999999</v>
      </c>
      <c r="Q36" s="65">
        <f t="shared" si="11"/>
        <v>18.326249999999998</v>
      </c>
      <c r="R36" s="65">
        <f t="shared" si="12"/>
        <v>0</v>
      </c>
      <c r="S36" s="65">
        <f t="shared" si="12"/>
        <v>0</v>
      </c>
      <c r="T36" s="65">
        <f t="shared" si="12"/>
        <v>0</v>
      </c>
      <c r="U36" s="126">
        <f t="shared" si="12"/>
        <v>0</v>
      </c>
    </row>
    <row r="37" spans="1:21" s="48" customFormat="1" x14ac:dyDescent="0.25">
      <c r="A37" s="125" t="str">
        <f>I8</f>
        <v>8222-B</v>
      </c>
      <c r="B37" s="11">
        <v>81</v>
      </c>
      <c r="C37" s="65">
        <f t="shared" si="6"/>
        <v>178.20000000000002</v>
      </c>
      <c r="D37" s="65">
        <f t="shared" si="7"/>
        <v>79.981100999999995</v>
      </c>
      <c r="E37" s="65">
        <f t="shared" si="8"/>
        <v>20.204235000000004</v>
      </c>
      <c r="F37" s="65">
        <f t="shared" si="9"/>
        <v>3.7737738000000007</v>
      </c>
      <c r="G37" s="65">
        <f t="shared" si="10"/>
        <v>1.6199999999999999E-2</v>
      </c>
      <c r="H37" s="65">
        <f t="shared" si="10"/>
        <v>8.7480000000000002E-2</v>
      </c>
      <c r="I37" s="65">
        <f t="shared" si="10"/>
        <v>4.0500000000000001E-2</v>
      </c>
      <c r="J37" s="65">
        <f t="shared" si="10"/>
        <v>8.1000000000000006E-4</v>
      </c>
      <c r="K37" s="65">
        <f t="shared" si="10"/>
        <v>4.0499999999999998E-3</v>
      </c>
      <c r="L37" s="65">
        <f t="shared" si="10"/>
        <v>1.6199999999999999E-2</v>
      </c>
      <c r="M37" s="65">
        <f t="shared" si="10"/>
        <v>1.6199999999999999E-2</v>
      </c>
      <c r="N37" s="65">
        <f t="shared" si="10"/>
        <v>0</v>
      </c>
      <c r="O37" s="65">
        <f t="shared" si="10"/>
        <v>0</v>
      </c>
      <c r="P37" s="65">
        <f t="shared" si="10"/>
        <v>24.056999999999999</v>
      </c>
      <c r="Q37" s="65">
        <f t="shared" si="11"/>
        <v>18.326249999999998</v>
      </c>
      <c r="R37" s="65">
        <f t="shared" si="12"/>
        <v>0</v>
      </c>
      <c r="S37" s="65">
        <f t="shared" si="12"/>
        <v>0</v>
      </c>
      <c r="T37" s="65">
        <f t="shared" si="12"/>
        <v>0</v>
      </c>
      <c r="U37" s="126">
        <f t="shared" si="12"/>
        <v>0</v>
      </c>
    </row>
    <row r="38" spans="1:21" s="48" customFormat="1" x14ac:dyDescent="0.25">
      <c r="A38" s="125" t="str">
        <f>J8</f>
        <v>7233-B</v>
      </c>
      <c r="B38" s="11">
        <v>81</v>
      </c>
      <c r="C38" s="65">
        <f t="shared" si="6"/>
        <v>178.20000000000002</v>
      </c>
      <c r="D38" s="65">
        <f t="shared" si="7"/>
        <v>79.981100999999995</v>
      </c>
      <c r="E38" s="65">
        <f t="shared" si="8"/>
        <v>20.204235000000004</v>
      </c>
      <c r="F38" s="65">
        <f t="shared" si="9"/>
        <v>3.7737738000000007</v>
      </c>
      <c r="G38" s="65">
        <f t="shared" si="10"/>
        <v>1.6199999999999999E-2</v>
      </c>
      <c r="H38" s="65">
        <f t="shared" si="10"/>
        <v>8.7480000000000002E-2</v>
      </c>
      <c r="I38" s="65">
        <f t="shared" si="10"/>
        <v>4.0500000000000001E-2</v>
      </c>
      <c r="J38" s="65">
        <f t="shared" si="10"/>
        <v>8.1000000000000006E-4</v>
      </c>
      <c r="K38" s="65">
        <f t="shared" si="10"/>
        <v>4.0499999999999998E-3</v>
      </c>
      <c r="L38" s="65">
        <f t="shared" si="10"/>
        <v>1.6199999999999999E-2</v>
      </c>
      <c r="M38" s="65">
        <f t="shared" si="10"/>
        <v>1.6199999999999999E-2</v>
      </c>
      <c r="N38" s="65">
        <f t="shared" si="10"/>
        <v>0</v>
      </c>
      <c r="O38" s="65">
        <f t="shared" si="10"/>
        <v>0</v>
      </c>
      <c r="P38" s="65">
        <f t="shared" si="10"/>
        <v>24.056999999999999</v>
      </c>
      <c r="Q38" s="65">
        <f t="shared" si="11"/>
        <v>18.326249999999998</v>
      </c>
      <c r="R38" s="65">
        <f t="shared" si="12"/>
        <v>0</v>
      </c>
      <c r="S38" s="65">
        <f t="shared" si="12"/>
        <v>0</v>
      </c>
      <c r="T38" s="65">
        <f t="shared" si="12"/>
        <v>0</v>
      </c>
      <c r="U38" s="126">
        <f t="shared" si="12"/>
        <v>0</v>
      </c>
    </row>
    <row r="39" spans="1:21" s="48" customFormat="1" x14ac:dyDescent="0.25">
      <c r="A39" s="125" t="str">
        <f>K8</f>
        <v>5641-B</v>
      </c>
      <c r="B39" s="11">
        <v>81</v>
      </c>
      <c r="C39" s="65">
        <f t="shared" si="6"/>
        <v>178.20000000000002</v>
      </c>
      <c r="D39" s="65">
        <f t="shared" si="7"/>
        <v>79.981100999999995</v>
      </c>
      <c r="E39" s="65">
        <f t="shared" si="8"/>
        <v>20.204235000000004</v>
      </c>
      <c r="F39" s="65">
        <f t="shared" si="9"/>
        <v>3.7737738000000007</v>
      </c>
      <c r="G39" s="65">
        <f t="shared" si="10"/>
        <v>1.6199999999999999E-2</v>
      </c>
      <c r="H39" s="65">
        <f t="shared" si="10"/>
        <v>8.7480000000000002E-2</v>
      </c>
      <c r="I39" s="65">
        <f t="shared" si="10"/>
        <v>4.0500000000000001E-2</v>
      </c>
      <c r="J39" s="65">
        <f t="shared" si="10"/>
        <v>8.1000000000000006E-4</v>
      </c>
      <c r="K39" s="65">
        <f t="shared" si="10"/>
        <v>4.0499999999999998E-3</v>
      </c>
      <c r="L39" s="65">
        <f t="shared" si="10"/>
        <v>1.6199999999999999E-2</v>
      </c>
      <c r="M39" s="65">
        <f t="shared" si="10"/>
        <v>1.6199999999999999E-2</v>
      </c>
      <c r="N39" s="65">
        <f t="shared" si="10"/>
        <v>0</v>
      </c>
      <c r="O39" s="65">
        <f t="shared" si="10"/>
        <v>0</v>
      </c>
      <c r="P39" s="65">
        <f t="shared" si="10"/>
        <v>24.056999999999999</v>
      </c>
      <c r="Q39" s="65">
        <f t="shared" si="11"/>
        <v>18.326249999999998</v>
      </c>
      <c r="R39" s="65">
        <f t="shared" si="12"/>
        <v>0</v>
      </c>
      <c r="S39" s="65">
        <f t="shared" si="12"/>
        <v>0</v>
      </c>
      <c r="T39" s="65">
        <f t="shared" si="12"/>
        <v>0</v>
      </c>
      <c r="U39" s="126">
        <f t="shared" si="12"/>
        <v>0</v>
      </c>
    </row>
    <row r="40" spans="1:21" s="48" customFormat="1" x14ac:dyDescent="0.25">
      <c r="A40" s="125" t="str">
        <f>L8</f>
        <v>4956-B</v>
      </c>
      <c r="B40" s="11">
        <v>81</v>
      </c>
      <c r="C40" s="65">
        <f t="shared" si="6"/>
        <v>178.20000000000002</v>
      </c>
      <c r="D40" s="65">
        <f t="shared" si="7"/>
        <v>79.981100999999995</v>
      </c>
      <c r="E40" s="65">
        <f t="shared" si="8"/>
        <v>20.204235000000004</v>
      </c>
      <c r="F40" s="65">
        <f t="shared" si="9"/>
        <v>3.7737738000000007</v>
      </c>
      <c r="G40" s="65">
        <f t="shared" si="10"/>
        <v>1.6199999999999999E-2</v>
      </c>
      <c r="H40" s="65">
        <f t="shared" si="10"/>
        <v>8.7480000000000002E-2</v>
      </c>
      <c r="I40" s="65">
        <f t="shared" si="10"/>
        <v>4.0500000000000001E-2</v>
      </c>
      <c r="J40" s="65">
        <f t="shared" si="10"/>
        <v>8.1000000000000006E-4</v>
      </c>
      <c r="K40" s="65">
        <f t="shared" si="10"/>
        <v>4.0499999999999998E-3</v>
      </c>
      <c r="L40" s="65">
        <f t="shared" si="10"/>
        <v>1.6199999999999999E-2</v>
      </c>
      <c r="M40" s="65">
        <f t="shared" si="10"/>
        <v>1.6199999999999999E-2</v>
      </c>
      <c r="N40" s="65">
        <f t="shared" si="10"/>
        <v>0</v>
      </c>
      <c r="O40" s="65">
        <f t="shared" si="10"/>
        <v>0</v>
      </c>
      <c r="P40" s="65">
        <f t="shared" si="10"/>
        <v>24.056999999999999</v>
      </c>
      <c r="Q40" s="65">
        <f t="shared" si="11"/>
        <v>18.326249999999998</v>
      </c>
      <c r="R40" s="65">
        <f t="shared" si="12"/>
        <v>0</v>
      </c>
      <c r="S40" s="65">
        <f t="shared" si="12"/>
        <v>0</v>
      </c>
      <c r="T40" s="65">
        <f t="shared" si="12"/>
        <v>0</v>
      </c>
      <c r="U40" s="126">
        <f t="shared" si="12"/>
        <v>0</v>
      </c>
    </row>
    <row r="41" spans="1:21" s="48" customFormat="1" x14ac:dyDescent="0.25">
      <c r="A41" s="125" t="str">
        <f>M8</f>
        <v>HAFOD B/FRON 2849</v>
      </c>
      <c r="B41" s="11">
        <v>81</v>
      </c>
      <c r="C41" s="65">
        <f t="shared" si="6"/>
        <v>178.20000000000002</v>
      </c>
      <c r="D41" s="65">
        <f t="shared" si="7"/>
        <v>79.981100999999995</v>
      </c>
      <c r="E41" s="65">
        <f t="shared" si="8"/>
        <v>20.204235000000004</v>
      </c>
      <c r="F41" s="65">
        <f t="shared" si="9"/>
        <v>3.7737738000000007</v>
      </c>
      <c r="G41" s="65">
        <f t="shared" si="10"/>
        <v>1.6199999999999999E-2</v>
      </c>
      <c r="H41" s="65">
        <f t="shared" si="10"/>
        <v>8.7480000000000002E-2</v>
      </c>
      <c r="I41" s="65">
        <f t="shared" si="10"/>
        <v>4.0500000000000001E-2</v>
      </c>
      <c r="J41" s="65">
        <f t="shared" si="10"/>
        <v>8.1000000000000006E-4</v>
      </c>
      <c r="K41" s="65">
        <f t="shared" si="10"/>
        <v>4.0499999999999998E-3</v>
      </c>
      <c r="L41" s="65">
        <f t="shared" si="10"/>
        <v>1.6199999999999999E-2</v>
      </c>
      <c r="M41" s="65">
        <f t="shared" si="10"/>
        <v>1.6199999999999999E-2</v>
      </c>
      <c r="N41" s="65">
        <f t="shared" si="10"/>
        <v>0</v>
      </c>
      <c r="O41" s="65">
        <f t="shared" si="10"/>
        <v>0</v>
      </c>
      <c r="P41" s="65">
        <f t="shared" si="10"/>
        <v>24.056999999999999</v>
      </c>
      <c r="Q41" s="65">
        <f t="shared" si="11"/>
        <v>18.326249999999998</v>
      </c>
      <c r="R41" s="65">
        <f t="shared" si="12"/>
        <v>0</v>
      </c>
      <c r="S41" s="65">
        <f t="shared" si="12"/>
        <v>0</v>
      </c>
      <c r="T41" s="65">
        <f t="shared" si="12"/>
        <v>0</v>
      </c>
      <c r="U41" s="126">
        <f t="shared" si="12"/>
        <v>0</v>
      </c>
    </row>
    <row r="42" spans="1:21" s="48" customFormat="1" x14ac:dyDescent="0.25">
      <c r="A42" s="125" t="str">
        <f>N8</f>
        <v>HAFOD B/FRON 3836</v>
      </c>
      <c r="B42" s="11">
        <v>81</v>
      </c>
      <c r="C42" s="65">
        <f t="shared" si="6"/>
        <v>178.20000000000002</v>
      </c>
      <c r="D42" s="65">
        <f t="shared" si="7"/>
        <v>79.981100999999995</v>
      </c>
      <c r="E42" s="65">
        <f t="shared" si="8"/>
        <v>20.204235000000004</v>
      </c>
      <c r="F42" s="65">
        <f t="shared" si="9"/>
        <v>3.7737738000000007</v>
      </c>
      <c r="G42" s="65">
        <f t="shared" si="10"/>
        <v>1.6199999999999999E-2</v>
      </c>
      <c r="H42" s="65">
        <f t="shared" si="10"/>
        <v>8.7480000000000002E-2</v>
      </c>
      <c r="I42" s="65">
        <f t="shared" si="10"/>
        <v>4.0500000000000001E-2</v>
      </c>
      <c r="J42" s="65">
        <f t="shared" si="10"/>
        <v>8.1000000000000006E-4</v>
      </c>
      <c r="K42" s="65">
        <f t="shared" si="10"/>
        <v>4.0499999999999998E-3</v>
      </c>
      <c r="L42" s="65">
        <f t="shared" si="10"/>
        <v>1.6199999999999999E-2</v>
      </c>
      <c r="M42" s="65">
        <f t="shared" si="10"/>
        <v>1.6199999999999999E-2</v>
      </c>
      <c r="N42" s="65">
        <f t="shared" si="10"/>
        <v>0</v>
      </c>
      <c r="O42" s="65">
        <f t="shared" si="10"/>
        <v>0</v>
      </c>
      <c r="P42" s="65">
        <f t="shared" si="10"/>
        <v>24.056999999999999</v>
      </c>
      <c r="Q42" s="65">
        <f t="shared" si="11"/>
        <v>18.326249999999998</v>
      </c>
      <c r="R42" s="65">
        <f t="shared" si="12"/>
        <v>0</v>
      </c>
      <c r="S42" s="65">
        <f t="shared" si="12"/>
        <v>0</v>
      </c>
      <c r="T42" s="65">
        <f t="shared" si="12"/>
        <v>0</v>
      </c>
      <c r="U42" s="126">
        <f t="shared" si="12"/>
        <v>0</v>
      </c>
    </row>
    <row r="43" spans="1:21" s="48" customFormat="1" x14ac:dyDescent="0.25">
      <c r="A43" s="125" t="str">
        <f>O8</f>
        <v>BOLAFRON 4718</v>
      </c>
      <c r="B43" s="11">
        <v>81</v>
      </c>
      <c r="C43" s="65">
        <f t="shared" si="6"/>
        <v>178.20000000000002</v>
      </c>
      <c r="D43" s="65">
        <f t="shared" si="7"/>
        <v>79.981100999999995</v>
      </c>
      <c r="E43" s="65">
        <f t="shared" si="8"/>
        <v>20.204235000000004</v>
      </c>
      <c r="F43" s="65">
        <f t="shared" si="9"/>
        <v>3.7737738000000007</v>
      </c>
      <c r="G43" s="65">
        <f t="shared" si="10"/>
        <v>1.6199999999999999E-2</v>
      </c>
      <c r="H43" s="65">
        <f t="shared" si="10"/>
        <v>8.7480000000000002E-2</v>
      </c>
      <c r="I43" s="65">
        <f t="shared" si="10"/>
        <v>4.0500000000000001E-2</v>
      </c>
      <c r="J43" s="65">
        <f t="shared" si="10"/>
        <v>8.1000000000000006E-4</v>
      </c>
      <c r="K43" s="65">
        <f t="shared" si="10"/>
        <v>4.0499999999999998E-3</v>
      </c>
      <c r="L43" s="65">
        <f t="shared" si="10"/>
        <v>1.6199999999999999E-2</v>
      </c>
      <c r="M43" s="65">
        <f t="shared" si="10"/>
        <v>1.6199999999999999E-2</v>
      </c>
      <c r="N43" s="65">
        <f t="shared" si="10"/>
        <v>0</v>
      </c>
      <c r="O43" s="65">
        <f t="shared" si="10"/>
        <v>0</v>
      </c>
      <c r="P43" s="65">
        <f t="shared" si="10"/>
        <v>24.056999999999999</v>
      </c>
      <c r="Q43" s="65">
        <f t="shared" si="11"/>
        <v>18.326249999999998</v>
      </c>
      <c r="R43" s="65">
        <f t="shared" si="12"/>
        <v>0</v>
      </c>
      <c r="S43" s="65">
        <f t="shared" si="12"/>
        <v>0</v>
      </c>
      <c r="T43" s="65">
        <f t="shared" si="12"/>
        <v>0</v>
      </c>
      <c r="U43" s="126">
        <f t="shared" si="12"/>
        <v>0</v>
      </c>
    </row>
    <row r="44" spans="1:21" s="48" customFormat="1" x14ac:dyDescent="0.25">
      <c r="A44" s="125" t="str">
        <f>P8</f>
        <v>BOLAFRON 3107</v>
      </c>
      <c r="B44" s="11">
        <v>81</v>
      </c>
      <c r="C44" s="65">
        <f t="shared" si="6"/>
        <v>178.20000000000002</v>
      </c>
      <c r="D44" s="65">
        <f t="shared" si="7"/>
        <v>79.981100999999995</v>
      </c>
      <c r="E44" s="65">
        <f t="shared" si="8"/>
        <v>20.204235000000004</v>
      </c>
      <c r="F44" s="65">
        <f t="shared" si="9"/>
        <v>3.7737738000000007</v>
      </c>
      <c r="G44" s="65">
        <f t="shared" si="10"/>
        <v>1.6199999999999999E-2</v>
      </c>
      <c r="H44" s="65">
        <f t="shared" si="10"/>
        <v>8.7480000000000002E-2</v>
      </c>
      <c r="I44" s="65">
        <f t="shared" si="10"/>
        <v>4.0500000000000001E-2</v>
      </c>
      <c r="J44" s="65">
        <f t="shared" si="10"/>
        <v>8.1000000000000006E-4</v>
      </c>
      <c r="K44" s="65">
        <f t="shared" si="10"/>
        <v>4.0499999999999998E-3</v>
      </c>
      <c r="L44" s="65">
        <f t="shared" si="10"/>
        <v>1.6199999999999999E-2</v>
      </c>
      <c r="M44" s="65">
        <f t="shared" si="10"/>
        <v>1.6199999999999999E-2</v>
      </c>
      <c r="N44" s="65">
        <f t="shared" si="10"/>
        <v>0</v>
      </c>
      <c r="O44" s="65">
        <f t="shared" si="10"/>
        <v>0</v>
      </c>
      <c r="P44" s="65">
        <f t="shared" si="10"/>
        <v>24.056999999999999</v>
      </c>
      <c r="Q44" s="65">
        <f t="shared" si="11"/>
        <v>18.326249999999998</v>
      </c>
      <c r="R44" s="65">
        <f t="shared" si="12"/>
        <v>0</v>
      </c>
      <c r="S44" s="65">
        <f t="shared" si="12"/>
        <v>0</v>
      </c>
      <c r="T44" s="65">
        <f t="shared" si="12"/>
        <v>0</v>
      </c>
      <c r="U44" s="126">
        <f t="shared" si="12"/>
        <v>0</v>
      </c>
    </row>
    <row r="45" spans="1:21" s="48" customFormat="1" x14ac:dyDescent="0.25">
      <c r="A45" s="125" t="str">
        <f>Q8</f>
        <v>BOLAFRON 6609</v>
      </c>
      <c r="B45" s="11">
        <v>81</v>
      </c>
      <c r="C45" s="65">
        <f t="shared" si="6"/>
        <v>178.20000000000002</v>
      </c>
      <c r="D45" s="65">
        <f t="shared" si="7"/>
        <v>79.981100999999995</v>
      </c>
      <c r="E45" s="65">
        <f t="shared" si="8"/>
        <v>20.204235000000004</v>
      </c>
      <c r="F45" s="65">
        <f t="shared" si="9"/>
        <v>3.7737738000000007</v>
      </c>
      <c r="G45" s="65">
        <f t="shared" si="10"/>
        <v>1.6199999999999999E-2</v>
      </c>
      <c r="H45" s="65">
        <f t="shared" si="10"/>
        <v>8.7480000000000002E-2</v>
      </c>
      <c r="I45" s="65">
        <f t="shared" si="10"/>
        <v>4.0500000000000001E-2</v>
      </c>
      <c r="J45" s="65">
        <f t="shared" si="10"/>
        <v>8.1000000000000006E-4</v>
      </c>
      <c r="K45" s="65">
        <f t="shared" si="10"/>
        <v>4.0499999999999998E-3</v>
      </c>
      <c r="L45" s="65">
        <f t="shared" si="10"/>
        <v>1.6199999999999999E-2</v>
      </c>
      <c r="M45" s="65">
        <f t="shared" si="10"/>
        <v>1.6199999999999999E-2</v>
      </c>
      <c r="N45" s="65">
        <f t="shared" si="10"/>
        <v>0</v>
      </c>
      <c r="O45" s="65">
        <f t="shared" si="10"/>
        <v>0</v>
      </c>
      <c r="P45" s="65">
        <f t="shared" si="10"/>
        <v>24.056999999999999</v>
      </c>
      <c r="Q45" s="65">
        <f t="shared" si="11"/>
        <v>18.326249999999998</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 I Grass</v>
      </c>
      <c r="C58" s="10" t="str">
        <f>D16&amp;" I "&amp;(VLOOKUP(D14,Table24[],6,FALSE))</f>
        <v>Medium I Grass</v>
      </c>
      <c r="D58" s="10" t="str">
        <f>E16&amp;" I "&amp;(VLOOKUP(E14,Table24[],6,FALSE))</f>
        <v>Medium I Grass</v>
      </c>
      <c r="E58" s="10" t="str">
        <f>F16&amp;" I "&amp;(VLOOKUP(F14,Table24[],6,FALSE))</f>
        <v>Medium I Grass</v>
      </c>
      <c r="F58" s="10" t="str">
        <f>G16&amp;" I "&amp;(VLOOKUP(G14,Table24[],6,FALSE))</f>
        <v>Medium I Grass</v>
      </c>
      <c r="G58" s="10" t="str">
        <f>H16&amp;" I "&amp;(VLOOKUP(H14,Table24[],6,FALSE))</f>
        <v>Medium I Grass</v>
      </c>
      <c r="H58" s="10" t="str">
        <f>I16&amp;" I "&amp;(VLOOKUP(I14,Table24[],6,FALSE))</f>
        <v>Medium I Grass</v>
      </c>
      <c r="I58" s="10" t="str">
        <f>J16&amp;" I "&amp;(VLOOKUP(J14,Table24[],6,FALSE))</f>
        <v>Medium I Grass</v>
      </c>
      <c r="J58" s="10" t="str">
        <f>K16&amp;" I "&amp;(VLOOKUP(K14,Table24[],6,FALSE))</f>
        <v>Medium I Grass</v>
      </c>
      <c r="K58" s="10" t="str">
        <f>L16&amp;" I "&amp;(VLOOKUP(L14,Table24[],6,FALSE))</f>
        <v>Medium I Grass</v>
      </c>
      <c r="L58" s="10" t="str">
        <f>M16&amp;" I "&amp;(VLOOKUP(M14,Table24[],6,FALSE))</f>
        <v>Medium I Grass</v>
      </c>
      <c r="M58" s="10" t="str">
        <f>N16&amp;" I "&amp;(VLOOKUP(N14,Table24[],6,FALSE))</f>
        <v>Medium I Grass</v>
      </c>
      <c r="N58" s="10" t="str">
        <f>O16&amp;" I "&amp;(VLOOKUP(O14,Table24[],6,FALSE))</f>
        <v>Medium I Grass</v>
      </c>
      <c r="O58" s="10" t="str">
        <f>P16&amp;" I "&amp;(VLOOKUP(P14,Table24[],6,FALSE))</f>
        <v>Medium I Grass</v>
      </c>
      <c r="P58" s="10" t="str">
        <f>Q16&amp;" I "&amp;(VLOOKUP(Q14,Table24[],6,FALSE))</f>
        <v>Medium I Grass</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f>VLOOKUP(P$14,Table24[],5,FALSE)</f>
        <v>6.2</v>
      </c>
      <c r="P59" s="64">
        <f>VLOOKUP(Q$14,Table24[],5,FALSE)</f>
        <v>6.2</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81</v>
      </c>
      <c r="C62" s="65">
        <f>B32</f>
        <v>81</v>
      </c>
      <c r="D62" s="65">
        <f>B33</f>
        <v>81</v>
      </c>
      <c r="E62" s="65">
        <f>B34</f>
        <v>81</v>
      </c>
      <c r="F62" s="65">
        <f>B35</f>
        <v>81</v>
      </c>
      <c r="G62" s="65">
        <f>B36</f>
        <v>81</v>
      </c>
      <c r="H62" s="65">
        <f>B37</f>
        <v>81</v>
      </c>
      <c r="I62" s="65">
        <f>B38</f>
        <v>81</v>
      </c>
      <c r="J62" s="65">
        <f>B39</f>
        <v>81</v>
      </c>
      <c r="K62" s="65">
        <f>B40</f>
        <v>81</v>
      </c>
      <c r="L62" s="65">
        <f>B41</f>
        <v>81</v>
      </c>
      <c r="M62" s="65">
        <f>B42</f>
        <v>81</v>
      </c>
      <c r="N62" s="65">
        <f>B43</f>
        <v>81</v>
      </c>
      <c r="O62" s="65">
        <f>B44</f>
        <v>81</v>
      </c>
      <c r="P62" s="65">
        <f>B45</f>
        <v>81</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63" sqref="B6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6.76</v>
      </c>
      <c r="J1" s="130" t="s">
        <v>153</v>
      </c>
      <c r="K1" s="131"/>
      <c r="L1" s="109">
        <v>53.4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183</v>
      </c>
      <c r="G2" s="164" t="s">
        <v>110</v>
      </c>
      <c r="H2" s="165"/>
      <c r="I2" s="110">
        <v>2137</v>
      </c>
      <c r="J2" s="132" t="s">
        <v>158</v>
      </c>
      <c r="K2" s="133"/>
      <c r="L2" s="110">
        <v>0.19</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v>1820</v>
      </c>
      <c r="J3" s="134" t="s">
        <v>154</v>
      </c>
      <c r="K3" s="135"/>
      <c r="L3" s="110">
        <f>(L1/(L2*10000))*100</f>
        <v>2.8105263157894735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185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79.483953999999983</v>
      </c>
      <c r="D18" s="12">
        <f>$D32</f>
        <v>79.483953999999983</v>
      </c>
      <c r="E18" s="12">
        <f>$D33</f>
        <v>79.483953999999983</v>
      </c>
      <c r="F18" s="12">
        <f>$D34</f>
        <v>79.483953999999983</v>
      </c>
      <c r="G18" s="12">
        <f>$D35</f>
        <v>79.483953999999983</v>
      </c>
      <c r="H18" s="12">
        <f>$D36</f>
        <v>79.483953999999983</v>
      </c>
      <c r="I18" s="12">
        <f>$D37</f>
        <v>79.483953999999983</v>
      </c>
      <c r="J18" s="12">
        <f>$D38</f>
        <v>79.483953999999983</v>
      </c>
      <c r="K18" s="12">
        <f>$D39</f>
        <v>79.483953999999983</v>
      </c>
      <c r="L18" s="12">
        <f>$D40</f>
        <v>79.483953999999983</v>
      </c>
      <c r="M18" s="12">
        <f>$D41</f>
        <v>79.483953999999983</v>
      </c>
      <c r="N18" s="12">
        <f>$D42</f>
        <v>79.483953999999983</v>
      </c>
      <c r="O18" s="12">
        <f>$D43</f>
        <v>79.483953999999983</v>
      </c>
      <c r="P18" s="12">
        <f>$D44</f>
        <v>79.483953999999983</v>
      </c>
      <c r="Q18" s="12">
        <f>$D45</f>
        <v>79.483953999999983</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-0.41604600000000858</v>
      </c>
      <c r="D19" s="12">
        <f t="shared" ref="D19:V19" si="1">D18-D17</f>
        <v>-0.41604600000000858</v>
      </c>
      <c r="E19" s="12">
        <f t="shared" si="1"/>
        <v>-0.41604600000000858</v>
      </c>
      <c r="F19" s="12">
        <f t="shared" si="1"/>
        <v>-0.41604600000000858</v>
      </c>
      <c r="G19" s="12">
        <f t="shared" si="1"/>
        <v>-0.41604600000000858</v>
      </c>
      <c r="H19" s="12">
        <f t="shared" si="1"/>
        <v>-0.41604600000000858</v>
      </c>
      <c r="I19" s="12">
        <f t="shared" si="1"/>
        <v>-0.41604600000000858</v>
      </c>
      <c r="J19" s="12">
        <f t="shared" si="1"/>
        <v>-0.41604600000000858</v>
      </c>
      <c r="K19" s="12">
        <f t="shared" si="1"/>
        <v>-0.41604600000000858</v>
      </c>
      <c r="L19" s="12">
        <f t="shared" si="1"/>
        <v>-0.41604600000000858</v>
      </c>
      <c r="M19" s="12">
        <f t="shared" si="1"/>
        <v>-0.41604600000000858</v>
      </c>
      <c r="N19" s="12">
        <f t="shared" si="1"/>
        <v>-0.41604600000000858</v>
      </c>
      <c r="O19" s="12">
        <f t="shared" si="1"/>
        <v>-0.41604600000000858</v>
      </c>
      <c r="P19" s="12">
        <f t="shared" si="1"/>
        <v>-0.41604600000000858</v>
      </c>
      <c r="Q19" s="12">
        <f t="shared" si="1"/>
        <v>-0.41604600000000858</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19.302895000000003</v>
      </c>
      <c r="D22" s="12">
        <f>$E32</f>
        <v>19.302895000000003</v>
      </c>
      <c r="E22" s="12">
        <f>$E33</f>
        <v>19.302895000000003</v>
      </c>
      <c r="F22" s="12">
        <f>$E34</f>
        <v>19.302895000000003</v>
      </c>
      <c r="G22" s="12">
        <f>$E35</f>
        <v>19.302895000000003</v>
      </c>
      <c r="H22" s="12">
        <f>$E36</f>
        <v>19.302895000000003</v>
      </c>
      <c r="I22" s="12">
        <f>$E37</f>
        <v>19.302895000000003</v>
      </c>
      <c r="J22" s="12">
        <f>$E38</f>
        <v>19.302895000000003</v>
      </c>
      <c r="K22" s="12">
        <f>$E39</f>
        <v>19.302895000000003</v>
      </c>
      <c r="L22" s="12">
        <f>$E40</f>
        <v>19.302895000000003</v>
      </c>
      <c r="M22" s="12">
        <f>$E41</f>
        <v>19.302895000000003</v>
      </c>
      <c r="N22" s="12">
        <f>$E42</f>
        <v>19.302895000000003</v>
      </c>
      <c r="O22" s="12">
        <f>$E43</f>
        <v>19.302895000000003</v>
      </c>
      <c r="P22" s="12">
        <f>$E44</f>
        <v>19.302895000000003</v>
      </c>
      <c r="Q22" s="12">
        <f>$E45</f>
        <v>19.302895000000003</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-262.69710500000002</v>
      </c>
      <c r="D23" s="12">
        <f t="shared" ref="D23:V23" si="3">D22-D21</f>
        <v>-262.69710500000002</v>
      </c>
      <c r="E23" s="12">
        <f t="shared" si="3"/>
        <v>-262.69710500000002</v>
      </c>
      <c r="F23" s="12">
        <f t="shared" si="3"/>
        <v>-262.69710500000002</v>
      </c>
      <c r="G23" s="12">
        <f t="shared" si="3"/>
        <v>-262.69710500000002</v>
      </c>
      <c r="H23" s="12">
        <f t="shared" si="3"/>
        <v>-262.69710500000002</v>
      </c>
      <c r="I23" s="12">
        <f t="shared" si="3"/>
        <v>-262.69710500000002</v>
      </c>
      <c r="J23" s="12">
        <f t="shared" si="3"/>
        <v>-262.69710500000002</v>
      </c>
      <c r="K23" s="12">
        <f t="shared" si="3"/>
        <v>-262.69710500000002</v>
      </c>
      <c r="L23" s="12">
        <f t="shared" si="3"/>
        <v>-262.69710500000002</v>
      </c>
      <c r="M23" s="12">
        <f t="shared" si="3"/>
        <v>-262.69710500000002</v>
      </c>
      <c r="N23" s="12">
        <f t="shared" si="3"/>
        <v>-262.69710500000002</v>
      </c>
      <c r="O23" s="12">
        <f t="shared" si="3"/>
        <v>-262.69710500000002</v>
      </c>
      <c r="P23" s="12">
        <f t="shared" si="3"/>
        <v>-262.69710500000002</v>
      </c>
      <c r="Q23" s="12">
        <f t="shared" si="3"/>
        <v>-262.69710500000002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25">
      <c r="A28" s="122"/>
      <c r="B28" s="16"/>
      <c r="C28" s="11">
        <v>0.19</v>
      </c>
      <c r="D28" s="11">
        <v>418</v>
      </c>
      <c r="E28" s="11">
        <v>193</v>
      </c>
      <c r="F28" s="11">
        <v>25.8</v>
      </c>
      <c r="G28" s="11">
        <v>0.2</v>
      </c>
      <c r="H28" s="11">
        <v>1.4</v>
      </c>
      <c r="I28" s="11">
        <v>0.5</v>
      </c>
      <c r="J28" s="11">
        <v>0.01</v>
      </c>
      <c r="K28" s="15">
        <v>0.05</v>
      </c>
      <c r="L28" s="11">
        <v>0.2</v>
      </c>
      <c r="M28" s="11">
        <v>0.28999999999999998</v>
      </c>
      <c r="N28" s="11"/>
      <c r="O28" s="11"/>
      <c r="P28" s="11">
        <v>387</v>
      </c>
      <c r="Q28" s="11">
        <v>118</v>
      </c>
      <c r="R28" s="11"/>
      <c r="S28" s="11"/>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83</v>
      </c>
      <c r="C31" s="65">
        <f>IF(C$27="%w/w SAR",((C$28*10)*$B31),IF(C$27="%w/w DM",(((C$28*10)*($B$28/100))*$B31),IF(C$27="kg/t SAR",(C$28*$B31),IF(C$27="kg/t DM",((C$28*($B$28/100))*$B31),IF(C$27="mg/kg SAR",((C$28*0.001)*$B31),IF(C$27="mg/kg DM",(((C$28*0.001)*($B$28/100))*$B31),0))))))</f>
        <v>157.69999999999999</v>
      </c>
      <c r="D31" s="65">
        <f>(IF(D$27="%w/w SAR",((D$28*10)*$B31),IF(D$27="%w/w DM",(((D$28*10)*($B$28/100))*$B31),IF(D$27="kg/t SAR",(D$28*$B31),IF(D$27="kg/t DM",((D$28*($B$28/100))*$B31),IF(D$27="mg/kg SAR",((D$28*0.001)*$B31),IF(D$27="mg/kg DM",(((D$28*0.001)*($B$28/100))*$B31),"0")))))))*2.291</f>
        <v>79.483953999999983</v>
      </c>
      <c r="E31" s="65">
        <f>(IF(E$27="%w/w SAR",((E$28*10)*$B31),IF(E$27="%w/w DM",(((E$28*10)*($B$28/100))*$B31),IF(E$27="kg/t SAR",(E$28*$B31),IF(E$27="kg/t DM",((E$28*($B$28/100))*$B31),IF(E$27="mg/kg SAR",((E$28*0.001)*$B31),IF(E$27="mg/kg DM",(((E$28*0.001)*($B$28/100))*$B31),"0")))))))*1.205</f>
        <v>19.302895000000003</v>
      </c>
      <c r="F31" s="65">
        <f>(IF(F$27="%w/w SAR",((F$28*10)*$B31),IF(F$27="%w/w DM",(((F$28*10)*($B$28/100))*$B31),IF(F$27="kg/t SAR",(F$28*$B31),IF(F$27="kg/t DM",((F$28*($B$28/100))*$B31),IF(F$27="mg/kg SAR",((F$28*0.001)*$B31),IF(F$27="mg/kg DM",(((F$28*0.001)*($B$28/100))*$B31),"0")))))))*1.658</f>
        <v>3.5504411999999999</v>
      </c>
      <c r="G31" s="65">
        <f t="shared" ref="G31:P46" si="5">IF(G$27="%w/w SAR",((G$28*10)*$B31),IF(G$27="%w/w DM",(((G$28*10)*($B$28/100))*$B31),IF(G$27="kg/t SAR",(G$28*$B31),IF(G$27="kg/t DM",((G$28*($B$28/100))*$B31),IF(G$27="mg/kg SAR",((G$28*0.001)*$B31),IF(G$27="mg/kg DM",(((G$28*0.001)*($B$28/100))*$B31),0))))))</f>
        <v>1.66E-2</v>
      </c>
      <c r="H31" s="65">
        <f t="shared" si="5"/>
        <v>0.1162</v>
      </c>
      <c r="I31" s="65">
        <f t="shared" si="5"/>
        <v>4.1500000000000002E-2</v>
      </c>
      <c r="J31" s="65">
        <f t="shared" si="5"/>
        <v>8.3000000000000012E-4</v>
      </c>
      <c r="K31" s="65">
        <f t="shared" si="5"/>
        <v>4.15E-3</v>
      </c>
      <c r="L31" s="65">
        <f t="shared" si="5"/>
        <v>1.66E-2</v>
      </c>
      <c r="M31" s="65">
        <f t="shared" si="5"/>
        <v>2.4070000000000001E-2</v>
      </c>
      <c r="N31" s="65">
        <f t="shared" si="5"/>
        <v>0</v>
      </c>
      <c r="O31" s="65">
        <f t="shared" si="5"/>
        <v>0</v>
      </c>
      <c r="P31" s="65">
        <f t="shared" si="5"/>
        <v>32.121000000000002</v>
      </c>
      <c r="Q31" s="65">
        <f>(IF(Q$27="%w/w SAR",((Q$28*10)*$B31),IF(Q$27="%w/w DM",(((Q$28*10)*($B$28/100))*$B31),IF(Q$27="kg/t SAR",(Q$28*$B31),IF(Q$27="kg/t DM",((Q$28*($B$28/100))*$B31),IF(Q$27="mg/kg SAR",((Q$28*0.001)*$B31),IF(Q$27="mg/kg DM",(((Q$28*0.001)*($B$28/100))*$B31),0)))))))*2.5</f>
        <v>24.484999999999999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83</v>
      </c>
      <c r="C32" s="65">
        <f t="shared" ref="C32:C50" si="6">IF(C$27="%w/w SAR",((C$28*10)*$B32),IF(C$27="%w/w DM",(((C$28*10)*($B$28/100))*$B32),IF(C$27="kg/t SAR",(C$28*$B32),IF(C$27="kg/t DM",((C$28*($B$28/100))*$B32),IF(C$27="mg/kg SAR",((C$28*0.001)*$B32),IF(C$27="mg/kg DM",(((C$28*0.001)*($B$28/100))*$B32),0))))))</f>
        <v>157.69999999999999</v>
      </c>
      <c r="D32" s="65">
        <f t="shared" ref="D32:D50" si="7">(IF(D$27="%w/w SAR",((D$28*10)*$B32),IF(D$27="%w/w DM",(((D$28*10)*($B$28/100))*$B32),IF(D$27="kg/t SAR",(D$28*$B32),IF(D$27="kg/t DM",((D$28*($B$28/100))*$B32),IF(D$27="mg/kg SAR",((D$28*0.001)*$B32),IF(D$27="mg/kg DM",(((D$28*0.001)*($B$28/100))*$B32),"0")))))))*2.291</f>
        <v>79.483953999999983</v>
      </c>
      <c r="E32" s="65">
        <f t="shared" ref="E32:E50" si="8">(IF(E$27="%w/w SAR",((E$28*10)*$B32),IF(E$27="%w/w DM",(((E$28*10)*($B$28/100))*$B32),IF(E$27="kg/t SAR",(E$28*$B32),IF(E$27="kg/t DM",((E$28*($B$28/100))*$B32),IF(E$27="mg/kg SAR",((E$28*0.001)*$B32),IF(E$27="mg/kg DM",(((E$28*0.001)*($B$28/100))*$B32),"0")))))))*1.205</f>
        <v>19.302895000000003</v>
      </c>
      <c r="F32" s="65">
        <f t="shared" ref="F32:F50" si="9">(IF(F$27="%w/w SAR",((F$28*10)*$B32),IF(F$27="%w/w DM",(((F$28*10)*($B$28/100))*$B32),IF(F$27="kg/t SAR",(F$28*$B32),IF(F$27="kg/t DM",((F$28*($B$28/100))*$B32),IF(F$27="mg/kg SAR",((F$28*0.001)*$B32),IF(F$27="mg/kg DM",(((F$28*0.001)*($B$28/100))*$B32),"0")))))))*1.658</f>
        <v>3.5504411999999999</v>
      </c>
      <c r="G32" s="65">
        <f t="shared" si="5"/>
        <v>1.66E-2</v>
      </c>
      <c r="H32" s="65">
        <f t="shared" si="5"/>
        <v>0.1162</v>
      </c>
      <c r="I32" s="65">
        <f t="shared" si="5"/>
        <v>4.1500000000000002E-2</v>
      </c>
      <c r="J32" s="65">
        <f t="shared" si="5"/>
        <v>8.3000000000000012E-4</v>
      </c>
      <c r="K32" s="65">
        <f t="shared" si="5"/>
        <v>4.15E-3</v>
      </c>
      <c r="L32" s="65">
        <f t="shared" si="5"/>
        <v>1.66E-2</v>
      </c>
      <c r="M32" s="65">
        <f t="shared" si="5"/>
        <v>2.4070000000000001E-2</v>
      </c>
      <c r="N32" s="65">
        <f t="shared" si="5"/>
        <v>0</v>
      </c>
      <c r="O32" s="65">
        <f t="shared" si="5"/>
        <v>0</v>
      </c>
      <c r="P32" s="65">
        <f t="shared" si="5"/>
        <v>32.121000000000002</v>
      </c>
      <c r="Q32" s="65">
        <f t="shared" ref="Q32:Q50" si="10">(IF(Q$27="%w/w SAR",((Q$28*10)*$B32),IF(Q$27="%w/w DM",(((Q$28*10)*($B$28/100))*$B32),IF(Q$27="kg/t SAR",(Q$28*$B32),IF(Q$27="kg/t DM",((Q$28*($B$28/100))*$B32),IF(Q$27="mg/kg SAR",((Q$28*0.001)*$B32),IF(Q$27="mg/kg DM",(((Q$28*0.001)*($B$28/100))*$B32),0)))))))*2.5</f>
        <v>24.484999999999999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6-B</v>
      </c>
      <c r="B33" s="11">
        <v>83</v>
      </c>
      <c r="C33" s="65">
        <f t="shared" si="6"/>
        <v>157.69999999999999</v>
      </c>
      <c r="D33" s="65">
        <f t="shared" si="7"/>
        <v>79.483953999999983</v>
      </c>
      <c r="E33" s="65">
        <f t="shared" si="8"/>
        <v>19.302895000000003</v>
      </c>
      <c r="F33" s="65">
        <f t="shared" si="9"/>
        <v>3.5504411999999999</v>
      </c>
      <c r="G33" s="65">
        <f t="shared" si="5"/>
        <v>1.66E-2</v>
      </c>
      <c r="H33" s="65">
        <f t="shared" si="5"/>
        <v>0.1162</v>
      </c>
      <c r="I33" s="65">
        <f t="shared" si="5"/>
        <v>4.1500000000000002E-2</v>
      </c>
      <c r="J33" s="65">
        <f t="shared" si="5"/>
        <v>8.3000000000000012E-4</v>
      </c>
      <c r="K33" s="65">
        <f t="shared" si="5"/>
        <v>4.15E-3</v>
      </c>
      <c r="L33" s="65">
        <f t="shared" si="5"/>
        <v>1.66E-2</v>
      </c>
      <c r="M33" s="65">
        <f t="shared" si="5"/>
        <v>2.4070000000000001E-2</v>
      </c>
      <c r="N33" s="65">
        <f t="shared" si="5"/>
        <v>0</v>
      </c>
      <c r="O33" s="65">
        <f t="shared" si="5"/>
        <v>0</v>
      </c>
      <c r="P33" s="65">
        <f t="shared" si="5"/>
        <v>32.121000000000002</v>
      </c>
      <c r="Q33" s="65">
        <f t="shared" si="10"/>
        <v>24.484999999999999</v>
      </c>
      <c r="R33" s="65">
        <f t="shared" si="11"/>
        <v>0</v>
      </c>
      <c r="S33" s="65">
        <f t="shared" si="11"/>
        <v>0</v>
      </c>
      <c r="T33" s="65">
        <f t="shared" si="11"/>
        <v>0</v>
      </c>
      <c r="U33" s="126">
        <f t="shared" si="11"/>
        <v>0</v>
      </c>
    </row>
    <row r="34" spans="1:21" s="48" customFormat="1" x14ac:dyDescent="0.25">
      <c r="A34" s="125" t="str">
        <f>F8</f>
        <v>7-B</v>
      </c>
      <c r="B34" s="11">
        <v>83</v>
      </c>
      <c r="C34" s="65">
        <f t="shared" si="6"/>
        <v>157.69999999999999</v>
      </c>
      <c r="D34" s="65">
        <f t="shared" si="7"/>
        <v>79.483953999999983</v>
      </c>
      <c r="E34" s="65">
        <f t="shared" si="8"/>
        <v>19.302895000000003</v>
      </c>
      <c r="F34" s="65">
        <f t="shared" si="9"/>
        <v>3.5504411999999999</v>
      </c>
      <c r="G34" s="65">
        <f t="shared" si="5"/>
        <v>1.66E-2</v>
      </c>
      <c r="H34" s="65">
        <f t="shared" si="5"/>
        <v>0.1162</v>
      </c>
      <c r="I34" s="65">
        <f t="shared" si="5"/>
        <v>4.1500000000000002E-2</v>
      </c>
      <c r="J34" s="65">
        <f t="shared" si="5"/>
        <v>8.3000000000000012E-4</v>
      </c>
      <c r="K34" s="65">
        <f t="shared" si="5"/>
        <v>4.15E-3</v>
      </c>
      <c r="L34" s="65">
        <f t="shared" si="5"/>
        <v>1.66E-2</v>
      </c>
      <c r="M34" s="65">
        <f t="shared" si="5"/>
        <v>2.4070000000000001E-2</v>
      </c>
      <c r="N34" s="65">
        <f t="shared" si="5"/>
        <v>0</v>
      </c>
      <c r="O34" s="65">
        <f t="shared" si="5"/>
        <v>0</v>
      </c>
      <c r="P34" s="65">
        <f t="shared" si="5"/>
        <v>32.121000000000002</v>
      </c>
      <c r="Q34" s="65">
        <f t="shared" si="10"/>
        <v>24.484999999999999</v>
      </c>
      <c r="R34" s="65">
        <f t="shared" si="11"/>
        <v>0</v>
      </c>
      <c r="S34" s="65">
        <f t="shared" si="11"/>
        <v>0</v>
      </c>
      <c r="T34" s="65">
        <f t="shared" si="11"/>
        <v>0</v>
      </c>
      <c r="U34" s="126">
        <f t="shared" si="11"/>
        <v>0</v>
      </c>
    </row>
    <row r="35" spans="1:21" s="48" customFormat="1" x14ac:dyDescent="0.25">
      <c r="A35" s="125" t="str">
        <f>G8</f>
        <v>8-B</v>
      </c>
      <c r="B35" s="11">
        <v>83</v>
      </c>
      <c r="C35" s="65">
        <f t="shared" si="6"/>
        <v>157.69999999999999</v>
      </c>
      <c r="D35" s="65">
        <f t="shared" si="7"/>
        <v>79.483953999999983</v>
      </c>
      <c r="E35" s="65">
        <f t="shared" si="8"/>
        <v>19.302895000000003</v>
      </c>
      <c r="F35" s="65">
        <f t="shared" si="9"/>
        <v>3.5504411999999999</v>
      </c>
      <c r="G35" s="65">
        <f t="shared" si="5"/>
        <v>1.66E-2</v>
      </c>
      <c r="H35" s="65">
        <f t="shared" si="5"/>
        <v>0.1162</v>
      </c>
      <c r="I35" s="65">
        <f t="shared" si="5"/>
        <v>4.1500000000000002E-2</v>
      </c>
      <c r="J35" s="65">
        <f t="shared" si="5"/>
        <v>8.3000000000000012E-4</v>
      </c>
      <c r="K35" s="65">
        <f t="shared" si="5"/>
        <v>4.15E-3</v>
      </c>
      <c r="L35" s="65">
        <f t="shared" si="5"/>
        <v>1.66E-2</v>
      </c>
      <c r="M35" s="65">
        <f t="shared" si="5"/>
        <v>2.4070000000000001E-2</v>
      </c>
      <c r="N35" s="65">
        <f t="shared" si="5"/>
        <v>0</v>
      </c>
      <c r="O35" s="65">
        <f t="shared" si="5"/>
        <v>0</v>
      </c>
      <c r="P35" s="65">
        <f t="shared" si="5"/>
        <v>32.121000000000002</v>
      </c>
      <c r="Q35" s="65">
        <f t="shared" si="10"/>
        <v>24.484999999999999</v>
      </c>
      <c r="R35" s="65">
        <f t="shared" si="11"/>
        <v>0</v>
      </c>
      <c r="S35" s="65">
        <f t="shared" si="11"/>
        <v>0</v>
      </c>
      <c r="T35" s="65">
        <f t="shared" si="11"/>
        <v>0</v>
      </c>
      <c r="U35" s="126">
        <f t="shared" si="11"/>
        <v>0</v>
      </c>
    </row>
    <row r="36" spans="1:21" s="48" customFormat="1" x14ac:dyDescent="0.25">
      <c r="A36" s="125" t="str">
        <f>H8</f>
        <v>9-B</v>
      </c>
      <c r="B36" s="11">
        <v>83</v>
      </c>
      <c r="C36" s="65">
        <f t="shared" si="6"/>
        <v>157.69999999999999</v>
      </c>
      <c r="D36" s="65">
        <f t="shared" si="7"/>
        <v>79.483953999999983</v>
      </c>
      <c r="E36" s="65">
        <f t="shared" si="8"/>
        <v>19.302895000000003</v>
      </c>
      <c r="F36" s="65">
        <f t="shared" si="9"/>
        <v>3.5504411999999999</v>
      </c>
      <c r="G36" s="65">
        <f t="shared" si="5"/>
        <v>1.66E-2</v>
      </c>
      <c r="H36" s="65">
        <f t="shared" si="5"/>
        <v>0.1162</v>
      </c>
      <c r="I36" s="65">
        <f t="shared" si="5"/>
        <v>4.1500000000000002E-2</v>
      </c>
      <c r="J36" s="65">
        <f t="shared" si="5"/>
        <v>8.3000000000000012E-4</v>
      </c>
      <c r="K36" s="65">
        <f t="shared" si="5"/>
        <v>4.15E-3</v>
      </c>
      <c r="L36" s="65">
        <f t="shared" si="5"/>
        <v>1.66E-2</v>
      </c>
      <c r="M36" s="65">
        <f t="shared" si="5"/>
        <v>2.4070000000000001E-2</v>
      </c>
      <c r="N36" s="65">
        <f t="shared" si="5"/>
        <v>0</v>
      </c>
      <c r="O36" s="65">
        <f t="shared" si="5"/>
        <v>0</v>
      </c>
      <c r="P36" s="65">
        <f t="shared" si="5"/>
        <v>32.121000000000002</v>
      </c>
      <c r="Q36" s="65">
        <f t="shared" si="10"/>
        <v>24.484999999999999</v>
      </c>
      <c r="R36" s="65">
        <f t="shared" si="11"/>
        <v>0</v>
      </c>
      <c r="S36" s="65">
        <f t="shared" si="11"/>
        <v>0</v>
      </c>
      <c r="T36" s="65">
        <f t="shared" si="11"/>
        <v>0</v>
      </c>
      <c r="U36" s="126">
        <f t="shared" si="11"/>
        <v>0</v>
      </c>
    </row>
    <row r="37" spans="1:21" s="48" customFormat="1" x14ac:dyDescent="0.25">
      <c r="A37" s="125" t="str">
        <f>I8</f>
        <v>8222-B</v>
      </c>
      <c r="B37" s="11">
        <v>83</v>
      </c>
      <c r="C37" s="65">
        <f t="shared" si="6"/>
        <v>157.69999999999999</v>
      </c>
      <c r="D37" s="65">
        <f t="shared" si="7"/>
        <v>79.483953999999983</v>
      </c>
      <c r="E37" s="65">
        <f t="shared" si="8"/>
        <v>19.302895000000003</v>
      </c>
      <c r="F37" s="65">
        <f t="shared" si="9"/>
        <v>3.5504411999999999</v>
      </c>
      <c r="G37" s="65">
        <f t="shared" si="5"/>
        <v>1.66E-2</v>
      </c>
      <c r="H37" s="65">
        <f t="shared" si="5"/>
        <v>0.1162</v>
      </c>
      <c r="I37" s="65">
        <f t="shared" si="5"/>
        <v>4.1500000000000002E-2</v>
      </c>
      <c r="J37" s="65">
        <f t="shared" si="5"/>
        <v>8.3000000000000012E-4</v>
      </c>
      <c r="K37" s="65">
        <f t="shared" si="5"/>
        <v>4.15E-3</v>
      </c>
      <c r="L37" s="65">
        <f t="shared" si="5"/>
        <v>1.66E-2</v>
      </c>
      <c r="M37" s="65">
        <f t="shared" si="5"/>
        <v>2.4070000000000001E-2</v>
      </c>
      <c r="N37" s="65">
        <f t="shared" si="5"/>
        <v>0</v>
      </c>
      <c r="O37" s="65">
        <f t="shared" si="5"/>
        <v>0</v>
      </c>
      <c r="P37" s="65">
        <f t="shared" si="5"/>
        <v>32.121000000000002</v>
      </c>
      <c r="Q37" s="65">
        <f t="shared" si="10"/>
        <v>24.484999999999999</v>
      </c>
      <c r="R37" s="65">
        <f t="shared" si="11"/>
        <v>0</v>
      </c>
      <c r="S37" s="65">
        <f t="shared" si="11"/>
        <v>0</v>
      </c>
      <c r="T37" s="65">
        <f t="shared" si="11"/>
        <v>0</v>
      </c>
      <c r="U37" s="126">
        <f t="shared" si="11"/>
        <v>0</v>
      </c>
    </row>
    <row r="38" spans="1:21" s="48" customFormat="1" x14ac:dyDescent="0.25">
      <c r="A38" s="125" t="str">
        <f>J8</f>
        <v>7233-B</v>
      </c>
      <c r="B38" s="11">
        <v>83</v>
      </c>
      <c r="C38" s="65">
        <f t="shared" si="6"/>
        <v>157.69999999999999</v>
      </c>
      <c r="D38" s="65">
        <f t="shared" si="7"/>
        <v>79.483953999999983</v>
      </c>
      <c r="E38" s="65">
        <f t="shared" si="8"/>
        <v>19.302895000000003</v>
      </c>
      <c r="F38" s="65">
        <f t="shared" si="9"/>
        <v>3.5504411999999999</v>
      </c>
      <c r="G38" s="65">
        <f t="shared" si="5"/>
        <v>1.66E-2</v>
      </c>
      <c r="H38" s="65">
        <f t="shared" si="5"/>
        <v>0.1162</v>
      </c>
      <c r="I38" s="65">
        <f t="shared" si="5"/>
        <v>4.1500000000000002E-2</v>
      </c>
      <c r="J38" s="65">
        <f t="shared" si="5"/>
        <v>8.3000000000000012E-4</v>
      </c>
      <c r="K38" s="65">
        <f t="shared" si="5"/>
        <v>4.15E-3</v>
      </c>
      <c r="L38" s="65">
        <f t="shared" si="5"/>
        <v>1.66E-2</v>
      </c>
      <c r="M38" s="65">
        <f t="shared" si="5"/>
        <v>2.4070000000000001E-2</v>
      </c>
      <c r="N38" s="65">
        <f t="shared" si="5"/>
        <v>0</v>
      </c>
      <c r="O38" s="65">
        <f t="shared" si="5"/>
        <v>0</v>
      </c>
      <c r="P38" s="65">
        <f t="shared" si="5"/>
        <v>32.121000000000002</v>
      </c>
      <c r="Q38" s="65">
        <f t="shared" si="10"/>
        <v>24.484999999999999</v>
      </c>
      <c r="R38" s="65">
        <f t="shared" si="11"/>
        <v>0</v>
      </c>
      <c r="S38" s="65">
        <f t="shared" si="11"/>
        <v>0</v>
      </c>
      <c r="T38" s="65">
        <f t="shared" si="11"/>
        <v>0</v>
      </c>
      <c r="U38" s="126">
        <f t="shared" si="11"/>
        <v>0</v>
      </c>
    </row>
    <row r="39" spans="1:21" s="48" customFormat="1" x14ac:dyDescent="0.25">
      <c r="A39" s="125" t="str">
        <f>K8</f>
        <v>5641-B</v>
      </c>
      <c r="B39" s="11">
        <v>83</v>
      </c>
      <c r="C39" s="65">
        <f t="shared" si="6"/>
        <v>157.69999999999999</v>
      </c>
      <c r="D39" s="65">
        <f t="shared" si="7"/>
        <v>79.483953999999983</v>
      </c>
      <c r="E39" s="65">
        <f t="shared" si="8"/>
        <v>19.302895000000003</v>
      </c>
      <c r="F39" s="65">
        <f t="shared" si="9"/>
        <v>3.5504411999999999</v>
      </c>
      <c r="G39" s="65">
        <f t="shared" si="5"/>
        <v>1.66E-2</v>
      </c>
      <c r="H39" s="65">
        <f t="shared" si="5"/>
        <v>0.1162</v>
      </c>
      <c r="I39" s="65">
        <f t="shared" si="5"/>
        <v>4.1500000000000002E-2</v>
      </c>
      <c r="J39" s="65">
        <f t="shared" si="5"/>
        <v>8.3000000000000012E-4</v>
      </c>
      <c r="K39" s="65">
        <f t="shared" si="5"/>
        <v>4.15E-3</v>
      </c>
      <c r="L39" s="65">
        <f t="shared" si="5"/>
        <v>1.66E-2</v>
      </c>
      <c r="M39" s="65">
        <f t="shared" si="5"/>
        <v>2.4070000000000001E-2</v>
      </c>
      <c r="N39" s="65">
        <f t="shared" si="5"/>
        <v>0</v>
      </c>
      <c r="O39" s="65">
        <f t="shared" si="5"/>
        <v>0</v>
      </c>
      <c r="P39" s="65">
        <f t="shared" si="5"/>
        <v>32.121000000000002</v>
      </c>
      <c r="Q39" s="65">
        <f t="shared" si="10"/>
        <v>24.484999999999999</v>
      </c>
      <c r="R39" s="65">
        <f t="shared" si="11"/>
        <v>0</v>
      </c>
      <c r="S39" s="65">
        <f t="shared" si="11"/>
        <v>0</v>
      </c>
      <c r="T39" s="65">
        <f t="shared" si="11"/>
        <v>0</v>
      </c>
      <c r="U39" s="126">
        <f t="shared" si="11"/>
        <v>0</v>
      </c>
    </row>
    <row r="40" spans="1:21" s="48" customFormat="1" x14ac:dyDescent="0.25">
      <c r="A40" s="125" t="str">
        <f>L8</f>
        <v>4956-B</v>
      </c>
      <c r="B40" s="11">
        <v>83</v>
      </c>
      <c r="C40" s="65">
        <f t="shared" si="6"/>
        <v>157.69999999999999</v>
      </c>
      <c r="D40" s="65">
        <f t="shared" si="7"/>
        <v>79.483953999999983</v>
      </c>
      <c r="E40" s="65">
        <f t="shared" si="8"/>
        <v>19.302895000000003</v>
      </c>
      <c r="F40" s="65">
        <f t="shared" si="9"/>
        <v>3.5504411999999999</v>
      </c>
      <c r="G40" s="65">
        <f t="shared" si="5"/>
        <v>1.66E-2</v>
      </c>
      <c r="H40" s="65">
        <f t="shared" si="5"/>
        <v>0.1162</v>
      </c>
      <c r="I40" s="65">
        <f t="shared" si="5"/>
        <v>4.1500000000000002E-2</v>
      </c>
      <c r="J40" s="65">
        <f t="shared" si="5"/>
        <v>8.3000000000000012E-4</v>
      </c>
      <c r="K40" s="65">
        <f t="shared" si="5"/>
        <v>4.15E-3</v>
      </c>
      <c r="L40" s="65">
        <f t="shared" si="5"/>
        <v>1.66E-2</v>
      </c>
      <c r="M40" s="65">
        <f t="shared" si="5"/>
        <v>2.4070000000000001E-2</v>
      </c>
      <c r="N40" s="65">
        <f t="shared" si="5"/>
        <v>0</v>
      </c>
      <c r="O40" s="65">
        <f t="shared" si="5"/>
        <v>0</v>
      </c>
      <c r="P40" s="65">
        <f t="shared" si="5"/>
        <v>32.121000000000002</v>
      </c>
      <c r="Q40" s="65">
        <f t="shared" si="10"/>
        <v>24.484999999999999</v>
      </c>
      <c r="R40" s="65">
        <f t="shared" si="11"/>
        <v>0</v>
      </c>
      <c r="S40" s="65">
        <f t="shared" si="11"/>
        <v>0</v>
      </c>
      <c r="T40" s="65">
        <f t="shared" si="11"/>
        <v>0</v>
      </c>
      <c r="U40" s="126">
        <f t="shared" si="11"/>
        <v>0</v>
      </c>
    </row>
    <row r="41" spans="1:21" s="48" customFormat="1" x14ac:dyDescent="0.25">
      <c r="A41" s="125" t="str">
        <f>M8</f>
        <v>HAFOD B/FRON 2849</v>
      </c>
      <c r="B41" s="11">
        <v>83</v>
      </c>
      <c r="C41" s="65">
        <f t="shared" si="6"/>
        <v>157.69999999999999</v>
      </c>
      <c r="D41" s="65">
        <f t="shared" si="7"/>
        <v>79.483953999999983</v>
      </c>
      <c r="E41" s="65">
        <f t="shared" si="8"/>
        <v>19.302895000000003</v>
      </c>
      <c r="F41" s="65">
        <f t="shared" si="9"/>
        <v>3.5504411999999999</v>
      </c>
      <c r="G41" s="65">
        <f t="shared" si="5"/>
        <v>1.66E-2</v>
      </c>
      <c r="H41" s="65">
        <f t="shared" si="5"/>
        <v>0.1162</v>
      </c>
      <c r="I41" s="65">
        <f t="shared" si="5"/>
        <v>4.1500000000000002E-2</v>
      </c>
      <c r="J41" s="65">
        <f t="shared" si="5"/>
        <v>8.3000000000000012E-4</v>
      </c>
      <c r="K41" s="65">
        <f t="shared" si="5"/>
        <v>4.15E-3</v>
      </c>
      <c r="L41" s="65">
        <f t="shared" si="5"/>
        <v>1.66E-2</v>
      </c>
      <c r="M41" s="65">
        <f t="shared" si="5"/>
        <v>2.4070000000000001E-2</v>
      </c>
      <c r="N41" s="65">
        <f t="shared" si="5"/>
        <v>0</v>
      </c>
      <c r="O41" s="65">
        <f t="shared" si="5"/>
        <v>0</v>
      </c>
      <c r="P41" s="65">
        <f t="shared" si="5"/>
        <v>32.121000000000002</v>
      </c>
      <c r="Q41" s="65">
        <f t="shared" si="10"/>
        <v>24.484999999999999</v>
      </c>
      <c r="R41" s="65">
        <f t="shared" si="11"/>
        <v>0</v>
      </c>
      <c r="S41" s="65">
        <f t="shared" si="11"/>
        <v>0</v>
      </c>
      <c r="T41" s="65">
        <f t="shared" si="11"/>
        <v>0</v>
      </c>
      <c r="U41" s="126">
        <f t="shared" si="11"/>
        <v>0</v>
      </c>
    </row>
    <row r="42" spans="1:21" s="48" customFormat="1" x14ac:dyDescent="0.25">
      <c r="A42" s="125" t="str">
        <f>N8</f>
        <v>HAFOD B/FRON 3836</v>
      </c>
      <c r="B42" s="11">
        <v>83</v>
      </c>
      <c r="C42" s="65">
        <f t="shared" si="6"/>
        <v>157.69999999999999</v>
      </c>
      <c r="D42" s="65">
        <f t="shared" si="7"/>
        <v>79.483953999999983</v>
      </c>
      <c r="E42" s="65">
        <f t="shared" si="8"/>
        <v>19.302895000000003</v>
      </c>
      <c r="F42" s="65">
        <f t="shared" si="9"/>
        <v>3.5504411999999999</v>
      </c>
      <c r="G42" s="65">
        <f t="shared" si="5"/>
        <v>1.66E-2</v>
      </c>
      <c r="H42" s="65">
        <f t="shared" si="5"/>
        <v>0.1162</v>
      </c>
      <c r="I42" s="65">
        <f t="shared" si="5"/>
        <v>4.1500000000000002E-2</v>
      </c>
      <c r="J42" s="65">
        <f t="shared" si="5"/>
        <v>8.3000000000000012E-4</v>
      </c>
      <c r="K42" s="65">
        <f t="shared" si="5"/>
        <v>4.15E-3</v>
      </c>
      <c r="L42" s="65">
        <f t="shared" si="5"/>
        <v>1.66E-2</v>
      </c>
      <c r="M42" s="65">
        <f t="shared" si="5"/>
        <v>2.4070000000000001E-2</v>
      </c>
      <c r="N42" s="65">
        <f t="shared" si="5"/>
        <v>0</v>
      </c>
      <c r="O42" s="65">
        <f t="shared" si="5"/>
        <v>0</v>
      </c>
      <c r="P42" s="65">
        <f t="shared" si="5"/>
        <v>32.121000000000002</v>
      </c>
      <c r="Q42" s="65">
        <f t="shared" si="10"/>
        <v>24.484999999999999</v>
      </c>
      <c r="R42" s="65">
        <f t="shared" si="11"/>
        <v>0</v>
      </c>
      <c r="S42" s="65">
        <f t="shared" si="11"/>
        <v>0</v>
      </c>
      <c r="T42" s="65">
        <f t="shared" si="11"/>
        <v>0</v>
      </c>
      <c r="U42" s="126">
        <f t="shared" si="11"/>
        <v>0</v>
      </c>
    </row>
    <row r="43" spans="1:21" s="48" customFormat="1" x14ac:dyDescent="0.25">
      <c r="A43" s="125" t="str">
        <f>O8</f>
        <v>BOLAFRON 4718</v>
      </c>
      <c r="B43" s="11">
        <v>83</v>
      </c>
      <c r="C43" s="65">
        <f t="shared" si="6"/>
        <v>157.69999999999999</v>
      </c>
      <c r="D43" s="65">
        <f t="shared" si="7"/>
        <v>79.483953999999983</v>
      </c>
      <c r="E43" s="65">
        <f t="shared" si="8"/>
        <v>19.302895000000003</v>
      </c>
      <c r="F43" s="65">
        <f t="shared" si="9"/>
        <v>3.5504411999999999</v>
      </c>
      <c r="G43" s="65">
        <f t="shared" si="5"/>
        <v>1.66E-2</v>
      </c>
      <c r="H43" s="65">
        <f t="shared" si="5"/>
        <v>0.1162</v>
      </c>
      <c r="I43" s="65">
        <f t="shared" si="5"/>
        <v>4.1500000000000002E-2</v>
      </c>
      <c r="J43" s="65">
        <f t="shared" si="5"/>
        <v>8.3000000000000012E-4</v>
      </c>
      <c r="K43" s="65">
        <f t="shared" si="5"/>
        <v>4.15E-3</v>
      </c>
      <c r="L43" s="65">
        <f t="shared" si="5"/>
        <v>1.66E-2</v>
      </c>
      <c r="M43" s="65">
        <f t="shared" si="5"/>
        <v>2.4070000000000001E-2</v>
      </c>
      <c r="N43" s="65">
        <f t="shared" si="5"/>
        <v>0</v>
      </c>
      <c r="O43" s="65">
        <f t="shared" si="5"/>
        <v>0</v>
      </c>
      <c r="P43" s="65">
        <f t="shared" si="5"/>
        <v>32.121000000000002</v>
      </c>
      <c r="Q43" s="65">
        <f t="shared" si="10"/>
        <v>24.484999999999999</v>
      </c>
      <c r="R43" s="65">
        <f t="shared" si="11"/>
        <v>0</v>
      </c>
      <c r="S43" s="65">
        <f t="shared" si="11"/>
        <v>0</v>
      </c>
      <c r="T43" s="65">
        <f t="shared" si="11"/>
        <v>0</v>
      </c>
      <c r="U43" s="126">
        <f t="shared" si="11"/>
        <v>0</v>
      </c>
    </row>
    <row r="44" spans="1:21" s="48" customFormat="1" x14ac:dyDescent="0.25">
      <c r="A44" s="125" t="str">
        <f>P8</f>
        <v>BOLAFRON 3107</v>
      </c>
      <c r="B44" s="11">
        <v>83</v>
      </c>
      <c r="C44" s="65">
        <f t="shared" si="6"/>
        <v>157.69999999999999</v>
      </c>
      <c r="D44" s="65">
        <f t="shared" si="7"/>
        <v>79.483953999999983</v>
      </c>
      <c r="E44" s="65">
        <f t="shared" si="8"/>
        <v>19.302895000000003</v>
      </c>
      <c r="F44" s="65">
        <f t="shared" si="9"/>
        <v>3.5504411999999999</v>
      </c>
      <c r="G44" s="65">
        <f t="shared" si="5"/>
        <v>1.66E-2</v>
      </c>
      <c r="H44" s="65">
        <f t="shared" si="5"/>
        <v>0.1162</v>
      </c>
      <c r="I44" s="65">
        <f t="shared" si="5"/>
        <v>4.1500000000000002E-2</v>
      </c>
      <c r="J44" s="65">
        <f t="shared" si="5"/>
        <v>8.3000000000000012E-4</v>
      </c>
      <c r="K44" s="65">
        <f t="shared" si="5"/>
        <v>4.15E-3</v>
      </c>
      <c r="L44" s="65">
        <f t="shared" si="5"/>
        <v>1.66E-2</v>
      </c>
      <c r="M44" s="65">
        <f t="shared" si="5"/>
        <v>2.4070000000000001E-2</v>
      </c>
      <c r="N44" s="65">
        <f t="shared" si="5"/>
        <v>0</v>
      </c>
      <c r="O44" s="65">
        <f t="shared" si="5"/>
        <v>0</v>
      </c>
      <c r="P44" s="65">
        <f t="shared" si="5"/>
        <v>32.121000000000002</v>
      </c>
      <c r="Q44" s="65">
        <f t="shared" si="10"/>
        <v>24.484999999999999</v>
      </c>
      <c r="R44" s="65">
        <f t="shared" si="11"/>
        <v>0</v>
      </c>
      <c r="S44" s="65">
        <f t="shared" si="11"/>
        <v>0</v>
      </c>
      <c r="T44" s="65">
        <f t="shared" si="11"/>
        <v>0</v>
      </c>
      <c r="U44" s="126">
        <f t="shared" si="11"/>
        <v>0</v>
      </c>
    </row>
    <row r="45" spans="1:21" s="48" customFormat="1" x14ac:dyDescent="0.25">
      <c r="A45" s="125" t="str">
        <f>Q8</f>
        <v>BOLAFRON 6609</v>
      </c>
      <c r="B45" s="11">
        <v>83</v>
      </c>
      <c r="C45" s="65">
        <f t="shared" si="6"/>
        <v>157.69999999999999</v>
      </c>
      <c r="D45" s="65">
        <f t="shared" si="7"/>
        <v>79.483953999999983</v>
      </c>
      <c r="E45" s="65">
        <f t="shared" si="8"/>
        <v>19.302895000000003</v>
      </c>
      <c r="F45" s="65">
        <f t="shared" si="9"/>
        <v>3.5504411999999999</v>
      </c>
      <c r="G45" s="65">
        <f t="shared" si="5"/>
        <v>1.66E-2</v>
      </c>
      <c r="H45" s="65">
        <f t="shared" si="5"/>
        <v>0.1162</v>
      </c>
      <c r="I45" s="65">
        <f t="shared" si="5"/>
        <v>4.1500000000000002E-2</v>
      </c>
      <c r="J45" s="65">
        <f t="shared" si="5"/>
        <v>8.3000000000000012E-4</v>
      </c>
      <c r="K45" s="65">
        <f t="shared" si="5"/>
        <v>4.15E-3</v>
      </c>
      <c r="L45" s="65">
        <f t="shared" si="5"/>
        <v>1.66E-2</v>
      </c>
      <c r="M45" s="65">
        <f t="shared" si="5"/>
        <v>2.4070000000000001E-2</v>
      </c>
      <c r="N45" s="65">
        <f t="shared" si="5"/>
        <v>0</v>
      </c>
      <c r="O45" s="65">
        <f t="shared" si="5"/>
        <v>0</v>
      </c>
      <c r="P45" s="65">
        <f t="shared" si="5"/>
        <v>32.121000000000002</v>
      </c>
      <c r="Q45" s="65">
        <f t="shared" si="10"/>
        <v>24.484999999999999</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 I Grass</v>
      </c>
      <c r="C58" s="10" t="str">
        <f>D16&amp;" I "&amp;(VLOOKUP(D14,Table245[],6,FALSE))</f>
        <v>Medium I Grass</v>
      </c>
      <c r="D58" s="10" t="str">
        <f>E16&amp;" I "&amp;(VLOOKUP(E14,Table245[],6,FALSE))</f>
        <v>Medium I Grass</v>
      </c>
      <c r="E58" s="10" t="str">
        <f>F16&amp;" I "&amp;(VLOOKUP(F14,Table245[],6,FALSE))</f>
        <v>Medium I Grass</v>
      </c>
      <c r="F58" s="10" t="str">
        <f>G16&amp;" I "&amp;(VLOOKUP(G14,Table245[],6,FALSE))</f>
        <v>Medium I Grass</v>
      </c>
      <c r="G58" s="10" t="str">
        <f>H16&amp;" I "&amp;(VLOOKUP(H14,Table245[],6,FALSE))</f>
        <v>Medium I Grass</v>
      </c>
      <c r="H58" s="10" t="str">
        <f>I16&amp;" I "&amp;(VLOOKUP(I14,Table245[],6,FALSE))</f>
        <v>Medium I Grass</v>
      </c>
      <c r="I58" s="10" t="str">
        <f>J16&amp;" I "&amp;(VLOOKUP(J14,Table245[],6,FALSE))</f>
        <v>Medium I Grass</v>
      </c>
      <c r="J58" s="10" t="str">
        <f>K16&amp;" I "&amp;(VLOOKUP(K14,Table245[],6,FALSE))</f>
        <v>Medium I Grass</v>
      </c>
      <c r="K58" s="10" t="str">
        <f>L16&amp;" I "&amp;(VLOOKUP(L14,Table245[],6,FALSE))</f>
        <v>Medium I Grass</v>
      </c>
      <c r="L58" s="10" t="str">
        <f>M16&amp;" I "&amp;(VLOOKUP(M14,Table245[],6,FALSE))</f>
        <v>Medium I Grass</v>
      </c>
      <c r="M58" s="10" t="str">
        <f>N16&amp;" I "&amp;(VLOOKUP(N14,Table245[],6,FALSE))</f>
        <v>Medium I Grass</v>
      </c>
      <c r="N58" s="10" t="str">
        <f>O16&amp;" I "&amp;(VLOOKUP(O14,Table245[],6,FALSE))</f>
        <v>Medium I Grass</v>
      </c>
      <c r="O58" s="10" t="str">
        <f>P16&amp;" I "&amp;(VLOOKUP(P14,Table245[],6,FALSE))</f>
        <v>Medium I Grass</v>
      </c>
      <c r="P58" s="10" t="str">
        <f>Q16&amp;" I "&amp;(VLOOKUP(Q14,Table245[],6,FALSE))</f>
        <v>Medium I Grass</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f>VLOOKUP(P$14,Table245[],5,FALSE)</f>
        <v>6.2</v>
      </c>
      <c r="P59" s="64">
        <f>VLOOKUP(Q$14,Table245[],5,FALSE)</f>
        <v>6.2</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83</v>
      </c>
      <c r="C62" s="65">
        <f>B32</f>
        <v>83</v>
      </c>
      <c r="D62" s="65">
        <f>B33</f>
        <v>83</v>
      </c>
      <c r="E62" s="65">
        <f>B34</f>
        <v>83</v>
      </c>
      <c r="F62" s="65">
        <f>B35</f>
        <v>83</v>
      </c>
      <c r="G62" s="65">
        <f>B36</f>
        <v>83</v>
      </c>
      <c r="H62" s="65">
        <f>B37</f>
        <v>83</v>
      </c>
      <c r="I62" s="65">
        <f>B38</f>
        <v>83</v>
      </c>
      <c r="J62" s="65">
        <f>B39</f>
        <v>83</v>
      </c>
      <c r="K62" s="65">
        <f>B40</f>
        <v>83</v>
      </c>
      <c r="L62" s="65">
        <f>B41</f>
        <v>83</v>
      </c>
      <c r="M62" s="65">
        <f>B42</f>
        <v>83</v>
      </c>
      <c r="N62" s="65">
        <f>B43</f>
        <v>83</v>
      </c>
      <c r="O62" s="65">
        <f>B44</f>
        <v>83</v>
      </c>
      <c r="P62" s="65">
        <f>B45</f>
        <v>83</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5" sqref="A25"/>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6.5</v>
      </c>
      <c r="J1" s="130" t="s">
        <v>153</v>
      </c>
      <c r="K1" s="131"/>
      <c r="L1" s="109">
        <v>99.3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186</v>
      </c>
      <c r="G2" s="164" t="s">
        <v>110</v>
      </c>
      <c r="H2" s="165"/>
      <c r="I2" s="110"/>
      <c r="J2" s="132" t="s">
        <v>158</v>
      </c>
      <c r="K2" s="133"/>
      <c r="L2" s="110">
        <v>0.93500000000000005</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c r="J3" s="134" t="s">
        <v>154</v>
      </c>
      <c r="K3" s="135"/>
      <c r="L3" s="110">
        <f>(L1/(L2*10000))*100</f>
        <v>1.0620320855614973</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187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80.026233700000006</v>
      </c>
      <c r="D18" s="12">
        <f>$D32</f>
        <v>80.026233700000006</v>
      </c>
      <c r="E18" s="12">
        <f>$D33</f>
        <v>80.026233700000006</v>
      </c>
      <c r="F18" s="12">
        <f>$D34</f>
        <v>80.026233700000006</v>
      </c>
      <c r="G18" s="12">
        <f>$D35</f>
        <v>80.026233700000006</v>
      </c>
      <c r="H18" s="12">
        <f>$D36</f>
        <v>80.026233700000006</v>
      </c>
      <c r="I18" s="12">
        <f>$D37</f>
        <v>80.026233700000006</v>
      </c>
      <c r="J18" s="12">
        <f>$D38</f>
        <v>80.026233700000006</v>
      </c>
      <c r="K18" s="12">
        <f>$D39</f>
        <v>80.026233700000006</v>
      </c>
      <c r="L18" s="12">
        <f>$D40</f>
        <v>80.026233700000006</v>
      </c>
      <c r="M18" s="12">
        <f>$D41</f>
        <v>80.026233700000006</v>
      </c>
      <c r="N18" s="12">
        <f>$D42</f>
        <v>80.026233700000006</v>
      </c>
      <c r="O18" s="12">
        <f>$D43</f>
        <v>80.026233700000006</v>
      </c>
      <c r="P18" s="12">
        <f>$D44</f>
        <v>80.026233700000006</v>
      </c>
      <c r="Q18" s="12">
        <f>$D45</f>
        <v>80.026233700000006</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0.12623370000001444</v>
      </c>
      <c r="D19" s="12">
        <f t="shared" ref="D19:V19" si="1">D18-D17</f>
        <v>0.12623370000001444</v>
      </c>
      <c r="E19" s="12">
        <f t="shared" si="1"/>
        <v>0.12623370000001444</v>
      </c>
      <c r="F19" s="12">
        <f t="shared" si="1"/>
        <v>0.12623370000001444</v>
      </c>
      <c r="G19" s="12">
        <f t="shared" si="1"/>
        <v>0.12623370000001444</v>
      </c>
      <c r="H19" s="12">
        <f t="shared" si="1"/>
        <v>0.12623370000001444</v>
      </c>
      <c r="I19" s="12">
        <f t="shared" si="1"/>
        <v>0.12623370000001444</v>
      </c>
      <c r="J19" s="12">
        <f t="shared" si="1"/>
        <v>0.12623370000001444</v>
      </c>
      <c r="K19" s="12">
        <f t="shared" si="1"/>
        <v>0.12623370000001444</v>
      </c>
      <c r="L19" s="12">
        <f t="shared" si="1"/>
        <v>0.12623370000001444</v>
      </c>
      <c r="M19" s="12">
        <f t="shared" si="1"/>
        <v>0.12623370000001444</v>
      </c>
      <c r="N19" s="12">
        <f t="shared" si="1"/>
        <v>0.12623370000001444</v>
      </c>
      <c r="O19" s="12">
        <f t="shared" si="1"/>
        <v>0.12623370000001444</v>
      </c>
      <c r="P19" s="12">
        <f t="shared" si="1"/>
        <v>0.12623370000001444</v>
      </c>
      <c r="Q19" s="12">
        <f t="shared" si="1"/>
        <v>0.12623370000001444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INCREASE</v>
      </c>
      <c r="Q20" s="18" t="str">
        <f>IF($B45="","",IF(Q$19&gt;=0,"INCREASE","DECREASE"))</f>
        <v>INCREASE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(VLOOKUP(D$14,$AI2:$AK24,3,FALSE))*D$15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3.294626650000001</v>
      </c>
      <c r="D22" s="12">
        <f>$E32</f>
        <v>3.294626650000001</v>
      </c>
      <c r="E22" s="12">
        <f>$E33</f>
        <v>3.294626650000001</v>
      </c>
      <c r="F22" s="12">
        <f>$E34</f>
        <v>3.294626650000001</v>
      </c>
      <c r="G22" s="12">
        <f>$E35</f>
        <v>3.294626650000001</v>
      </c>
      <c r="H22" s="12">
        <f>$E36</f>
        <v>3.294626650000001</v>
      </c>
      <c r="I22" s="12">
        <f>$E37</f>
        <v>3.294626650000001</v>
      </c>
      <c r="J22" s="12">
        <f>$E38</f>
        <v>3.294626650000001</v>
      </c>
      <c r="K22" s="12">
        <f>$E39</f>
        <v>3.294626650000001</v>
      </c>
      <c r="L22" s="12">
        <f>$E40</f>
        <v>3.294626650000001</v>
      </c>
      <c r="M22" s="12">
        <f>$E41</f>
        <v>3.294626650000001</v>
      </c>
      <c r="N22" s="12">
        <f>$E42</f>
        <v>3.294626650000001</v>
      </c>
      <c r="O22" s="12">
        <f>$E43</f>
        <v>3.294626650000001</v>
      </c>
      <c r="P22" s="12">
        <f>$E44</f>
        <v>3.294626650000001</v>
      </c>
      <c r="Q22" s="12">
        <f>$E45</f>
        <v>3.294626650000001</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-278.70537335</v>
      </c>
      <c r="D23" s="12">
        <f t="shared" ref="D23:V23" si="3">D22-D21</f>
        <v>-278.70537335</v>
      </c>
      <c r="E23" s="12">
        <f t="shared" si="3"/>
        <v>-278.70537335</v>
      </c>
      <c r="F23" s="12">
        <f t="shared" si="3"/>
        <v>-278.70537335</v>
      </c>
      <c r="G23" s="12">
        <f t="shared" si="3"/>
        <v>-278.70537335</v>
      </c>
      <c r="H23" s="12">
        <f t="shared" si="3"/>
        <v>-278.70537335</v>
      </c>
      <c r="I23" s="12">
        <f t="shared" si="3"/>
        <v>-278.70537335</v>
      </c>
      <c r="J23" s="12">
        <f t="shared" si="3"/>
        <v>-278.70537335</v>
      </c>
      <c r="K23" s="12">
        <f t="shared" si="3"/>
        <v>-278.70537335</v>
      </c>
      <c r="L23" s="12">
        <f t="shared" si="3"/>
        <v>-278.70537335</v>
      </c>
      <c r="M23" s="12">
        <f t="shared" si="3"/>
        <v>-278.70537335</v>
      </c>
      <c r="N23" s="12">
        <f t="shared" si="3"/>
        <v>-278.70537335</v>
      </c>
      <c r="O23" s="12">
        <f t="shared" si="3"/>
        <v>-278.70537335</v>
      </c>
      <c r="P23" s="12">
        <f t="shared" si="3"/>
        <v>-278.70537335</v>
      </c>
      <c r="Q23" s="12">
        <f t="shared" si="3"/>
        <v>-278.70537335</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t="s">
        <v>55</v>
      </c>
      <c r="U27" s="121" t="s">
        <v>55</v>
      </c>
    </row>
    <row r="28" spans="1:40" x14ac:dyDescent="0.25">
      <c r="A28" s="122"/>
      <c r="B28" s="16">
        <v>6.95</v>
      </c>
      <c r="C28" s="11">
        <v>0.93500000000000005</v>
      </c>
      <c r="D28" s="11">
        <v>0.35899999999999999</v>
      </c>
      <c r="E28" s="11">
        <v>2.81E-2</v>
      </c>
      <c r="F28" s="11">
        <v>764</v>
      </c>
      <c r="G28" s="11">
        <v>28.8</v>
      </c>
      <c r="H28" s="11">
        <v>170</v>
      </c>
      <c r="I28" s="11">
        <v>28.8</v>
      </c>
      <c r="J28" s="11">
        <v>0.11</v>
      </c>
      <c r="K28" s="15">
        <v>0.59</v>
      </c>
      <c r="L28" s="11">
        <v>24.2</v>
      </c>
      <c r="M28" s="11">
        <v>9.98</v>
      </c>
      <c r="N28" s="11">
        <v>3500</v>
      </c>
      <c r="O28" s="11">
        <v>261000</v>
      </c>
      <c r="P28" s="11"/>
      <c r="Q28" s="11">
        <v>3130</v>
      </c>
      <c r="R28" s="11"/>
      <c r="S28" s="11">
        <v>27.3</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140</v>
      </c>
      <c r="C31" s="65">
        <f>IF(C$27="%w/w SAR",((C$28*10)*$B31),IF(C$27="%w/w DM",(((C$28*10)*($B$28/100))*$B31),IF(C$27="kg/t SAR",(C$28*$B31),IF(C$27="kg/t DM",((C$28*($B$28/100))*$B31),IF(C$27="mg/kg SAR",((C$28*0.001)*$B31),IF(C$27="mg/kg DM",(((C$28*0.001)*($B$28/100))*$B31),0))))))</f>
        <v>90.975500000000025</v>
      </c>
      <c r="D31" s="65">
        <f>(IF(D$27="%w/w SAR",((D$28*10)*$B31),IF(D$27="%w/w DM",(((D$28*10)*($B$28/100))*$B31),IF(D$27="kg/t SAR",(D$28*$B31),IF(D$27="kg/t DM",((D$28*($B$28/100))*$B31),IF(D$27="mg/kg SAR",((D$28*0.001)*$B31),IF(D$27="mg/kg DM",(((D$28*0.001)*($B$28/100))*$B31),"0")))))))*2.291</f>
        <v>80.026233700000006</v>
      </c>
      <c r="E31" s="65">
        <f>(IF(E$27="%w/w SAR",((E$28*10)*$B31),IF(E$27="%w/w DM",(((E$28*10)*($B$28/100))*$B31),IF(E$27="kg/t SAR",(E$28*$B31),IF(E$27="kg/t DM",((E$28*($B$28/100))*$B31),IF(E$27="mg/kg SAR",((E$28*0.001)*$B31),IF(E$27="mg/kg DM",(((E$28*0.001)*($B$28/100))*$B31),"0")))))))*1.205</f>
        <v>3.294626650000001</v>
      </c>
      <c r="F31" s="65">
        <f>(IF(F$27="%w/w SAR",((F$28*10)*$B31),IF(F$27="%w/w DM",(((F$28*10)*($B$28/100))*$B31),IF(F$27="kg/t SAR",(F$28*$B31),IF(F$27="kg/t DM",((F$28*($B$28/100))*$B31),IF(F$27="mg/kg SAR",((F$28*0.001)*$B31),IF(F$27="mg/kg DM",(((F$28*0.001)*($B$28/100))*$B31),"0")))))))*1.658</f>
        <v>12.325107760000002</v>
      </c>
      <c r="G31" s="65">
        <f t="shared" ref="G31:P46" si="5">IF(G$27="%w/w SAR",((G$28*10)*$B31),IF(G$27="%w/w DM",(((G$28*10)*($B$28/100))*$B31),IF(G$27="kg/t SAR",(G$28*$B31),IF(G$27="kg/t DM",((G$28*($B$28/100))*$B31),IF(G$27="mg/kg SAR",((G$28*0.001)*$B31),IF(G$27="mg/kg DM",(((G$28*0.001)*($B$28/100))*$B31),0))))))</f>
        <v>0.28022400000000008</v>
      </c>
      <c r="H31" s="65">
        <f t="shared" si="5"/>
        <v>1.6541000000000003</v>
      </c>
      <c r="I31" s="65">
        <f t="shared" si="5"/>
        <v>0.28022400000000008</v>
      </c>
      <c r="J31" s="65">
        <f t="shared" si="5"/>
        <v>1.0703000000000002E-3</v>
      </c>
      <c r="K31" s="65">
        <f t="shared" si="5"/>
        <v>5.7407000000000005E-3</v>
      </c>
      <c r="L31" s="65">
        <f t="shared" si="5"/>
        <v>0.23546600000000001</v>
      </c>
      <c r="M31" s="65">
        <f t="shared" si="5"/>
        <v>9.7105400000000008E-2</v>
      </c>
      <c r="N31" s="65">
        <f t="shared" si="5"/>
        <v>34.055</v>
      </c>
      <c r="O31" s="65">
        <f t="shared" si="5"/>
        <v>2539.5300000000002</v>
      </c>
      <c r="P31" s="65">
        <f t="shared" si="5"/>
        <v>0</v>
      </c>
      <c r="Q31" s="65">
        <f>(IF(Q$27="%w/w SAR",((Q$28*10)*$B31),IF(Q$27="%w/w DM",(((Q$28*10)*($B$28/100))*$B31),IF(Q$27="kg/t SAR",(Q$28*$B31),IF(Q$27="kg/t DM",((Q$28*($B$28/100))*$B31),IF(Q$27="mg/kg SAR",((Q$28*0.001)*$B31),IF(Q$27="mg/kg DM",(((Q$28*0.001)*($B$28/100))*$B31),0)))))))*2.5</f>
        <v>76.137250000000009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0.26562900000000006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140</v>
      </c>
      <c r="C32" s="65">
        <f t="shared" ref="C32:C50" si="6">IF(C$27="%w/w SAR",((C$28*10)*$B32),IF(C$27="%w/w DM",(((C$28*10)*($B$28/100))*$B32),IF(C$27="kg/t SAR",(C$28*$B32),IF(C$27="kg/t DM",((C$28*($B$28/100))*$B32),IF(C$27="mg/kg SAR",((C$28*0.001)*$B32),IF(C$27="mg/kg DM",(((C$28*0.001)*($B$28/100))*$B32),0))))))</f>
        <v>90.975500000000025</v>
      </c>
      <c r="D32" s="65">
        <f t="shared" ref="D32:D50" si="7">(IF(D$27="%w/w SAR",((D$28*10)*$B32),IF(D$27="%w/w DM",(((D$28*10)*($B$28/100))*$B32),IF(D$27="kg/t SAR",(D$28*$B32),IF(D$27="kg/t DM",((D$28*($B$28/100))*$B32),IF(D$27="mg/kg SAR",((D$28*0.001)*$B32),IF(D$27="mg/kg DM",(((D$28*0.001)*($B$28/100))*$B32),"0")))))))*2.291</f>
        <v>80.026233700000006</v>
      </c>
      <c r="E32" s="65">
        <f t="shared" ref="E32:E50" si="8">(IF(E$27="%w/w SAR",((E$28*10)*$B32),IF(E$27="%w/w DM",(((E$28*10)*($B$28/100))*$B32),IF(E$27="kg/t SAR",(E$28*$B32),IF(E$27="kg/t DM",((E$28*($B$28/100))*$B32),IF(E$27="mg/kg SAR",((E$28*0.001)*$B32),IF(E$27="mg/kg DM",(((E$28*0.001)*($B$28/100))*$B32),"0")))))))*1.205</f>
        <v>3.294626650000001</v>
      </c>
      <c r="F32" s="65">
        <f t="shared" ref="F32:F50" si="9">(IF(F$27="%w/w SAR",((F$28*10)*$B32),IF(F$27="%w/w DM",(((F$28*10)*($B$28/100))*$B32),IF(F$27="kg/t SAR",(F$28*$B32),IF(F$27="kg/t DM",((F$28*($B$28/100))*$B32),IF(F$27="mg/kg SAR",((F$28*0.001)*$B32),IF(F$27="mg/kg DM",(((F$28*0.001)*($B$28/100))*$B32),"0")))))))*1.658</f>
        <v>12.325107760000002</v>
      </c>
      <c r="G32" s="65">
        <f t="shared" si="5"/>
        <v>0.28022400000000008</v>
      </c>
      <c r="H32" s="65">
        <f t="shared" si="5"/>
        <v>1.6541000000000003</v>
      </c>
      <c r="I32" s="65">
        <f t="shared" si="5"/>
        <v>0.28022400000000008</v>
      </c>
      <c r="J32" s="65">
        <f t="shared" si="5"/>
        <v>1.0703000000000002E-3</v>
      </c>
      <c r="K32" s="65">
        <f t="shared" si="5"/>
        <v>5.7407000000000005E-3</v>
      </c>
      <c r="L32" s="65">
        <f t="shared" si="5"/>
        <v>0.23546600000000001</v>
      </c>
      <c r="M32" s="65">
        <f t="shared" si="5"/>
        <v>9.7105400000000008E-2</v>
      </c>
      <c r="N32" s="65">
        <f t="shared" si="5"/>
        <v>34.055</v>
      </c>
      <c r="O32" s="65">
        <f t="shared" si="5"/>
        <v>2539.5300000000002</v>
      </c>
      <c r="P32" s="65">
        <f t="shared" si="5"/>
        <v>0</v>
      </c>
      <c r="Q32" s="65">
        <f t="shared" ref="Q32:Q50" si="10">(IF(Q$27="%w/w SAR",((Q$28*10)*$B32),IF(Q$27="%w/w DM",(((Q$28*10)*($B$28/100))*$B32),IF(Q$27="kg/t SAR",(Q$28*$B32),IF(Q$27="kg/t DM",((Q$28*($B$28/100))*$B32),IF(Q$27="mg/kg SAR",((Q$28*0.001)*$B32),IF(Q$27="mg/kg DM",(((Q$28*0.001)*($B$28/100))*$B32),0)))))))*2.5</f>
        <v>76.137250000000009</v>
      </c>
      <c r="R32" s="65">
        <f t="shared" ref="R32:U50" si="11">IF(R$27="%w/w SAR",((R$28*10)*$B32),IF(R$27="%w/w DM",(((R$28*10)*($B$28/100))*$B32),IF(R$27="kg/t SAR",(R$28*$B32),IF(R$27="kg/t DM",((R$28*($B$28/100))*$B32),IF(R$27="mg/kg SAR",((R$28*0.001)*$B32),IF(R$27="mg/kg DM",(((R$28*0.001)*($B$28/100))*$B32),0))))))</f>
        <v>0</v>
      </c>
      <c r="S32" s="65">
        <f t="shared" si="11"/>
        <v>0.26562900000000006</v>
      </c>
      <c r="T32" s="65">
        <f t="shared" si="11"/>
        <v>0</v>
      </c>
      <c r="U32" s="126">
        <f t="shared" si="11"/>
        <v>0</v>
      </c>
    </row>
    <row r="33" spans="1:21" s="48" customFormat="1" x14ac:dyDescent="0.25">
      <c r="A33" s="125" t="str">
        <f>E8</f>
        <v>6-B</v>
      </c>
      <c r="B33" s="11">
        <v>140</v>
      </c>
      <c r="C33" s="65">
        <f t="shared" si="6"/>
        <v>90.975500000000025</v>
      </c>
      <c r="D33" s="65">
        <f t="shared" si="7"/>
        <v>80.026233700000006</v>
      </c>
      <c r="E33" s="65">
        <f t="shared" si="8"/>
        <v>3.294626650000001</v>
      </c>
      <c r="F33" s="65">
        <f t="shared" si="9"/>
        <v>12.325107760000002</v>
      </c>
      <c r="G33" s="65">
        <f t="shared" si="5"/>
        <v>0.28022400000000008</v>
      </c>
      <c r="H33" s="65">
        <f t="shared" si="5"/>
        <v>1.6541000000000003</v>
      </c>
      <c r="I33" s="65">
        <f t="shared" si="5"/>
        <v>0.28022400000000008</v>
      </c>
      <c r="J33" s="65">
        <f t="shared" si="5"/>
        <v>1.0703000000000002E-3</v>
      </c>
      <c r="K33" s="65">
        <f t="shared" si="5"/>
        <v>5.7407000000000005E-3</v>
      </c>
      <c r="L33" s="65">
        <f t="shared" si="5"/>
        <v>0.23546600000000001</v>
      </c>
      <c r="M33" s="65">
        <f t="shared" si="5"/>
        <v>9.7105400000000008E-2</v>
      </c>
      <c r="N33" s="65">
        <f t="shared" si="5"/>
        <v>34.055</v>
      </c>
      <c r="O33" s="65">
        <f t="shared" si="5"/>
        <v>2539.5300000000002</v>
      </c>
      <c r="P33" s="65">
        <f t="shared" si="5"/>
        <v>0</v>
      </c>
      <c r="Q33" s="65">
        <f t="shared" si="10"/>
        <v>76.137250000000009</v>
      </c>
      <c r="R33" s="65">
        <f t="shared" si="11"/>
        <v>0</v>
      </c>
      <c r="S33" s="65">
        <f t="shared" si="11"/>
        <v>0.26562900000000006</v>
      </c>
      <c r="T33" s="65">
        <f t="shared" si="11"/>
        <v>0</v>
      </c>
      <c r="U33" s="126">
        <f t="shared" si="11"/>
        <v>0</v>
      </c>
    </row>
    <row r="34" spans="1:21" s="48" customFormat="1" x14ac:dyDescent="0.25">
      <c r="A34" s="125" t="str">
        <f>F8</f>
        <v>7-B</v>
      </c>
      <c r="B34" s="11">
        <v>140</v>
      </c>
      <c r="C34" s="65">
        <f t="shared" si="6"/>
        <v>90.975500000000025</v>
      </c>
      <c r="D34" s="65">
        <f t="shared" si="7"/>
        <v>80.026233700000006</v>
      </c>
      <c r="E34" s="65">
        <f t="shared" si="8"/>
        <v>3.294626650000001</v>
      </c>
      <c r="F34" s="65">
        <f t="shared" si="9"/>
        <v>12.325107760000002</v>
      </c>
      <c r="G34" s="65">
        <f t="shared" si="5"/>
        <v>0.28022400000000008</v>
      </c>
      <c r="H34" s="65">
        <f t="shared" si="5"/>
        <v>1.6541000000000003</v>
      </c>
      <c r="I34" s="65">
        <f t="shared" si="5"/>
        <v>0.28022400000000008</v>
      </c>
      <c r="J34" s="65">
        <f t="shared" si="5"/>
        <v>1.0703000000000002E-3</v>
      </c>
      <c r="K34" s="65">
        <f t="shared" si="5"/>
        <v>5.7407000000000005E-3</v>
      </c>
      <c r="L34" s="65">
        <f t="shared" si="5"/>
        <v>0.23546600000000001</v>
      </c>
      <c r="M34" s="65">
        <f t="shared" si="5"/>
        <v>9.7105400000000008E-2</v>
      </c>
      <c r="N34" s="65">
        <f t="shared" si="5"/>
        <v>34.055</v>
      </c>
      <c r="O34" s="65">
        <f t="shared" si="5"/>
        <v>2539.5300000000002</v>
      </c>
      <c r="P34" s="65">
        <f t="shared" si="5"/>
        <v>0</v>
      </c>
      <c r="Q34" s="65">
        <f t="shared" si="10"/>
        <v>76.137250000000009</v>
      </c>
      <c r="R34" s="65">
        <f t="shared" si="11"/>
        <v>0</v>
      </c>
      <c r="S34" s="65">
        <f t="shared" si="11"/>
        <v>0.26562900000000006</v>
      </c>
      <c r="T34" s="65">
        <f t="shared" si="11"/>
        <v>0</v>
      </c>
      <c r="U34" s="126">
        <f t="shared" si="11"/>
        <v>0</v>
      </c>
    </row>
    <row r="35" spans="1:21" s="48" customFormat="1" x14ac:dyDescent="0.25">
      <c r="A35" s="125" t="str">
        <f>G8</f>
        <v>8-B</v>
      </c>
      <c r="B35" s="11">
        <v>140</v>
      </c>
      <c r="C35" s="65">
        <f t="shared" si="6"/>
        <v>90.975500000000025</v>
      </c>
      <c r="D35" s="65">
        <f t="shared" si="7"/>
        <v>80.026233700000006</v>
      </c>
      <c r="E35" s="65">
        <f t="shared" si="8"/>
        <v>3.294626650000001</v>
      </c>
      <c r="F35" s="65">
        <f t="shared" si="9"/>
        <v>12.325107760000002</v>
      </c>
      <c r="G35" s="65">
        <f t="shared" si="5"/>
        <v>0.28022400000000008</v>
      </c>
      <c r="H35" s="65">
        <f t="shared" si="5"/>
        <v>1.6541000000000003</v>
      </c>
      <c r="I35" s="65">
        <f t="shared" si="5"/>
        <v>0.28022400000000008</v>
      </c>
      <c r="J35" s="65">
        <f t="shared" si="5"/>
        <v>1.0703000000000002E-3</v>
      </c>
      <c r="K35" s="65">
        <f t="shared" si="5"/>
        <v>5.7407000000000005E-3</v>
      </c>
      <c r="L35" s="65">
        <f t="shared" si="5"/>
        <v>0.23546600000000001</v>
      </c>
      <c r="M35" s="65">
        <f t="shared" si="5"/>
        <v>9.7105400000000008E-2</v>
      </c>
      <c r="N35" s="65">
        <f t="shared" si="5"/>
        <v>34.055</v>
      </c>
      <c r="O35" s="65">
        <f t="shared" si="5"/>
        <v>2539.5300000000002</v>
      </c>
      <c r="P35" s="65">
        <f t="shared" si="5"/>
        <v>0</v>
      </c>
      <c r="Q35" s="65">
        <f t="shared" si="10"/>
        <v>76.137250000000009</v>
      </c>
      <c r="R35" s="65">
        <f t="shared" si="11"/>
        <v>0</v>
      </c>
      <c r="S35" s="65">
        <f t="shared" si="11"/>
        <v>0.26562900000000006</v>
      </c>
      <c r="T35" s="65">
        <f t="shared" si="11"/>
        <v>0</v>
      </c>
      <c r="U35" s="126">
        <f t="shared" si="11"/>
        <v>0</v>
      </c>
    </row>
    <row r="36" spans="1:21" s="48" customFormat="1" x14ac:dyDescent="0.25">
      <c r="A36" s="125" t="str">
        <f>H8</f>
        <v>9-B</v>
      </c>
      <c r="B36" s="11">
        <v>140</v>
      </c>
      <c r="C36" s="65">
        <f t="shared" si="6"/>
        <v>90.975500000000025</v>
      </c>
      <c r="D36" s="65">
        <f t="shared" si="7"/>
        <v>80.026233700000006</v>
      </c>
      <c r="E36" s="65">
        <f t="shared" si="8"/>
        <v>3.294626650000001</v>
      </c>
      <c r="F36" s="65">
        <f t="shared" si="9"/>
        <v>12.325107760000002</v>
      </c>
      <c r="G36" s="65">
        <f t="shared" si="5"/>
        <v>0.28022400000000008</v>
      </c>
      <c r="H36" s="65">
        <f t="shared" si="5"/>
        <v>1.6541000000000003</v>
      </c>
      <c r="I36" s="65">
        <f t="shared" si="5"/>
        <v>0.28022400000000008</v>
      </c>
      <c r="J36" s="65">
        <f t="shared" si="5"/>
        <v>1.0703000000000002E-3</v>
      </c>
      <c r="K36" s="65">
        <f t="shared" si="5"/>
        <v>5.7407000000000005E-3</v>
      </c>
      <c r="L36" s="65">
        <f t="shared" si="5"/>
        <v>0.23546600000000001</v>
      </c>
      <c r="M36" s="65">
        <f t="shared" si="5"/>
        <v>9.7105400000000008E-2</v>
      </c>
      <c r="N36" s="65">
        <f t="shared" si="5"/>
        <v>34.055</v>
      </c>
      <c r="O36" s="65">
        <f t="shared" si="5"/>
        <v>2539.5300000000002</v>
      </c>
      <c r="P36" s="65">
        <f t="shared" si="5"/>
        <v>0</v>
      </c>
      <c r="Q36" s="65">
        <f t="shared" si="10"/>
        <v>76.137250000000009</v>
      </c>
      <c r="R36" s="65">
        <f t="shared" si="11"/>
        <v>0</v>
      </c>
      <c r="S36" s="65">
        <f t="shared" si="11"/>
        <v>0.26562900000000006</v>
      </c>
      <c r="T36" s="65">
        <f t="shared" si="11"/>
        <v>0</v>
      </c>
      <c r="U36" s="126">
        <f t="shared" si="11"/>
        <v>0</v>
      </c>
    </row>
    <row r="37" spans="1:21" s="48" customFormat="1" x14ac:dyDescent="0.25">
      <c r="A37" s="125" t="str">
        <f>I8</f>
        <v>8222-B</v>
      </c>
      <c r="B37" s="11">
        <v>140</v>
      </c>
      <c r="C37" s="65">
        <f t="shared" si="6"/>
        <v>90.975500000000025</v>
      </c>
      <c r="D37" s="65">
        <f t="shared" si="7"/>
        <v>80.026233700000006</v>
      </c>
      <c r="E37" s="65">
        <f t="shared" si="8"/>
        <v>3.294626650000001</v>
      </c>
      <c r="F37" s="65">
        <f t="shared" si="9"/>
        <v>12.325107760000002</v>
      </c>
      <c r="G37" s="65">
        <f t="shared" si="5"/>
        <v>0.28022400000000008</v>
      </c>
      <c r="H37" s="65">
        <f t="shared" si="5"/>
        <v>1.6541000000000003</v>
      </c>
      <c r="I37" s="65">
        <f t="shared" si="5"/>
        <v>0.28022400000000008</v>
      </c>
      <c r="J37" s="65">
        <f t="shared" si="5"/>
        <v>1.0703000000000002E-3</v>
      </c>
      <c r="K37" s="65">
        <f t="shared" si="5"/>
        <v>5.7407000000000005E-3</v>
      </c>
      <c r="L37" s="65">
        <f t="shared" si="5"/>
        <v>0.23546600000000001</v>
      </c>
      <c r="M37" s="65">
        <f t="shared" si="5"/>
        <v>9.7105400000000008E-2</v>
      </c>
      <c r="N37" s="65">
        <f t="shared" si="5"/>
        <v>34.055</v>
      </c>
      <c r="O37" s="65">
        <f t="shared" si="5"/>
        <v>2539.5300000000002</v>
      </c>
      <c r="P37" s="65">
        <f t="shared" si="5"/>
        <v>0</v>
      </c>
      <c r="Q37" s="65">
        <f t="shared" si="10"/>
        <v>76.137250000000009</v>
      </c>
      <c r="R37" s="65">
        <f t="shared" si="11"/>
        <v>0</v>
      </c>
      <c r="S37" s="65">
        <f t="shared" si="11"/>
        <v>0.26562900000000006</v>
      </c>
      <c r="T37" s="65">
        <f t="shared" si="11"/>
        <v>0</v>
      </c>
      <c r="U37" s="126">
        <f t="shared" si="11"/>
        <v>0</v>
      </c>
    </row>
    <row r="38" spans="1:21" s="48" customFormat="1" x14ac:dyDescent="0.25">
      <c r="A38" s="125" t="str">
        <f>J8</f>
        <v>7233-B</v>
      </c>
      <c r="B38" s="11">
        <v>140</v>
      </c>
      <c r="C38" s="65">
        <f t="shared" si="6"/>
        <v>90.975500000000025</v>
      </c>
      <c r="D38" s="65">
        <f t="shared" si="7"/>
        <v>80.026233700000006</v>
      </c>
      <c r="E38" s="65">
        <f t="shared" si="8"/>
        <v>3.294626650000001</v>
      </c>
      <c r="F38" s="65">
        <f t="shared" si="9"/>
        <v>12.325107760000002</v>
      </c>
      <c r="G38" s="65">
        <f t="shared" si="5"/>
        <v>0.28022400000000008</v>
      </c>
      <c r="H38" s="65">
        <f t="shared" si="5"/>
        <v>1.6541000000000003</v>
      </c>
      <c r="I38" s="65">
        <f t="shared" si="5"/>
        <v>0.28022400000000008</v>
      </c>
      <c r="J38" s="65">
        <f t="shared" si="5"/>
        <v>1.0703000000000002E-3</v>
      </c>
      <c r="K38" s="65">
        <f t="shared" si="5"/>
        <v>5.7407000000000005E-3</v>
      </c>
      <c r="L38" s="65">
        <f t="shared" si="5"/>
        <v>0.23546600000000001</v>
      </c>
      <c r="M38" s="65">
        <f t="shared" si="5"/>
        <v>9.7105400000000008E-2</v>
      </c>
      <c r="N38" s="65">
        <f t="shared" si="5"/>
        <v>34.055</v>
      </c>
      <c r="O38" s="65">
        <f t="shared" si="5"/>
        <v>2539.5300000000002</v>
      </c>
      <c r="P38" s="65">
        <f t="shared" si="5"/>
        <v>0</v>
      </c>
      <c r="Q38" s="65">
        <f t="shared" si="10"/>
        <v>76.137250000000009</v>
      </c>
      <c r="R38" s="65">
        <f t="shared" si="11"/>
        <v>0</v>
      </c>
      <c r="S38" s="65">
        <f t="shared" si="11"/>
        <v>0.26562900000000006</v>
      </c>
      <c r="T38" s="65">
        <f t="shared" si="11"/>
        <v>0</v>
      </c>
      <c r="U38" s="126">
        <f t="shared" si="11"/>
        <v>0</v>
      </c>
    </row>
    <row r="39" spans="1:21" s="48" customFormat="1" x14ac:dyDescent="0.25">
      <c r="A39" s="125" t="str">
        <f>K8</f>
        <v>5641-B</v>
      </c>
      <c r="B39" s="11">
        <v>140</v>
      </c>
      <c r="C39" s="65">
        <f t="shared" si="6"/>
        <v>90.975500000000025</v>
      </c>
      <c r="D39" s="65">
        <f t="shared" si="7"/>
        <v>80.026233700000006</v>
      </c>
      <c r="E39" s="65">
        <f t="shared" si="8"/>
        <v>3.294626650000001</v>
      </c>
      <c r="F39" s="65">
        <f t="shared" si="9"/>
        <v>12.325107760000002</v>
      </c>
      <c r="G39" s="65">
        <f t="shared" si="5"/>
        <v>0.28022400000000008</v>
      </c>
      <c r="H39" s="65">
        <f t="shared" si="5"/>
        <v>1.6541000000000003</v>
      </c>
      <c r="I39" s="65">
        <f t="shared" si="5"/>
        <v>0.28022400000000008</v>
      </c>
      <c r="J39" s="65">
        <f t="shared" si="5"/>
        <v>1.0703000000000002E-3</v>
      </c>
      <c r="K39" s="65">
        <f t="shared" si="5"/>
        <v>5.7407000000000005E-3</v>
      </c>
      <c r="L39" s="65">
        <f t="shared" si="5"/>
        <v>0.23546600000000001</v>
      </c>
      <c r="M39" s="65">
        <f t="shared" si="5"/>
        <v>9.7105400000000008E-2</v>
      </c>
      <c r="N39" s="65">
        <f t="shared" si="5"/>
        <v>34.055</v>
      </c>
      <c r="O39" s="65">
        <f t="shared" si="5"/>
        <v>2539.5300000000002</v>
      </c>
      <c r="P39" s="65">
        <f t="shared" si="5"/>
        <v>0</v>
      </c>
      <c r="Q39" s="65">
        <f t="shared" si="10"/>
        <v>76.137250000000009</v>
      </c>
      <c r="R39" s="65">
        <f t="shared" si="11"/>
        <v>0</v>
      </c>
      <c r="S39" s="65">
        <f t="shared" si="11"/>
        <v>0.26562900000000006</v>
      </c>
      <c r="T39" s="65">
        <f t="shared" si="11"/>
        <v>0</v>
      </c>
      <c r="U39" s="126">
        <f t="shared" si="11"/>
        <v>0</v>
      </c>
    </row>
    <row r="40" spans="1:21" s="48" customFormat="1" x14ac:dyDescent="0.25">
      <c r="A40" s="125" t="str">
        <f>L8</f>
        <v>4956-B</v>
      </c>
      <c r="B40" s="11">
        <v>140</v>
      </c>
      <c r="C40" s="65">
        <f t="shared" si="6"/>
        <v>90.975500000000025</v>
      </c>
      <c r="D40" s="65">
        <f t="shared" si="7"/>
        <v>80.026233700000006</v>
      </c>
      <c r="E40" s="65">
        <f t="shared" si="8"/>
        <v>3.294626650000001</v>
      </c>
      <c r="F40" s="65">
        <f t="shared" si="9"/>
        <v>12.325107760000002</v>
      </c>
      <c r="G40" s="65">
        <f t="shared" si="5"/>
        <v>0.28022400000000008</v>
      </c>
      <c r="H40" s="65">
        <f t="shared" si="5"/>
        <v>1.6541000000000003</v>
      </c>
      <c r="I40" s="65">
        <f t="shared" si="5"/>
        <v>0.28022400000000008</v>
      </c>
      <c r="J40" s="65">
        <f t="shared" si="5"/>
        <v>1.0703000000000002E-3</v>
      </c>
      <c r="K40" s="65">
        <f t="shared" si="5"/>
        <v>5.7407000000000005E-3</v>
      </c>
      <c r="L40" s="65">
        <f t="shared" si="5"/>
        <v>0.23546600000000001</v>
      </c>
      <c r="M40" s="65">
        <f t="shared" si="5"/>
        <v>9.7105400000000008E-2</v>
      </c>
      <c r="N40" s="65">
        <f t="shared" si="5"/>
        <v>34.055</v>
      </c>
      <c r="O40" s="65">
        <f t="shared" si="5"/>
        <v>2539.5300000000002</v>
      </c>
      <c r="P40" s="65">
        <f t="shared" si="5"/>
        <v>0</v>
      </c>
      <c r="Q40" s="65">
        <f t="shared" si="10"/>
        <v>76.137250000000009</v>
      </c>
      <c r="R40" s="65">
        <f t="shared" si="11"/>
        <v>0</v>
      </c>
      <c r="S40" s="65">
        <f t="shared" si="11"/>
        <v>0.26562900000000006</v>
      </c>
      <c r="T40" s="65">
        <f t="shared" si="11"/>
        <v>0</v>
      </c>
      <c r="U40" s="126">
        <f t="shared" si="11"/>
        <v>0</v>
      </c>
    </row>
    <row r="41" spans="1:21" s="48" customFormat="1" x14ac:dyDescent="0.25">
      <c r="A41" s="125" t="str">
        <f>M8</f>
        <v>HAFOD B/FRON 2849</v>
      </c>
      <c r="B41" s="11">
        <v>140</v>
      </c>
      <c r="C41" s="65">
        <f t="shared" si="6"/>
        <v>90.975500000000025</v>
      </c>
      <c r="D41" s="65">
        <f t="shared" si="7"/>
        <v>80.026233700000006</v>
      </c>
      <c r="E41" s="65">
        <f t="shared" si="8"/>
        <v>3.294626650000001</v>
      </c>
      <c r="F41" s="65">
        <f t="shared" si="9"/>
        <v>12.325107760000002</v>
      </c>
      <c r="G41" s="65">
        <f t="shared" si="5"/>
        <v>0.28022400000000008</v>
      </c>
      <c r="H41" s="65">
        <f t="shared" si="5"/>
        <v>1.6541000000000003</v>
      </c>
      <c r="I41" s="65">
        <f t="shared" si="5"/>
        <v>0.28022400000000008</v>
      </c>
      <c r="J41" s="65">
        <f t="shared" si="5"/>
        <v>1.0703000000000002E-3</v>
      </c>
      <c r="K41" s="65">
        <f t="shared" si="5"/>
        <v>5.7407000000000005E-3</v>
      </c>
      <c r="L41" s="65">
        <f t="shared" si="5"/>
        <v>0.23546600000000001</v>
      </c>
      <c r="M41" s="65">
        <f t="shared" si="5"/>
        <v>9.7105400000000008E-2</v>
      </c>
      <c r="N41" s="65">
        <f t="shared" si="5"/>
        <v>34.055</v>
      </c>
      <c r="O41" s="65">
        <f t="shared" si="5"/>
        <v>2539.5300000000002</v>
      </c>
      <c r="P41" s="65">
        <f t="shared" si="5"/>
        <v>0</v>
      </c>
      <c r="Q41" s="65">
        <f t="shared" si="10"/>
        <v>76.137250000000009</v>
      </c>
      <c r="R41" s="65">
        <f t="shared" si="11"/>
        <v>0</v>
      </c>
      <c r="S41" s="65">
        <f t="shared" si="11"/>
        <v>0.26562900000000006</v>
      </c>
      <c r="T41" s="65">
        <f t="shared" si="11"/>
        <v>0</v>
      </c>
      <c r="U41" s="126">
        <f t="shared" si="11"/>
        <v>0</v>
      </c>
    </row>
    <row r="42" spans="1:21" s="48" customFormat="1" x14ac:dyDescent="0.25">
      <c r="A42" s="125" t="str">
        <f>N8</f>
        <v>HAFOD B/FRON 3836</v>
      </c>
      <c r="B42" s="11">
        <v>140</v>
      </c>
      <c r="C42" s="65">
        <f t="shared" si="6"/>
        <v>90.975500000000025</v>
      </c>
      <c r="D42" s="65">
        <f t="shared" si="7"/>
        <v>80.026233700000006</v>
      </c>
      <c r="E42" s="65">
        <f t="shared" si="8"/>
        <v>3.294626650000001</v>
      </c>
      <c r="F42" s="65">
        <f t="shared" si="9"/>
        <v>12.325107760000002</v>
      </c>
      <c r="G42" s="65">
        <f t="shared" si="5"/>
        <v>0.28022400000000008</v>
      </c>
      <c r="H42" s="65">
        <f t="shared" si="5"/>
        <v>1.6541000000000003</v>
      </c>
      <c r="I42" s="65">
        <f t="shared" si="5"/>
        <v>0.28022400000000008</v>
      </c>
      <c r="J42" s="65">
        <f t="shared" si="5"/>
        <v>1.0703000000000002E-3</v>
      </c>
      <c r="K42" s="65">
        <f t="shared" si="5"/>
        <v>5.7407000000000005E-3</v>
      </c>
      <c r="L42" s="65">
        <f t="shared" si="5"/>
        <v>0.23546600000000001</v>
      </c>
      <c r="M42" s="65">
        <f t="shared" si="5"/>
        <v>9.7105400000000008E-2</v>
      </c>
      <c r="N42" s="65">
        <f t="shared" si="5"/>
        <v>34.055</v>
      </c>
      <c r="O42" s="65">
        <f t="shared" si="5"/>
        <v>2539.5300000000002</v>
      </c>
      <c r="P42" s="65">
        <f t="shared" si="5"/>
        <v>0</v>
      </c>
      <c r="Q42" s="65">
        <f t="shared" si="10"/>
        <v>76.137250000000009</v>
      </c>
      <c r="R42" s="65">
        <f t="shared" si="11"/>
        <v>0</v>
      </c>
      <c r="S42" s="65">
        <f t="shared" si="11"/>
        <v>0.26562900000000006</v>
      </c>
      <c r="T42" s="65">
        <f t="shared" si="11"/>
        <v>0</v>
      </c>
      <c r="U42" s="126">
        <f t="shared" si="11"/>
        <v>0</v>
      </c>
    </row>
    <row r="43" spans="1:21" s="48" customFormat="1" x14ac:dyDescent="0.25">
      <c r="A43" s="125" t="str">
        <f>O8</f>
        <v>BOLAFRON 4718</v>
      </c>
      <c r="B43" s="11">
        <v>140</v>
      </c>
      <c r="C43" s="65">
        <f t="shared" si="6"/>
        <v>90.975500000000025</v>
      </c>
      <c r="D43" s="65">
        <f t="shared" si="7"/>
        <v>80.026233700000006</v>
      </c>
      <c r="E43" s="65">
        <f t="shared" si="8"/>
        <v>3.294626650000001</v>
      </c>
      <c r="F43" s="65">
        <f t="shared" si="9"/>
        <v>12.325107760000002</v>
      </c>
      <c r="G43" s="65">
        <f t="shared" si="5"/>
        <v>0.28022400000000008</v>
      </c>
      <c r="H43" s="65">
        <f t="shared" si="5"/>
        <v>1.6541000000000003</v>
      </c>
      <c r="I43" s="65">
        <f t="shared" si="5"/>
        <v>0.28022400000000008</v>
      </c>
      <c r="J43" s="65">
        <f t="shared" si="5"/>
        <v>1.0703000000000002E-3</v>
      </c>
      <c r="K43" s="65">
        <f t="shared" si="5"/>
        <v>5.7407000000000005E-3</v>
      </c>
      <c r="L43" s="65">
        <f t="shared" si="5"/>
        <v>0.23546600000000001</v>
      </c>
      <c r="M43" s="65">
        <f t="shared" si="5"/>
        <v>9.7105400000000008E-2</v>
      </c>
      <c r="N43" s="65">
        <f t="shared" si="5"/>
        <v>34.055</v>
      </c>
      <c r="O43" s="65">
        <f t="shared" si="5"/>
        <v>2539.5300000000002</v>
      </c>
      <c r="P43" s="65">
        <f t="shared" si="5"/>
        <v>0</v>
      </c>
      <c r="Q43" s="65">
        <f t="shared" si="10"/>
        <v>76.137250000000009</v>
      </c>
      <c r="R43" s="65">
        <f t="shared" si="11"/>
        <v>0</v>
      </c>
      <c r="S43" s="65">
        <f t="shared" si="11"/>
        <v>0.26562900000000006</v>
      </c>
      <c r="T43" s="65">
        <f t="shared" si="11"/>
        <v>0</v>
      </c>
      <c r="U43" s="126">
        <f t="shared" si="11"/>
        <v>0</v>
      </c>
    </row>
    <row r="44" spans="1:21" s="48" customFormat="1" x14ac:dyDescent="0.25">
      <c r="A44" s="125" t="str">
        <f>P8</f>
        <v>BOLAFRON 3107</v>
      </c>
      <c r="B44" s="11">
        <v>140</v>
      </c>
      <c r="C44" s="65">
        <f t="shared" si="6"/>
        <v>90.975500000000025</v>
      </c>
      <c r="D44" s="65">
        <f t="shared" si="7"/>
        <v>80.026233700000006</v>
      </c>
      <c r="E44" s="65">
        <f t="shared" si="8"/>
        <v>3.294626650000001</v>
      </c>
      <c r="F44" s="65">
        <f t="shared" si="9"/>
        <v>12.325107760000002</v>
      </c>
      <c r="G44" s="65">
        <f t="shared" si="5"/>
        <v>0.28022400000000008</v>
      </c>
      <c r="H44" s="65">
        <f t="shared" si="5"/>
        <v>1.6541000000000003</v>
      </c>
      <c r="I44" s="65">
        <f t="shared" si="5"/>
        <v>0.28022400000000008</v>
      </c>
      <c r="J44" s="65">
        <f t="shared" si="5"/>
        <v>1.0703000000000002E-3</v>
      </c>
      <c r="K44" s="65">
        <f t="shared" si="5"/>
        <v>5.7407000000000005E-3</v>
      </c>
      <c r="L44" s="65">
        <f t="shared" si="5"/>
        <v>0.23546600000000001</v>
      </c>
      <c r="M44" s="65">
        <f t="shared" si="5"/>
        <v>9.7105400000000008E-2</v>
      </c>
      <c r="N44" s="65">
        <f t="shared" si="5"/>
        <v>34.055</v>
      </c>
      <c r="O44" s="65">
        <f t="shared" si="5"/>
        <v>2539.5300000000002</v>
      </c>
      <c r="P44" s="65">
        <f t="shared" si="5"/>
        <v>0</v>
      </c>
      <c r="Q44" s="65">
        <f t="shared" si="10"/>
        <v>76.137250000000009</v>
      </c>
      <c r="R44" s="65">
        <f t="shared" si="11"/>
        <v>0</v>
      </c>
      <c r="S44" s="65">
        <f t="shared" si="11"/>
        <v>0.26562900000000006</v>
      </c>
      <c r="T44" s="65">
        <f t="shared" si="11"/>
        <v>0</v>
      </c>
      <c r="U44" s="126">
        <f t="shared" si="11"/>
        <v>0</v>
      </c>
    </row>
    <row r="45" spans="1:21" s="48" customFormat="1" x14ac:dyDescent="0.25">
      <c r="A45" s="125" t="str">
        <f>Q8</f>
        <v>BOLAFRON 6609</v>
      </c>
      <c r="B45" s="11">
        <v>140</v>
      </c>
      <c r="C45" s="65">
        <f t="shared" si="6"/>
        <v>90.975500000000025</v>
      </c>
      <c r="D45" s="65">
        <f t="shared" si="7"/>
        <v>80.026233700000006</v>
      </c>
      <c r="E45" s="65">
        <f t="shared" si="8"/>
        <v>3.294626650000001</v>
      </c>
      <c r="F45" s="65">
        <f t="shared" si="9"/>
        <v>12.325107760000002</v>
      </c>
      <c r="G45" s="65">
        <f t="shared" si="5"/>
        <v>0.28022400000000008</v>
      </c>
      <c r="H45" s="65">
        <f t="shared" si="5"/>
        <v>1.6541000000000003</v>
      </c>
      <c r="I45" s="65">
        <f t="shared" si="5"/>
        <v>0.28022400000000008</v>
      </c>
      <c r="J45" s="65">
        <f t="shared" si="5"/>
        <v>1.0703000000000002E-3</v>
      </c>
      <c r="K45" s="65">
        <f t="shared" si="5"/>
        <v>5.7407000000000005E-3</v>
      </c>
      <c r="L45" s="65">
        <f t="shared" si="5"/>
        <v>0.23546600000000001</v>
      </c>
      <c r="M45" s="65">
        <f t="shared" si="5"/>
        <v>9.7105400000000008E-2</v>
      </c>
      <c r="N45" s="65">
        <f t="shared" si="5"/>
        <v>34.055</v>
      </c>
      <c r="O45" s="65">
        <f t="shared" si="5"/>
        <v>2539.5300000000002</v>
      </c>
      <c r="P45" s="65">
        <f t="shared" si="5"/>
        <v>0</v>
      </c>
      <c r="Q45" s="65">
        <f t="shared" si="10"/>
        <v>76.137250000000009</v>
      </c>
      <c r="R45" s="65">
        <f t="shared" si="11"/>
        <v>0</v>
      </c>
      <c r="S45" s="65">
        <f t="shared" si="11"/>
        <v>0.26562900000000006</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 I Grass</v>
      </c>
      <c r="C58" s="10" t="str">
        <f>D16&amp;" I "&amp;(VLOOKUP(D14,Table245811[],6,FALSE))</f>
        <v>Medium I Grass</v>
      </c>
      <c r="D58" s="10" t="str">
        <f>E16&amp;" I "&amp;(VLOOKUP(E14,Table245811[],6,FALSE))</f>
        <v>Medium I Grass</v>
      </c>
      <c r="E58" s="10" t="str">
        <f>F16&amp;" I "&amp;(VLOOKUP(F14,Table245811[],6,FALSE))</f>
        <v>Medium I Grass</v>
      </c>
      <c r="F58" s="10" t="str">
        <f>G16&amp;" I "&amp;(VLOOKUP(G14,Table245811[],6,FALSE))</f>
        <v>Medium I Grass</v>
      </c>
      <c r="G58" s="10" t="str">
        <f>H16&amp;" I "&amp;(VLOOKUP(H14,Table245811[],6,FALSE))</f>
        <v>Medium I Grass</v>
      </c>
      <c r="H58" s="10" t="str">
        <f>I16&amp;" I "&amp;(VLOOKUP(I14,Table245811[],6,FALSE))</f>
        <v>Medium I Grass</v>
      </c>
      <c r="I58" s="10" t="str">
        <f>J16&amp;" I "&amp;(VLOOKUP(J14,Table245811[],6,FALSE))</f>
        <v>Medium I Grass</v>
      </c>
      <c r="J58" s="10" t="str">
        <f>K16&amp;" I "&amp;(VLOOKUP(K14,Table245811[],6,FALSE))</f>
        <v>Medium I Grass</v>
      </c>
      <c r="K58" s="10" t="str">
        <f>L16&amp;" I "&amp;(VLOOKUP(L14,Table245811[],6,FALSE))</f>
        <v>Medium I Grass</v>
      </c>
      <c r="L58" s="10" t="str">
        <f>M16&amp;" I "&amp;(VLOOKUP(M14,Table245811[],6,FALSE))</f>
        <v>Medium I Grass</v>
      </c>
      <c r="M58" s="10" t="str">
        <f>N16&amp;" I "&amp;(VLOOKUP(N14,Table245811[],6,FALSE))</f>
        <v>Medium I Grass</v>
      </c>
      <c r="N58" s="10" t="str">
        <f>O16&amp;" I "&amp;(VLOOKUP(O14,Table245811[],6,FALSE))</f>
        <v>Medium I Grass</v>
      </c>
      <c r="O58" s="10" t="str">
        <f>P16&amp;" I "&amp;(VLOOKUP(P14,Table245811[],6,FALSE))</f>
        <v>Medium I Grass</v>
      </c>
      <c r="P58" s="10" t="str">
        <f>Q16&amp;" I "&amp;(VLOOKUP(Q14,Table245811[],6,FALSE))</f>
        <v>Medium I Grass</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f>VLOOKUP(P$14,Table245811[],5,FALSE)</f>
        <v>6.2</v>
      </c>
      <c r="P59" s="64">
        <f>VLOOKUP(Q$14,Table245811[],5,FALSE)</f>
        <v>6.2</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140</v>
      </c>
      <c r="C62" s="65">
        <f>B32</f>
        <v>140</v>
      </c>
      <c r="D62" s="65">
        <f>B33</f>
        <v>140</v>
      </c>
      <c r="E62" s="65">
        <f>B34</f>
        <v>140</v>
      </c>
      <c r="F62" s="65">
        <f>B35</f>
        <v>140</v>
      </c>
      <c r="G62" s="65">
        <f>B36</f>
        <v>140</v>
      </c>
      <c r="H62" s="65">
        <f>B37</f>
        <v>140</v>
      </c>
      <c r="I62" s="65">
        <f>B38</f>
        <v>140</v>
      </c>
      <c r="J62" s="65">
        <f>B39</f>
        <v>140</v>
      </c>
      <c r="K62" s="65">
        <f>B40</f>
        <v>140</v>
      </c>
      <c r="L62" s="65">
        <f>B41</f>
        <v>140</v>
      </c>
      <c r="M62" s="65">
        <f>B42</f>
        <v>140</v>
      </c>
      <c r="N62" s="65">
        <f>B43</f>
        <v>140</v>
      </c>
      <c r="O62" s="65">
        <f>B44</f>
        <v>140</v>
      </c>
      <c r="P62" s="65">
        <f>B45</f>
        <v>140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5" sqref="B45"/>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6.6</v>
      </c>
      <c r="J1" s="130" t="s">
        <v>153</v>
      </c>
      <c r="K1" s="131"/>
      <c r="L1" s="109">
        <v>213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186</v>
      </c>
      <c r="G2" s="164" t="s">
        <v>110</v>
      </c>
      <c r="H2" s="165"/>
      <c r="I2" s="110"/>
      <c r="J2" s="132" t="s">
        <v>158</v>
      </c>
      <c r="K2" s="133"/>
      <c r="L2" s="110">
        <v>1.38</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c r="J3" s="134" t="s">
        <v>154</v>
      </c>
      <c r="K3" s="135"/>
      <c r="L3" s="110">
        <f>(L1/(L2*10000))*100</f>
        <v>1.5434782608695654</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188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27.052128000000003</v>
      </c>
      <c r="D18" s="12">
        <f>$D32</f>
        <v>0</v>
      </c>
      <c r="E18" s="12">
        <f>$D33</f>
        <v>27.052128000000003</v>
      </c>
      <c r="F18" s="12">
        <f>$D34</f>
        <v>27.052128000000003</v>
      </c>
      <c r="G18" s="12">
        <f>$D35</f>
        <v>0</v>
      </c>
      <c r="H18" s="12">
        <f>$D36</f>
        <v>0</v>
      </c>
      <c r="I18" s="12">
        <f>$D37</f>
        <v>27.052128000000003</v>
      </c>
      <c r="J18" s="12">
        <f>$D38</f>
        <v>27.052128000000003</v>
      </c>
      <c r="K18" s="12">
        <f>$D39</f>
        <v>27.052128000000003</v>
      </c>
      <c r="L18" s="12">
        <f>$D40</f>
        <v>27.052128000000003</v>
      </c>
      <c r="M18" s="12">
        <f>$D41</f>
        <v>27.052128000000003</v>
      </c>
      <c r="N18" s="12">
        <f>$D42</f>
        <v>0</v>
      </c>
      <c r="O18" s="12">
        <f>$D43</f>
        <v>0</v>
      </c>
      <c r="P18" s="12">
        <f>$D44</f>
        <v>0</v>
      </c>
      <c r="Q18" s="12">
        <f>$D45</f>
        <v>27.052128000000003</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-52.847871999999988</v>
      </c>
      <c r="D19" s="12">
        <f t="shared" ref="D19:V19" si="1">D18-D17</f>
        <v>-79.899999999999991</v>
      </c>
      <c r="E19" s="12">
        <f t="shared" si="1"/>
        <v>-52.847871999999988</v>
      </c>
      <c r="F19" s="12">
        <f t="shared" si="1"/>
        <v>-52.847871999999988</v>
      </c>
      <c r="G19" s="12">
        <f t="shared" si="1"/>
        <v>-79.899999999999991</v>
      </c>
      <c r="H19" s="12">
        <f t="shared" si="1"/>
        <v>-79.899999999999991</v>
      </c>
      <c r="I19" s="12">
        <f t="shared" si="1"/>
        <v>-52.847871999999988</v>
      </c>
      <c r="J19" s="12">
        <f t="shared" si="1"/>
        <v>-52.847871999999988</v>
      </c>
      <c r="K19" s="12">
        <f t="shared" si="1"/>
        <v>-52.847871999999988</v>
      </c>
      <c r="L19" s="12">
        <f t="shared" si="1"/>
        <v>-52.847871999999988</v>
      </c>
      <c r="M19" s="12">
        <f t="shared" si="1"/>
        <v>-52.847871999999988</v>
      </c>
      <c r="N19" s="12">
        <f t="shared" si="1"/>
        <v>-79.899999999999991</v>
      </c>
      <c r="O19" s="12">
        <f t="shared" si="1"/>
        <v>-79.899999999999991</v>
      </c>
      <c r="P19" s="12">
        <f t="shared" si="1"/>
        <v>-79.899999999999991</v>
      </c>
      <c r="Q19" s="12">
        <f t="shared" si="1"/>
        <v>-52.847871999999988</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1.6137360000000001</v>
      </c>
      <c r="D22" s="12">
        <f>$E32</f>
        <v>0</v>
      </c>
      <c r="E22" s="12">
        <f>$E33</f>
        <v>1.6137360000000001</v>
      </c>
      <c r="F22" s="12">
        <f>$E34</f>
        <v>1.6137360000000001</v>
      </c>
      <c r="G22" s="12">
        <f>$E35</f>
        <v>0</v>
      </c>
      <c r="H22" s="12">
        <f>$E36</f>
        <v>0</v>
      </c>
      <c r="I22" s="12">
        <f>$E37</f>
        <v>1.6137360000000001</v>
      </c>
      <c r="J22" s="12">
        <f>$E38</f>
        <v>1.6137360000000001</v>
      </c>
      <c r="K22" s="12">
        <f>$E39</f>
        <v>1.6137360000000001</v>
      </c>
      <c r="L22" s="12">
        <f>$E40</f>
        <v>1.6137360000000001</v>
      </c>
      <c r="M22" s="12">
        <f>$E41</f>
        <v>1.6137360000000001</v>
      </c>
      <c r="N22" s="12">
        <f>$E42</f>
        <v>0</v>
      </c>
      <c r="O22" s="12">
        <f>$E43</f>
        <v>0</v>
      </c>
      <c r="P22" s="12">
        <f>$E44</f>
        <v>0</v>
      </c>
      <c r="Q22" s="12">
        <f>$E45</f>
        <v>1.6137360000000001</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-280.38626399999998</v>
      </c>
      <c r="D23" s="12">
        <f t="shared" ref="D23:V23" si="3">D22-D21</f>
        <v>-282</v>
      </c>
      <c r="E23" s="12">
        <f t="shared" si="3"/>
        <v>-280.38626399999998</v>
      </c>
      <c r="F23" s="12">
        <f t="shared" si="3"/>
        <v>-280.38626399999998</v>
      </c>
      <c r="G23" s="12">
        <f t="shared" si="3"/>
        <v>-282</v>
      </c>
      <c r="H23" s="12">
        <f t="shared" si="3"/>
        <v>-282</v>
      </c>
      <c r="I23" s="12">
        <f t="shared" si="3"/>
        <v>-280.38626399999998</v>
      </c>
      <c r="J23" s="12">
        <f t="shared" si="3"/>
        <v>-280.38626399999998</v>
      </c>
      <c r="K23" s="12">
        <f t="shared" si="3"/>
        <v>-280.38626399999998</v>
      </c>
      <c r="L23" s="12">
        <f t="shared" si="3"/>
        <v>-280.38626399999998</v>
      </c>
      <c r="M23" s="12">
        <f t="shared" si="3"/>
        <v>-280.38626399999998</v>
      </c>
      <c r="N23" s="12">
        <f t="shared" si="3"/>
        <v>-282</v>
      </c>
      <c r="O23" s="12">
        <f t="shared" si="3"/>
        <v>-282</v>
      </c>
      <c r="P23" s="12">
        <f t="shared" si="3"/>
        <v>-282</v>
      </c>
      <c r="Q23" s="12">
        <f t="shared" si="3"/>
        <v>-280.38626399999998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2.88</v>
      </c>
      <c r="C28" s="11">
        <v>1.38</v>
      </c>
      <c r="D28" s="11">
        <v>0.16400000000000001</v>
      </c>
      <c r="E28" s="11">
        <v>1.8599999999999998E-2</v>
      </c>
      <c r="F28" s="11">
        <v>249</v>
      </c>
      <c r="G28" s="11">
        <v>13.7</v>
      </c>
      <c r="H28" s="11">
        <v>44.5</v>
      </c>
      <c r="I28" s="11">
        <v>4.53</v>
      </c>
      <c r="J28" s="11">
        <v>0.33</v>
      </c>
      <c r="K28" s="15">
        <v>1.4</v>
      </c>
      <c r="L28" s="11">
        <v>3</v>
      </c>
      <c r="M28" s="11">
        <v>2.37</v>
      </c>
      <c r="N28" s="11">
        <v>105000</v>
      </c>
      <c r="O28" s="11">
        <v>16000</v>
      </c>
      <c r="P28" s="11"/>
      <c r="Q28" s="11">
        <v>4350</v>
      </c>
      <c r="R28" s="11"/>
      <c r="S28" s="11">
        <v>33.299999999999997</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250</v>
      </c>
      <c r="C31" s="65">
        <f>IF(C$27="%w/w SAR",((C$28*10)*$B31),IF(C$27="%w/w DM",(((C$28*10)*($B$28/100))*$B31),IF(C$27="kg/t SAR",(C$28*$B31),IF(C$27="kg/t DM",((C$28*($B$28/100))*$B31),IF(C$27="mg/kg SAR",((C$28*0.001)*$B31),IF(C$27="mg/kg DM",(((C$28*0.001)*($B$28/100))*$B31),0))))))</f>
        <v>99.359999999999985</v>
      </c>
      <c r="D31" s="65">
        <f>(IF(D$27="%w/w SAR",((D$28*10)*$B31),IF(D$27="%w/w DM",(((D$28*10)*($B$28/100))*$B31),IF(D$27="kg/t SAR",(D$28*$B31),IF(D$27="kg/t DM",((D$28*($B$28/100))*$B31),IF(D$27="mg/kg SAR",((D$28*0.001)*$B31),IF(D$27="mg/kg DM",(((D$28*0.001)*($B$28/100))*$B31),"0")))))))*2.291</f>
        <v>27.052128000000003</v>
      </c>
      <c r="E31" s="65">
        <f>(IF(E$27="%w/w SAR",((E$28*10)*$B31),IF(E$27="%w/w DM",(((E$28*10)*($B$28/100))*$B31),IF(E$27="kg/t SAR",(E$28*$B31),IF(E$27="kg/t DM",((E$28*($B$28/100))*$B31),IF(E$27="mg/kg SAR",((E$28*0.001)*$B31),IF(E$27="mg/kg DM",(((E$28*0.001)*($B$28/100))*$B31),"0")))))))*1.205</f>
        <v>1.6137360000000001</v>
      </c>
      <c r="F31" s="65">
        <f>(IF(F$27="%w/w SAR",((F$28*10)*$B31),IF(F$27="%w/w DM",(((F$28*10)*($B$28/100))*$B31),IF(F$27="kg/t SAR",(F$28*$B31),IF(F$27="kg/t DM",((F$28*($B$28/100))*$B31),IF(F$27="mg/kg SAR",((F$28*0.001)*$B31),IF(F$27="mg/kg DM",(((F$28*0.001)*($B$28/100))*$B31),"0")))))))*1.658</f>
        <v>2.9724623999999999</v>
      </c>
      <c r="G31" s="65">
        <f t="shared" ref="G31:P46" si="5">IF(G$27="%w/w SAR",((G$28*10)*$B31),IF(G$27="%w/w DM",(((G$28*10)*($B$28/100))*$B31),IF(G$27="kg/t SAR",(G$28*$B31),IF(G$27="kg/t DM",((G$28*($B$28/100))*$B31),IF(G$27="mg/kg SAR",((G$28*0.001)*$B31),IF(G$27="mg/kg DM",(((G$28*0.001)*($B$28/100))*$B31),0))))))</f>
        <v>9.8640000000000005E-2</v>
      </c>
      <c r="H31" s="65">
        <f t="shared" si="5"/>
        <v>0.32039999999999996</v>
      </c>
      <c r="I31" s="65">
        <f t="shared" si="5"/>
        <v>3.2615999999999999E-2</v>
      </c>
      <c r="J31" s="65">
        <f t="shared" si="5"/>
        <v>2.3759999999999996E-3</v>
      </c>
      <c r="K31" s="65">
        <f t="shared" si="5"/>
        <v>1.008E-2</v>
      </c>
      <c r="L31" s="65">
        <f t="shared" si="5"/>
        <v>2.1600000000000001E-2</v>
      </c>
      <c r="M31" s="65">
        <f t="shared" si="5"/>
        <v>1.7064000000000003E-2</v>
      </c>
      <c r="N31" s="65">
        <f t="shared" si="5"/>
        <v>756</v>
      </c>
      <c r="O31" s="65">
        <f t="shared" si="5"/>
        <v>115.2</v>
      </c>
      <c r="P31" s="65">
        <f t="shared" si="5"/>
        <v>0</v>
      </c>
      <c r="Q31" s="65">
        <f>(IF(Q$27="%w/w SAR",((Q$28*10)*$B31),IF(Q$27="%w/w DM",(((Q$28*10)*($B$28/100))*$B31),IF(Q$27="kg/t SAR",(Q$28*$B31),IF(Q$27="kg/t DM",((Q$28*($B$28/100))*$B31),IF(Q$27="mg/kg SAR",((Q$28*0.001)*$B31),IF(Q$27="mg/kg DM",(((Q$28*0.001)*($B$28/100))*$B31),0)))))))*2.5</f>
        <v>78.3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0.23975999999999997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6-B</v>
      </c>
      <c r="B33" s="11">
        <v>250</v>
      </c>
      <c r="C33" s="65">
        <f t="shared" si="6"/>
        <v>99.359999999999985</v>
      </c>
      <c r="D33" s="65">
        <f t="shared" si="7"/>
        <v>27.052128000000003</v>
      </c>
      <c r="E33" s="65">
        <f t="shared" si="8"/>
        <v>1.6137360000000001</v>
      </c>
      <c r="F33" s="65">
        <f t="shared" si="9"/>
        <v>2.9724623999999999</v>
      </c>
      <c r="G33" s="65">
        <f t="shared" si="5"/>
        <v>9.8640000000000005E-2</v>
      </c>
      <c r="H33" s="65">
        <f t="shared" si="5"/>
        <v>0.32039999999999996</v>
      </c>
      <c r="I33" s="65">
        <f t="shared" si="5"/>
        <v>3.2615999999999999E-2</v>
      </c>
      <c r="J33" s="65">
        <f t="shared" si="5"/>
        <v>2.3759999999999996E-3</v>
      </c>
      <c r="K33" s="65">
        <f t="shared" si="5"/>
        <v>1.008E-2</v>
      </c>
      <c r="L33" s="65">
        <f t="shared" si="5"/>
        <v>2.1600000000000001E-2</v>
      </c>
      <c r="M33" s="65">
        <f t="shared" si="5"/>
        <v>1.7064000000000003E-2</v>
      </c>
      <c r="N33" s="65">
        <f t="shared" si="5"/>
        <v>756</v>
      </c>
      <c r="O33" s="65">
        <f t="shared" si="5"/>
        <v>115.2</v>
      </c>
      <c r="P33" s="65">
        <f t="shared" si="5"/>
        <v>0</v>
      </c>
      <c r="Q33" s="65">
        <f t="shared" si="10"/>
        <v>78.3</v>
      </c>
      <c r="R33" s="65">
        <f t="shared" si="11"/>
        <v>0</v>
      </c>
      <c r="S33" s="65">
        <f t="shared" si="11"/>
        <v>0.23975999999999997</v>
      </c>
      <c r="T33" s="65">
        <f t="shared" si="11"/>
        <v>0</v>
      </c>
      <c r="U33" s="126">
        <f t="shared" si="11"/>
        <v>0</v>
      </c>
    </row>
    <row r="34" spans="1:21" s="48" customFormat="1" x14ac:dyDescent="0.25">
      <c r="A34" s="125" t="str">
        <f>F8</f>
        <v>7-B</v>
      </c>
      <c r="B34" s="11">
        <v>250</v>
      </c>
      <c r="C34" s="65">
        <f t="shared" si="6"/>
        <v>99.359999999999985</v>
      </c>
      <c r="D34" s="65">
        <f t="shared" si="7"/>
        <v>27.052128000000003</v>
      </c>
      <c r="E34" s="65">
        <f t="shared" si="8"/>
        <v>1.6137360000000001</v>
      </c>
      <c r="F34" s="65">
        <f t="shared" si="9"/>
        <v>2.9724623999999999</v>
      </c>
      <c r="G34" s="65">
        <f t="shared" si="5"/>
        <v>9.8640000000000005E-2</v>
      </c>
      <c r="H34" s="65">
        <f t="shared" si="5"/>
        <v>0.32039999999999996</v>
      </c>
      <c r="I34" s="65">
        <f t="shared" si="5"/>
        <v>3.2615999999999999E-2</v>
      </c>
      <c r="J34" s="65">
        <f t="shared" si="5"/>
        <v>2.3759999999999996E-3</v>
      </c>
      <c r="K34" s="65">
        <f t="shared" si="5"/>
        <v>1.008E-2</v>
      </c>
      <c r="L34" s="65">
        <f t="shared" si="5"/>
        <v>2.1600000000000001E-2</v>
      </c>
      <c r="M34" s="65">
        <f t="shared" si="5"/>
        <v>1.7064000000000003E-2</v>
      </c>
      <c r="N34" s="65">
        <f t="shared" si="5"/>
        <v>756</v>
      </c>
      <c r="O34" s="65">
        <f t="shared" si="5"/>
        <v>115.2</v>
      </c>
      <c r="P34" s="65">
        <f t="shared" si="5"/>
        <v>0</v>
      </c>
      <c r="Q34" s="65">
        <f t="shared" si="10"/>
        <v>78.3</v>
      </c>
      <c r="R34" s="65">
        <f t="shared" si="11"/>
        <v>0</v>
      </c>
      <c r="S34" s="65">
        <f t="shared" si="11"/>
        <v>0.23975999999999997</v>
      </c>
      <c r="T34" s="65">
        <f t="shared" si="11"/>
        <v>0</v>
      </c>
      <c r="U34" s="126">
        <f t="shared" si="11"/>
        <v>0</v>
      </c>
    </row>
    <row r="35" spans="1:21" s="48" customFormat="1" x14ac:dyDescent="0.25">
      <c r="A35" s="125" t="str">
        <f>G8</f>
        <v>8-B</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9-B</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8222-B</v>
      </c>
      <c r="B37" s="11">
        <v>250</v>
      </c>
      <c r="C37" s="65">
        <f t="shared" si="6"/>
        <v>99.359999999999985</v>
      </c>
      <c r="D37" s="65">
        <f t="shared" si="7"/>
        <v>27.052128000000003</v>
      </c>
      <c r="E37" s="65">
        <f t="shared" si="8"/>
        <v>1.6137360000000001</v>
      </c>
      <c r="F37" s="65">
        <f t="shared" si="9"/>
        <v>2.9724623999999999</v>
      </c>
      <c r="G37" s="65">
        <f t="shared" si="5"/>
        <v>9.8640000000000005E-2</v>
      </c>
      <c r="H37" s="65">
        <f t="shared" si="5"/>
        <v>0.32039999999999996</v>
      </c>
      <c r="I37" s="65">
        <f t="shared" si="5"/>
        <v>3.2615999999999999E-2</v>
      </c>
      <c r="J37" s="65">
        <f t="shared" si="5"/>
        <v>2.3759999999999996E-3</v>
      </c>
      <c r="K37" s="65">
        <f t="shared" si="5"/>
        <v>1.008E-2</v>
      </c>
      <c r="L37" s="65">
        <f t="shared" si="5"/>
        <v>2.1600000000000001E-2</v>
      </c>
      <c r="M37" s="65">
        <f t="shared" si="5"/>
        <v>1.7064000000000003E-2</v>
      </c>
      <c r="N37" s="65">
        <f t="shared" si="5"/>
        <v>756</v>
      </c>
      <c r="O37" s="65">
        <f t="shared" si="5"/>
        <v>115.2</v>
      </c>
      <c r="P37" s="65">
        <f t="shared" si="5"/>
        <v>0</v>
      </c>
      <c r="Q37" s="65">
        <f t="shared" si="10"/>
        <v>78.3</v>
      </c>
      <c r="R37" s="65">
        <f t="shared" si="11"/>
        <v>0</v>
      </c>
      <c r="S37" s="65">
        <f t="shared" si="11"/>
        <v>0.23975999999999997</v>
      </c>
      <c r="T37" s="65">
        <f t="shared" si="11"/>
        <v>0</v>
      </c>
      <c r="U37" s="126">
        <f t="shared" si="11"/>
        <v>0</v>
      </c>
    </row>
    <row r="38" spans="1:21" s="48" customFormat="1" x14ac:dyDescent="0.25">
      <c r="A38" s="125" t="str">
        <f>J8</f>
        <v>7233-B</v>
      </c>
      <c r="B38" s="11">
        <v>250</v>
      </c>
      <c r="C38" s="65">
        <f t="shared" si="6"/>
        <v>99.359999999999985</v>
      </c>
      <c r="D38" s="65">
        <f t="shared" si="7"/>
        <v>27.052128000000003</v>
      </c>
      <c r="E38" s="65">
        <f t="shared" si="8"/>
        <v>1.6137360000000001</v>
      </c>
      <c r="F38" s="65">
        <f t="shared" si="9"/>
        <v>2.9724623999999999</v>
      </c>
      <c r="G38" s="65">
        <f t="shared" si="5"/>
        <v>9.8640000000000005E-2</v>
      </c>
      <c r="H38" s="65">
        <f t="shared" si="5"/>
        <v>0.32039999999999996</v>
      </c>
      <c r="I38" s="65">
        <f t="shared" si="5"/>
        <v>3.2615999999999999E-2</v>
      </c>
      <c r="J38" s="65">
        <f t="shared" si="5"/>
        <v>2.3759999999999996E-3</v>
      </c>
      <c r="K38" s="65">
        <f t="shared" si="5"/>
        <v>1.008E-2</v>
      </c>
      <c r="L38" s="65">
        <f t="shared" si="5"/>
        <v>2.1600000000000001E-2</v>
      </c>
      <c r="M38" s="65">
        <f t="shared" si="5"/>
        <v>1.7064000000000003E-2</v>
      </c>
      <c r="N38" s="65">
        <f t="shared" si="5"/>
        <v>756</v>
      </c>
      <c r="O38" s="65">
        <f t="shared" si="5"/>
        <v>115.2</v>
      </c>
      <c r="P38" s="65">
        <f t="shared" si="5"/>
        <v>0</v>
      </c>
      <c r="Q38" s="65">
        <f t="shared" si="10"/>
        <v>78.3</v>
      </c>
      <c r="R38" s="65">
        <f t="shared" si="11"/>
        <v>0</v>
      </c>
      <c r="S38" s="65">
        <f t="shared" si="11"/>
        <v>0.23975999999999997</v>
      </c>
      <c r="T38" s="65">
        <f t="shared" si="11"/>
        <v>0</v>
      </c>
      <c r="U38" s="126">
        <f t="shared" si="11"/>
        <v>0</v>
      </c>
    </row>
    <row r="39" spans="1:21" s="48" customFormat="1" x14ac:dyDescent="0.25">
      <c r="A39" s="125" t="str">
        <f>K8</f>
        <v>5641-B</v>
      </c>
      <c r="B39" s="11">
        <v>250</v>
      </c>
      <c r="C39" s="65">
        <f t="shared" si="6"/>
        <v>99.359999999999985</v>
      </c>
      <c r="D39" s="65">
        <f t="shared" si="7"/>
        <v>27.052128000000003</v>
      </c>
      <c r="E39" s="65">
        <f t="shared" si="8"/>
        <v>1.6137360000000001</v>
      </c>
      <c r="F39" s="65">
        <f t="shared" si="9"/>
        <v>2.9724623999999999</v>
      </c>
      <c r="G39" s="65">
        <f t="shared" si="5"/>
        <v>9.8640000000000005E-2</v>
      </c>
      <c r="H39" s="65">
        <f t="shared" si="5"/>
        <v>0.32039999999999996</v>
      </c>
      <c r="I39" s="65">
        <f t="shared" si="5"/>
        <v>3.2615999999999999E-2</v>
      </c>
      <c r="J39" s="65">
        <f t="shared" si="5"/>
        <v>2.3759999999999996E-3</v>
      </c>
      <c r="K39" s="65">
        <f t="shared" si="5"/>
        <v>1.008E-2</v>
      </c>
      <c r="L39" s="65">
        <f t="shared" si="5"/>
        <v>2.1600000000000001E-2</v>
      </c>
      <c r="M39" s="65">
        <f t="shared" si="5"/>
        <v>1.7064000000000003E-2</v>
      </c>
      <c r="N39" s="65">
        <f t="shared" si="5"/>
        <v>756</v>
      </c>
      <c r="O39" s="65">
        <f t="shared" si="5"/>
        <v>115.2</v>
      </c>
      <c r="P39" s="65">
        <f t="shared" si="5"/>
        <v>0</v>
      </c>
      <c r="Q39" s="65">
        <f t="shared" si="10"/>
        <v>78.3</v>
      </c>
      <c r="R39" s="65">
        <f t="shared" si="11"/>
        <v>0</v>
      </c>
      <c r="S39" s="65">
        <f t="shared" si="11"/>
        <v>0.23975999999999997</v>
      </c>
      <c r="T39" s="65">
        <f t="shared" si="11"/>
        <v>0</v>
      </c>
      <c r="U39" s="126">
        <f t="shared" si="11"/>
        <v>0</v>
      </c>
    </row>
    <row r="40" spans="1:21" s="48" customFormat="1" x14ac:dyDescent="0.25">
      <c r="A40" s="125" t="str">
        <f>L8</f>
        <v>4956-B</v>
      </c>
      <c r="B40" s="11">
        <v>250</v>
      </c>
      <c r="C40" s="65">
        <f t="shared" si="6"/>
        <v>99.359999999999985</v>
      </c>
      <c r="D40" s="65">
        <f t="shared" si="7"/>
        <v>27.052128000000003</v>
      </c>
      <c r="E40" s="65">
        <f t="shared" si="8"/>
        <v>1.6137360000000001</v>
      </c>
      <c r="F40" s="65">
        <f t="shared" si="9"/>
        <v>2.9724623999999999</v>
      </c>
      <c r="G40" s="65">
        <f t="shared" si="5"/>
        <v>9.8640000000000005E-2</v>
      </c>
      <c r="H40" s="65">
        <f t="shared" si="5"/>
        <v>0.32039999999999996</v>
      </c>
      <c r="I40" s="65">
        <f t="shared" si="5"/>
        <v>3.2615999999999999E-2</v>
      </c>
      <c r="J40" s="65">
        <f t="shared" si="5"/>
        <v>2.3759999999999996E-3</v>
      </c>
      <c r="K40" s="65">
        <f t="shared" si="5"/>
        <v>1.008E-2</v>
      </c>
      <c r="L40" s="65">
        <f t="shared" si="5"/>
        <v>2.1600000000000001E-2</v>
      </c>
      <c r="M40" s="65">
        <f t="shared" si="5"/>
        <v>1.7064000000000003E-2</v>
      </c>
      <c r="N40" s="65">
        <f t="shared" si="5"/>
        <v>756</v>
      </c>
      <c r="O40" s="65">
        <f t="shared" si="5"/>
        <v>115.2</v>
      </c>
      <c r="P40" s="65">
        <f t="shared" si="5"/>
        <v>0</v>
      </c>
      <c r="Q40" s="65">
        <f t="shared" si="10"/>
        <v>78.3</v>
      </c>
      <c r="R40" s="65">
        <f t="shared" si="11"/>
        <v>0</v>
      </c>
      <c r="S40" s="65">
        <f t="shared" si="11"/>
        <v>0.23975999999999997</v>
      </c>
      <c r="T40" s="65">
        <f t="shared" si="11"/>
        <v>0</v>
      </c>
      <c r="U40" s="126">
        <f t="shared" si="11"/>
        <v>0</v>
      </c>
    </row>
    <row r="41" spans="1:21" s="48" customFormat="1" x14ac:dyDescent="0.25">
      <c r="A41" s="125" t="str">
        <f>M8</f>
        <v>HAFOD B/FRON 2849</v>
      </c>
      <c r="B41" s="11">
        <v>250</v>
      </c>
      <c r="C41" s="65">
        <f t="shared" si="6"/>
        <v>99.359999999999985</v>
      </c>
      <c r="D41" s="65">
        <f t="shared" si="7"/>
        <v>27.052128000000003</v>
      </c>
      <c r="E41" s="65">
        <f t="shared" si="8"/>
        <v>1.6137360000000001</v>
      </c>
      <c r="F41" s="65">
        <f t="shared" si="9"/>
        <v>2.9724623999999999</v>
      </c>
      <c r="G41" s="65">
        <f t="shared" si="5"/>
        <v>9.8640000000000005E-2</v>
      </c>
      <c r="H41" s="65">
        <f t="shared" si="5"/>
        <v>0.32039999999999996</v>
      </c>
      <c r="I41" s="65">
        <f t="shared" si="5"/>
        <v>3.2615999999999999E-2</v>
      </c>
      <c r="J41" s="65">
        <f t="shared" si="5"/>
        <v>2.3759999999999996E-3</v>
      </c>
      <c r="K41" s="65">
        <f t="shared" si="5"/>
        <v>1.008E-2</v>
      </c>
      <c r="L41" s="65">
        <f t="shared" si="5"/>
        <v>2.1600000000000001E-2</v>
      </c>
      <c r="M41" s="65">
        <f t="shared" si="5"/>
        <v>1.7064000000000003E-2</v>
      </c>
      <c r="N41" s="65">
        <f t="shared" si="5"/>
        <v>756</v>
      </c>
      <c r="O41" s="65">
        <f t="shared" si="5"/>
        <v>115.2</v>
      </c>
      <c r="P41" s="65">
        <f t="shared" si="5"/>
        <v>0</v>
      </c>
      <c r="Q41" s="65">
        <f t="shared" si="10"/>
        <v>78.3</v>
      </c>
      <c r="R41" s="65">
        <f t="shared" si="11"/>
        <v>0</v>
      </c>
      <c r="S41" s="65">
        <f t="shared" si="11"/>
        <v>0.23975999999999997</v>
      </c>
      <c r="T41" s="65">
        <f t="shared" si="11"/>
        <v>0</v>
      </c>
      <c r="U41" s="126">
        <f t="shared" si="11"/>
        <v>0</v>
      </c>
    </row>
    <row r="42" spans="1:21" s="48" customFormat="1" x14ac:dyDescent="0.25">
      <c r="A42" s="125" t="str">
        <f>N8</f>
        <v>HAFOD B/FRON 3836</v>
      </c>
      <c r="B42" s="11">
        <v>0</v>
      </c>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BOLAFRON 4718</v>
      </c>
      <c r="B43" s="11">
        <v>0</v>
      </c>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BOLAFRON 3107</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BOLAFRON 6609</v>
      </c>
      <c r="B45" s="11">
        <v>250</v>
      </c>
      <c r="C45" s="65">
        <f t="shared" si="6"/>
        <v>99.359999999999985</v>
      </c>
      <c r="D45" s="65">
        <f t="shared" si="7"/>
        <v>27.052128000000003</v>
      </c>
      <c r="E45" s="65">
        <f t="shared" si="8"/>
        <v>1.6137360000000001</v>
      </c>
      <c r="F45" s="65">
        <f t="shared" si="9"/>
        <v>2.9724623999999999</v>
      </c>
      <c r="G45" s="65">
        <f t="shared" si="5"/>
        <v>9.8640000000000005E-2</v>
      </c>
      <c r="H45" s="65">
        <f t="shared" si="5"/>
        <v>0.32039999999999996</v>
      </c>
      <c r="I45" s="65">
        <f t="shared" si="5"/>
        <v>3.2615999999999999E-2</v>
      </c>
      <c r="J45" s="65">
        <f t="shared" si="5"/>
        <v>2.3759999999999996E-3</v>
      </c>
      <c r="K45" s="65">
        <f t="shared" si="5"/>
        <v>1.008E-2</v>
      </c>
      <c r="L45" s="65">
        <f t="shared" si="5"/>
        <v>2.1600000000000001E-2</v>
      </c>
      <c r="M45" s="65">
        <f t="shared" si="5"/>
        <v>1.7064000000000003E-2</v>
      </c>
      <c r="N45" s="65">
        <f t="shared" si="5"/>
        <v>756</v>
      </c>
      <c r="O45" s="65">
        <f t="shared" si="5"/>
        <v>115.2</v>
      </c>
      <c r="P45" s="65">
        <f t="shared" si="5"/>
        <v>0</v>
      </c>
      <c r="Q45" s="65">
        <f t="shared" si="10"/>
        <v>78.3</v>
      </c>
      <c r="R45" s="65">
        <f t="shared" si="11"/>
        <v>0</v>
      </c>
      <c r="S45" s="65">
        <f t="shared" si="11"/>
        <v>0.23975999999999997</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 I Grass</v>
      </c>
      <c r="C58" s="10" t="str">
        <f>D16&amp;" I "&amp;(VLOOKUP(D14,Table24581112[],6,FALSE))</f>
        <v>Medium I Grass</v>
      </c>
      <c r="D58" s="10" t="str">
        <f>E16&amp;" I "&amp;(VLOOKUP(E14,Table24581112[],6,FALSE))</f>
        <v>Medium I Grass</v>
      </c>
      <c r="E58" s="10" t="str">
        <f>F16&amp;" I "&amp;(VLOOKUP(F14,Table24581112[],6,FALSE))</f>
        <v>Medium I Grass</v>
      </c>
      <c r="F58" s="10" t="str">
        <f>G16&amp;" I "&amp;(VLOOKUP(G14,Table24581112[],6,FALSE))</f>
        <v>Medium I Grass</v>
      </c>
      <c r="G58" s="10" t="str">
        <f>H16&amp;" I "&amp;(VLOOKUP(H14,Table24581112[],6,FALSE))</f>
        <v>Medium I Grass</v>
      </c>
      <c r="H58" s="10" t="str">
        <f>I16&amp;" I "&amp;(VLOOKUP(I14,Table24581112[],6,FALSE))</f>
        <v>Medium I Grass</v>
      </c>
      <c r="I58" s="10" t="str">
        <f>J16&amp;" I "&amp;(VLOOKUP(J14,Table24581112[],6,FALSE))</f>
        <v>Medium I Grass</v>
      </c>
      <c r="J58" s="10" t="str">
        <f>K16&amp;" I "&amp;(VLOOKUP(K14,Table24581112[],6,FALSE))</f>
        <v>Medium I Grass</v>
      </c>
      <c r="K58" s="10" t="str">
        <f>L16&amp;" I "&amp;(VLOOKUP(L14,Table24581112[],6,FALSE))</f>
        <v>Medium I Grass</v>
      </c>
      <c r="L58" s="10" t="str">
        <f>M16&amp;" I "&amp;(VLOOKUP(M14,Table24581112[],6,FALSE))</f>
        <v>Medium I Grass</v>
      </c>
      <c r="M58" s="10" t="str">
        <f>N16&amp;" I "&amp;(VLOOKUP(N14,Table24581112[],6,FALSE))</f>
        <v>Medium I Grass</v>
      </c>
      <c r="N58" s="10" t="str">
        <f>O16&amp;" I "&amp;(VLOOKUP(O14,Table24581112[],6,FALSE))</f>
        <v>Medium I Grass</v>
      </c>
      <c r="O58" s="10" t="str">
        <f>P16&amp;" I "&amp;(VLOOKUP(P14,Table24581112[],6,FALSE))</f>
        <v>Medium I Grass</v>
      </c>
      <c r="P58" s="10" t="str">
        <f>Q16&amp;" I "&amp;(VLOOKUP(Q14,Table24581112[],6,FALSE))</f>
        <v>Medium I Grass</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f>VLOOKUP(P$14,Table24581112[],5,FALSE)</f>
        <v>6.2</v>
      </c>
      <c r="P59" s="64">
        <f>VLOOKUP(Q$14,Table24581112[],5,FALSE)</f>
        <v>6.2</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0</v>
      </c>
      <c r="D62" s="65">
        <f>B33</f>
        <v>250</v>
      </c>
      <c r="E62" s="65">
        <f>B34</f>
        <v>250</v>
      </c>
      <c r="F62" s="65">
        <f>B35</f>
        <v>0</v>
      </c>
      <c r="G62" s="65">
        <f>B36</f>
        <v>0</v>
      </c>
      <c r="H62" s="65">
        <f>B37</f>
        <v>250</v>
      </c>
      <c r="I62" s="65">
        <f>B38</f>
        <v>250</v>
      </c>
      <c r="J62" s="65">
        <f>B39</f>
        <v>250</v>
      </c>
      <c r="K62" s="65">
        <f>B40</f>
        <v>250</v>
      </c>
      <c r="L62" s="65">
        <f>B41</f>
        <v>250</v>
      </c>
      <c r="M62" s="65">
        <f>B42</f>
        <v>0</v>
      </c>
      <c r="N62" s="65">
        <f>B43</f>
        <v>0</v>
      </c>
      <c r="O62" s="65">
        <f>B44</f>
        <v>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9" sqref="A29:A3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6.2</v>
      </c>
      <c r="J1" s="130" t="s">
        <v>153</v>
      </c>
      <c r="K1" s="131"/>
      <c r="L1" s="109">
        <v>43.4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186</v>
      </c>
      <c r="G2" s="164" t="s">
        <v>110</v>
      </c>
      <c r="H2" s="165"/>
      <c r="I2" s="110"/>
      <c r="J2" s="132" t="s">
        <v>158</v>
      </c>
      <c r="K2" s="133"/>
      <c r="L2" s="110">
        <v>2.31</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c r="J3" s="134" t="s">
        <v>154</v>
      </c>
      <c r="K3" s="135"/>
      <c r="L3" s="110">
        <f>(L1/(L2*10000))*100</f>
        <v>0.18787878787878787</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189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79.329426049999981</v>
      </c>
      <c r="D18" s="12">
        <f>$D32</f>
        <v>79.329426049999981</v>
      </c>
      <c r="E18" s="12">
        <f>$D33</f>
        <v>79.329426049999981</v>
      </c>
      <c r="F18" s="12">
        <f>$D34</f>
        <v>79.329426049999981</v>
      </c>
      <c r="G18" s="12">
        <f>$D35</f>
        <v>79.329426049999981</v>
      </c>
      <c r="H18" s="12">
        <f>$D36</f>
        <v>79.329426049999981</v>
      </c>
      <c r="I18" s="12">
        <f>$D37</f>
        <v>79.329426049999981</v>
      </c>
      <c r="J18" s="12">
        <f>$D38</f>
        <v>79.329426049999981</v>
      </c>
      <c r="K18" s="12">
        <f>$D39</f>
        <v>79.329426049999981</v>
      </c>
      <c r="L18" s="12">
        <f>$D40</f>
        <v>79.329426049999981</v>
      </c>
      <c r="M18" s="12">
        <f>$D41</f>
        <v>79.329426049999981</v>
      </c>
      <c r="N18" s="12">
        <f>$D42</f>
        <v>79.329426049999981</v>
      </c>
      <c r="O18" s="12">
        <f>$D43</f>
        <v>79.329426049999981</v>
      </c>
      <c r="P18" s="12">
        <f>$D44</f>
        <v>79.329426049999981</v>
      </c>
      <c r="Q18" s="12">
        <f>$D45</f>
        <v>79.329426049999981</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-0.57057395000001065</v>
      </c>
      <c r="D19" s="12">
        <f t="shared" ref="D19:V19" si="1">D18-D17</f>
        <v>-0.57057395000001065</v>
      </c>
      <c r="E19" s="12">
        <f t="shared" si="1"/>
        <v>-0.57057395000001065</v>
      </c>
      <c r="F19" s="12">
        <f t="shared" si="1"/>
        <v>-0.57057395000001065</v>
      </c>
      <c r="G19" s="12">
        <f t="shared" si="1"/>
        <v>-0.57057395000001065</v>
      </c>
      <c r="H19" s="12">
        <f t="shared" si="1"/>
        <v>-0.57057395000001065</v>
      </c>
      <c r="I19" s="12">
        <f t="shared" si="1"/>
        <v>-0.57057395000001065</v>
      </c>
      <c r="J19" s="12">
        <f t="shared" si="1"/>
        <v>-0.57057395000001065</v>
      </c>
      <c r="K19" s="12">
        <f t="shared" si="1"/>
        <v>-0.57057395000001065</v>
      </c>
      <c r="L19" s="12">
        <f t="shared" si="1"/>
        <v>-0.57057395000001065</v>
      </c>
      <c r="M19" s="12">
        <f t="shared" si="1"/>
        <v>-0.57057395000001065</v>
      </c>
      <c r="N19" s="12">
        <f t="shared" si="1"/>
        <v>-0.57057395000001065</v>
      </c>
      <c r="O19" s="12">
        <f t="shared" si="1"/>
        <v>-0.57057395000001065</v>
      </c>
      <c r="P19" s="12">
        <f t="shared" si="1"/>
        <v>-0.57057395000001065</v>
      </c>
      <c r="Q19" s="12">
        <f t="shared" si="1"/>
        <v>-0.57057395000001065</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0.41067906250000002</v>
      </c>
      <c r="D22" s="12">
        <f>$E32</f>
        <v>0.41067906250000002</v>
      </c>
      <c r="E22" s="12">
        <f>$E33</f>
        <v>0.41067906250000002</v>
      </c>
      <c r="F22" s="12">
        <f>$E34</f>
        <v>0.41067906250000002</v>
      </c>
      <c r="G22" s="12">
        <f>$E35</f>
        <v>0.41067906250000002</v>
      </c>
      <c r="H22" s="12">
        <f>$E36</f>
        <v>0.41067906250000002</v>
      </c>
      <c r="I22" s="12">
        <f>$E37</f>
        <v>0.41067906250000002</v>
      </c>
      <c r="J22" s="12">
        <f>$E38</f>
        <v>0.41067906250000002</v>
      </c>
      <c r="K22" s="12">
        <f>$E39</f>
        <v>0.41067906250000002</v>
      </c>
      <c r="L22" s="12">
        <f>$E40</f>
        <v>0.41067906250000002</v>
      </c>
      <c r="M22" s="12">
        <f>$E41</f>
        <v>0.41067906250000002</v>
      </c>
      <c r="N22" s="12">
        <f>$E42</f>
        <v>0.41067906250000002</v>
      </c>
      <c r="O22" s="12">
        <f>$E43</f>
        <v>0.41067906250000002</v>
      </c>
      <c r="P22" s="12">
        <f>$E44</f>
        <v>0.41067906250000002</v>
      </c>
      <c r="Q22" s="12">
        <f>$E45</f>
        <v>0.41067906250000002</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-281.58932093750002</v>
      </c>
      <c r="D23" s="12">
        <f t="shared" ref="D23:V23" si="3">D22-D21</f>
        <v>-281.58932093750002</v>
      </c>
      <c r="E23" s="12">
        <f t="shared" si="3"/>
        <v>-281.58932093750002</v>
      </c>
      <c r="F23" s="12">
        <f t="shared" si="3"/>
        <v>-281.58932093750002</v>
      </c>
      <c r="G23" s="12">
        <f t="shared" si="3"/>
        <v>-281.58932093750002</v>
      </c>
      <c r="H23" s="12">
        <f t="shared" si="3"/>
        <v>-281.58932093750002</v>
      </c>
      <c r="I23" s="12">
        <f t="shared" si="3"/>
        <v>-281.58932093750002</v>
      </c>
      <c r="J23" s="12">
        <f t="shared" si="3"/>
        <v>-281.58932093750002</v>
      </c>
      <c r="K23" s="12">
        <f t="shared" si="3"/>
        <v>-281.58932093750002</v>
      </c>
      <c r="L23" s="12">
        <f t="shared" si="3"/>
        <v>-281.58932093750002</v>
      </c>
      <c r="M23" s="12">
        <f t="shared" si="3"/>
        <v>-281.58932093750002</v>
      </c>
      <c r="N23" s="12">
        <f t="shared" si="3"/>
        <v>-281.58932093750002</v>
      </c>
      <c r="O23" s="12">
        <f t="shared" si="3"/>
        <v>-281.58932093750002</v>
      </c>
      <c r="P23" s="12">
        <f t="shared" si="3"/>
        <v>-281.58932093750002</v>
      </c>
      <c r="Q23" s="12">
        <f t="shared" si="3"/>
        <v>-281.58932093750002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2.87</v>
      </c>
      <c r="C28" s="11">
        <v>2.31</v>
      </c>
      <c r="D28" s="11">
        <v>1.27</v>
      </c>
      <c r="E28" s="11">
        <v>1.2500000000000001E-2</v>
      </c>
      <c r="F28" s="11">
        <v>1220</v>
      </c>
      <c r="G28" s="11">
        <v>17.2</v>
      </c>
      <c r="H28" s="11">
        <v>398</v>
      </c>
      <c r="I28" s="11">
        <v>60</v>
      </c>
      <c r="J28" s="11">
        <v>0.46</v>
      </c>
      <c r="K28" s="15">
        <v>1.41</v>
      </c>
      <c r="L28" s="11">
        <v>31.9</v>
      </c>
      <c r="M28" s="11">
        <v>16.5</v>
      </c>
      <c r="N28" s="11">
        <v>9180</v>
      </c>
      <c r="O28" s="11">
        <v>477000</v>
      </c>
      <c r="P28" s="11"/>
      <c r="Q28" s="11">
        <v>4410</v>
      </c>
      <c r="R28" s="11"/>
      <c r="S28" s="11">
        <v>32.799999999999997</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95</v>
      </c>
      <c r="C31" s="65">
        <f>IF(C$27="%w/w SAR",((C$28*10)*$B31),IF(C$27="%w/w DM",(((C$28*10)*($B$28/100))*$B31),IF(C$27="kg/t SAR",(C$28*$B31),IF(C$27="kg/t DM",((C$28*($B$28/100))*$B31),IF(C$27="mg/kg SAR",((C$28*0.001)*$B31),IF(C$27="mg/kg DM",(((C$28*0.001)*($B$28/100))*$B31),0))))))</f>
        <v>62.982150000000004</v>
      </c>
      <c r="D31" s="65">
        <f>(IF(D$27="%w/w SAR",((D$28*10)*$B31),IF(D$27="%w/w DM",(((D$28*10)*($B$28/100))*$B31),IF(D$27="kg/t SAR",(D$28*$B31),IF(D$27="kg/t DM",((D$28*($B$28/100))*$B31),IF(D$27="mg/kg SAR",((D$28*0.001)*$B31),IF(D$27="mg/kg DM",(((D$28*0.001)*($B$28/100))*$B31),"0")))))))*2.291</f>
        <v>79.329426049999981</v>
      </c>
      <c r="E31" s="65">
        <f>(IF(E$27="%w/w SAR",((E$28*10)*$B31),IF(E$27="%w/w DM",(((E$28*10)*($B$28/100))*$B31),IF(E$27="kg/t SAR",(E$28*$B31),IF(E$27="kg/t DM",((E$28*($B$28/100))*$B31),IF(E$27="mg/kg SAR",((E$28*0.001)*$B31),IF(E$27="mg/kg DM",(((E$28*0.001)*($B$28/100))*$B31),"0")))))))*1.205</f>
        <v>0.41067906250000002</v>
      </c>
      <c r="F31" s="65">
        <f>(IF(F$27="%w/w SAR",((F$28*10)*$B31),IF(F$27="%w/w DM",(((F$28*10)*($B$28/100))*$B31),IF(F$27="kg/t SAR",(F$28*$B31),IF(F$27="kg/t DM",((F$28*($B$28/100))*$B31),IF(F$27="mg/kg SAR",((F$28*0.001)*$B31),IF(F$27="mg/kg DM",(((F$28*0.001)*($B$28/100))*$B31),"0")))))))*1.658</f>
        <v>5.5150551399999994</v>
      </c>
      <c r="G31" s="65">
        <f t="shared" ref="G31:P46" si="5">IF(G$27="%w/w SAR",((G$28*10)*$B31),IF(G$27="%w/w DM",(((G$28*10)*($B$28/100))*$B31),IF(G$27="kg/t SAR",(G$28*$B31),IF(G$27="kg/t DM",((G$28*($B$28/100))*$B31),IF(G$27="mg/kg SAR",((G$28*0.001)*$B31),IF(G$27="mg/kg DM",(((G$28*0.001)*($B$28/100))*$B31),0))))))</f>
        <v>4.6895800000000001E-2</v>
      </c>
      <c r="H31" s="65">
        <f t="shared" si="5"/>
        <v>1.0851470000000001</v>
      </c>
      <c r="I31" s="65">
        <f t="shared" si="5"/>
        <v>0.16359000000000001</v>
      </c>
      <c r="J31" s="65">
        <f t="shared" si="5"/>
        <v>1.2541900000000001E-3</v>
      </c>
      <c r="K31" s="65">
        <f t="shared" si="5"/>
        <v>3.8443649999999998E-3</v>
      </c>
      <c r="L31" s="65">
        <f t="shared" si="5"/>
        <v>8.6975349999999993E-2</v>
      </c>
      <c r="M31" s="65">
        <f t="shared" si="5"/>
        <v>4.4987250000000006E-2</v>
      </c>
      <c r="N31" s="65">
        <f t="shared" si="5"/>
        <v>25.029269999999997</v>
      </c>
      <c r="O31" s="65">
        <f t="shared" si="5"/>
        <v>1300.5405000000001</v>
      </c>
      <c r="P31" s="65">
        <f t="shared" si="5"/>
        <v>0</v>
      </c>
      <c r="Q31" s="65">
        <f>(IF(Q$27="%w/w SAR",((Q$28*10)*$B31),IF(Q$27="%w/w DM",(((Q$28*10)*($B$28/100))*$B31),IF(Q$27="kg/t SAR",(Q$28*$B31),IF(Q$27="kg/t DM",((Q$28*($B$28/100))*$B31),IF(Q$27="mg/kg SAR",((Q$28*0.001)*$B31),IF(Q$27="mg/kg DM",(((Q$28*0.001)*($B$28/100))*$B31),0)))))))*2.5</f>
        <v>30.059662500000002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8.9429199999999986E-2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95</v>
      </c>
      <c r="C32" s="65">
        <f t="shared" ref="C32:C50" si="6">IF(C$27="%w/w SAR",((C$28*10)*$B32),IF(C$27="%w/w DM",(((C$28*10)*($B$28/100))*$B32),IF(C$27="kg/t SAR",(C$28*$B32),IF(C$27="kg/t DM",((C$28*($B$28/100))*$B32),IF(C$27="mg/kg SAR",((C$28*0.001)*$B32),IF(C$27="mg/kg DM",(((C$28*0.001)*($B$28/100))*$B32),0))))))</f>
        <v>62.982150000000004</v>
      </c>
      <c r="D32" s="65">
        <f t="shared" ref="D32:D50" si="7">(IF(D$27="%w/w SAR",((D$28*10)*$B32),IF(D$27="%w/w DM",(((D$28*10)*($B$28/100))*$B32),IF(D$27="kg/t SAR",(D$28*$B32),IF(D$27="kg/t DM",((D$28*($B$28/100))*$B32),IF(D$27="mg/kg SAR",((D$28*0.001)*$B32),IF(D$27="mg/kg DM",(((D$28*0.001)*($B$28/100))*$B32),"0")))))))*2.291</f>
        <v>79.329426049999981</v>
      </c>
      <c r="E32" s="65">
        <f t="shared" ref="E32:E50" si="8">(IF(E$27="%w/w SAR",((E$28*10)*$B32),IF(E$27="%w/w DM",(((E$28*10)*($B$28/100))*$B32),IF(E$27="kg/t SAR",(E$28*$B32),IF(E$27="kg/t DM",((E$28*($B$28/100))*$B32),IF(E$27="mg/kg SAR",((E$28*0.001)*$B32),IF(E$27="mg/kg DM",(((E$28*0.001)*($B$28/100))*$B32),"0")))))))*1.205</f>
        <v>0.41067906250000002</v>
      </c>
      <c r="F32" s="65">
        <f t="shared" ref="F32:F50" si="9">(IF(F$27="%w/w SAR",((F$28*10)*$B32),IF(F$27="%w/w DM",(((F$28*10)*($B$28/100))*$B32),IF(F$27="kg/t SAR",(F$28*$B32),IF(F$27="kg/t DM",((F$28*($B$28/100))*$B32),IF(F$27="mg/kg SAR",((F$28*0.001)*$B32),IF(F$27="mg/kg DM",(((F$28*0.001)*($B$28/100))*$B32),"0")))))))*1.658</f>
        <v>5.5150551399999994</v>
      </c>
      <c r="G32" s="65">
        <f t="shared" si="5"/>
        <v>4.6895800000000001E-2</v>
      </c>
      <c r="H32" s="65">
        <f t="shared" si="5"/>
        <v>1.0851470000000001</v>
      </c>
      <c r="I32" s="65">
        <f t="shared" si="5"/>
        <v>0.16359000000000001</v>
      </c>
      <c r="J32" s="65">
        <f t="shared" si="5"/>
        <v>1.2541900000000001E-3</v>
      </c>
      <c r="K32" s="65">
        <f t="shared" si="5"/>
        <v>3.8443649999999998E-3</v>
      </c>
      <c r="L32" s="65">
        <f t="shared" si="5"/>
        <v>8.6975349999999993E-2</v>
      </c>
      <c r="M32" s="65">
        <f t="shared" si="5"/>
        <v>4.4987250000000006E-2</v>
      </c>
      <c r="N32" s="65">
        <f t="shared" si="5"/>
        <v>25.029269999999997</v>
      </c>
      <c r="O32" s="65">
        <f t="shared" si="5"/>
        <v>1300.5405000000001</v>
      </c>
      <c r="P32" s="65">
        <f t="shared" si="5"/>
        <v>0</v>
      </c>
      <c r="Q32" s="65">
        <f t="shared" ref="Q32:Q50" si="10">(IF(Q$27="%w/w SAR",((Q$28*10)*$B32),IF(Q$27="%w/w DM",(((Q$28*10)*($B$28/100))*$B32),IF(Q$27="kg/t SAR",(Q$28*$B32),IF(Q$27="kg/t DM",((Q$28*($B$28/100))*$B32),IF(Q$27="mg/kg SAR",((Q$28*0.001)*$B32),IF(Q$27="mg/kg DM",(((Q$28*0.001)*($B$28/100))*$B32),0)))))))*2.5</f>
        <v>30.059662500000002</v>
      </c>
      <c r="R32" s="65">
        <f t="shared" ref="R32:U50" si="11">IF(R$27="%w/w SAR",((R$28*10)*$B32),IF(R$27="%w/w DM",(((R$28*10)*($B$28/100))*$B32),IF(R$27="kg/t SAR",(R$28*$B32),IF(R$27="kg/t DM",((R$28*($B$28/100))*$B32),IF(R$27="mg/kg SAR",((R$28*0.001)*$B32),IF(R$27="mg/kg DM",(((R$28*0.001)*($B$28/100))*$B32),0))))))</f>
        <v>0</v>
      </c>
      <c r="S32" s="65">
        <f t="shared" si="11"/>
        <v>8.9429199999999986E-2</v>
      </c>
      <c r="T32" s="65">
        <f t="shared" si="11"/>
        <v>0</v>
      </c>
      <c r="U32" s="126">
        <f t="shared" si="11"/>
        <v>0</v>
      </c>
    </row>
    <row r="33" spans="1:21" s="48" customFormat="1" x14ac:dyDescent="0.25">
      <c r="A33" s="125" t="str">
        <f>E8</f>
        <v>6-B</v>
      </c>
      <c r="B33" s="11">
        <v>95</v>
      </c>
      <c r="C33" s="65">
        <f t="shared" si="6"/>
        <v>62.982150000000004</v>
      </c>
      <c r="D33" s="65">
        <f t="shared" si="7"/>
        <v>79.329426049999981</v>
      </c>
      <c r="E33" s="65">
        <f t="shared" si="8"/>
        <v>0.41067906250000002</v>
      </c>
      <c r="F33" s="65">
        <f t="shared" si="9"/>
        <v>5.5150551399999994</v>
      </c>
      <c r="G33" s="65">
        <f t="shared" si="5"/>
        <v>4.6895800000000001E-2</v>
      </c>
      <c r="H33" s="65">
        <f t="shared" si="5"/>
        <v>1.0851470000000001</v>
      </c>
      <c r="I33" s="65">
        <f t="shared" si="5"/>
        <v>0.16359000000000001</v>
      </c>
      <c r="J33" s="65">
        <f t="shared" si="5"/>
        <v>1.2541900000000001E-3</v>
      </c>
      <c r="K33" s="65">
        <f t="shared" si="5"/>
        <v>3.8443649999999998E-3</v>
      </c>
      <c r="L33" s="65">
        <f t="shared" si="5"/>
        <v>8.6975349999999993E-2</v>
      </c>
      <c r="M33" s="65">
        <f t="shared" si="5"/>
        <v>4.4987250000000006E-2</v>
      </c>
      <c r="N33" s="65">
        <f t="shared" si="5"/>
        <v>25.029269999999997</v>
      </c>
      <c r="O33" s="65">
        <f t="shared" si="5"/>
        <v>1300.5405000000001</v>
      </c>
      <c r="P33" s="65">
        <f t="shared" si="5"/>
        <v>0</v>
      </c>
      <c r="Q33" s="65">
        <f t="shared" si="10"/>
        <v>30.059662500000002</v>
      </c>
      <c r="R33" s="65">
        <f t="shared" si="11"/>
        <v>0</v>
      </c>
      <c r="S33" s="65">
        <f t="shared" si="11"/>
        <v>8.9429199999999986E-2</v>
      </c>
      <c r="T33" s="65">
        <f t="shared" si="11"/>
        <v>0</v>
      </c>
      <c r="U33" s="126">
        <f t="shared" si="11"/>
        <v>0</v>
      </c>
    </row>
    <row r="34" spans="1:21" s="48" customFormat="1" x14ac:dyDescent="0.25">
      <c r="A34" s="125" t="str">
        <f>F8</f>
        <v>7-B</v>
      </c>
      <c r="B34" s="11">
        <v>95</v>
      </c>
      <c r="C34" s="65">
        <f t="shared" si="6"/>
        <v>62.982150000000004</v>
      </c>
      <c r="D34" s="65">
        <f t="shared" si="7"/>
        <v>79.329426049999981</v>
      </c>
      <c r="E34" s="65">
        <f t="shared" si="8"/>
        <v>0.41067906250000002</v>
      </c>
      <c r="F34" s="65">
        <f t="shared" si="9"/>
        <v>5.5150551399999994</v>
      </c>
      <c r="G34" s="65">
        <f t="shared" si="5"/>
        <v>4.6895800000000001E-2</v>
      </c>
      <c r="H34" s="65">
        <f t="shared" si="5"/>
        <v>1.0851470000000001</v>
      </c>
      <c r="I34" s="65">
        <f t="shared" si="5"/>
        <v>0.16359000000000001</v>
      </c>
      <c r="J34" s="65">
        <f t="shared" si="5"/>
        <v>1.2541900000000001E-3</v>
      </c>
      <c r="K34" s="65">
        <f t="shared" si="5"/>
        <v>3.8443649999999998E-3</v>
      </c>
      <c r="L34" s="65">
        <f t="shared" si="5"/>
        <v>8.6975349999999993E-2</v>
      </c>
      <c r="M34" s="65">
        <f t="shared" si="5"/>
        <v>4.4987250000000006E-2</v>
      </c>
      <c r="N34" s="65">
        <f t="shared" si="5"/>
        <v>25.029269999999997</v>
      </c>
      <c r="O34" s="65">
        <f t="shared" si="5"/>
        <v>1300.5405000000001</v>
      </c>
      <c r="P34" s="65">
        <f t="shared" si="5"/>
        <v>0</v>
      </c>
      <c r="Q34" s="65">
        <f t="shared" si="10"/>
        <v>30.059662500000002</v>
      </c>
      <c r="R34" s="65">
        <f t="shared" si="11"/>
        <v>0</v>
      </c>
      <c r="S34" s="65">
        <f t="shared" si="11"/>
        <v>8.9429199999999986E-2</v>
      </c>
      <c r="T34" s="65">
        <f t="shared" si="11"/>
        <v>0</v>
      </c>
      <c r="U34" s="126">
        <f t="shared" si="11"/>
        <v>0</v>
      </c>
    </row>
    <row r="35" spans="1:21" s="48" customFormat="1" x14ac:dyDescent="0.25">
      <c r="A35" s="125" t="str">
        <f>G8</f>
        <v>8-B</v>
      </c>
      <c r="B35" s="11">
        <v>95</v>
      </c>
      <c r="C35" s="65">
        <f t="shared" si="6"/>
        <v>62.982150000000004</v>
      </c>
      <c r="D35" s="65">
        <f t="shared" si="7"/>
        <v>79.329426049999981</v>
      </c>
      <c r="E35" s="65">
        <f t="shared" si="8"/>
        <v>0.41067906250000002</v>
      </c>
      <c r="F35" s="65">
        <f t="shared" si="9"/>
        <v>5.5150551399999994</v>
      </c>
      <c r="G35" s="65">
        <f t="shared" si="5"/>
        <v>4.6895800000000001E-2</v>
      </c>
      <c r="H35" s="65">
        <f t="shared" si="5"/>
        <v>1.0851470000000001</v>
      </c>
      <c r="I35" s="65">
        <f t="shared" si="5"/>
        <v>0.16359000000000001</v>
      </c>
      <c r="J35" s="65">
        <f t="shared" si="5"/>
        <v>1.2541900000000001E-3</v>
      </c>
      <c r="K35" s="65">
        <f t="shared" si="5"/>
        <v>3.8443649999999998E-3</v>
      </c>
      <c r="L35" s="65">
        <f t="shared" si="5"/>
        <v>8.6975349999999993E-2</v>
      </c>
      <c r="M35" s="65">
        <f t="shared" si="5"/>
        <v>4.4987250000000006E-2</v>
      </c>
      <c r="N35" s="65">
        <f t="shared" si="5"/>
        <v>25.029269999999997</v>
      </c>
      <c r="O35" s="65">
        <f t="shared" si="5"/>
        <v>1300.5405000000001</v>
      </c>
      <c r="P35" s="65">
        <f t="shared" si="5"/>
        <v>0</v>
      </c>
      <c r="Q35" s="65">
        <f t="shared" si="10"/>
        <v>30.059662500000002</v>
      </c>
      <c r="R35" s="65">
        <f t="shared" si="11"/>
        <v>0</v>
      </c>
      <c r="S35" s="65">
        <f t="shared" si="11"/>
        <v>8.9429199999999986E-2</v>
      </c>
      <c r="T35" s="65">
        <f t="shared" si="11"/>
        <v>0</v>
      </c>
      <c r="U35" s="126">
        <f t="shared" si="11"/>
        <v>0</v>
      </c>
    </row>
    <row r="36" spans="1:21" s="48" customFormat="1" x14ac:dyDescent="0.25">
      <c r="A36" s="125" t="str">
        <f>H8</f>
        <v>9-B</v>
      </c>
      <c r="B36" s="11">
        <v>95</v>
      </c>
      <c r="C36" s="65">
        <f t="shared" si="6"/>
        <v>62.982150000000004</v>
      </c>
      <c r="D36" s="65">
        <f t="shared" si="7"/>
        <v>79.329426049999981</v>
      </c>
      <c r="E36" s="65">
        <f t="shared" si="8"/>
        <v>0.41067906250000002</v>
      </c>
      <c r="F36" s="65">
        <f t="shared" si="9"/>
        <v>5.5150551399999994</v>
      </c>
      <c r="G36" s="65">
        <f t="shared" si="5"/>
        <v>4.6895800000000001E-2</v>
      </c>
      <c r="H36" s="65">
        <f t="shared" si="5"/>
        <v>1.0851470000000001</v>
      </c>
      <c r="I36" s="65">
        <f t="shared" si="5"/>
        <v>0.16359000000000001</v>
      </c>
      <c r="J36" s="65">
        <f t="shared" si="5"/>
        <v>1.2541900000000001E-3</v>
      </c>
      <c r="K36" s="65">
        <f t="shared" si="5"/>
        <v>3.8443649999999998E-3</v>
      </c>
      <c r="L36" s="65">
        <f t="shared" si="5"/>
        <v>8.6975349999999993E-2</v>
      </c>
      <c r="M36" s="65">
        <f t="shared" si="5"/>
        <v>4.4987250000000006E-2</v>
      </c>
      <c r="N36" s="65">
        <f t="shared" si="5"/>
        <v>25.029269999999997</v>
      </c>
      <c r="O36" s="65">
        <f t="shared" si="5"/>
        <v>1300.5405000000001</v>
      </c>
      <c r="P36" s="65">
        <f t="shared" si="5"/>
        <v>0</v>
      </c>
      <c r="Q36" s="65">
        <f t="shared" si="10"/>
        <v>30.059662500000002</v>
      </c>
      <c r="R36" s="65">
        <f t="shared" si="11"/>
        <v>0</v>
      </c>
      <c r="S36" s="65">
        <f t="shared" si="11"/>
        <v>8.9429199999999986E-2</v>
      </c>
      <c r="T36" s="65">
        <f t="shared" si="11"/>
        <v>0</v>
      </c>
      <c r="U36" s="126">
        <f t="shared" si="11"/>
        <v>0</v>
      </c>
    </row>
    <row r="37" spans="1:21" s="48" customFormat="1" x14ac:dyDescent="0.25">
      <c r="A37" s="125" t="str">
        <f>I8</f>
        <v>8222-B</v>
      </c>
      <c r="B37" s="11">
        <v>95</v>
      </c>
      <c r="C37" s="65">
        <f t="shared" si="6"/>
        <v>62.982150000000004</v>
      </c>
      <c r="D37" s="65">
        <f t="shared" si="7"/>
        <v>79.329426049999981</v>
      </c>
      <c r="E37" s="65">
        <f t="shared" si="8"/>
        <v>0.41067906250000002</v>
      </c>
      <c r="F37" s="65">
        <f t="shared" si="9"/>
        <v>5.5150551399999994</v>
      </c>
      <c r="G37" s="65">
        <f t="shared" si="5"/>
        <v>4.6895800000000001E-2</v>
      </c>
      <c r="H37" s="65">
        <f t="shared" si="5"/>
        <v>1.0851470000000001</v>
      </c>
      <c r="I37" s="65">
        <f t="shared" si="5"/>
        <v>0.16359000000000001</v>
      </c>
      <c r="J37" s="65">
        <f t="shared" si="5"/>
        <v>1.2541900000000001E-3</v>
      </c>
      <c r="K37" s="65">
        <f t="shared" si="5"/>
        <v>3.8443649999999998E-3</v>
      </c>
      <c r="L37" s="65">
        <f t="shared" si="5"/>
        <v>8.6975349999999993E-2</v>
      </c>
      <c r="M37" s="65">
        <f t="shared" si="5"/>
        <v>4.4987250000000006E-2</v>
      </c>
      <c r="N37" s="65">
        <f t="shared" si="5"/>
        <v>25.029269999999997</v>
      </c>
      <c r="O37" s="65">
        <f t="shared" si="5"/>
        <v>1300.5405000000001</v>
      </c>
      <c r="P37" s="65">
        <f t="shared" si="5"/>
        <v>0</v>
      </c>
      <c r="Q37" s="65">
        <f t="shared" si="10"/>
        <v>30.059662500000002</v>
      </c>
      <c r="R37" s="65">
        <f t="shared" si="11"/>
        <v>0</v>
      </c>
      <c r="S37" s="65">
        <f t="shared" si="11"/>
        <v>8.9429199999999986E-2</v>
      </c>
      <c r="T37" s="65">
        <f t="shared" si="11"/>
        <v>0</v>
      </c>
      <c r="U37" s="126">
        <f t="shared" si="11"/>
        <v>0</v>
      </c>
    </row>
    <row r="38" spans="1:21" s="48" customFormat="1" x14ac:dyDescent="0.25">
      <c r="A38" s="125" t="str">
        <f>J8</f>
        <v>7233-B</v>
      </c>
      <c r="B38" s="11">
        <v>95</v>
      </c>
      <c r="C38" s="65">
        <f t="shared" si="6"/>
        <v>62.982150000000004</v>
      </c>
      <c r="D38" s="65">
        <f t="shared" si="7"/>
        <v>79.329426049999981</v>
      </c>
      <c r="E38" s="65">
        <f t="shared" si="8"/>
        <v>0.41067906250000002</v>
      </c>
      <c r="F38" s="65">
        <f t="shared" si="9"/>
        <v>5.5150551399999994</v>
      </c>
      <c r="G38" s="65">
        <f t="shared" si="5"/>
        <v>4.6895800000000001E-2</v>
      </c>
      <c r="H38" s="65">
        <f t="shared" si="5"/>
        <v>1.0851470000000001</v>
      </c>
      <c r="I38" s="65">
        <f t="shared" si="5"/>
        <v>0.16359000000000001</v>
      </c>
      <c r="J38" s="65">
        <f t="shared" si="5"/>
        <v>1.2541900000000001E-3</v>
      </c>
      <c r="K38" s="65">
        <f t="shared" si="5"/>
        <v>3.8443649999999998E-3</v>
      </c>
      <c r="L38" s="65">
        <f t="shared" si="5"/>
        <v>8.6975349999999993E-2</v>
      </c>
      <c r="M38" s="65">
        <f t="shared" si="5"/>
        <v>4.4987250000000006E-2</v>
      </c>
      <c r="N38" s="65">
        <f t="shared" si="5"/>
        <v>25.029269999999997</v>
      </c>
      <c r="O38" s="65">
        <f t="shared" si="5"/>
        <v>1300.5405000000001</v>
      </c>
      <c r="P38" s="65">
        <f t="shared" si="5"/>
        <v>0</v>
      </c>
      <c r="Q38" s="65">
        <f t="shared" si="10"/>
        <v>30.059662500000002</v>
      </c>
      <c r="R38" s="65">
        <f t="shared" si="11"/>
        <v>0</v>
      </c>
      <c r="S38" s="65">
        <f t="shared" si="11"/>
        <v>8.9429199999999986E-2</v>
      </c>
      <c r="T38" s="65">
        <f t="shared" si="11"/>
        <v>0</v>
      </c>
      <c r="U38" s="126">
        <f t="shared" si="11"/>
        <v>0</v>
      </c>
    </row>
    <row r="39" spans="1:21" s="48" customFormat="1" x14ac:dyDescent="0.25">
      <c r="A39" s="125" t="str">
        <f>K8</f>
        <v>5641-B</v>
      </c>
      <c r="B39" s="11">
        <v>95</v>
      </c>
      <c r="C39" s="65">
        <f t="shared" si="6"/>
        <v>62.982150000000004</v>
      </c>
      <c r="D39" s="65">
        <f t="shared" si="7"/>
        <v>79.329426049999981</v>
      </c>
      <c r="E39" s="65">
        <f t="shared" si="8"/>
        <v>0.41067906250000002</v>
      </c>
      <c r="F39" s="65">
        <f t="shared" si="9"/>
        <v>5.5150551399999994</v>
      </c>
      <c r="G39" s="65">
        <f t="shared" si="5"/>
        <v>4.6895800000000001E-2</v>
      </c>
      <c r="H39" s="65">
        <f t="shared" si="5"/>
        <v>1.0851470000000001</v>
      </c>
      <c r="I39" s="65">
        <f t="shared" si="5"/>
        <v>0.16359000000000001</v>
      </c>
      <c r="J39" s="65">
        <f t="shared" si="5"/>
        <v>1.2541900000000001E-3</v>
      </c>
      <c r="K39" s="65">
        <f t="shared" si="5"/>
        <v>3.8443649999999998E-3</v>
      </c>
      <c r="L39" s="65">
        <f t="shared" si="5"/>
        <v>8.6975349999999993E-2</v>
      </c>
      <c r="M39" s="65">
        <f t="shared" si="5"/>
        <v>4.4987250000000006E-2</v>
      </c>
      <c r="N39" s="65">
        <f t="shared" si="5"/>
        <v>25.029269999999997</v>
      </c>
      <c r="O39" s="65">
        <f t="shared" si="5"/>
        <v>1300.5405000000001</v>
      </c>
      <c r="P39" s="65">
        <f t="shared" si="5"/>
        <v>0</v>
      </c>
      <c r="Q39" s="65">
        <f t="shared" si="10"/>
        <v>30.059662500000002</v>
      </c>
      <c r="R39" s="65">
        <f t="shared" si="11"/>
        <v>0</v>
      </c>
      <c r="S39" s="65">
        <f t="shared" si="11"/>
        <v>8.9429199999999986E-2</v>
      </c>
      <c r="T39" s="65">
        <f t="shared" si="11"/>
        <v>0</v>
      </c>
      <c r="U39" s="126">
        <f t="shared" si="11"/>
        <v>0</v>
      </c>
    </row>
    <row r="40" spans="1:21" s="48" customFormat="1" x14ac:dyDescent="0.25">
      <c r="A40" s="125" t="str">
        <f>L8</f>
        <v>4956-B</v>
      </c>
      <c r="B40" s="11">
        <v>95</v>
      </c>
      <c r="C40" s="65">
        <f t="shared" si="6"/>
        <v>62.982150000000004</v>
      </c>
      <c r="D40" s="65">
        <f t="shared" si="7"/>
        <v>79.329426049999981</v>
      </c>
      <c r="E40" s="65">
        <f t="shared" si="8"/>
        <v>0.41067906250000002</v>
      </c>
      <c r="F40" s="65">
        <f t="shared" si="9"/>
        <v>5.5150551399999994</v>
      </c>
      <c r="G40" s="65">
        <f t="shared" si="5"/>
        <v>4.6895800000000001E-2</v>
      </c>
      <c r="H40" s="65">
        <f t="shared" si="5"/>
        <v>1.0851470000000001</v>
      </c>
      <c r="I40" s="65">
        <f t="shared" si="5"/>
        <v>0.16359000000000001</v>
      </c>
      <c r="J40" s="65">
        <f t="shared" si="5"/>
        <v>1.2541900000000001E-3</v>
      </c>
      <c r="K40" s="65">
        <f t="shared" si="5"/>
        <v>3.8443649999999998E-3</v>
      </c>
      <c r="L40" s="65">
        <f t="shared" si="5"/>
        <v>8.6975349999999993E-2</v>
      </c>
      <c r="M40" s="65">
        <f t="shared" si="5"/>
        <v>4.4987250000000006E-2</v>
      </c>
      <c r="N40" s="65">
        <f t="shared" si="5"/>
        <v>25.029269999999997</v>
      </c>
      <c r="O40" s="65">
        <f t="shared" si="5"/>
        <v>1300.5405000000001</v>
      </c>
      <c r="P40" s="65">
        <f t="shared" si="5"/>
        <v>0</v>
      </c>
      <c r="Q40" s="65">
        <f t="shared" si="10"/>
        <v>30.059662500000002</v>
      </c>
      <c r="R40" s="65">
        <f t="shared" si="11"/>
        <v>0</v>
      </c>
      <c r="S40" s="65">
        <f t="shared" si="11"/>
        <v>8.9429199999999986E-2</v>
      </c>
      <c r="T40" s="65">
        <f t="shared" si="11"/>
        <v>0</v>
      </c>
      <c r="U40" s="126">
        <f t="shared" si="11"/>
        <v>0</v>
      </c>
    </row>
    <row r="41" spans="1:21" s="48" customFormat="1" x14ac:dyDescent="0.25">
      <c r="A41" s="125" t="str">
        <f>M8</f>
        <v>HAFOD B/FRON 2849</v>
      </c>
      <c r="B41" s="11">
        <v>95</v>
      </c>
      <c r="C41" s="65">
        <f t="shared" si="6"/>
        <v>62.982150000000004</v>
      </c>
      <c r="D41" s="65">
        <f t="shared" si="7"/>
        <v>79.329426049999981</v>
      </c>
      <c r="E41" s="65">
        <f t="shared" si="8"/>
        <v>0.41067906250000002</v>
      </c>
      <c r="F41" s="65">
        <f t="shared" si="9"/>
        <v>5.5150551399999994</v>
      </c>
      <c r="G41" s="65">
        <f t="shared" si="5"/>
        <v>4.6895800000000001E-2</v>
      </c>
      <c r="H41" s="65">
        <f t="shared" si="5"/>
        <v>1.0851470000000001</v>
      </c>
      <c r="I41" s="65">
        <f t="shared" si="5"/>
        <v>0.16359000000000001</v>
      </c>
      <c r="J41" s="65">
        <f t="shared" si="5"/>
        <v>1.2541900000000001E-3</v>
      </c>
      <c r="K41" s="65">
        <f t="shared" si="5"/>
        <v>3.8443649999999998E-3</v>
      </c>
      <c r="L41" s="65">
        <f t="shared" si="5"/>
        <v>8.6975349999999993E-2</v>
      </c>
      <c r="M41" s="65">
        <f t="shared" si="5"/>
        <v>4.4987250000000006E-2</v>
      </c>
      <c r="N41" s="65">
        <f t="shared" si="5"/>
        <v>25.029269999999997</v>
      </c>
      <c r="O41" s="65">
        <f t="shared" si="5"/>
        <v>1300.5405000000001</v>
      </c>
      <c r="P41" s="65">
        <f t="shared" si="5"/>
        <v>0</v>
      </c>
      <c r="Q41" s="65">
        <f t="shared" si="10"/>
        <v>30.059662500000002</v>
      </c>
      <c r="R41" s="65">
        <f t="shared" si="11"/>
        <v>0</v>
      </c>
      <c r="S41" s="65">
        <f t="shared" si="11"/>
        <v>8.9429199999999986E-2</v>
      </c>
      <c r="T41" s="65">
        <f t="shared" si="11"/>
        <v>0</v>
      </c>
      <c r="U41" s="126">
        <f t="shared" si="11"/>
        <v>0</v>
      </c>
    </row>
    <row r="42" spans="1:21" s="48" customFormat="1" x14ac:dyDescent="0.25">
      <c r="A42" s="125" t="str">
        <f>N8</f>
        <v>HAFOD B/FRON 3836</v>
      </c>
      <c r="B42" s="11">
        <v>95</v>
      </c>
      <c r="C42" s="65">
        <f t="shared" si="6"/>
        <v>62.982150000000004</v>
      </c>
      <c r="D42" s="65">
        <f t="shared" si="7"/>
        <v>79.329426049999981</v>
      </c>
      <c r="E42" s="65">
        <f t="shared" si="8"/>
        <v>0.41067906250000002</v>
      </c>
      <c r="F42" s="65">
        <f t="shared" si="9"/>
        <v>5.5150551399999994</v>
      </c>
      <c r="G42" s="65">
        <f t="shared" si="5"/>
        <v>4.6895800000000001E-2</v>
      </c>
      <c r="H42" s="65">
        <f t="shared" si="5"/>
        <v>1.0851470000000001</v>
      </c>
      <c r="I42" s="65">
        <f t="shared" si="5"/>
        <v>0.16359000000000001</v>
      </c>
      <c r="J42" s="65">
        <f t="shared" si="5"/>
        <v>1.2541900000000001E-3</v>
      </c>
      <c r="K42" s="65">
        <f t="shared" si="5"/>
        <v>3.8443649999999998E-3</v>
      </c>
      <c r="L42" s="65">
        <f t="shared" si="5"/>
        <v>8.6975349999999993E-2</v>
      </c>
      <c r="M42" s="65">
        <f t="shared" si="5"/>
        <v>4.4987250000000006E-2</v>
      </c>
      <c r="N42" s="65">
        <f t="shared" si="5"/>
        <v>25.029269999999997</v>
      </c>
      <c r="O42" s="65">
        <f t="shared" si="5"/>
        <v>1300.5405000000001</v>
      </c>
      <c r="P42" s="65">
        <f t="shared" si="5"/>
        <v>0</v>
      </c>
      <c r="Q42" s="65">
        <f t="shared" si="10"/>
        <v>30.059662500000002</v>
      </c>
      <c r="R42" s="65">
        <f t="shared" si="11"/>
        <v>0</v>
      </c>
      <c r="S42" s="65">
        <f t="shared" si="11"/>
        <v>8.9429199999999986E-2</v>
      </c>
      <c r="T42" s="65">
        <f t="shared" si="11"/>
        <v>0</v>
      </c>
      <c r="U42" s="126">
        <f t="shared" si="11"/>
        <v>0</v>
      </c>
    </row>
    <row r="43" spans="1:21" s="48" customFormat="1" x14ac:dyDescent="0.25">
      <c r="A43" s="125" t="str">
        <f>O8</f>
        <v>BOLAFRON 4718</v>
      </c>
      <c r="B43" s="11">
        <v>95</v>
      </c>
      <c r="C43" s="65">
        <f t="shared" si="6"/>
        <v>62.982150000000004</v>
      </c>
      <c r="D43" s="65">
        <f t="shared" si="7"/>
        <v>79.329426049999981</v>
      </c>
      <c r="E43" s="65">
        <f t="shared" si="8"/>
        <v>0.41067906250000002</v>
      </c>
      <c r="F43" s="65">
        <f t="shared" si="9"/>
        <v>5.5150551399999994</v>
      </c>
      <c r="G43" s="65">
        <f t="shared" si="5"/>
        <v>4.6895800000000001E-2</v>
      </c>
      <c r="H43" s="65">
        <f t="shared" si="5"/>
        <v>1.0851470000000001</v>
      </c>
      <c r="I43" s="65">
        <f t="shared" si="5"/>
        <v>0.16359000000000001</v>
      </c>
      <c r="J43" s="65">
        <f t="shared" si="5"/>
        <v>1.2541900000000001E-3</v>
      </c>
      <c r="K43" s="65">
        <f t="shared" si="5"/>
        <v>3.8443649999999998E-3</v>
      </c>
      <c r="L43" s="65">
        <f t="shared" si="5"/>
        <v>8.6975349999999993E-2</v>
      </c>
      <c r="M43" s="65">
        <f t="shared" si="5"/>
        <v>4.4987250000000006E-2</v>
      </c>
      <c r="N43" s="65">
        <f t="shared" si="5"/>
        <v>25.029269999999997</v>
      </c>
      <c r="O43" s="65">
        <f t="shared" si="5"/>
        <v>1300.5405000000001</v>
      </c>
      <c r="P43" s="65">
        <f t="shared" si="5"/>
        <v>0</v>
      </c>
      <c r="Q43" s="65">
        <f t="shared" si="10"/>
        <v>30.059662500000002</v>
      </c>
      <c r="R43" s="65">
        <f t="shared" si="11"/>
        <v>0</v>
      </c>
      <c r="S43" s="65">
        <f t="shared" si="11"/>
        <v>8.9429199999999986E-2</v>
      </c>
      <c r="T43" s="65">
        <f t="shared" si="11"/>
        <v>0</v>
      </c>
      <c r="U43" s="126">
        <f t="shared" si="11"/>
        <v>0</v>
      </c>
    </row>
    <row r="44" spans="1:21" s="48" customFormat="1" x14ac:dyDescent="0.25">
      <c r="A44" s="125" t="str">
        <f>P8</f>
        <v>BOLAFRON 3107</v>
      </c>
      <c r="B44" s="11">
        <v>95</v>
      </c>
      <c r="C44" s="65">
        <f t="shared" si="6"/>
        <v>62.982150000000004</v>
      </c>
      <c r="D44" s="65">
        <f t="shared" si="7"/>
        <v>79.329426049999981</v>
      </c>
      <c r="E44" s="65">
        <f t="shared" si="8"/>
        <v>0.41067906250000002</v>
      </c>
      <c r="F44" s="65">
        <f t="shared" si="9"/>
        <v>5.5150551399999994</v>
      </c>
      <c r="G44" s="65">
        <f t="shared" si="5"/>
        <v>4.6895800000000001E-2</v>
      </c>
      <c r="H44" s="65">
        <f t="shared" si="5"/>
        <v>1.0851470000000001</v>
      </c>
      <c r="I44" s="65">
        <f t="shared" si="5"/>
        <v>0.16359000000000001</v>
      </c>
      <c r="J44" s="65">
        <f t="shared" si="5"/>
        <v>1.2541900000000001E-3</v>
      </c>
      <c r="K44" s="65">
        <f t="shared" si="5"/>
        <v>3.8443649999999998E-3</v>
      </c>
      <c r="L44" s="65">
        <f t="shared" si="5"/>
        <v>8.6975349999999993E-2</v>
      </c>
      <c r="M44" s="65">
        <f t="shared" si="5"/>
        <v>4.4987250000000006E-2</v>
      </c>
      <c r="N44" s="65">
        <f t="shared" si="5"/>
        <v>25.029269999999997</v>
      </c>
      <c r="O44" s="65">
        <f t="shared" si="5"/>
        <v>1300.5405000000001</v>
      </c>
      <c r="P44" s="65">
        <f t="shared" si="5"/>
        <v>0</v>
      </c>
      <c r="Q44" s="65">
        <f t="shared" si="10"/>
        <v>30.059662500000002</v>
      </c>
      <c r="R44" s="65">
        <f t="shared" si="11"/>
        <v>0</v>
      </c>
      <c r="S44" s="65">
        <f t="shared" si="11"/>
        <v>8.9429199999999986E-2</v>
      </c>
      <c r="T44" s="65">
        <f t="shared" si="11"/>
        <v>0</v>
      </c>
      <c r="U44" s="126">
        <f t="shared" si="11"/>
        <v>0</v>
      </c>
    </row>
    <row r="45" spans="1:21" s="48" customFormat="1" x14ac:dyDescent="0.25">
      <c r="A45" s="125" t="str">
        <f>Q8</f>
        <v>BOLAFRON 6609</v>
      </c>
      <c r="B45" s="11">
        <v>95</v>
      </c>
      <c r="C45" s="65">
        <f t="shared" si="6"/>
        <v>62.982150000000004</v>
      </c>
      <c r="D45" s="65">
        <f t="shared" si="7"/>
        <v>79.329426049999981</v>
      </c>
      <c r="E45" s="65">
        <f t="shared" si="8"/>
        <v>0.41067906250000002</v>
      </c>
      <c r="F45" s="65">
        <f t="shared" si="9"/>
        <v>5.5150551399999994</v>
      </c>
      <c r="G45" s="65">
        <f t="shared" si="5"/>
        <v>4.6895800000000001E-2</v>
      </c>
      <c r="H45" s="65">
        <f t="shared" si="5"/>
        <v>1.0851470000000001</v>
      </c>
      <c r="I45" s="65">
        <f t="shared" si="5"/>
        <v>0.16359000000000001</v>
      </c>
      <c r="J45" s="65">
        <f t="shared" si="5"/>
        <v>1.2541900000000001E-3</v>
      </c>
      <c r="K45" s="65">
        <f t="shared" si="5"/>
        <v>3.8443649999999998E-3</v>
      </c>
      <c r="L45" s="65">
        <f t="shared" si="5"/>
        <v>8.6975349999999993E-2</v>
      </c>
      <c r="M45" s="65">
        <f t="shared" si="5"/>
        <v>4.4987250000000006E-2</v>
      </c>
      <c r="N45" s="65">
        <f t="shared" si="5"/>
        <v>25.029269999999997</v>
      </c>
      <c r="O45" s="65">
        <f t="shared" si="5"/>
        <v>1300.5405000000001</v>
      </c>
      <c r="P45" s="65">
        <f t="shared" si="5"/>
        <v>0</v>
      </c>
      <c r="Q45" s="65">
        <f t="shared" si="10"/>
        <v>30.059662500000002</v>
      </c>
      <c r="R45" s="65">
        <f t="shared" si="11"/>
        <v>0</v>
      </c>
      <c r="S45" s="65">
        <f t="shared" si="11"/>
        <v>8.9429199999999986E-2</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 I Grass</v>
      </c>
      <c r="C58" s="10" t="str">
        <f>D16&amp;" I "&amp;(VLOOKUP(D14,Table24581114[],6,FALSE))</f>
        <v>Medium I Grass</v>
      </c>
      <c r="D58" s="10" t="str">
        <f>E16&amp;" I "&amp;(VLOOKUP(E14,Table24581114[],6,FALSE))</f>
        <v>Medium I Grass</v>
      </c>
      <c r="E58" s="10" t="str">
        <f>F16&amp;" I "&amp;(VLOOKUP(F14,Table24581114[],6,FALSE))</f>
        <v>Medium I Grass</v>
      </c>
      <c r="F58" s="10" t="str">
        <f>G16&amp;" I "&amp;(VLOOKUP(G14,Table24581114[],6,FALSE))</f>
        <v>Medium I Grass</v>
      </c>
      <c r="G58" s="10" t="str">
        <f>H16&amp;" I "&amp;(VLOOKUP(H14,Table24581114[],6,FALSE))</f>
        <v>Medium I Grass</v>
      </c>
      <c r="H58" s="10" t="str">
        <f>I16&amp;" I "&amp;(VLOOKUP(I14,Table24581114[],6,FALSE))</f>
        <v>Medium I Grass</v>
      </c>
      <c r="I58" s="10" t="str">
        <f>J16&amp;" I "&amp;(VLOOKUP(J14,Table24581114[],6,FALSE))</f>
        <v>Medium I Grass</v>
      </c>
      <c r="J58" s="10" t="str">
        <f>K16&amp;" I "&amp;(VLOOKUP(K14,Table24581114[],6,FALSE))</f>
        <v>Medium I Grass</v>
      </c>
      <c r="K58" s="10" t="str">
        <f>L16&amp;" I "&amp;(VLOOKUP(L14,Table24581114[],6,FALSE))</f>
        <v>Medium I Grass</v>
      </c>
      <c r="L58" s="10" t="str">
        <f>M16&amp;" I "&amp;(VLOOKUP(M14,Table24581114[],6,FALSE))</f>
        <v>Medium I Grass</v>
      </c>
      <c r="M58" s="10" t="str">
        <f>N16&amp;" I "&amp;(VLOOKUP(N14,Table24581114[],6,FALSE))</f>
        <v>Medium I Grass</v>
      </c>
      <c r="N58" s="10" t="str">
        <f>O16&amp;" I "&amp;(VLOOKUP(O14,Table24581114[],6,FALSE))</f>
        <v>Medium I Grass</v>
      </c>
      <c r="O58" s="10" t="str">
        <f>P16&amp;" I "&amp;(VLOOKUP(P14,Table24581114[],6,FALSE))</f>
        <v>Medium I Grass</v>
      </c>
      <c r="P58" s="10" t="str">
        <f>Q16&amp;" I "&amp;(VLOOKUP(Q14,Table24581114[],6,FALSE))</f>
        <v>Medium I Grass</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f>VLOOKUP(P$14,Table24581114[],5,FALSE)</f>
        <v>6.2</v>
      </c>
      <c r="P59" s="64">
        <f>VLOOKUP(Q$14,Table24581114[],5,FALSE)</f>
        <v>6.2</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95</v>
      </c>
      <c r="C62" s="65">
        <f>B32</f>
        <v>95</v>
      </c>
      <c r="D62" s="65">
        <f>B33</f>
        <v>95</v>
      </c>
      <c r="E62" s="65">
        <f>B34</f>
        <v>95</v>
      </c>
      <c r="F62" s="65">
        <f>B35</f>
        <v>95</v>
      </c>
      <c r="G62" s="65">
        <f>B36</f>
        <v>95</v>
      </c>
      <c r="H62" s="65">
        <f>B37</f>
        <v>95</v>
      </c>
      <c r="I62" s="65">
        <f>B38</f>
        <v>95</v>
      </c>
      <c r="J62" s="65">
        <f>B39</f>
        <v>95</v>
      </c>
      <c r="K62" s="65">
        <f>B40</f>
        <v>95</v>
      </c>
      <c r="L62" s="65">
        <f>B41</f>
        <v>95</v>
      </c>
      <c r="M62" s="65">
        <f>B42</f>
        <v>95</v>
      </c>
      <c r="N62" s="65">
        <f>B43</f>
        <v>95</v>
      </c>
      <c r="O62" s="65">
        <f>B44</f>
        <v>95</v>
      </c>
      <c r="P62" s="65">
        <f>B45</f>
        <v>95</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S29" sqref="S2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7.5</v>
      </c>
      <c r="J1" s="130" t="s">
        <v>153</v>
      </c>
      <c r="K1" s="131"/>
      <c r="L1" s="109">
        <v>234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186</v>
      </c>
      <c r="G2" s="164" t="s">
        <v>110</v>
      </c>
      <c r="H2" s="165"/>
      <c r="I2" s="110"/>
      <c r="J2" s="132" t="s">
        <v>158</v>
      </c>
      <c r="K2" s="133"/>
      <c r="L2" s="110">
        <v>0.72699999999999998</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c r="J3" s="134" t="s">
        <v>154</v>
      </c>
      <c r="K3" s="135"/>
      <c r="L3" s="110">
        <f>(L1/(L2*10000))*100</f>
        <v>3.2187070151306743</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190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6.3681781499999994</v>
      </c>
      <c r="D18" s="12">
        <f>$D32</f>
        <v>6.3681781499999994</v>
      </c>
      <c r="E18" s="12">
        <f>$D33</f>
        <v>6.3681781499999994</v>
      </c>
      <c r="F18" s="12">
        <f>$D34</f>
        <v>6.3681781499999994</v>
      </c>
      <c r="G18" s="12">
        <f>$D35</f>
        <v>6.3681781499999994</v>
      </c>
      <c r="H18" s="12">
        <f>$D36</f>
        <v>6.3681781499999994</v>
      </c>
      <c r="I18" s="12">
        <f>$D37</f>
        <v>6.3681781499999994</v>
      </c>
      <c r="J18" s="12">
        <f>$D38</f>
        <v>6.3681781499999994</v>
      </c>
      <c r="K18" s="12">
        <f>$D39</f>
        <v>6.3681781499999994</v>
      </c>
      <c r="L18" s="12">
        <f>$D40</f>
        <v>6.3681781499999994</v>
      </c>
      <c r="M18" s="12">
        <f>$D41</f>
        <v>6.3681781499999994</v>
      </c>
      <c r="N18" s="12">
        <f>$D42</f>
        <v>6.3681781499999994</v>
      </c>
      <c r="O18" s="12">
        <f>$D43</f>
        <v>6.3681781499999994</v>
      </c>
      <c r="P18" s="12">
        <f>$D44</f>
        <v>6.3681781499999994</v>
      </c>
      <c r="Q18" s="12">
        <f>$D45</f>
        <v>6.3681781499999994</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-73.531821849999986</v>
      </c>
      <c r="D19" s="12">
        <f t="shared" ref="D19:V19" si="1">D18-D17</f>
        <v>-73.531821849999986</v>
      </c>
      <c r="E19" s="12">
        <f t="shared" si="1"/>
        <v>-73.531821849999986</v>
      </c>
      <c r="F19" s="12">
        <f t="shared" si="1"/>
        <v>-73.531821849999986</v>
      </c>
      <c r="G19" s="12">
        <f t="shared" si="1"/>
        <v>-73.531821849999986</v>
      </c>
      <c r="H19" s="12">
        <f t="shared" si="1"/>
        <v>-73.531821849999986</v>
      </c>
      <c r="I19" s="12">
        <f t="shared" si="1"/>
        <v>-73.531821849999986</v>
      </c>
      <c r="J19" s="12">
        <f t="shared" si="1"/>
        <v>-73.531821849999986</v>
      </c>
      <c r="K19" s="12">
        <f t="shared" si="1"/>
        <v>-73.531821849999986</v>
      </c>
      <c r="L19" s="12">
        <f t="shared" si="1"/>
        <v>-73.531821849999986</v>
      </c>
      <c r="M19" s="12">
        <f t="shared" si="1"/>
        <v>-73.531821849999986</v>
      </c>
      <c r="N19" s="12">
        <f t="shared" si="1"/>
        <v>-73.531821849999986</v>
      </c>
      <c r="O19" s="12">
        <f t="shared" si="1"/>
        <v>-73.531821849999986</v>
      </c>
      <c r="P19" s="12">
        <f t="shared" si="1"/>
        <v>-73.531821849999986</v>
      </c>
      <c r="Q19" s="12">
        <f t="shared" si="1"/>
        <v>-73.531821849999986</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0.68404837499999993</v>
      </c>
      <c r="D22" s="12">
        <f>$E32</f>
        <v>0.68404837499999993</v>
      </c>
      <c r="E22" s="12">
        <f>$E33</f>
        <v>0.68404837499999993</v>
      </c>
      <c r="F22" s="12">
        <f>$E34</f>
        <v>0.68404837499999993</v>
      </c>
      <c r="G22" s="12">
        <f>$E35</f>
        <v>0.68404837499999993</v>
      </c>
      <c r="H22" s="12">
        <f>$E36</f>
        <v>0.68404837499999993</v>
      </c>
      <c r="I22" s="12">
        <f>$E37</f>
        <v>0.68404837499999993</v>
      </c>
      <c r="J22" s="12">
        <f>$E38</f>
        <v>0.68404837499999993</v>
      </c>
      <c r="K22" s="12">
        <f>$E39</f>
        <v>0.68404837499999993</v>
      </c>
      <c r="L22" s="12">
        <f>$E40</f>
        <v>0.68404837499999993</v>
      </c>
      <c r="M22" s="12">
        <f>$E41</f>
        <v>0.68404837499999993</v>
      </c>
      <c r="N22" s="12">
        <f>$E42</f>
        <v>0.68404837499999993</v>
      </c>
      <c r="O22" s="12">
        <f>$E43</f>
        <v>0.68404837499999993</v>
      </c>
      <c r="P22" s="12">
        <f>$E44</f>
        <v>0.68404837499999993</v>
      </c>
      <c r="Q22" s="12">
        <f>$E45</f>
        <v>0.68404837499999993</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-281.31595162500003</v>
      </c>
      <c r="D23" s="12">
        <f t="shared" ref="D23:V23" si="3">D22-D21</f>
        <v>-281.31595162500003</v>
      </c>
      <c r="E23" s="12">
        <f t="shared" si="3"/>
        <v>-281.31595162500003</v>
      </c>
      <c r="F23" s="12">
        <f t="shared" si="3"/>
        <v>-281.31595162500003</v>
      </c>
      <c r="G23" s="12">
        <f t="shared" si="3"/>
        <v>-281.31595162500003</v>
      </c>
      <c r="H23" s="12">
        <f t="shared" si="3"/>
        <v>-281.31595162500003</v>
      </c>
      <c r="I23" s="12">
        <f t="shared" si="3"/>
        <v>-281.31595162500003</v>
      </c>
      <c r="J23" s="12">
        <f t="shared" si="3"/>
        <v>-281.31595162500003</v>
      </c>
      <c r="K23" s="12">
        <f t="shared" si="3"/>
        <v>-281.31595162500003</v>
      </c>
      <c r="L23" s="12">
        <f t="shared" si="3"/>
        <v>-281.31595162500003</v>
      </c>
      <c r="M23" s="12">
        <f t="shared" si="3"/>
        <v>-281.31595162500003</v>
      </c>
      <c r="N23" s="12">
        <f t="shared" si="3"/>
        <v>-281.31595162500003</v>
      </c>
      <c r="O23" s="12">
        <f t="shared" si="3"/>
        <v>-281.31595162500003</v>
      </c>
      <c r="P23" s="12">
        <f t="shared" si="3"/>
        <v>-281.31595162500003</v>
      </c>
      <c r="Q23" s="12">
        <f t="shared" si="3"/>
        <v>-281.31595162500003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2.61</v>
      </c>
      <c r="C28" s="11">
        <v>0.72699999999999998</v>
      </c>
      <c r="D28" s="11">
        <v>4.2599999999999999E-2</v>
      </c>
      <c r="E28" s="11">
        <v>8.6999999999999994E-3</v>
      </c>
      <c r="F28" s="11">
        <v>658</v>
      </c>
      <c r="G28" s="11">
        <v>11.9</v>
      </c>
      <c r="H28" s="11">
        <v>83.6</v>
      </c>
      <c r="I28" s="11">
        <v>6.2</v>
      </c>
      <c r="J28" s="11">
        <v>0.11</v>
      </c>
      <c r="K28" s="15">
        <v>1.53</v>
      </c>
      <c r="L28" s="11">
        <v>11</v>
      </c>
      <c r="M28" s="11">
        <v>5.05</v>
      </c>
      <c r="N28" s="11">
        <v>1780</v>
      </c>
      <c r="O28" s="11">
        <v>350000</v>
      </c>
      <c r="P28" s="11"/>
      <c r="Q28" s="11">
        <v>1800</v>
      </c>
      <c r="R28" s="11"/>
      <c r="S28" s="11">
        <v>39.1</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250</v>
      </c>
      <c r="C31" s="65">
        <f>IF(C$27="%w/w SAR",((C$28*10)*$B31),IF(C$27="%w/w DM",(((C$28*10)*($B$28/100))*$B31),IF(C$27="kg/t SAR",(C$28*$B31),IF(C$27="kg/t DM",((C$28*($B$28/100))*$B31),IF(C$27="mg/kg SAR",((C$28*0.001)*$B31),IF(C$27="mg/kg DM",(((C$28*0.001)*($B$28/100))*$B31),0))))))</f>
        <v>47.436749999999989</v>
      </c>
      <c r="D31" s="65">
        <f>(IF(D$27="%w/w SAR",((D$28*10)*$B31),IF(D$27="%w/w DM",(((D$28*10)*($B$28/100))*$B31),IF(D$27="kg/t SAR",(D$28*$B31),IF(D$27="kg/t DM",((D$28*($B$28/100))*$B31),IF(D$27="mg/kg SAR",((D$28*0.001)*$B31),IF(D$27="mg/kg DM",(((D$28*0.001)*($B$28/100))*$B31),"0")))))))*2.291</f>
        <v>6.3681781499999994</v>
      </c>
      <c r="E31" s="65">
        <f>(IF(E$27="%w/w SAR",((E$28*10)*$B31),IF(E$27="%w/w DM",(((E$28*10)*($B$28/100))*$B31),IF(E$27="kg/t SAR",(E$28*$B31),IF(E$27="kg/t DM",((E$28*($B$28/100))*$B31),IF(E$27="mg/kg SAR",((E$28*0.001)*$B31),IF(E$27="mg/kg DM",(((E$28*0.001)*($B$28/100))*$B31),"0")))))))*1.205</f>
        <v>0.68404837499999993</v>
      </c>
      <c r="F31" s="65">
        <f>(IF(F$27="%w/w SAR",((F$28*10)*$B31),IF(F$27="%w/w DM",(((F$28*10)*($B$28/100))*$B31),IF(F$27="kg/t SAR",(F$28*$B31),IF(F$27="kg/t DM",((F$28*($B$28/100))*$B31),IF(F$27="mg/kg SAR",((F$28*0.001)*$B31),IF(F$27="mg/kg DM",(((F$28*0.001)*($B$28/100))*$B31),"0")))))))*1.658</f>
        <v>7.1185400999999997</v>
      </c>
      <c r="G31" s="65">
        <f t="shared" ref="G31:P46" si="5">IF(G$27="%w/w SAR",((G$28*10)*$B31),IF(G$27="%w/w DM",(((G$28*10)*($B$28/100))*$B31),IF(G$27="kg/t SAR",(G$28*$B31),IF(G$27="kg/t DM",((G$28*($B$28/100))*$B31),IF(G$27="mg/kg SAR",((G$28*0.001)*$B31),IF(G$27="mg/kg DM",(((G$28*0.001)*($B$28/100))*$B31),0))))))</f>
        <v>7.7647500000000008E-2</v>
      </c>
      <c r="H31" s="65">
        <f t="shared" si="5"/>
        <v>0.54548999999999992</v>
      </c>
      <c r="I31" s="65">
        <f t="shared" si="5"/>
        <v>4.0454999999999998E-2</v>
      </c>
      <c r="J31" s="65">
        <f t="shared" si="5"/>
        <v>7.1774999999999996E-4</v>
      </c>
      <c r="K31" s="65">
        <f t="shared" si="5"/>
        <v>9.9832499999999991E-3</v>
      </c>
      <c r="L31" s="65">
        <f t="shared" si="5"/>
        <v>7.1774999999999992E-2</v>
      </c>
      <c r="M31" s="65">
        <f t="shared" si="5"/>
        <v>3.2951249999999994E-2</v>
      </c>
      <c r="N31" s="65">
        <f t="shared" si="5"/>
        <v>11.6145</v>
      </c>
      <c r="O31" s="65">
        <f t="shared" si="5"/>
        <v>2283.75</v>
      </c>
      <c r="P31" s="65">
        <f t="shared" si="5"/>
        <v>0</v>
      </c>
      <c r="Q31" s="65">
        <f>(IF(Q$27="%w/w SAR",((Q$28*10)*$B31),IF(Q$27="%w/w DM",(((Q$28*10)*($B$28/100))*$B31),IF(Q$27="kg/t SAR",(Q$28*$B31),IF(Q$27="kg/t DM",((Q$28*($B$28/100))*$B31),IF(Q$27="mg/kg SAR",((Q$28*0.001)*$B31),IF(Q$27="mg/kg DM",(((Q$28*0.001)*($B$28/100))*$B31),0)))))))*2.5</f>
        <v>29.362500000000004</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0.25512750000000001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250</v>
      </c>
      <c r="C32" s="65">
        <f t="shared" ref="C32:C50" si="6">IF(C$27="%w/w SAR",((C$28*10)*$B32),IF(C$27="%w/w DM",(((C$28*10)*($B$28/100))*$B32),IF(C$27="kg/t SAR",(C$28*$B32),IF(C$27="kg/t DM",((C$28*($B$28/100))*$B32),IF(C$27="mg/kg SAR",((C$28*0.001)*$B32),IF(C$27="mg/kg DM",(((C$28*0.001)*($B$28/100))*$B32),0))))))</f>
        <v>47.436749999999989</v>
      </c>
      <c r="D32" s="65">
        <f t="shared" ref="D32:D50" si="7">(IF(D$27="%w/w SAR",((D$28*10)*$B32),IF(D$27="%w/w DM",(((D$28*10)*($B$28/100))*$B32),IF(D$27="kg/t SAR",(D$28*$B32),IF(D$27="kg/t DM",((D$28*($B$28/100))*$B32),IF(D$27="mg/kg SAR",((D$28*0.001)*$B32),IF(D$27="mg/kg DM",(((D$28*0.001)*($B$28/100))*$B32),"0")))))))*2.291</f>
        <v>6.3681781499999994</v>
      </c>
      <c r="E32" s="65">
        <f t="shared" ref="E32:E50" si="8">(IF(E$27="%w/w SAR",((E$28*10)*$B32),IF(E$27="%w/w DM",(((E$28*10)*($B$28/100))*$B32),IF(E$27="kg/t SAR",(E$28*$B32),IF(E$27="kg/t DM",((E$28*($B$28/100))*$B32),IF(E$27="mg/kg SAR",((E$28*0.001)*$B32),IF(E$27="mg/kg DM",(((E$28*0.001)*($B$28/100))*$B32),"0")))))))*1.205</f>
        <v>0.68404837499999993</v>
      </c>
      <c r="F32" s="65">
        <f t="shared" ref="F32:F50" si="9">(IF(F$27="%w/w SAR",((F$28*10)*$B32),IF(F$27="%w/w DM",(((F$28*10)*($B$28/100))*$B32),IF(F$27="kg/t SAR",(F$28*$B32),IF(F$27="kg/t DM",((F$28*($B$28/100))*$B32),IF(F$27="mg/kg SAR",((F$28*0.001)*$B32),IF(F$27="mg/kg DM",(((F$28*0.001)*($B$28/100))*$B32),"0")))))))*1.658</f>
        <v>7.1185400999999997</v>
      </c>
      <c r="G32" s="65">
        <f t="shared" si="5"/>
        <v>7.7647500000000008E-2</v>
      </c>
      <c r="H32" s="65">
        <f t="shared" si="5"/>
        <v>0.54548999999999992</v>
      </c>
      <c r="I32" s="65">
        <f t="shared" si="5"/>
        <v>4.0454999999999998E-2</v>
      </c>
      <c r="J32" s="65">
        <f t="shared" si="5"/>
        <v>7.1774999999999996E-4</v>
      </c>
      <c r="K32" s="65">
        <f t="shared" si="5"/>
        <v>9.9832499999999991E-3</v>
      </c>
      <c r="L32" s="65">
        <f t="shared" si="5"/>
        <v>7.1774999999999992E-2</v>
      </c>
      <c r="M32" s="65">
        <f t="shared" si="5"/>
        <v>3.2951249999999994E-2</v>
      </c>
      <c r="N32" s="65">
        <f t="shared" si="5"/>
        <v>11.6145</v>
      </c>
      <c r="O32" s="65">
        <f t="shared" si="5"/>
        <v>2283.75</v>
      </c>
      <c r="P32" s="65">
        <f t="shared" si="5"/>
        <v>0</v>
      </c>
      <c r="Q32" s="65">
        <f t="shared" ref="Q32:Q50" si="10">(IF(Q$27="%w/w SAR",((Q$28*10)*$B32),IF(Q$27="%w/w DM",(((Q$28*10)*($B$28/100))*$B32),IF(Q$27="kg/t SAR",(Q$28*$B32),IF(Q$27="kg/t DM",((Q$28*($B$28/100))*$B32),IF(Q$27="mg/kg SAR",((Q$28*0.001)*$B32),IF(Q$27="mg/kg DM",(((Q$28*0.001)*($B$28/100))*$B32),0)))))))*2.5</f>
        <v>29.362500000000004</v>
      </c>
      <c r="R32" s="65">
        <f t="shared" ref="R32:U50" si="11">IF(R$27="%w/w SAR",((R$28*10)*$B32),IF(R$27="%w/w DM",(((R$28*10)*($B$28/100))*$B32),IF(R$27="kg/t SAR",(R$28*$B32),IF(R$27="kg/t DM",((R$28*($B$28/100))*$B32),IF(R$27="mg/kg SAR",((R$28*0.001)*$B32),IF(R$27="mg/kg DM",(((R$28*0.001)*($B$28/100))*$B32),0))))))</f>
        <v>0</v>
      </c>
      <c r="S32" s="65">
        <f t="shared" si="11"/>
        <v>0.25512750000000001</v>
      </c>
      <c r="T32" s="65">
        <f t="shared" si="11"/>
        <v>0</v>
      </c>
      <c r="U32" s="126">
        <f t="shared" si="11"/>
        <v>0</v>
      </c>
    </row>
    <row r="33" spans="1:21" s="48" customFormat="1" x14ac:dyDescent="0.25">
      <c r="A33" s="125" t="str">
        <f>E8</f>
        <v>6-B</v>
      </c>
      <c r="B33" s="11">
        <v>250</v>
      </c>
      <c r="C33" s="65">
        <f t="shared" si="6"/>
        <v>47.436749999999989</v>
      </c>
      <c r="D33" s="65">
        <f t="shared" si="7"/>
        <v>6.3681781499999994</v>
      </c>
      <c r="E33" s="65">
        <f t="shared" si="8"/>
        <v>0.68404837499999993</v>
      </c>
      <c r="F33" s="65">
        <f t="shared" si="9"/>
        <v>7.1185400999999997</v>
      </c>
      <c r="G33" s="65">
        <f t="shared" si="5"/>
        <v>7.7647500000000008E-2</v>
      </c>
      <c r="H33" s="65">
        <f t="shared" si="5"/>
        <v>0.54548999999999992</v>
      </c>
      <c r="I33" s="65">
        <f t="shared" si="5"/>
        <v>4.0454999999999998E-2</v>
      </c>
      <c r="J33" s="65">
        <f t="shared" si="5"/>
        <v>7.1774999999999996E-4</v>
      </c>
      <c r="K33" s="65">
        <f t="shared" si="5"/>
        <v>9.9832499999999991E-3</v>
      </c>
      <c r="L33" s="65">
        <f t="shared" si="5"/>
        <v>7.1774999999999992E-2</v>
      </c>
      <c r="M33" s="65">
        <f t="shared" si="5"/>
        <v>3.2951249999999994E-2</v>
      </c>
      <c r="N33" s="65">
        <f t="shared" si="5"/>
        <v>11.6145</v>
      </c>
      <c r="O33" s="65">
        <f t="shared" si="5"/>
        <v>2283.75</v>
      </c>
      <c r="P33" s="65">
        <f t="shared" si="5"/>
        <v>0</v>
      </c>
      <c r="Q33" s="65">
        <f t="shared" si="10"/>
        <v>29.362500000000004</v>
      </c>
      <c r="R33" s="65">
        <f t="shared" si="11"/>
        <v>0</v>
      </c>
      <c r="S33" s="65">
        <f t="shared" si="11"/>
        <v>0.25512750000000001</v>
      </c>
      <c r="T33" s="65">
        <f t="shared" si="11"/>
        <v>0</v>
      </c>
      <c r="U33" s="126">
        <f t="shared" si="11"/>
        <v>0</v>
      </c>
    </row>
    <row r="34" spans="1:21" s="48" customFormat="1" x14ac:dyDescent="0.25">
      <c r="A34" s="125" t="str">
        <f>F8</f>
        <v>7-B</v>
      </c>
      <c r="B34" s="11">
        <v>250</v>
      </c>
      <c r="C34" s="65">
        <f t="shared" si="6"/>
        <v>47.436749999999989</v>
      </c>
      <c r="D34" s="65">
        <f t="shared" si="7"/>
        <v>6.3681781499999994</v>
      </c>
      <c r="E34" s="65">
        <f t="shared" si="8"/>
        <v>0.68404837499999993</v>
      </c>
      <c r="F34" s="65">
        <f t="shared" si="9"/>
        <v>7.1185400999999997</v>
      </c>
      <c r="G34" s="65">
        <f t="shared" si="5"/>
        <v>7.7647500000000008E-2</v>
      </c>
      <c r="H34" s="65">
        <f t="shared" si="5"/>
        <v>0.54548999999999992</v>
      </c>
      <c r="I34" s="65">
        <f t="shared" si="5"/>
        <v>4.0454999999999998E-2</v>
      </c>
      <c r="J34" s="65">
        <f t="shared" si="5"/>
        <v>7.1774999999999996E-4</v>
      </c>
      <c r="K34" s="65">
        <f t="shared" si="5"/>
        <v>9.9832499999999991E-3</v>
      </c>
      <c r="L34" s="65">
        <f t="shared" si="5"/>
        <v>7.1774999999999992E-2</v>
      </c>
      <c r="M34" s="65">
        <f t="shared" si="5"/>
        <v>3.2951249999999994E-2</v>
      </c>
      <c r="N34" s="65">
        <f t="shared" si="5"/>
        <v>11.6145</v>
      </c>
      <c r="O34" s="65">
        <f t="shared" si="5"/>
        <v>2283.75</v>
      </c>
      <c r="P34" s="65">
        <f t="shared" si="5"/>
        <v>0</v>
      </c>
      <c r="Q34" s="65">
        <f t="shared" si="10"/>
        <v>29.362500000000004</v>
      </c>
      <c r="R34" s="65">
        <f t="shared" si="11"/>
        <v>0</v>
      </c>
      <c r="S34" s="65">
        <f t="shared" si="11"/>
        <v>0.25512750000000001</v>
      </c>
      <c r="T34" s="65">
        <f t="shared" si="11"/>
        <v>0</v>
      </c>
      <c r="U34" s="126">
        <f t="shared" si="11"/>
        <v>0</v>
      </c>
    </row>
    <row r="35" spans="1:21" s="48" customFormat="1" x14ac:dyDescent="0.25">
      <c r="A35" s="125" t="str">
        <f>G8</f>
        <v>8-B</v>
      </c>
      <c r="B35" s="11">
        <v>250</v>
      </c>
      <c r="C35" s="65">
        <f t="shared" si="6"/>
        <v>47.436749999999989</v>
      </c>
      <c r="D35" s="65">
        <f t="shared" si="7"/>
        <v>6.3681781499999994</v>
      </c>
      <c r="E35" s="65">
        <f t="shared" si="8"/>
        <v>0.68404837499999993</v>
      </c>
      <c r="F35" s="65">
        <f t="shared" si="9"/>
        <v>7.1185400999999997</v>
      </c>
      <c r="G35" s="65">
        <f t="shared" si="5"/>
        <v>7.7647500000000008E-2</v>
      </c>
      <c r="H35" s="65">
        <f t="shared" si="5"/>
        <v>0.54548999999999992</v>
      </c>
      <c r="I35" s="65">
        <f t="shared" si="5"/>
        <v>4.0454999999999998E-2</v>
      </c>
      <c r="J35" s="65">
        <f t="shared" si="5"/>
        <v>7.1774999999999996E-4</v>
      </c>
      <c r="K35" s="65">
        <f t="shared" si="5"/>
        <v>9.9832499999999991E-3</v>
      </c>
      <c r="L35" s="65">
        <f t="shared" si="5"/>
        <v>7.1774999999999992E-2</v>
      </c>
      <c r="M35" s="65">
        <f t="shared" si="5"/>
        <v>3.2951249999999994E-2</v>
      </c>
      <c r="N35" s="65">
        <f t="shared" si="5"/>
        <v>11.6145</v>
      </c>
      <c r="O35" s="65">
        <f t="shared" si="5"/>
        <v>2283.75</v>
      </c>
      <c r="P35" s="65">
        <f t="shared" si="5"/>
        <v>0</v>
      </c>
      <c r="Q35" s="65">
        <f t="shared" si="10"/>
        <v>29.362500000000004</v>
      </c>
      <c r="R35" s="65">
        <f t="shared" si="11"/>
        <v>0</v>
      </c>
      <c r="S35" s="65">
        <f t="shared" si="11"/>
        <v>0.25512750000000001</v>
      </c>
      <c r="T35" s="65">
        <f t="shared" si="11"/>
        <v>0</v>
      </c>
      <c r="U35" s="126">
        <f t="shared" si="11"/>
        <v>0</v>
      </c>
    </row>
    <row r="36" spans="1:21" s="48" customFormat="1" x14ac:dyDescent="0.25">
      <c r="A36" s="125" t="str">
        <f>H8</f>
        <v>9-B</v>
      </c>
      <c r="B36" s="11">
        <v>250</v>
      </c>
      <c r="C36" s="65">
        <f t="shared" si="6"/>
        <v>47.436749999999989</v>
      </c>
      <c r="D36" s="65">
        <f t="shared" si="7"/>
        <v>6.3681781499999994</v>
      </c>
      <c r="E36" s="65">
        <f t="shared" si="8"/>
        <v>0.68404837499999993</v>
      </c>
      <c r="F36" s="65">
        <f t="shared" si="9"/>
        <v>7.1185400999999997</v>
      </c>
      <c r="G36" s="65">
        <f t="shared" si="5"/>
        <v>7.7647500000000008E-2</v>
      </c>
      <c r="H36" s="65">
        <f t="shared" si="5"/>
        <v>0.54548999999999992</v>
      </c>
      <c r="I36" s="65">
        <f t="shared" si="5"/>
        <v>4.0454999999999998E-2</v>
      </c>
      <c r="J36" s="65">
        <f t="shared" si="5"/>
        <v>7.1774999999999996E-4</v>
      </c>
      <c r="K36" s="65">
        <f t="shared" si="5"/>
        <v>9.9832499999999991E-3</v>
      </c>
      <c r="L36" s="65">
        <f t="shared" si="5"/>
        <v>7.1774999999999992E-2</v>
      </c>
      <c r="M36" s="65">
        <f t="shared" si="5"/>
        <v>3.2951249999999994E-2</v>
      </c>
      <c r="N36" s="65">
        <f t="shared" si="5"/>
        <v>11.6145</v>
      </c>
      <c r="O36" s="65">
        <f t="shared" si="5"/>
        <v>2283.75</v>
      </c>
      <c r="P36" s="65">
        <f t="shared" si="5"/>
        <v>0</v>
      </c>
      <c r="Q36" s="65">
        <f t="shared" si="10"/>
        <v>29.362500000000004</v>
      </c>
      <c r="R36" s="65">
        <f t="shared" si="11"/>
        <v>0</v>
      </c>
      <c r="S36" s="65">
        <f t="shared" si="11"/>
        <v>0.25512750000000001</v>
      </c>
      <c r="T36" s="65">
        <f t="shared" si="11"/>
        <v>0</v>
      </c>
      <c r="U36" s="126">
        <f t="shared" si="11"/>
        <v>0</v>
      </c>
    </row>
    <row r="37" spans="1:21" s="48" customFormat="1" x14ac:dyDescent="0.25">
      <c r="A37" s="125" t="str">
        <f>I8</f>
        <v>8222-B</v>
      </c>
      <c r="B37" s="11">
        <v>250</v>
      </c>
      <c r="C37" s="65">
        <f t="shared" si="6"/>
        <v>47.436749999999989</v>
      </c>
      <c r="D37" s="65">
        <f t="shared" si="7"/>
        <v>6.3681781499999994</v>
      </c>
      <c r="E37" s="65">
        <f t="shared" si="8"/>
        <v>0.68404837499999993</v>
      </c>
      <c r="F37" s="65">
        <f t="shared" si="9"/>
        <v>7.1185400999999997</v>
      </c>
      <c r="G37" s="65">
        <f t="shared" si="5"/>
        <v>7.7647500000000008E-2</v>
      </c>
      <c r="H37" s="65">
        <f t="shared" si="5"/>
        <v>0.54548999999999992</v>
      </c>
      <c r="I37" s="65">
        <f t="shared" si="5"/>
        <v>4.0454999999999998E-2</v>
      </c>
      <c r="J37" s="65">
        <f t="shared" si="5"/>
        <v>7.1774999999999996E-4</v>
      </c>
      <c r="K37" s="65">
        <f t="shared" si="5"/>
        <v>9.9832499999999991E-3</v>
      </c>
      <c r="L37" s="65">
        <f t="shared" si="5"/>
        <v>7.1774999999999992E-2</v>
      </c>
      <c r="M37" s="65">
        <f t="shared" si="5"/>
        <v>3.2951249999999994E-2</v>
      </c>
      <c r="N37" s="65">
        <f t="shared" si="5"/>
        <v>11.6145</v>
      </c>
      <c r="O37" s="65">
        <f t="shared" si="5"/>
        <v>2283.75</v>
      </c>
      <c r="P37" s="65">
        <f t="shared" si="5"/>
        <v>0</v>
      </c>
      <c r="Q37" s="65">
        <f t="shared" si="10"/>
        <v>29.362500000000004</v>
      </c>
      <c r="R37" s="65">
        <f t="shared" si="11"/>
        <v>0</v>
      </c>
      <c r="S37" s="65">
        <f t="shared" si="11"/>
        <v>0.25512750000000001</v>
      </c>
      <c r="T37" s="65">
        <f t="shared" si="11"/>
        <v>0</v>
      </c>
      <c r="U37" s="126">
        <f t="shared" si="11"/>
        <v>0</v>
      </c>
    </row>
    <row r="38" spans="1:21" s="48" customFormat="1" x14ac:dyDescent="0.25">
      <c r="A38" s="125" t="str">
        <f>J8</f>
        <v>7233-B</v>
      </c>
      <c r="B38" s="11">
        <v>250</v>
      </c>
      <c r="C38" s="65">
        <f t="shared" si="6"/>
        <v>47.436749999999989</v>
      </c>
      <c r="D38" s="65">
        <f t="shared" si="7"/>
        <v>6.3681781499999994</v>
      </c>
      <c r="E38" s="65">
        <f t="shared" si="8"/>
        <v>0.68404837499999993</v>
      </c>
      <c r="F38" s="65">
        <f t="shared" si="9"/>
        <v>7.1185400999999997</v>
      </c>
      <c r="G38" s="65">
        <f t="shared" si="5"/>
        <v>7.7647500000000008E-2</v>
      </c>
      <c r="H38" s="65">
        <f t="shared" si="5"/>
        <v>0.54548999999999992</v>
      </c>
      <c r="I38" s="65">
        <f t="shared" si="5"/>
        <v>4.0454999999999998E-2</v>
      </c>
      <c r="J38" s="65">
        <f t="shared" si="5"/>
        <v>7.1774999999999996E-4</v>
      </c>
      <c r="K38" s="65">
        <f t="shared" si="5"/>
        <v>9.9832499999999991E-3</v>
      </c>
      <c r="L38" s="65">
        <f t="shared" si="5"/>
        <v>7.1774999999999992E-2</v>
      </c>
      <c r="M38" s="65">
        <f t="shared" si="5"/>
        <v>3.2951249999999994E-2</v>
      </c>
      <c r="N38" s="65">
        <f t="shared" si="5"/>
        <v>11.6145</v>
      </c>
      <c r="O38" s="65">
        <f t="shared" si="5"/>
        <v>2283.75</v>
      </c>
      <c r="P38" s="65">
        <f t="shared" si="5"/>
        <v>0</v>
      </c>
      <c r="Q38" s="65">
        <f t="shared" si="10"/>
        <v>29.362500000000004</v>
      </c>
      <c r="R38" s="65">
        <f t="shared" si="11"/>
        <v>0</v>
      </c>
      <c r="S38" s="65">
        <f t="shared" si="11"/>
        <v>0.25512750000000001</v>
      </c>
      <c r="T38" s="65">
        <f t="shared" si="11"/>
        <v>0</v>
      </c>
      <c r="U38" s="126">
        <f t="shared" si="11"/>
        <v>0</v>
      </c>
    </row>
    <row r="39" spans="1:21" s="48" customFormat="1" x14ac:dyDescent="0.25">
      <c r="A39" s="125" t="str">
        <f>K8</f>
        <v>5641-B</v>
      </c>
      <c r="B39" s="11">
        <v>250</v>
      </c>
      <c r="C39" s="65">
        <f t="shared" si="6"/>
        <v>47.436749999999989</v>
      </c>
      <c r="D39" s="65">
        <f t="shared" si="7"/>
        <v>6.3681781499999994</v>
      </c>
      <c r="E39" s="65">
        <f t="shared" si="8"/>
        <v>0.68404837499999993</v>
      </c>
      <c r="F39" s="65">
        <f t="shared" si="9"/>
        <v>7.1185400999999997</v>
      </c>
      <c r="G39" s="65">
        <f t="shared" si="5"/>
        <v>7.7647500000000008E-2</v>
      </c>
      <c r="H39" s="65">
        <f t="shared" si="5"/>
        <v>0.54548999999999992</v>
      </c>
      <c r="I39" s="65">
        <f t="shared" si="5"/>
        <v>4.0454999999999998E-2</v>
      </c>
      <c r="J39" s="65">
        <f t="shared" si="5"/>
        <v>7.1774999999999996E-4</v>
      </c>
      <c r="K39" s="65">
        <f t="shared" si="5"/>
        <v>9.9832499999999991E-3</v>
      </c>
      <c r="L39" s="65">
        <f t="shared" si="5"/>
        <v>7.1774999999999992E-2</v>
      </c>
      <c r="M39" s="65">
        <f t="shared" si="5"/>
        <v>3.2951249999999994E-2</v>
      </c>
      <c r="N39" s="65">
        <f t="shared" si="5"/>
        <v>11.6145</v>
      </c>
      <c r="O39" s="65">
        <f t="shared" si="5"/>
        <v>2283.75</v>
      </c>
      <c r="P39" s="65">
        <f t="shared" si="5"/>
        <v>0</v>
      </c>
      <c r="Q39" s="65">
        <f t="shared" si="10"/>
        <v>29.362500000000004</v>
      </c>
      <c r="R39" s="65">
        <f t="shared" si="11"/>
        <v>0</v>
      </c>
      <c r="S39" s="65">
        <f t="shared" si="11"/>
        <v>0.25512750000000001</v>
      </c>
      <c r="T39" s="65">
        <f t="shared" si="11"/>
        <v>0</v>
      </c>
      <c r="U39" s="126">
        <f t="shared" si="11"/>
        <v>0</v>
      </c>
    </row>
    <row r="40" spans="1:21" s="48" customFormat="1" x14ac:dyDescent="0.25">
      <c r="A40" s="125" t="str">
        <f>L8</f>
        <v>4956-B</v>
      </c>
      <c r="B40" s="11">
        <v>250</v>
      </c>
      <c r="C40" s="65">
        <f t="shared" si="6"/>
        <v>47.436749999999989</v>
      </c>
      <c r="D40" s="65">
        <f t="shared" si="7"/>
        <v>6.3681781499999994</v>
      </c>
      <c r="E40" s="65">
        <f t="shared" si="8"/>
        <v>0.68404837499999993</v>
      </c>
      <c r="F40" s="65">
        <f t="shared" si="9"/>
        <v>7.1185400999999997</v>
      </c>
      <c r="G40" s="65">
        <f t="shared" si="5"/>
        <v>7.7647500000000008E-2</v>
      </c>
      <c r="H40" s="65">
        <f t="shared" si="5"/>
        <v>0.54548999999999992</v>
      </c>
      <c r="I40" s="65">
        <f t="shared" si="5"/>
        <v>4.0454999999999998E-2</v>
      </c>
      <c r="J40" s="65">
        <f t="shared" si="5"/>
        <v>7.1774999999999996E-4</v>
      </c>
      <c r="K40" s="65">
        <f t="shared" si="5"/>
        <v>9.9832499999999991E-3</v>
      </c>
      <c r="L40" s="65">
        <f t="shared" si="5"/>
        <v>7.1774999999999992E-2</v>
      </c>
      <c r="M40" s="65">
        <f t="shared" si="5"/>
        <v>3.2951249999999994E-2</v>
      </c>
      <c r="N40" s="65">
        <f t="shared" si="5"/>
        <v>11.6145</v>
      </c>
      <c r="O40" s="65">
        <f t="shared" si="5"/>
        <v>2283.75</v>
      </c>
      <c r="P40" s="65">
        <f t="shared" si="5"/>
        <v>0</v>
      </c>
      <c r="Q40" s="65">
        <f t="shared" si="10"/>
        <v>29.362500000000004</v>
      </c>
      <c r="R40" s="65">
        <f t="shared" si="11"/>
        <v>0</v>
      </c>
      <c r="S40" s="65">
        <f t="shared" si="11"/>
        <v>0.25512750000000001</v>
      </c>
      <c r="T40" s="65">
        <f t="shared" si="11"/>
        <v>0</v>
      </c>
      <c r="U40" s="126">
        <f t="shared" si="11"/>
        <v>0</v>
      </c>
    </row>
    <row r="41" spans="1:21" s="48" customFormat="1" x14ac:dyDescent="0.25">
      <c r="A41" s="125" t="str">
        <f>M8</f>
        <v>HAFOD B/FRON 2849</v>
      </c>
      <c r="B41" s="11">
        <v>250</v>
      </c>
      <c r="C41" s="65">
        <f t="shared" si="6"/>
        <v>47.436749999999989</v>
      </c>
      <c r="D41" s="65">
        <f t="shared" si="7"/>
        <v>6.3681781499999994</v>
      </c>
      <c r="E41" s="65">
        <f t="shared" si="8"/>
        <v>0.68404837499999993</v>
      </c>
      <c r="F41" s="65">
        <f t="shared" si="9"/>
        <v>7.1185400999999997</v>
      </c>
      <c r="G41" s="65">
        <f t="shared" si="5"/>
        <v>7.7647500000000008E-2</v>
      </c>
      <c r="H41" s="65">
        <f t="shared" si="5"/>
        <v>0.54548999999999992</v>
      </c>
      <c r="I41" s="65">
        <f t="shared" si="5"/>
        <v>4.0454999999999998E-2</v>
      </c>
      <c r="J41" s="65">
        <f t="shared" si="5"/>
        <v>7.1774999999999996E-4</v>
      </c>
      <c r="K41" s="65">
        <f t="shared" si="5"/>
        <v>9.9832499999999991E-3</v>
      </c>
      <c r="L41" s="65">
        <f t="shared" si="5"/>
        <v>7.1774999999999992E-2</v>
      </c>
      <c r="M41" s="65">
        <f t="shared" si="5"/>
        <v>3.2951249999999994E-2</v>
      </c>
      <c r="N41" s="65">
        <f t="shared" si="5"/>
        <v>11.6145</v>
      </c>
      <c r="O41" s="65">
        <f t="shared" si="5"/>
        <v>2283.75</v>
      </c>
      <c r="P41" s="65">
        <f t="shared" si="5"/>
        <v>0</v>
      </c>
      <c r="Q41" s="65">
        <f t="shared" si="10"/>
        <v>29.362500000000004</v>
      </c>
      <c r="R41" s="65">
        <f t="shared" si="11"/>
        <v>0</v>
      </c>
      <c r="S41" s="65">
        <f t="shared" si="11"/>
        <v>0.25512750000000001</v>
      </c>
      <c r="T41" s="65">
        <f t="shared" si="11"/>
        <v>0</v>
      </c>
      <c r="U41" s="126">
        <f t="shared" si="11"/>
        <v>0</v>
      </c>
    </row>
    <row r="42" spans="1:21" s="48" customFormat="1" x14ac:dyDescent="0.25">
      <c r="A42" s="125" t="str">
        <f>N8</f>
        <v>HAFOD B/FRON 3836</v>
      </c>
      <c r="B42" s="11">
        <v>250</v>
      </c>
      <c r="C42" s="65">
        <f t="shared" si="6"/>
        <v>47.436749999999989</v>
      </c>
      <c r="D42" s="65">
        <f t="shared" si="7"/>
        <v>6.3681781499999994</v>
      </c>
      <c r="E42" s="65">
        <f t="shared" si="8"/>
        <v>0.68404837499999993</v>
      </c>
      <c r="F42" s="65">
        <f t="shared" si="9"/>
        <v>7.1185400999999997</v>
      </c>
      <c r="G42" s="65">
        <f t="shared" si="5"/>
        <v>7.7647500000000008E-2</v>
      </c>
      <c r="H42" s="65">
        <f t="shared" si="5"/>
        <v>0.54548999999999992</v>
      </c>
      <c r="I42" s="65">
        <f t="shared" si="5"/>
        <v>4.0454999999999998E-2</v>
      </c>
      <c r="J42" s="65">
        <f t="shared" si="5"/>
        <v>7.1774999999999996E-4</v>
      </c>
      <c r="K42" s="65">
        <f t="shared" si="5"/>
        <v>9.9832499999999991E-3</v>
      </c>
      <c r="L42" s="65">
        <f t="shared" si="5"/>
        <v>7.1774999999999992E-2</v>
      </c>
      <c r="M42" s="65">
        <f t="shared" si="5"/>
        <v>3.2951249999999994E-2</v>
      </c>
      <c r="N42" s="65">
        <f t="shared" si="5"/>
        <v>11.6145</v>
      </c>
      <c r="O42" s="65">
        <f t="shared" si="5"/>
        <v>2283.75</v>
      </c>
      <c r="P42" s="65">
        <f t="shared" si="5"/>
        <v>0</v>
      </c>
      <c r="Q42" s="65">
        <f t="shared" si="10"/>
        <v>29.362500000000004</v>
      </c>
      <c r="R42" s="65">
        <f t="shared" si="11"/>
        <v>0</v>
      </c>
      <c r="S42" s="65">
        <f t="shared" si="11"/>
        <v>0.25512750000000001</v>
      </c>
      <c r="T42" s="65">
        <f t="shared" si="11"/>
        <v>0</v>
      </c>
      <c r="U42" s="126">
        <f t="shared" si="11"/>
        <v>0</v>
      </c>
    </row>
    <row r="43" spans="1:21" s="48" customFormat="1" x14ac:dyDescent="0.25">
      <c r="A43" s="125" t="str">
        <f>O8</f>
        <v>BOLAFRON 4718</v>
      </c>
      <c r="B43" s="11">
        <v>250</v>
      </c>
      <c r="C43" s="65">
        <f t="shared" si="6"/>
        <v>47.436749999999989</v>
      </c>
      <c r="D43" s="65">
        <f t="shared" si="7"/>
        <v>6.3681781499999994</v>
      </c>
      <c r="E43" s="65">
        <f t="shared" si="8"/>
        <v>0.68404837499999993</v>
      </c>
      <c r="F43" s="65">
        <f t="shared" si="9"/>
        <v>7.1185400999999997</v>
      </c>
      <c r="G43" s="65">
        <f t="shared" si="5"/>
        <v>7.7647500000000008E-2</v>
      </c>
      <c r="H43" s="65">
        <f t="shared" si="5"/>
        <v>0.54548999999999992</v>
      </c>
      <c r="I43" s="65">
        <f t="shared" si="5"/>
        <v>4.0454999999999998E-2</v>
      </c>
      <c r="J43" s="65">
        <f t="shared" si="5"/>
        <v>7.1774999999999996E-4</v>
      </c>
      <c r="K43" s="65">
        <f t="shared" si="5"/>
        <v>9.9832499999999991E-3</v>
      </c>
      <c r="L43" s="65">
        <f t="shared" si="5"/>
        <v>7.1774999999999992E-2</v>
      </c>
      <c r="M43" s="65">
        <f t="shared" si="5"/>
        <v>3.2951249999999994E-2</v>
      </c>
      <c r="N43" s="65">
        <f t="shared" si="5"/>
        <v>11.6145</v>
      </c>
      <c r="O43" s="65">
        <f t="shared" si="5"/>
        <v>2283.75</v>
      </c>
      <c r="P43" s="65">
        <f t="shared" si="5"/>
        <v>0</v>
      </c>
      <c r="Q43" s="65">
        <f t="shared" si="10"/>
        <v>29.362500000000004</v>
      </c>
      <c r="R43" s="65">
        <f t="shared" si="11"/>
        <v>0</v>
      </c>
      <c r="S43" s="65">
        <f t="shared" si="11"/>
        <v>0.25512750000000001</v>
      </c>
      <c r="T43" s="65">
        <f t="shared" si="11"/>
        <v>0</v>
      </c>
      <c r="U43" s="126">
        <f t="shared" si="11"/>
        <v>0</v>
      </c>
    </row>
    <row r="44" spans="1:21" s="48" customFormat="1" x14ac:dyDescent="0.25">
      <c r="A44" s="125" t="str">
        <f>P8</f>
        <v>BOLAFRON 3107</v>
      </c>
      <c r="B44" s="11">
        <v>250</v>
      </c>
      <c r="C44" s="65">
        <f t="shared" si="6"/>
        <v>47.436749999999989</v>
      </c>
      <c r="D44" s="65">
        <f t="shared" si="7"/>
        <v>6.3681781499999994</v>
      </c>
      <c r="E44" s="65">
        <f t="shared" si="8"/>
        <v>0.68404837499999993</v>
      </c>
      <c r="F44" s="65">
        <f t="shared" si="9"/>
        <v>7.1185400999999997</v>
      </c>
      <c r="G44" s="65">
        <f t="shared" si="5"/>
        <v>7.7647500000000008E-2</v>
      </c>
      <c r="H44" s="65">
        <f t="shared" si="5"/>
        <v>0.54548999999999992</v>
      </c>
      <c r="I44" s="65">
        <f t="shared" si="5"/>
        <v>4.0454999999999998E-2</v>
      </c>
      <c r="J44" s="65">
        <f t="shared" si="5"/>
        <v>7.1774999999999996E-4</v>
      </c>
      <c r="K44" s="65">
        <f t="shared" si="5"/>
        <v>9.9832499999999991E-3</v>
      </c>
      <c r="L44" s="65">
        <f t="shared" si="5"/>
        <v>7.1774999999999992E-2</v>
      </c>
      <c r="M44" s="65">
        <f t="shared" si="5"/>
        <v>3.2951249999999994E-2</v>
      </c>
      <c r="N44" s="65">
        <f t="shared" si="5"/>
        <v>11.6145</v>
      </c>
      <c r="O44" s="65">
        <f t="shared" si="5"/>
        <v>2283.75</v>
      </c>
      <c r="P44" s="65">
        <f t="shared" si="5"/>
        <v>0</v>
      </c>
      <c r="Q44" s="65">
        <f t="shared" si="10"/>
        <v>29.362500000000004</v>
      </c>
      <c r="R44" s="65">
        <f t="shared" si="11"/>
        <v>0</v>
      </c>
      <c r="S44" s="65">
        <f t="shared" si="11"/>
        <v>0.25512750000000001</v>
      </c>
      <c r="T44" s="65">
        <f t="shared" si="11"/>
        <v>0</v>
      </c>
      <c r="U44" s="126">
        <f t="shared" si="11"/>
        <v>0</v>
      </c>
    </row>
    <row r="45" spans="1:21" s="48" customFormat="1" x14ac:dyDescent="0.25">
      <c r="A45" s="125" t="str">
        <f>Q8</f>
        <v>BOLAFRON 6609</v>
      </c>
      <c r="B45" s="11">
        <v>250</v>
      </c>
      <c r="C45" s="65">
        <f t="shared" si="6"/>
        <v>47.436749999999989</v>
      </c>
      <c r="D45" s="65">
        <f t="shared" si="7"/>
        <v>6.3681781499999994</v>
      </c>
      <c r="E45" s="65">
        <f t="shared" si="8"/>
        <v>0.68404837499999993</v>
      </c>
      <c r="F45" s="65">
        <f t="shared" si="9"/>
        <v>7.1185400999999997</v>
      </c>
      <c r="G45" s="65">
        <f t="shared" si="5"/>
        <v>7.7647500000000008E-2</v>
      </c>
      <c r="H45" s="65">
        <f t="shared" si="5"/>
        <v>0.54548999999999992</v>
      </c>
      <c r="I45" s="65">
        <f t="shared" si="5"/>
        <v>4.0454999999999998E-2</v>
      </c>
      <c r="J45" s="65">
        <f t="shared" si="5"/>
        <v>7.1774999999999996E-4</v>
      </c>
      <c r="K45" s="65">
        <f t="shared" si="5"/>
        <v>9.9832499999999991E-3</v>
      </c>
      <c r="L45" s="65">
        <f t="shared" si="5"/>
        <v>7.1774999999999992E-2</v>
      </c>
      <c r="M45" s="65">
        <f t="shared" si="5"/>
        <v>3.2951249999999994E-2</v>
      </c>
      <c r="N45" s="65">
        <f t="shared" si="5"/>
        <v>11.6145</v>
      </c>
      <c r="O45" s="65">
        <f t="shared" si="5"/>
        <v>2283.75</v>
      </c>
      <c r="P45" s="65">
        <f t="shared" si="5"/>
        <v>0</v>
      </c>
      <c r="Q45" s="65">
        <f t="shared" si="10"/>
        <v>29.362500000000004</v>
      </c>
      <c r="R45" s="65">
        <f t="shared" si="11"/>
        <v>0</v>
      </c>
      <c r="S45" s="65">
        <f t="shared" si="11"/>
        <v>0.25512750000000001</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 I Grass</v>
      </c>
      <c r="C58" s="10" t="str">
        <f>D16&amp;" I "&amp;(VLOOKUP(D14,Table245810[],6,FALSE))</f>
        <v>Medium I Grass</v>
      </c>
      <c r="D58" s="10" t="str">
        <f>E16&amp;" I "&amp;(VLOOKUP(E14,Table245810[],6,FALSE))</f>
        <v>Medium I Grass</v>
      </c>
      <c r="E58" s="10" t="str">
        <f>F16&amp;" I "&amp;(VLOOKUP(F14,Table245810[],6,FALSE))</f>
        <v>Medium I Grass</v>
      </c>
      <c r="F58" s="10" t="str">
        <f>G16&amp;" I "&amp;(VLOOKUP(G14,Table245810[],6,FALSE))</f>
        <v>Medium I Grass</v>
      </c>
      <c r="G58" s="10" t="str">
        <f>H16&amp;" I "&amp;(VLOOKUP(H14,Table245810[],6,FALSE))</f>
        <v>Medium I Grass</v>
      </c>
      <c r="H58" s="10" t="str">
        <f>I16&amp;" I "&amp;(VLOOKUP(I14,Table245810[],6,FALSE))</f>
        <v>Medium I Grass</v>
      </c>
      <c r="I58" s="10" t="str">
        <f>J16&amp;" I "&amp;(VLOOKUP(J14,Table245810[],6,FALSE))</f>
        <v>Medium I Grass</v>
      </c>
      <c r="J58" s="10" t="str">
        <f>K16&amp;" I "&amp;(VLOOKUP(K14,Table245810[],6,FALSE))</f>
        <v>Medium I Grass</v>
      </c>
      <c r="K58" s="10" t="str">
        <f>L16&amp;" I "&amp;(VLOOKUP(L14,Table245810[],6,FALSE))</f>
        <v>Medium I Grass</v>
      </c>
      <c r="L58" s="10" t="str">
        <f>M16&amp;" I "&amp;(VLOOKUP(M14,Table245810[],6,FALSE))</f>
        <v>Medium I Grass</v>
      </c>
      <c r="M58" s="10" t="str">
        <f>N16&amp;" I "&amp;(VLOOKUP(N14,Table245810[],6,FALSE))</f>
        <v>Medium I Grass</v>
      </c>
      <c r="N58" s="10" t="str">
        <f>O16&amp;" I "&amp;(VLOOKUP(O14,Table245810[],6,FALSE))</f>
        <v>Medium I Grass</v>
      </c>
      <c r="O58" s="10" t="str">
        <f>P16&amp;" I "&amp;(VLOOKUP(P14,Table245810[],6,FALSE))</f>
        <v>Medium I Grass</v>
      </c>
      <c r="P58" s="10" t="str">
        <f>Q16&amp;" I "&amp;(VLOOKUP(Q14,Table245810[],6,FALSE))</f>
        <v>Medium I Grass</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f>VLOOKUP(P$14,Table245810[],5,FALSE)</f>
        <v>6.2</v>
      </c>
      <c r="P59" s="64">
        <f>VLOOKUP(Q$14,Table245810[],5,FALSE)</f>
        <v>6.2</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S29" sqref="S2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7.6</v>
      </c>
      <c r="J1" s="130" t="s">
        <v>153</v>
      </c>
      <c r="K1" s="131"/>
      <c r="L1" s="109">
        <v>239</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186</v>
      </c>
      <c r="G2" s="164" t="s">
        <v>110</v>
      </c>
      <c r="H2" s="165"/>
      <c r="I2" s="110"/>
      <c r="J2" s="132" t="s">
        <v>158</v>
      </c>
      <c r="K2" s="133"/>
      <c r="L2" s="110">
        <v>0.73399999999999999</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c r="J3" s="134" t="s">
        <v>154</v>
      </c>
      <c r="K3" s="135"/>
      <c r="L3" s="110">
        <f>(L1/(L2*10000))*100</f>
        <v>3.2561307901907357</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191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6.3532293749999988</v>
      </c>
      <c r="D18" s="12">
        <f>$D32</f>
        <v>6.3532293749999988</v>
      </c>
      <c r="E18" s="12">
        <f>$D33</f>
        <v>6.3532293749999988</v>
      </c>
      <c r="F18" s="12">
        <f>$D34</f>
        <v>6.3532293749999988</v>
      </c>
      <c r="G18" s="12">
        <f>$D35</f>
        <v>6.3532293749999988</v>
      </c>
      <c r="H18" s="12">
        <f>$D36</f>
        <v>6.3532293749999988</v>
      </c>
      <c r="I18" s="12">
        <f>$D37</f>
        <v>6.3532293749999988</v>
      </c>
      <c r="J18" s="12">
        <f>$D38</f>
        <v>6.3532293749999988</v>
      </c>
      <c r="K18" s="12">
        <f>$D39</f>
        <v>6.3532293749999988</v>
      </c>
      <c r="L18" s="12">
        <f>$D40</f>
        <v>6.3532293749999988</v>
      </c>
      <c r="M18" s="12">
        <f>$D41</f>
        <v>6.3532293749999988</v>
      </c>
      <c r="N18" s="12">
        <f>$D42</f>
        <v>6.3532293749999988</v>
      </c>
      <c r="O18" s="12">
        <f>$D43</f>
        <v>6.3532293749999988</v>
      </c>
      <c r="P18" s="12">
        <f>$D44</f>
        <v>6.3532293749999988</v>
      </c>
      <c r="Q18" s="12">
        <f>$D45</f>
        <v>6.3532293749999988</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-73.546770624999994</v>
      </c>
      <c r="D19" s="12">
        <f t="shared" ref="D19:V19" si="1">D18-D17</f>
        <v>-73.546770624999994</v>
      </c>
      <c r="E19" s="12">
        <f t="shared" si="1"/>
        <v>-73.546770624999994</v>
      </c>
      <c r="F19" s="12">
        <f t="shared" si="1"/>
        <v>-73.546770624999994</v>
      </c>
      <c r="G19" s="12">
        <f t="shared" si="1"/>
        <v>-73.546770624999994</v>
      </c>
      <c r="H19" s="12">
        <f t="shared" si="1"/>
        <v>-73.546770624999994</v>
      </c>
      <c r="I19" s="12">
        <f t="shared" si="1"/>
        <v>-73.546770624999994</v>
      </c>
      <c r="J19" s="12">
        <f t="shared" si="1"/>
        <v>-73.546770624999994</v>
      </c>
      <c r="K19" s="12">
        <f t="shared" si="1"/>
        <v>-73.546770624999994</v>
      </c>
      <c r="L19" s="12">
        <f t="shared" si="1"/>
        <v>-73.546770624999994</v>
      </c>
      <c r="M19" s="12">
        <f t="shared" si="1"/>
        <v>-73.546770624999994</v>
      </c>
      <c r="N19" s="12">
        <f t="shared" si="1"/>
        <v>-73.546770624999994</v>
      </c>
      <c r="O19" s="12">
        <f t="shared" si="1"/>
        <v>-73.546770624999994</v>
      </c>
      <c r="P19" s="12">
        <f t="shared" si="1"/>
        <v>-73.546770624999994</v>
      </c>
      <c r="Q19" s="12">
        <f t="shared" si="1"/>
        <v>-73.546770624999994</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0.78355125000000003</v>
      </c>
      <c r="D22" s="12">
        <f>$E32</f>
        <v>0.78355125000000003</v>
      </c>
      <c r="E22" s="12">
        <f>$E33</f>
        <v>0.78355125000000003</v>
      </c>
      <c r="F22" s="12">
        <f>$E34</f>
        <v>0.78355125000000003</v>
      </c>
      <c r="G22" s="12">
        <f>$E35</f>
        <v>0.78355125000000003</v>
      </c>
      <c r="H22" s="12">
        <f>$E36</f>
        <v>0.78355125000000003</v>
      </c>
      <c r="I22" s="12">
        <f>$E37</f>
        <v>0.78355125000000003</v>
      </c>
      <c r="J22" s="12">
        <f>$E38</f>
        <v>0.78355125000000003</v>
      </c>
      <c r="K22" s="12">
        <f>$E39</f>
        <v>0.78355125000000003</v>
      </c>
      <c r="L22" s="12">
        <f>$E40</f>
        <v>0.78355125000000003</v>
      </c>
      <c r="M22" s="12">
        <f>$E41</f>
        <v>0.78355125000000003</v>
      </c>
      <c r="N22" s="12">
        <f>$E42</f>
        <v>0.78355125000000003</v>
      </c>
      <c r="O22" s="12">
        <f>$E43</f>
        <v>0.78355125000000003</v>
      </c>
      <c r="P22" s="12">
        <f>$E44</f>
        <v>0.78355125000000003</v>
      </c>
      <c r="Q22" s="12">
        <f>$E45</f>
        <v>0.78355125000000003</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-281.21644874999998</v>
      </c>
      <c r="D23" s="12">
        <f t="shared" ref="D23:V23" si="3">D22-D21</f>
        <v>-281.21644874999998</v>
      </c>
      <c r="E23" s="12">
        <f t="shared" si="3"/>
        <v>-281.21644874999998</v>
      </c>
      <c r="F23" s="12">
        <f t="shared" si="3"/>
        <v>-281.21644874999998</v>
      </c>
      <c r="G23" s="12">
        <f t="shared" si="3"/>
        <v>-281.21644874999998</v>
      </c>
      <c r="H23" s="12">
        <f t="shared" si="3"/>
        <v>-281.21644874999998</v>
      </c>
      <c r="I23" s="12">
        <f t="shared" si="3"/>
        <v>-281.21644874999998</v>
      </c>
      <c r="J23" s="12">
        <f t="shared" si="3"/>
        <v>-281.21644874999998</v>
      </c>
      <c r="K23" s="12">
        <f t="shared" si="3"/>
        <v>-281.21644874999998</v>
      </c>
      <c r="L23" s="12">
        <f t="shared" si="3"/>
        <v>-281.21644874999998</v>
      </c>
      <c r="M23" s="12">
        <f t="shared" si="3"/>
        <v>-281.21644874999998</v>
      </c>
      <c r="N23" s="12">
        <f t="shared" si="3"/>
        <v>-281.21644874999998</v>
      </c>
      <c r="O23" s="12">
        <f t="shared" si="3"/>
        <v>-281.21644874999998</v>
      </c>
      <c r="P23" s="12">
        <f t="shared" si="3"/>
        <v>-281.21644874999998</v>
      </c>
      <c r="Q23" s="12">
        <f t="shared" si="3"/>
        <v>-281.21644874999998</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2.5499999999999998</v>
      </c>
      <c r="C28" s="11">
        <v>0.73399999999999999</v>
      </c>
      <c r="D28" s="11">
        <v>4.3499999999999997E-2</v>
      </c>
      <c r="E28" s="11">
        <v>1.0200000000000001E-2</v>
      </c>
      <c r="F28" s="11">
        <v>677</v>
      </c>
      <c r="G28" s="11">
        <v>20</v>
      </c>
      <c r="H28" s="11">
        <v>88.9</v>
      </c>
      <c r="I28" s="11">
        <v>6.2</v>
      </c>
      <c r="J28" s="11">
        <v>0.28999999999999998</v>
      </c>
      <c r="K28" s="15">
        <v>1.58</v>
      </c>
      <c r="L28" s="11">
        <v>21.7</v>
      </c>
      <c r="M28" s="11">
        <v>16</v>
      </c>
      <c r="N28" s="11">
        <v>1780</v>
      </c>
      <c r="O28" s="11">
        <v>356000</v>
      </c>
      <c r="P28" s="11"/>
      <c r="Q28" s="11">
        <v>1840</v>
      </c>
      <c r="R28" s="11"/>
      <c r="S28" s="11">
        <v>39.6</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250</v>
      </c>
      <c r="C31" s="65">
        <f>IF(C$27="%w/w SAR",((C$28*10)*$B31),IF(C$27="%w/w DM",(((C$28*10)*($B$28/100))*$B31),IF(C$27="kg/t SAR",(C$28*$B31),IF(C$27="kg/t DM",((C$28*($B$28/100))*$B31),IF(C$27="mg/kg SAR",((C$28*0.001)*$B31),IF(C$27="mg/kg DM",(((C$28*0.001)*($B$28/100))*$B31),0))))))</f>
        <v>46.792499999999997</v>
      </c>
      <c r="D31" s="65">
        <f>(IF(D$27="%w/w SAR",((D$28*10)*$B31),IF(D$27="%w/w DM",(((D$28*10)*($B$28/100))*$B31),IF(D$27="kg/t SAR",(D$28*$B31),IF(D$27="kg/t DM",((D$28*($B$28/100))*$B31),IF(D$27="mg/kg SAR",((D$28*0.001)*$B31),IF(D$27="mg/kg DM",(((D$28*0.001)*($B$28/100))*$B31),"0")))))))*2.291</f>
        <v>6.3532293749999988</v>
      </c>
      <c r="E31" s="65">
        <f>(IF(E$27="%w/w SAR",((E$28*10)*$B31),IF(E$27="%w/w DM",(((E$28*10)*($B$28/100))*$B31),IF(E$27="kg/t SAR",(E$28*$B31),IF(E$27="kg/t DM",((E$28*($B$28/100))*$B31),IF(E$27="mg/kg SAR",((E$28*0.001)*$B31),IF(E$27="mg/kg DM",(((E$28*0.001)*($B$28/100))*$B31),"0")))))))*1.205</f>
        <v>0.78355125000000003</v>
      </c>
      <c r="F31" s="65">
        <f>(IF(F$27="%w/w SAR",((F$28*10)*$B31),IF(F$27="%w/w DM",(((F$28*10)*($B$28/100))*$B31),IF(F$27="kg/t SAR",(F$28*$B31),IF(F$27="kg/t DM",((F$28*($B$28/100))*$B31),IF(F$27="mg/kg SAR",((F$28*0.001)*$B31),IF(F$27="mg/kg DM",(((F$28*0.001)*($B$28/100))*$B31),"0")))))))*1.658</f>
        <v>7.1557207499999995</v>
      </c>
      <c r="G31" s="65">
        <f t="shared" ref="G31:P46" si="5">IF(G$27="%w/w SAR",((G$28*10)*$B31),IF(G$27="%w/w DM",(((G$28*10)*($B$28/100))*$B31),IF(G$27="kg/t SAR",(G$28*$B31),IF(G$27="kg/t DM",((G$28*($B$28/100))*$B31),IF(G$27="mg/kg SAR",((G$28*0.001)*$B31),IF(G$27="mg/kg DM",(((G$28*0.001)*($B$28/100))*$B31),0))))))</f>
        <v>0.12749999999999997</v>
      </c>
      <c r="H31" s="65">
        <f t="shared" si="5"/>
        <v>0.56673750000000001</v>
      </c>
      <c r="I31" s="65">
        <f t="shared" si="5"/>
        <v>3.9524999999999998E-2</v>
      </c>
      <c r="J31" s="65">
        <f t="shared" si="5"/>
        <v>1.8487499999999999E-3</v>
      </c>
      <c r="K31" s="65">
        <f t="shared" si="5"/>
        <v>1.0072499999999998E-2</v>
      </c>
      <c r="L31" s="65">
        <f t="shared" si="5"/>
        <v>0.1383375</v>
      </c>
      <c r="M31" s="65">
        <f t="shared" si="5"/>
        <v>0.10199999999999999</v>
      </c>
      <c r="N31" s="65">
        <f t="shared" si="5"/>
        <v>11.3475</v>
      </c>
      <c r="O31" s="65">
        <f t="shared" si="5"/>
        <v>2269.5</v>
      </c>
      <c r="P31" s="65">
        <f t="shared" si="5"/>
        <v>0</v>
      </c>
      <c r="Q31" s="65">
        <f>(IF(Q$27="%w/w SAR",((Q$28*10)*$B31),IF(Q$27="%w/w DM",(((Q$28*10)*($B$28/100))*$B31),IF(Q$27="kg/t SAR",(Q$28*$B31),IF(Q$27="kg/t DM",((Q$28*($B$28/100))*$B31),IF(Q$27="mg/kg SAR",((Q$28*0.001)*$B31),IF(Q$27="mg/kg DM",(((Q$28*0.001)*($B$28/100))*$B31),0)))))))*2.5</f>
        <v>29.324999999999996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0.25245000000000001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250</v>
      </c>
      <c r="C32" s="65">
        <f t="shared" ref="C32:C50" si="6">IF(C$27="%w/w SAR",((C$28*10)*$B32),IF(C$27="%w/w DM",(((C$28*10)*($B$28/100))*$B32),IF(C$27="kg/t SAR",(C$28*$B32),IF(C$27="kg/t DM",((C$28*($B$28/100))*$B32),IF(C$27="mg/kg SAR",((C$28*0.001)*$B32),IF(C$27="mg/kg DM",(((C$28*0.001)*($B$28/100))*$B32),0))))))</f>
        <v>46.792499999999997</v>
      </c>
      <c r="D32" s="65">
        <f t="shared" ref="D32:D50" si="7">(IF(D$27="%w/w SAR",((D$28*10)*$B32),IF(D$27="%w/w DM",(((D$28*10)*($B$28/100))*$B32),IF(D$27="kg/t SAR",(D$28*$B32),IF(D$27="kg/t DM",((D$28*($B$28/100))*$B32),IF(D$27="mg/kg SAR",((D$28*0.001)*$B32),IF(D$27="mg/kg DM",(((D$28*0.001)*($B$28/100))*$B32),"0")))))))*2.291</f>
        <v>6.3532293749999988</v>
      </c>
      <c r="E32" s="65">
        <f t="shared" ref="E32:E50" si="8">(IF(E$27="%w/w SAR",((E$28*10)*$B32),IF(E$27="%w/w DM",(((E$28*10)*($B$28/100))*$B32),IF(E$27="kg/t SAR",(E$28*$B32),IF(E$27="kg/t DM",((E$28*($B$28/100))*$B32),IF(E$27="mg/kg SAR",((E$28*0.001)*$B32),IF(E$27="mg/kg DM",(((E$28*0.001)*($B$28/100))*$B32),"0")))))))*1.205</f>
        <v>0.78355125000000003</v>
      </c>
      <c r="F32" s="65">
        <f t="shared" ref="F32:F50" si="9">(IF(F$27="%w/w SAR",((F$28*10)*$B32),IF(F$27="%w/w DM",(((F$28*10)*($B$28/100))*$B32),IF(F$27="kg/t SAR",(F$28*$B32),IF(F$27="kg/t DM",((F$28*($B$28/100))*$B32),IF(F$27="mg/kg SAR",((F$28*0.001)*$B32),IF(F$27="mg/kg DM",(((F$28*0.001)*($B$28/100))*$B32),"0")))))))*1.658</f>
        <v>7.1557207499999995</v>
      </c>
      <c r="G32" s="65">
        <f t="shared" si="5"/>
        <v>0.12749999999999997</v>
      </c>
      <c r="H32" s="65">
        <f t="shared" si="5"/>
        <v>0.56673750000000001</v>
      </c>
      <c r="I32" s="65">
        <f t="shared" si="5"/>
        <v>3.9524999999999998E-2</v>
      </c>
      <c r="J32" s="65">
        <f t="shared" si="5"/>
        <v>1.8487499999999999E-3</v>
      </c>
      <c r="K32" s="65">
        <f t="shared" si="5"/>
        <v>1.0072499999999998E-2</v>
      </c>
      <c r="L32" s="65">
        <f t="shared" si="5"/>
        <v>0.1383375</v>
      </c>
      <c r="M32" s="65">
        <f t="shared" si="5"/>
        <v>0.10199999999999999</v>
      </c>
      <c r="N32" s="65">
        <f t="shared" si="5"/>
        <v>11.3475</v>
      </c>
      <c r="O32" s="65">
        <f t="shared" si="5"/>
        <v>2269.5</v>
      </c>
      <c r="P32" s="65">
        <f t="shared" si="5"/>
        <v>0</v>
      </c>
      <c r="Q32" s="65">
        <f t="shared" ref="Q32:Q50" si="10">(IF(Q$27="%w/w SAR",((Q$28*10)*$B32),IF(Q$27="%w/w DM",(((Q$28*10)*($B$28/100))*$B32),IF(Q$27="kg/t SAR",(Q$28*$B32),IF(Q$27="kg/t DM",((Q$28*($B$28/100))*$B32),IF(Q$27="mg/kg SAR",((Q$28*0.001)*$B32),IF(Q$27="mg/kg DM",(((Q$28*0.001)*($B$28/100))*$B32),0)))))))*2.5</f>
        <v>29.324999999999996</v>
      </c>
      <c r="R32" s="65">
        <f t="shared" ref="R32:U50" si="11">IF(R$27="%w/w SAR",((R$28*10)*$B32),IF(R$27="%w/w DM",(((R$28*10)*($B$28/100))*$B32),IF(R$27="kg/t SAR",(R$28*$B32),IF(R$27="kg/t DM",((R$28*($B$28/100))*$B32),IF(R$27="mg/kg SAR",((R$28*0.001)*$B32),IF(R$27="mg/kg DM",(((R$28*0.001)*($B$28/100))*$B32),0))))))</f>
        <v>0</v>
      </c>
      <c r="S32" s="65">
        <f t="shared" si="11"/>
        <v>0.25245000000000001</v>
      </c>
      <c r="T32" s="65">
        <f t="shared" si="11"/>
        <v>0</v>
      </c>
      <c r="U32" s="126">
        <f t="shared" si="11"/>
        <v>0</v>
      </c>
    </row>
    <row r="33" spans="1:21" s="48" customFormat="1" x14ac:dyDescent="0.25">
      <c r="A33" s="125" t="str">
        <f>E8</f>
        <v>6-B</v>
      </c>
      <c r="B33" s="11">
        <v>250</v>
      </c>
      <c r="C33" s="65">
        <f t="shared" si="6"/>
        <v>46.792499999999997</v>
      </c>
      <c r="D33" s="65">
        <f t="shared" si="7"/>
        <v>6.3532293749999988</v>
      </c>
      <c r="E33" s="65">
        <f t="shared" si="8"/>
        <v>0.78355125000000003</v>
      </c>
      <c r="F33" s="65">
        <f t="shared" si="9"/>
        <v>7.1557207499999995</v>
      </c>
      <c r="G33" s="65">
        <f t="shared" si="5"/>
        <v>0.12749999999999997</v>
      </c>
      <c r="H33" s="65">
        <f t="shared" si="5"/>
        <v>0.56673750000000001</v>
      </c>
      <c r="I33" s="65">
        <f t="shared" si="5"/>
        <v>3.9524999999999998E-2</v>
      </c>
      <c r="J33" s="65">
        <f t="shared" si="5"/>
        <v>1.8487499999999999E-3</v>
      </c>
      <c r="K33" s="65">
        <f t="shared" si="5"/>
        <v>1.0072499999999998E-2</v>
      </c>
      <c r="L33" s="65">
        <f t="shared" si="5"/>
        <v>0.1383375</v>
      </c>
      <c r="M33" s="65">
        <f t="shared" si="5"/>
        <v>0.10199999999999999</v>
      </c>
      <c r="N33" s="65">
        <f t="shared" si="5"/>
        <v>11.3475</v>
      </c>
      <c r="O33" s="65">
        <f t="shared" si="5"/>
        <v>2269.5</v>
      </c>
      <c r="P33" s="65">
        <f t="shared" si="5"/>
        <v>0</v>
      </c>
      <c r="Q33" s="65">
        <f t="shared" si="10"/>
        <v>29.324999999999996</v>
      </c>
      <c r="R33" s="65">
        <f t="shared" si="11"/>
        <v>0</v>
      </c>
      <c r="S33" s="65">
        <f t="shared" si="11"/>
        <v>0.25245000000000001</v>
      </c>
      <c r="T33" s="65">
        <f t="shared" si="11"/>
        <v>0</v>
      </c>
      <c r="U33" s="126">
        <f t="shared" si="11"/>
        <v>0</v>
      </c>
    </row>
    <row r="34" spans="1:21" s="48" customFormat="1" x14ac:dyDescent="0.25">
      <c r="A34" s="125" t="str">
        <f>F8</f>
        <v>7-B</v>
      </c>
      <c r="B34" s="11">
        <v>250</v>
      </c>
      <c r="C34" s="65">
        <f t="shared" si="6"/>
        <v>46.792499999999997</v>
      </c>
      <c r="D34" s="65">
        <f t="shared" si="7"/>
        <v>6.3532293749999988</v>
      </c>
      <c r="E34" s="65">
        <f t="shared" si="8"/>
        <v>0.78355125000000003</v>
      </c>
      <c r="F34" s="65">
        <f t="shared" si="9"/>
        <v>7.1557207499999995</v>
      </c>
      <c r="G34" s="65">
        <f t="shared" si="5"/>
        <v>0.12749999999999997</v>
      </c>
      <c r="H34" s="65">
        <f t="shared" si="5"/>
        <v>0.56673750000000001</v>
      </c>
      <c r="I34" s="65">
        <f t="shared" si="5"/>
        <v>3.9524999999999998E-2</v>
      </c>
      <c r="J34" s="65">
        <f t="shared" si="5"/>
        <v>1.8487499999999999E-3</v>
      </c>
      <c r="K34" s="65">
        <f t="shared" si="5"/>
        <v>1.0072499999999998E-2</v>
      </c>
      <c r="L34" s="65">
        <f t="shared" si="5"/>
        <v>0.1383375</v>
      </c>
      <c r="M34" s="65">
        <f t="shared" si="5"/>
        <v>0.10199999999999999</v>
      </c>
      <c r="N34" s="65">
        <f t="shared" si="5"/>
        <v>11.3475</v>
      </c>
      <c r="O34" s="65">
        <f t="shared" si="5"/>
        <v>2269.5</v>
      </c>
      <c r="P34" s="65">
        <f t="shared" si="5"/>
        <v>0</v>
      </c>
      <c r="Q34" s="65">
        <f t="shared" si="10"/>
        <v>29.324999999999996</v>
      </c>
      <c r="R34" s="65">
        <f t="shared" si="11"/>
        <v>0</v>
      </c>
      <c r="S34" s="65">
        <f t="shared" si="11"/>
        <v>0.25245000000000001</v>
      </c>
      <c r="T34" s="65">
        <f t="shared" si="11"/>
        <v>0</v>
      </c>
      <c r="U34" s="126">
        <f t="shared" si="11"/>
        <v>0</v>
      </c>
    </row>
    <row r="35" spans="1:21" s="48" customFormat="1" x14ac:dyDescent="0.25">
      <c r="A35" s="125" t="str">
        <f>G8</f>
        <v>8-B</v>
      </c>
      <c r="B35" s="11">
        <v>250</v>
      </c>
      <c r="C35" s="65">
        <f t="shared" si="6"/>
        <v>46.792499999999997</v>
      </c>
      <c r="D35" s="65">
        <f t="shared" si="7"/>
        <v>6.3532293749999988</v>
      </c>
      <c r="E35" s="65">
        <f t="shared" si="8"/>
        <v>0.78355125000000003</v>
      </c>
      <c r="F35" s="65">
        <f t="shared" si="9"/>
        <v>7.1557207499999995</v>
      </c>
      <c r="G35" s="65">
        <f t="shared" si="5"/>
        <v>0.12749999999999997</v>
      </c>
      <c r="H35" s="65">
        <f t="shared" si="5"/>
        <v>0.56673750000000001</v>
      </c>
      <c r="I35" s="65">
        <f t="shared" si="5"/>
        <v>3.9524999999999998E-2</v>
      </c>
      <c r="J35" s="65">
        <f t="shared" si="5"/>
        <v>1.8487499999999999E-3</v>
      </c>
      <c r="K35" s="65">
        <f t="shared" si="5"/>
        <v>1.0072499999999998E-2</v>
      </c>
      <c r="L35" s="65">
        <f t="shared" si="5"/>
        <v>0.1383375</v>
      </c>
      <c r="M35" s="65">
        <f t="shared" si="5"/>
        <v>0.10199999999999999</v>
      </c>
      <c r="N35" s="65">
        <f t="shared" si="5"/>
        <v>11.3475</v>
      </c>
      <c r="O35" s="65">
        <f t="shared" si="5"/>
        <v>2269.5</v>
      </c>
      <c r="P35" s="65">
        <f t="shared" si="5"/>
        <v>0</v>
      </c>
      <c r="Q35" s="65">
        <f t="shared" si="10"/>
        <v>29.324999999999996</v>
      </c>
      <c r="R35" s="65">
        <f t="shared" si="11"/>
        <v>0</v>
      </c>
      <c r="S35" s="65">
        <f t="shared" si="11"/>
        <v>0.25245000000000001</v>
      </c>
      <c r="T35" s="65">
        <f t="shared" si="11"/>
        <v>0</v>
      </c>
      <c r="U35" s="126">
        <f t="shared" si="11"/>
        <v>0</v>
      </c>
    </row>
    <row r="36" spans="1:21" s="48" customFormat="1" x14ac:dyDescent="0.25">
      <c r="A36" s="125" t="str">
        <f>H8</f>
        <v>9-B</v>
      </c>
      <c r="B36" s="11">
        <v>250</v>
      </c>
      <c r="C36" s="65">
        <f t="shared" si="6"/>
        <v>46.792499999999997</v>
      </c>
      <c r="D36" s="65">
        <f t="shared" si="7"/>
        <v>6.3532293749999988</v>
      </c>
      <c r="E36" s="65">
        <f t="shared" si="8"/>
        <v>0.78355125000000003</v>
      </c>
      <c r="F36" s="65">
        <f t="shared" si="9"/>
        <v>7.1557207499999995</v>
      </c>
      <c r="G36" s="65">
        <f t="shared" si="5"/>
        <v>0.12749999999999997</v>
      </c>
      <c r="H36" s="65">
        <f t="shared" si="5"/>
        <v>0.56673750000000001</v>
      </c>
      <c r="I36" s="65">
        <f t="shared" si="5"/>
        <v>3.9524999999999998E-2</v>
      </c>
      <c r="J36" s="65">
        <f t="shared" si="5"/>
        <v>1.8487499999999999E-3</v>
      </c>
      <c r="K36" s="65">
        <f t="shared" si="5"/>
        <v>1.0072499999999998E-2</v>
      </c>
      <c r="L36" s="65">
        <f t="shared" si="5"/>
        <v>0.1383375</v>
      </c>
      <c r="M36" s="65">
        <f t="shared" si="5"/>
        <v>0.10199999999999999</v>
      </c>
      <c r="N36" s="65">
        <f t="shared" si="5"/>
        <v>11.3475</v>
      </c>
      <c r="O36" s="65">
        <f t="shared" si="5"/>
        <v>2269.5</v>
      </c>
      <c r="P36" s="65">
        <f t="shared" si="5"/>
        <v>0</v>
      </c>
      <c r="Q36" s="65">
        <f t="shared" si="10"/>
        <v>29.324999999999996</v>
      </c>
      <c r="R36" s="65">
        <f t="shared" si="11"/>
        <v>0</v>
      </c>
      <c r="S36" s="65">
        <f t="shared" si="11"/>
        <v>0.25245000000000001</v>
      </c>
      <c r="T36" s="65">
        <f t="shared" si="11"/>
        <v>0</v>
      </c>
      <c r="U36" s="126">
        <f t="shared" si="11"/>
        <v>0</v>
      </c>
    </row>
    <row r="37" spans="1:21" s="48" customFormat="1" x14ac:dyDescent="0.25">
      <c r="A37" s="125" t="str">
        <f>I8</f>
        <v>8222-B</v>
      </c>
      <c r="B37" s="11">
        <v>250</v>
      </c>
      <c r="C37" s="65">
        <f t="shared" si="6"/>
        <v>46.792499999999997</v>
      </c>
      <c r="D37" s="65">
        <f t="shared" si="7"/>
        <v>6.3532293749999988</v>
      </c>
      <c r="E37" s="65">
        <f t="shared" si="8"/>
        <v>0.78355125000000003</v>
      </c>
      <c r="F37" s="65">
        <f t="shared" si="9"/>
        <v>7.1557207499999995</v>
      </c>
      <c r="G37" s="65">
        <f t="shared" si="5"/>
        <v>0.12749999999999997</v>
      </c>
      <c r="H37" s="65">
        <f t="shared" si="5"/>
        <v>0.56673750000000001</v>
      </c>
      <c r="I37" s="65">
        <f t="shared" si="5"/>
        <v>3.9524999999999998E-2</v>
      </c>
      <c r="J37" s="65">
        <f t="shared" si="5"/>
        <v>1.8487499999999999E-3</v>
      </c>
      <c r="K37" s="65">
        <f t="shared" si="5"/>
        <v>1.0072499999999998E-2</v>
      </c>
      <c r="L37" s="65">
        <f t="shared" si="5"/>
        <v>0.1383375</v>
      </c>
      <c r="M37" s="65">
        <f t="shared" si="5"/>
        <v>0.10199999999999999</v>
      </c>
      <c r="N37" s="65">
        <f t="shared" si="5"/>
        <v>11.3475</v>
      </c>
      <c r="O37" s="65">
        <f t="shared" si="5"/>
        <v>2269.5</v>
      </c>
      <c r="P37" s="65">
        <f t="shared" si="5"/>
        <v>0</v>
      </c>
      <c r="Q37" s="65">
        <f t="shared" si="10"/>
        <v>29.324999999999996</v>
      </c>
      <c r="R37" s="65">
        <f t="shared" si="11"/>
        <v>0</v>
      </c>
      <c r="S37" s="65">
        <f t="shared" si="11"/>
        <v>0.25245000000000001</v>
      </c>
      <c r="T37" s="65">
        <f t="shared" si="11"/>
        <v>0</v>
      </c>
      <c r="U37" s="126">
        <f t="shared" si="11"/>
        <v>0</v>
      </c>
    </row>
    <row r="38" spans="1:21" s="48" customFormat="1" x14ac:dyDescent="0.25">
      <c r="A38" s="125" t="str">
        <f>J8</f>
        <v>7233-B</v>
      </c>
      <c r="B38" s="11">
        <v>250</v>
      </c>
      <c r="C38" s="65">
        <f t="shared" si="6"/>
        <v>46.792499999999997</v>
      </c>
      <c r="D38" s="65">
        <f t="shared" si="7"/>
        <v>6.3532293749999988</v>
      </c>
      <c r="E38" s="65">
        <f t="shared" si="8"/>
        <v>0.78355125000000003</v>
      </c>
      <c r="F38" s="65">
        <f t="shared" si="9"/>
        <v>7.1557207499999995</v>
      </c>
      <c r="G38" s="65">
        <f t="shared" si="5"/>
        <v>0.12749999999999997</v>
      </c>
      <c r="H38" s="65">
        <f t="shared" si="5"/>
        <v>0.56673750000000001</v>
      </c>
      <c r="I38" s="65">
        <f t="shared" si="5"/>
        <v>3.9524999999999998E-2</v>
      </c>
      <c r="J38" s="65">
        <f t="shared" si="5"/>
        <v>1.8487499999999999E-3</v>
      </c>
      <c r="K38" s="65">
        <f t="shared" si="5"/>
        <v>1.0072499999999998E-2</v>
      </c>
      <c r="L38" s="65">
        <f t="shared" si="5"/>
        <v>0.1383375</v>
      </c>
      <c r="M38" s="65">
        <f t="shared" si="5"/>
        <v>0.10199999999999999</v>
      </c>
      <c r="N38" s="65">
        <f t="shared" si="5"/>
        <v>11.3475</v>
      </c>
      <c r="O38" s="65">
        <f t="shared" si="5"/>
        <v>2269.5</v>
      </c>
      <c r="P38" s="65">
        <f t="shared" si="5"/>
        <v>0</v>
      </c>
      <c r="Q38" s="65">
        <f t="shared" si="10"/>
        <v>29.324999999999996</v>
      </c>
      <c r="R38" s="65">
        <f t="shared" si="11"/>
        <v>0</v>
      </c>
      <c r="S38" s="65">
        <f t="shared" si="11"/>
        <v>0.25245000000000001</v>
      </c>
      <c r="T38" s="65">
        <f t="shared" si="11"/>
        <v>0</v>
      </c>
      <c r="U38" s="126">
        <f t="shared" si="11"/>
        <v>0</v>
      </c>
    </row>
    <row r="39" spans="1:21" s="48" customFormat="1" x14ac:dyDescent="0.25">
      <c r="A39" s="125" t="str">
        <f>K8</f>
        <v>5641-B</v>
      </c>
      <c r="B39" s="11">
        <v>250</v>
      </c>
      <c r="C39" s="65">
        <f t="shared" si="6"/>
        <v>46.792499999999997</v>
      </c>
      <c r="D39" s="65">
        <f t="shared" si="7"/>
        <v>6.3532293749999988</v>
      </c>
      <c r="E39" s="65">
        <f t="shared" si="8"/>
        <v>0.78355125000000003</v>
      </c>
      <c r="F39" s="65">
        <f t="shared" si="9"/>
        <v>7.1557207499999995</v>
      </c>
      <c r="G39" s="65">
        <f t="shared" si="5"/>
        <v>0.12749999999999997</v>
      </c>
      <c r="H39" s="65">
        <f t="shared" si="5"/>
        <v>0.56673750000000001</v>
      </c>
      <c r="I39" s="65">
        <f t="shared" si="5"/>
        <v>3.9524999999999998E-2</v>
      </c>
      <c r="J39" s="65">
        <f t="shared" si="5"/>
        <v>1.8487499999999999E-3</v>
      </c>
      <c r="K39" s="65">
        <f t="shared" si="5"/>
        <v>1.0072499999999998E-2</v>
      </c>
      <c r="L39" s="65">
        <f t="shared" si="5"/>
        <v>0.1383375</v>
      </c>
      <c r="M39" s="65">
        <f t="shared" si="5"/>
        <v>0.10199999999999999</v>
      </c>
      <c r="N39" s="65">
        <f t="shared" si="5"/>
        <v>11.3475</v>
      </c>
      <c r="O39" s="65">
        <f t="shared" si="5"/>
        <v>2269.5</v>
      </c>
      <c r="P39" s="65">
        <f t="shared" si="5"/>
        <v>0</v>
      </c>
      <c r="Q39" s="65">
        <f t="shared" si="10"/>
        <v>29.324999999999996</v>
      </c>
      <c r="R39" s="65">
        <f t="shared" si="11"/>
        <v>0</v>
      </c>
      <c r="S39" s="65">
        <f t="shared" si="11"/>
        <v>0.25245000000000001</v>
      </c>
      <c r="T39" s="65">
        <f t="shared" si="11"/>
        <v>0</v>
      </c>
      <c r="U39" s="126">
        <f t="shared" si="11"/>
        <v>0</v>
      </c>
    </row>
    <row r="40" spans="1:21" s="48" customFormat="1" x14ac:dyDescent="0.25">
      <c r="A40" s="125" t="str">
        <f>L8</f>
        <v>4956-B</v>
      </c>
      <c r="B40" s="11">
        <v>250</v>
      </c>
      <c r="C40" s="65">
        <f t="shared" si="6"/>
        <v>46.792499999999997</v>
      </c>
      <c r="D40" s="65">
        <f t="shared" si="7"/>
        <v>6.3532293749999988</v>
      </c>
      <c r="E40" s="65">
        <f t="shared" si="8"/>
        <v>0.78355125000000003</v>
      </c>
      <c r="F40" s="65">
        <f t="shared" si="9"/>
        <v>7.1557207499999995</v>
      </c>
      <c r="G40" s="65">
        <f t="shared" si="5"/>
        <v>0.12749999999999997</v>
      </c>
      <c r="H40" s="65">
        <f t="shared" si="5"/>
        <v>0.56673750000000001</v>
      </c>
      <c r="I40" s="65">
        <f t="shared" si="5"/>
        <v>3.9524999999999998E-2</v>
      </c>
      <c r="J40" s="65">
        <f t="shared" si="5"/>
        <v>1.8487499999999999E-3</v>
      </c>
      <c r="K40" s="65">
        <f t="shared" si="5"/>
        <v>1.0072499999999998E-2</v>
      </c>
      <c r="L40" s="65">
        <f t="shared" si="5"/>
        <v>0.1383375</v>
      </c>
      <c r="M40" s="65">
        <f t="shared" si="5"/>
        <v>0.10199999999999999</v>
      </c>
      <c r="N40" s="65">
        <f t="shared" si="5"/>
        <v>11.3475</v>
      </c>
      <c r="O40" s="65">
        <f t="shared" si="5"/>
        <v>2269.5</v>
      </c>
      <c r="P40" s="65">
        <f t="shared" si="5"/>
        <v>0</v>
      </c>
      <c r="Q40" s="65">
        <f t="shared" si="10"/>
        <v>29.324999999999996</v>
      </c>
      <c r="R40" s="65">
        <f t="shared" si="11"/>
        <v>0</v>
      </c>
      <c r="S40" s="65">
        <f t="shared" si="11"/>
        <v>0.25245000000000001</v>
      </c>
      <c r="T40" s="65">
        <f t="shared" si="11"/>
        <v>0</v>
      </c>
      <c r="U40" s="126">
        <f t="shared" si="11"/>
        <v>0</v>
      </c>
    </row>
    <row r="41" spans="1:21" s="48" customFormat="1" x14ac:dyDescent="0.25">
      <c r="A41" s="125" t="str">
        <f>M8</f>
        <v>HAFOD B/FRON 2849</v>
      </c>
      <c r="B41" s="11">
        <v>250</v>
      </c>
      <c r="C41" s="65">
        <f t="shared" si="6"/>
        <v>46.792499999999997</v>
      </c>
      <c r="D41" s="65">
        <f t="shared" si="7"/>
        <v>6.3532293749999988</v>
      </c>
      <c r="E41" s="65">
        <f t="shared" si="8"/>
        <v>0.78355125000000003</v>
      </c>
      <c r="F41" s="65">
        <f t="shared" si="9"/>
        <v>7.1557207499999995</v>
      </c>
      <c r="G41" s="65">
        <f t="shared" si="5"/>
        <v>0.12749999999999997</v>
      </c>
      <c r="H41" s="65">
        <f t="shared" si="5"/>
        <v>0.56673750000000001</v>
      </c>
      <c r="I41" s="65">
        <f t="shared" si="5"/>
        <v>3.9524999999999998E-2</v>
      </c>
      <c r="J41" s="65">
        <f t="shared" si="5"/>
        <v>1.8487499999999999E-3</v>
      </c>
      <c r="K41" s="65">
        <f t="shared" si="5"/>
        <v>1.0072499999999998E-2</v>
      </c>
      <c r="L41" s="65">
        <f t="shared" si="5"/>
        <v>0.1383375</v>
      </c>
      <c r="M41" s="65">
        <f t="shared" si="5"/>
        <v>0.10199999999999999</v>
      </c>
      <c r="N41" s="65">
        <f t="shared" si="5"/>
        <v>11.3475</v>
      </c>
      <c r="O41" s="65">
        <f t="shared" si="5"/>
        <v>2269.5</v>
      </c>
      <c r="P41" s="65">
        <f t="shared" si="5"/>
        <v>0</v>
      </c>
      <c r="Q41" s="65">
        <f t="shared" si="10"/>
        <v>29.324999999999996</v>
      </c>
      <c r="R41" s="65">
        <f t="shared" si="11"/>
        <v>0</v>
      </c>
      <c r="S41" s="65">
        <f t="shared" si="11"/>
        <v>0.25245000000000001</v>
      </c>
      <c r="T41" s="65">
        <f t="shared" si="11"/>
        <v>0</v>
      </c>
      <c r="U41" s="126">
        <f t="shared" si="11"/>
        <v>0</v>
      </c>
    </row>
    <row r="42" spans="1:21" s="48" customFormat="1" x14ac:dyDescent="0.25">
      <c r="A42" s="125" t="str">
        <f>N8</f>
        <v>HAFOD B/FRON 3836</v>
      </c>
      <c r="B42" s="11">
        <v>250</v>
      </c>
      <c r="C42" s="65">
        <f t="shared" si="6"/>
        <v>46.792499999999997</v>
      </c>
      <c r="D42" s="65">
        <f t="shared" si="7"/>
        <v>6.3532293749999988</v>
      </c>
      <c r="E42" s="65">
        <f t="shared" si="8"/>
        <v>0.78355125000000003</v>
      </c>
      <c r="F42" s="65">
        <f t="shared" si="9"/>
        <v>7.1557207499999995</v>
      </c>
      <c r="G42" s="65">
        <f t="shared" si="5"/>
        <v>0.12749999999999997</v>
      </c>
      <c r="H42" s="65">
        <f t="shared" si="5"/>
        <v>0.56673750000000001</v>
      </c>
      <c r="I42" s="65">
        <f t="shared" si="5"/>
        <v>3.9524999999999998E-2</v>
      </c>
      <c r="J42" s="65">
        <f t="shared" si="5"/>
        <v>1.8487499999999999E-3</v>
      </c>
      <c r="K42" s="65">
        <f t="shared" si="5"/>
        <v>1.0072499999999998E-2</v>
      </c>
      <c r="L42" s="65">
        <f t="shared" si="5"/>
        <v>0.1383375</v>
      </c>
      <c r="M42" s="65">
        <f t="shared" si="5"/>
        <v>0.10199999999999999</v>
      </c>
      <c r="N42" s="65">
        <f t="shared" si="5"/>
        <v>11.3475</v>
      </c>
      <c r="O42" s="65">
        <f t="shared" si="5"/>
        <v>2269.5</v>
      </c>
      <c r="P42" s="65">
        <f t="shared" si="5"/>
        <v>0</v>
      </c>
      <c r="Q42" s="65">
        <f t="shared" si="10"/>
        <v>29.324999999999996</v>
      </c>
      <c r="R42" s="65">
        <f t="shared" si="11"/>
        <v>0</v>
      </c>
      <c r="S42" s="65">
        <f t="shared" si="11"/>
        <v>0.25245000000000001</v>
      </c>
      <c r="T42" s="65">
        <f t="shared" si="11"/>
        <v>0</v>
      </c>
      <c r="U42" s="126">
        <f t="shared" si="11"/>
        <v>0</v>
      </c>
    </row>
    <row r="43" spans="1:21" s="48" customFormat="1" x14ac:dyDescent="0.25">
      <c r="A43" s="125" t="str">
        <f>O8</f>
        <v>BOLAFRON 4718</v>
      </c>
      <c r="B43" s="11">
        <v>250</v>
      </c>
      <c r="C43" s="65">
        <f t="shared" si="6"/>
        <v>46.792499999999997</v>
      </c>
      <c r="D43" s="65">
        <f t="shared" si="7"/>
        <v>6.3532293749999988</v>
      </c>
      <c r="E43" s="65">
        <f t="shared" si="8"/>
        <v>0.78355125000000003</v>
      </c>
      <c r="F43" s="65">
        <f t="shared" si="9"/>
        <v>7.1557207499999995</v>
      </c>
      <c r="G43" s="65">
        <f t="shared" si="5"/>
        <v>0.12749999999999997</v>
      </c>
      <c r="H43" s="65">
        <f t="shared" si="5"/>
        <v>0.56673750000000001</v>
      </c>
      <c r="I43" s="65">
        <f t="shared" si="5"/>
        <v>3.9524999999999998E-2</v>
      </c>
      <c r="J43" s="65">
        <f t="shared" si="5"/>
        <v>1.8487499999999999E-3</v>
      </c>
      <c r="K43" s="65">
        <f t="shared" si="5"/>
        <v>1.0072499999999998E-2</v>
      </c>
      <c r="L43" s="65">
        <f t="shared" si="5"/>
        <v>0.1383375</v>
      </c>
      <c r="M43" s="65">
        <f t="shared" si="5"/>
        <v>0.10199999999999999</v>
      </c>
      <c r="N43" s="65">
        <f t="shared" si="5"/>
        <v>11.3475</v>
      </c>
      <c r="O43" s="65">
        <f t="shared" si="5"/>
        <v>2269.5</v>
      </c>
      <c r="P43" s="65">
        <f t="shared" si="5"/>
        <v>0</v>
      </c>
      <c r="Q43" s="65">
        <f t="shared" si="10"/>
        <v>29.324999999999996</v>
      </c>
      <c r="R43" s="65">
        <f t="shared" si="11"/>
        <v>0</v>
      </c>
      <c r="S43" s="65">
        <f t="shared" si="11"/>
        <v>0.25245000000000001</v>
      </c>
      <c r="T43" s="65">
        <f t="shared" si="11"/>
        <v>0</v>
      </c>
      <c r="U43" s="126">
        <f t="shared" si="11"/>
        <v>0</v>
      </c>
    </row>
    <row r="44" spans="1:21" s="48" customFormat="1" x14ac:dyDescent="0.25">
      <c r="A44" s="125" t="str">
        <f>P8</f>
        <v>BOLAFRON 3107</v>
      </c>
      <c r="B44" s="11">
        <v>250</v>
      </c>
      <c r="C44" s="65">
        <f t="shared" si="6"/>
        <v>46.792499999999997</v>
      </c>
      <c r="D44" s="65">
        <f t="shared" si="7"/>
        <v>6.3532293749999988</v>
      </c>
      <c r="E44" s="65">
        <f t="shared" si="8"/>
        <v>0.78355125000000003</v>
      </c>
      <c r="F44" s="65">
        <f t="shared" si="9"/>
        <v>7.1557207499999995</v>
      </c>
      <c r="G44" s="65">
        <f t="shared" si="5"/>
        <v>0.12749999999999997</v>
      </c>
      <c r="H44" s="65">
        <f t="shared" si="5"/>
        <v>0.56673750000000001</v>
      </c>
      <c r="I44" s="65">
        <f t="shared" si="5"/>
        <v>3.9524999999999998E-2</v>
      </c>
      <c r="J44" s="65">
        <f t="shared" si="5"/>
        <v>1.8487499999999999E-3</v>
      </c>
      <c r="K44" s="65">
        <f t="shared" si="5"/>
        <v>1.0072499999999998E-2</v>
      </c>
      <c r="L44" s="65">
        <f t="shared" si="5"/>
        <v>0.1383375</v>
      </c>
      <c r="M44" s="65">
        <f t="shared" si="5"/>
        <v>0.10199999999999999</v>
      </c>
      <c r="N44" s="65">
        <f t="shared" si="5"/>
        <v>11.3475</v>
      </c>
      <c r="O44" s="65">
        <f t="shared" si="5"/>
        <v>2269.5</v>
      </c>
      <c r="P44" s="65">
        <f t="shared" si="5"/>
        <v>0</v>
      </c>
      <c r="Q44" s="65">
        <f t="shared" si="10"/>
        <v>29.324999999999996</v>
      </c>
      <c r="R44" s="65">
        <f t="shared" si="11"/>
        <v>0</v>
      </c>
      <c r="S44" s="65">
        <f t="shared" si="11"/>
        <v>0.25245000000000001</v>
      </c>
      <c r="T44" s="65">
        <f t="shared" si="11"/>
        <v>0</v>
      </c>
      <c r="U44" s="126">
        <f t="shared" si="11"/>
        <v>0</v>
      </c>
    </row>
    <row r="45" spans="1:21" s="48" customFormat="1" x14ac:dyDescent="0.25">
      <c r="A45" s="125" t="str">
        <f>Q8</f>
        <v>BOLAFRON 6609</v>
      </c>
      <c r="B45" s="11">
        <v>250</v>
      </c>
      <c r="C45" s="65">
        <f t="shared" si="6"/>
        <v>46.792499999999997</v>
      </c>
      <c r="D45" s="65">
        <f t="shared" si="7"/>
        <v>6.3532293749999988</v>
      </c>
      <c r="E45" s="65">
        <f t="shared" si="8"/>
        <v>0.78355125000000003</v>
      </c>
      <c r="F45" s="65">
        <f t="shared" si="9"/>
        <v>7.1557207499999995</v>
      </c>
      <c r="G45" s="65">
        <f t="shared" si="5"/>
        <v>0.12749999999999997</v>
      </c>
      <c r="H45" s="65">
        <f t="shared" si="5"/>
        <v>0.56673750000000001</v>
      </c>
      <c r="I45" s="65">
        <f t="shared" si="5"/>
        <v>3.9524999999999998E-2</v>
      </c>
      <c r="J45" s="65">
        <f t="shared" si="5"/>
        <v>1.8487499999999999E-3</v>
      </c>
      <c r="K45" s="65">
        <f t="shared" si="5"/>
        <v>1.0072499999999998E-2</v>
      </c>
      <c r="L45" s="65">
        <f t="shared" si="5"/>
        <v>0.1383375</v>
      </c>
      <c r="M45" s="65">
        <f t="shared" si="5"/>
        <v>0.10199999999999999</v>
      </c>
      <c r="N45" s="65">
        <f t="shared" si="5"/>
        <v>11.3475</v>
      </c>
      <c r="O45" s="65">
        <f t="shared" si="5"/>
        <v>2269.5</v>
      </c>
      <c r="P45" s="65">
        <f t="shared" si="5"/>
        <v>0</v>
      </c>
      <c r="Q45" s="65">
        <f t="shared" si="10"/>
        <v>29.324999999999996</v>
      </c>
      <c r="R45" s="65">
        <f t="shared" si="11"/>
        <v>0</v>
      </c>
      <c r="S45" s="65">
        <f t="shared" si="11"/>
        <v>0.25245000000000001</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 I Grass</v>
      </c>
      <c r="C58" s="10" t="str">
        <f>D16&amp;" I "&amp;(VLOOKUP(D14,Table2458[],6,FALSE))</f>
        <v>Medium I Grass</v>
      </c>
      <c r="D58" s="10" t="str">
        <f>E16&amp;" I "&amp;(VLOOKUP(E14,Table2458[],6,FALSE))</f>
        <v>Medium I Grass</v>
      </c>
      <c r="E58" s="10" t="str">
        <f>F16&amp;" I "&amp;(VLOOKUP(F14,Table2458[],6,FALSE))</f>
        <v>Medium I Grass</v>
      </c>
      <c r="F58" s="10" t="str">
        <f>G16&amp;" I "&amp;(VLOOKUP(G14,Table2458[],6,FALSE))</f>
        <v>Medium I Grass</v>
      </c>
      <c r="G58" s="10" t="str">
        <f>H16&amp;" I "&amp;(VLOOKUP(H14,Table2458[],6,FALSE))</f>
        <v>Medium I Grass</v>
      </c>
      <c r="H58" s="10" t="str">
        <f>I16&amp;" I "&amp;(VLOOKUP(I14,Table2458[],6,FALSE))</f>
        <v>Medium I Grass</v>
      </c>
      <c r="I58" s="10" t="str">
        <f>J16&amp;" I "&amp;(VLOOKUP(J14,Table2458[],6,FALSE))</f>
        <v>Medium I Grass</v>
      </c>
      <c r="J58" s="10" t="str">
        <f>K16&amp;" I "&amp;(VLOOKUP(K14,Table2458[],6,FALSE))</f>
        <v>Medium I Grass</v>
      </c>
      <c r="K58" s="10" t="str">
        <f>L16&amp;" I "&amp;(VLOOKUP(L14,Table2458[],6,FALSE))</f>
        <v>Medium I Grass</v>
      </c>
      <c r="L58" s="10" t="str">
        <f>M16&amp;" I "&amp;(VLOOKUP(M14,Table2458[],6,FALSE))</f>
        <v>Medium I Grass</v>
      </c>
      <c r="M58" s="10" t="str">
        <f>N16&amp;" I "&amp;(VLOOKUP(N14,Table2458[],6,FALSE))</f>
        <v>Medium I Grass</v>
      </c>
      <c r="N58" s="10" t="str">
        <f>O16&amp;" I "&amp;(VLOOKUP(O14,Table2458[],6,FALSE))</f>
        <v>Medium I Grass</v>
      </c>
      <c r="O58" s="10" t="str">
        <f>P16&amp;" I "&amp;(VLOOKUP(P14,Table2458[],6,FALSE))</f>
        <v>Medium I Grass</v>
      </c>
      <c r="P58" s="10" t="str">
        <f>Q16&amp;" I "&amp;(VLOOKUP(Q14,Table2458[],6,FALSE))</f>
        <v>Medium I Grass</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f>VLOOKUP(P$14,Table2458[],5,FALSE)</f>
        <v>6.2</v>
      </c>
      <c r="P59" s="64">
        <f>VLOOKUP(Q$14,Table2458[],5,FALSE)</f>
        <v>6.2</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S29" sqref="S2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7.5</v>
      </c>
      <c r="J1" s="130" t="s">
        <v>153</v>
      </c>
      <c r="K1" s="131"/>
      <c r="L1" s="109">
        <v>251</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186</v>
      </c>
      <c r="G2" s="164" t="s">
        <v>110</v>
      </c>
      <c r="H2" s="165"/>
      <c r="I2" s="110"/>
      <c r="J2" s="132" t="s">
        <v>158</v>
      </c>
      <c r="K2" s="133"/>
      <c r="L2" s="110">
        <v>0.72499999999999998</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c r="J3" s="134" t="s">
        <v>154</v>
      </c>
      <c r="K3" s="135"/>
      <c r="L3" s="110">
        <f>(L1/(L2*10000))*100</f>
        <v>3.4620689655172412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192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5.6319653000000001</v>
      </c>
      <c r="D18" s="12">
        <f>$D32</f>
        <v>5.6319653000000001</v>
      </c>
      <c r="E18" s="12">
        <f>$D33</f>
        <v>5.6319653000000001</v>
      </c>
      <c r="F18" s="12">
        <f>$D34</f>
        <v>5.6319653000000001</v>
      </c>
      <c r="G18" s="12">
        <f>$D35</f>
        <v>5.6319653000000001</v>
      </c>
      <c r="H18" s="12">
        <f>$D36</f>
        <v>5.6319653000000001</v>
      </c>
      <c r="I18" s="12">
        <f>$D37</f>
        <v>5.6319653000000001</v>
      </c>
      <c r="J18" s="12">
        <f>$D38</f>
        <v>5.6319653000000001</v>
      </c>
      <c r="K18" s="12">
        <f>$D39</f>
        <v>5.6319653000000001</v>
      </c>
      <c r="L18" s="12">
        <f>$D40</f>
        <v>5.6319653000000001</v>
      </c>
      <c r="M18" s="12">
        <f>$D41</f>
        <v>5.6319653000000001</v>
      </c>
      <c r="N18" s="12">
        <f>$D42</f>
        <v>5.6319653000000001</v>
      </c>
      <c r="O18" s="12">
        <f>$D43</f>
        <v>5.6319653000000001</v>
      </c>
      <c r="P18" s="12">
        <f>$D44</f>
        <v>5.6319653000000001</v>
      </c>
      <c r="Q18" s="12">
        <f>$D45</f>
        <v>5.6319653000000001</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-74.268034699999987</v>
      </c>
      <c r="D19" s="12">
        <f t="shared" ref="D19:V19" si="1">D18-D17</f>
        <v>-74.268034699999987</v>
      </c>
      <c r="E19" s="12">
        <f t="shared" si="1"/>
        <v>-74.268034699999987</v>
      </c>
      <c r="F19" s="12">
        <f t="shared" si="1"/>
        <v>-74.268034699999987</v>
      </c>
      <c r="G19" s="12">
        <f t="shared" si="1"/>
        <v>-74.268034699999987</v>
      </c>
      <c r="H19" s="12">
        <f t="shared" si="1"/>
        <v>-74.268034699999987</v>
      </c>
      <c r="I19" s="12">
        <f t="shared" si="1"/>
        <v>-74.268034699999987</v>
      </c>
      <c r="J19" s="12">
        <f t="shared" si="1"/>
        <v>-74.268034699999987</v>
      </c>
      <c r="K19" s="12">
        <f t="shared" si="1"/>
        <v>-74.268034699999987</v>
      </c>
      <c r="L19" s="12">
        <f t="shared" si="1"/>
        <v>-74.268034699999987</v>
      </c>
      <c r="M19" s="12">
        <f t="shared" si="1"/>
        <v>-74.268034699999987</v>
      </c>
      <c r="N19" s="12">
        <f t="shared" si="1"/>
        <v>-74.268034699999987</v>
      </c>
      <c r="O19" s="12">
        <f t="shared" si="1"/>
        <v>-74.268034699999987</v>
      </c>
      <c r="P19" s="12">
        <f t="shared" si="1"/>
        <v>-74.268034699999987</v>
      </c>
      <c r="Q19" s="12">
        <f t="shared" si="1"/>
        <v>-74.268034699999987</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0.80120449999999999</v>
      </c>
      <c r="D22" s="12">
        <f>$E32</f>
        <v>0.80120449999999999</v>
      </c>
      <c r="E22" s="12">
        <f>$E33</f>
        <v>0.80120449999999999</v>
      </c>
      <c r="F22" s="12">
        <f>$E34</f>
        <v>0.80120449999999999</v>
      </c>
      <c r="G22" s="12">
        <f>$E35</f>
        <v>0.80120449999999999</v>
      </c>
      <c r="H22" s="12">
        <f>$E36</f>
        <v>0.80120449999999999</v>
      </c>
      <c r="I22" s="12">
        <f>$E37</f>
        <v>0.80120449999999999</v>
      </c>
      <c r="J22" s="12">
        <f>$E38</f>
        <v>0.80120449999999999</v>
      </c>
      <c r="K22" s="12">
        <f>$E39</f>
        <v>0.80120449999999999</v>
      </c>
      <c r="L22" s="12">
        <f>$E40</f>
        <v>0.80120449999999999</v>
      </c>
      <c r="M22" s="12">
        <f>$E41</f>
        <v>0.80120449999999999</v>
      </c>
      <c r="N22" s="12">
        <f>$E42</f>
        <v>0.80120449999999999</v>
      </c>
      <c r="O22" s="12">
        <f>$E43</f>
        <v>0.80120449999999999</v>
      </c>
      <c r="P22" s="12">
        <f>$E44</f>
        <v>0.80120449999999999</v>
      </c>
      <c r="Q22" s="12">
        <f>$E45</f>
        <v>0.80120449999999999</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-281.19879550000002</v>
      </c>
      <c r="D23" s="12">
        <f t="shared" ref="D23:V23" si="3">D22-D21</f>
        <v>-281.19879550000002</v>
      </c>
      <c r="E23" s="12">
        <f t="shared" si="3"/>
        <v>-281.19879550000002</v>
      </c>
      <c r="F23" s="12">
        <f t="shared" si="3"/>
        <v>-281.19879550000002</v>
      </c>
      <c r="G23" s="12">
        <f t="shared" si="3"/>
        <v>-281.19879550000002</v>
      </c>
      <c r="H23" s="12">
        <f t="shared" si="3"/>
        <v>-281.19879550000002</v>
      </c>
      <c r="I23" s="12">
        <f t="shared" si="3"/>
        <v>-281.19879550000002</v>
      </c>
      <c r="J23" s="12">
        <f t="shared" si="3"/>
        <v>-281.19879550000002</v>
      </c>
      <c r="K23" s="12">
        <f t="shared" si="3"/>
        <v>-281.19879550000002</v>
      </c>
      <c r="L23" s="12">
        <f t="shared" si="3"/>
        <v>-281.19879550000002</v>
      </c>
      <c r="M23" s="12">
        <f t="shared" si="3"/>
        <v>-281.19879550000002</v>
      </c>
      <c r="N23" s="12">
        <f t="shared" si="3"/>
        <v>-281.19879550000002</v>
      </c>
      <c r="O23" s="12">
        <f t="shared" si="3"/>
        <v>-281.19879550000002</v>
      </c>
      <c r="P23" s="12">
        <f t="shared" si="3"/>
        <v>-281.19879550000002</v>
      </c>
      <c r="Q23" s="12">
        <f t="shared" si="3"/>
        <v>-281.19879550000002</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2.44</v>
      </c>
      <c r="C28" s="11">
        <v>0.72499999999999998</v>
      </c>
      <c r="D28" s="11">
        <v>4.0300000000000002E-2</v>
      </c>
      <c r="E28" s="11">
        <v>1.09E-2</v>
      </c>
      <c r="F28" s="11">
        <v>660</v>
      </c>
      <c r="G28" s="11">
        <v>9.52</v>
      </c>
      <c r="H28" s="11">
        <v>79.400000000000006</v>
      </c>
      <c r="I28" s="11">
        <v>6.2</v>
      </c>
      <c r="J28" s="11">
        <v>0.17</v>
      </c>
      <c r="K28" s="15">
        <v>1.65</v>
      </c>
      <c r="L28" s="11">
        <v>21.8</v>
      </c>
      <c r="M28" s="11">
        <v>18.2</v>
      </c>
      <c r="N28" s="11">
        <v>1720</v>
      </c>
      <c r="O28" s="11">
        <v>337000</v>
      </c>
      <c r="P28" s="11"/>
      <c r="Q28" s="11">
        <v>1750</v>
      </c>
      <c r="R28" s="11"/>
      <c r="S28" s="11">
        <v>37.4</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250</v>
      </c>
      <c r="C31" s="65">
        <f>IF(C$27="%w/w SAR",((C$28*10)*$B31),IF(C$27="%w/w DM",(((C$28*10)*($B$28/100))*$B31),IF(C$27="kg/t SAR",(C$28*$B31),IF(C$27="kg/t DM",((C$28*($B$28/100))*$B31),IF(C$27="mg/kg SAR",((C$28*0.001)*$B31),IF(C$27="mg/kg DM",(((C$28*0.001)*($B$28/100))*$B31),0))))))</f>
        <v>44.224999999999994</v>
      </c>
      <c r="D31" s="65">
        <f>(IF(D$27="%w/w SAR",((D$28*10)*$B31),IF(D$27="%w/w DM",(((D$28*10)*($B$28/100))*$B31),IF(D$27="kg/t SAR",(D$28*$B31),IF(D$27="kg/t DM",((D$28*($B$28/100))*$B31),IF(D$27="mg/kg SAR",((D$28*0.001)*$B31),IF(D$27="mg/kg DM",(((D$28*0.001)*($B$28/100))*$B31),"0")))))))*2.291</f>
        <v>5.6319653000000001</v>
      </c>
      <c r="E31" s="65">
        <f>(IF(E$27="%w/w SAR",((E$28*10)*$B31),IF(E$27="%w/w DM",(((E$28*10)*($B$28/100))*$B31),IF(E$27="kg/t SAR",(E$28*$B31),IF(E$27="kg/t DM",((E$28*($B$28/100))*$B31),IF(E$27="mg/kg SAR",((E$28*0.001)*$B31),IF(E$27="mg/kg DM",(((E$28*0.001)*($B$28/100))*$B31),"0")))))))*1.205</f>
        <v>0.80120449999999999</v>
      </c>
      <c r="F31" s="65">
        <f>(IF(F$27="%w/w SAR",((F$28*10)*$B31),IF(F$27="%w/w DM",(((F$28*10)*($B$28/100))*$B31),IF(F$27="kg/t SAR",(F$28*$B31),IF(F$27="kg/t DM",((F$28*($B$28/100))*$B31),IF(F$27="mg/kg SAR",((F$28*0.001)*$B31),IF(F$27="mg/kg DM",(((F$28*0.001)*($B$28/100))*$B31),"0")))))))*1.658</f>
        <v>6.6751079999999989</v>
      </c>
      <c r="G31" s="65">
        <f t="shared" ref="G31:P46" si="5">IF(G$27="%w/w SAR",((G$28*10)*$B31),IF(G$27="%w/w DM",(((G$28*10)*($B$28/100))*$B31),IF(G$27="kg/t SAR",(G$28*$B31),IF(G$27="kg/t DM",((G$28*($B$28/100))*$B31),IF(G$27="mg/kg SAR",((G$28*0.001)*$B31),IF(G$27="mg/kg DM",(((G$28*0.001)*($B$28/100))*$B31),0))))))</f>
        <v>5.8071999999999992E-2</v>
      </c>
      <c r="H31" s="65">
        <f t="shared" si="5"/>
        <v>0.48434000000000005</v>
      </c>
      <c r="I31" s="65">
        <f t="shared" si="5"/>
        <v>3.7819999999999999E-2</v>
      </c>
      <c r="J31" s="65">
        <f t="shared" si="5"/>
        <v>1.0369999999999999E-3</v>
      </c>
      <c r="K31" s="65">
        <f t="shared" si="5"/>
        <v>1.0064999999999999E-2</v>
      </c>
      <c r="L31" s="65">
        <f t="shared" si="5"/>
        <v>0.13297999999999999</v>
      </c>
      <c r="M31" s="65">
        <f t="shared" si="5"/>
        <v>0.11101999999999999</v>
      </c>
      <c r="N31" s="65">
        <f t="shared" si="5"/>
        <v>10.491999999999999</v>
      </c>
      <c r="O31" s="65">
        <f t="shared" si="5"/>
        <v>2055.6999999999998</v>
      </c>
      <c r="P31" s="65">
        <f t="shared" si="5"/>
        <v>0</v>
      </c>
      <c r="Q31" s="65">
        <f>(IF(Q$27="%w/w SAR",((Q$28*10)*$B31),IF(Q$27="%w/w DM",(((Q$28*10)*($B$28/100))*$B31),IF(Q$27="kg/t SAR",(Q$28*$B31),IF(Q$27="kg/t DM",((Q$28*($B$28/100))*$B31),IF(Q$27="mg/kg SAR",((Q$28*0.001)*$B31),IF(Q$27="mg/kg DM",(((Q$28*0.001)*($B$28/100))*$B31),0)))))))*2.5</f>
        <v>26.687499999999996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0.22813999999999998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250</v>
      </c>
      <c r="C32" s="65">
        <f t="shared" ref="C32:C50" si="6">IF(C$27="%w/w SAR",((C$28*10)*$B32),IF(C$27="%w/w DM",(((C$28*10)*($B$28/100))*$B32),IF(C$27="kg/t SAR",(C$28*$B32),IF(C$27="kg/t DM",((C$28*($B$28/100))*$B32),IF(C$27="mg/kg SAR",((C$28*0.001)*$B32),IF(C$27="mg/kg DM",(((C$28*0.001)*($B$28/100))*$B32),0))))))</f>
        <v>44.224999999999994</v>
      </c>
      <c r="D32" s="65">
        <f t="shared" ref="D32:D50" si="7">(IF(D$27="%w/w SAR",((D$28*10)*$B32),IF(D$27="%w/w DM",(((D$28*10)*($B$28/100))*$B32),IF(D$27="kg/t SAR",(D$28*$B32),IF(D$27="kg/t DM",((D$28*($B$28/100))*$B32),IF(D$27="mg/kg SAR",((D$28*0.001)*$B32),IF(D$27="mg/kg DM",(((D$28*0.001)*($B$28/100))*$B32),"0")))))))*2.291</f>
        <v>5.6319653000000001</v>
      </c>
      <c r="E32" s="65">
        <f t="shared" ref="E32:E50" si="8">(IF(E$27="%w/w SAR",((E$28*10)*$B32),IF(E$27="%w/w DM",(((E$28*10)*($B$28/100))*$B32),IF(E$27="kg/t SAR",(E$28*$B32),IF(E$27="kg/t DM",((E$28*($B$28/100))*$B32),IF(E$27="mg/kg SAR",((E$28*0.001)*$B32),IF(E$27="mg/kg DM",(((E$28*0.001)*($B$28/100))*$B32),"0")))))))*1.205</f>
        <v>0.80120449999999999</v>
      </c>
      <c r="F32" s="65">
        <f t="shared" ref="F32:F50" si="9">(IF(F$27="%w/w SAR",((F$28*10)*$B32),IF(F$27="%w/w DM",(((F$28*10)*($B$28/100))*$B32),IF(F$27="kg/t SAR",(F$28*$B32),IF(F$27="kg/t DM",((F$28*($B$28/100))*$B32),IF(F$27="mg/kg SAR",((F$28*0.001)*$B32),IF(F$27="mg/kg DM",(((F$28*0.001)*($B$28/100))*$B32),"0")))))))*1.658</f>
        <v>6.6751079999999989</v>
      </c>
      <c r="G32" s="65">
        <f t="shared" si="5"/>
        <v>5.8071999999999992E-2</v>
      </c>
      <c r="H32" s="65">
        <f t="shared" si="5"/>
        <v>0.48434000000000005</v>
      </c>
      <c r="I32" s="65">
        <f t="shared" si="5"/>
        <v>3.7819999999999999E-2</v>
      </c>
      <c r="J32" s="65">
        <f t="shared" si="5"/>
        <v>1.0369999999999999E-3</v>
      </c>
      <c r="K32" s="65">
        <f t="shared" si="5"/>
        <v>1.0064999999999999E-2</v>
      </c>
      <c r="L32" s="65">
        <f t="shared" si="5"/>
        <v>0.13297999999999999</v>
      </c>
      <c r="M32" s="65">
        <f t="shared" si="5"/>
        <v>0.11101999999999999</v>
      </c>
      <c r="N32" s="65">
        <f t="shared" si="5"/>
        <v>10.491999999999999</v>
      </c>
      <c r="O32" s="65">
        <f t="shared" si="5"/>
        <v>2055.6999999999998</v>
      </c>
      <c r="P32" s="65">
        <f t="shared" si="5"/>
        <v>0</v>
      </c>
      <c r="Q32" s="65">
        <f t="shared" ref="Q32:Q50" si="10">(IF(Q$27="%w/w SAR",((Q$28*10)*$B32),IF(Q$27="%w/w DM",(((Q$28*10)*($B$28/100))*$B32),IF(Q$27="kg/t SAR",(Q$28*$B32),IF(Q$27="kg/t DM",((Q$28*($B$28/100))*$B32),IF(Q$27="mg/kg SAR",((Q$28*0.001)*$B32),IF(Q$27="mg/kg DM",(((Q$28*0.001)*($B$28/100))*$B32),0)))))))*2.5</f>
        <v>26.687499999999996</v>
      </c>
      <c r="R32" s="65">
        <f t="shared" ref="R32:U50" si="11">IF(R$27="%w/w SAR",((R$28*10)*$B32),IF(R$27="%w/w DM",(((R$28*10)*($B$28/100))*$B32),IF(R$27="kg/t SAR",(R$28*$B32),IF(R$27="kg/t DM",((R$28*($B$28/100))*$B32),IF(R$27="mg/kg SAR",((R$28*0.001)*$B32),IF(R$27="mg/kg DM",(((R$28*0.001)*($B$28/100))*$B32),0))))))</f>
        <v>0</v>
      </c>
      <c r="S32" s="65">
        <f t="shared" si="11"/>
        <v>0.22813999999999998</v>
      </c>
      <c r="T32" s="65">
        <f t="shared" si="11"/>
        <v>0</v>
      </c>
      <c r="U32" s="126">
        <f t="shared" si="11"/>
        <v>0</v>
      </c>
    </row>
    <row r="33" spans="1:21" s="48" customFormat="1" x14ac:dyDescent="0.25">
      <c r="A33" s="125" t="str">
        <f>E8</f>
        <v>6-B</v>
      </c>
      <c r="B33" s="11">
        <v>250</v>
      </c>
      <c r="C33" s="65">
        <f t="shared" si="6"/>
        <v>44.224999999999994</v>
      </c>
      <c r="D33" s="65">
        <f t="shared" si="7"/>
        <v>5.6319653000000001</v>
      </c>
      <c r="E33" s="65">
        <f t="shared" si="8"/>
        <v>0.80120449999999999</v>
      </c>
      <c r="F33" s="65">
        <f t="shared" si="9"/>
        <v>6.6751079999999989</v>
      </c>
      <c r="G33" s="65">
        <f t="shared" si="5"/>
        <v>5.8071999999999992E-2</v>
      </c>
      <c r="H33" s="65">
        <f t="shared" si="5"/>
        <v>0.48434000000000005</v>
      </c>
      <c r="I33" s="65">
        <f t="shared" si="5"/>
        <v>3.7819999999999999E-2</v>
      </c>
      <c r="J33" s="65">
        <f t="shared" si="5"/>
        <v>1.0369999999999999E-3</v>
      </c>
      <c r="K33" s="65">
        <f t="shared" si="5"/>
        <v>1.0064999999999999E-2</v>
      </c>
      <c r="L33" s="65">
        <f t="shared" si="5"/>
        <v>0.13297999999999999</v>
      </c>
      <c r="M33" s="65">
        <f t="shared" si="5"/>
        <v>0.11101999999999999</v>
      </c>
      <c r="N33" s="65">
        <f t="shared" si="5"/>
        <v>10.491999999999999</v>
      </c>
      <c r="O33" s="65">
        <f t="shared" si="5"/>
        <v>2055.6999999999998</v>
      </c>
      <c r="P33" s="65">
        <f t="shared" si="5"/>
        <v>0</v>
      </c>
      <c r="Q33" s="65">
        <f t="shared" si="10"/>
        <v>26.687499999999996</v>
      </c>
      <c r="R33" s="65">
        <f t="shared" si="11"/>
        <v>0</v>
      </c>
      <c r="S33" s="65">
        <f t="shared" si="11"/>
        <v>0.22813999999999998</v>
      </c>
      <c r="T33" s="65">
        <f t="shared" si="11"/>
        <v>0</v>
      </c>
      <c r="U33" s="126">
        <f t="shared" si="11"/>
        <v>0</v>
      </c>
    </row>
    <row r="34" spans="1:21" s="48" customFormat="1" x14ac:dyDescent="0.25">
      <c r="A34" s="125" t="str">
        <f>F8</f>
        <v>7-B</v>
      </c>
      <c r="B34" s="11">
        <v>250</v>
      </c>
      <c r="C34" s="65">
        <f t="shared" si="6"/>
        <v>44.224999999999994</v>
      </c>
      <c r="D34" s="65">
        <f t="shared" si="7"/>
        <v>5.6319653000000001</v>
      </c>
      <c r="E34" s="65">
        <f t="shared" si="8"/>
        <v>0.80120449999999999</v>
      </c>
      <c r="F34" s="65">
        <f t="shared" si="9"/>
        <v>6.6751079999999989</v>
      </c>
      <c r="G34" s="65">
        <f t="shared" si="5"/>
        <v>5.8071999999999992E-2</v>
      </c>
      <c r="H34" s="65">
        <f t="shared" si="5"/>
        <v>0.48434000000000005</v>
      </c>
      <c r="I34" s="65">
        <f t="shared" si="5"/>
        <v>3.7819999999999999E-2</v>
      </c>
      <c r="J34" s="65">
        <f t="shared" si="5"/>
        <v>1.0369999999999999E-3</v>
      </c>
      <c r="K34" s="65">
        <f t="shared" si="5"/>
        <v>1.0064999999999999E-2</v>
      </c>
      <c r="L34" s="65">
        <f t="shared" si="5"/>
        <v>0.13297999999999999</v>
      </c>
      <c r="M34" s="65">
        <f t="shared" si="5"/>
        <v>0.11101999999999999</v>
      </c>
      <c r="N34" s="65">
        <f t="shared" si="5"/>
        <v>10.491999999999999</v>
      </c>
      <c r="O34" s="65">
        <f t="shared" si="5"/>
        <v>2055.6999999999998</v>
      </c>
      <c r="P34" s="65">
        <f t="shared" si="5"/>
        <v>0</v>
      </c>
      <c r="Q34" s="65">
        <f t="shared" si="10"/>
        <v>26.687499999999996</v>
      </c>
      <c r="R34" s="65">
        <f t="shared" si="11"/>
        <v>0</v>
      </c>
      <c r="S34" s="65">
        <f t="shared" si="11"/>
        <v>0.22813999999999998</v>
      </c>
      <c r="T34" s="65">
        <f t="shared" si="11"/>
        <v>0</v>
      </c>
      <c r="U34" s="126">
        <f t="shared" si="11"/>
        <v>0</v>
      </c>
    </row>
    <row r="35" spans="1:21" s="48" customFormat="1" x14ac:dyDescent="0.25">
      <c r="A35" s="125" t="str">
        <f>G8</f>
        <v>8-B</v>
      </c>
      <c r="B35" s="11">
        <v>250</v>
      </c>
      <c r="C35" s="65">
        <f t="shared" si="6"/>
        <v>44.224999999999994</v>
      </c>
      <c r="D35" s="65">
        <f t="shared" si="7"/>
        <v>5.6319653000000001</v>
      </c>
      <c r="E35" s="65">
        <f t="shared" si="8"/>
        <v>0.80120449999999999</v>
      </c>
      <c r="F35" s="65">
        <f t="shared" si="9"/>
        <v>6.6751079999999989</v>
      </c>
      <c r="G35" s="65">
        <f t="shared" si="5"/>
        <v>5.8071999999999992E-2</v>
      </c>
      <c r="H35" s="65">
        <f t="shared" si="5"/>
        <v>0.48434000000000005</v>
      </c>
      <c r="I35" s="65">
        <f t="shared" si="5"/>
        <v>3.7819999999999999E-2</v>
      </c>
      <c r="J35" s="65">
        <f t="shared" si="5"/>
        <v>1.0369999999999999E-3</v>
      </c>
      <c r="K35" s="65">
        <f t="shared" si="5"/>
        <v>1.0064999999999999E-2</v>
      </c>
      <c r="L35" s="65">
        <f t="shared" si="5"/>
        <v>0.13297999999999999</v>
      </c>
      <c r="M35" s="65">
        <f t="shared" si="5"/>
        <v>0.11101999999999999</v>
      </c>
      <c r="N35" s="65">
        <f t="shared" si="5"/>
        <v>10.491999999999999</v>
      </c>
      <c r="O35" s="65">
        <f t="shared" si="5"/>
        <v>2055.6999999999998</v>
      </c>
      <c r="P35" s="65">
        <f t="shared" si="5"/>
        <v>0</v>
      </c>
      <c r="Q35" s="65">
        <f t="shared" si="10"/>
        <v>26.687499999999996</v>
      </c>
      <c r="R35" s="65">
        <f t="shared" si="11"/>
        <v>0</v>
      </c>
      <c r="S35" s="65">
        <f t="shared" si="11"/>
        <v>0.22813999999999998</v>
      </c>
      <c r="T35" s="65">
        <f t="shared" si="11"/>
        <v>0</v>
      </c>
      <c r="U35" s="126">
        <f t="shared" si="11"/>
        <v>0</v>
      </c>
    </row>
    <row r="36" spans="1:21" s="48" customFormat="1" x14ac:dyDescent="0.25">
      <c r="A36" s="125" t="str">
        <f>H8</f>
        <v>9-B</v>
      </c>
      <c r="B36" s="11">
        <v>250</v>
      </c>
      <c r="C36" s="65">
        <f t="shared" si="6"/>
        <v>44.224999999999994</v>
      </c>
      <c r="D36" s="65">
        <f t="shared" si="7"/>
        <v>5.6319653000000001</v>
      </c>
      <c r="E36" s="65">
        <f t="shared" si="8"/>
        <v>0.80120449999999999</v>
      </c>
      <c r="F36" s="65">
        <f t="shared" si="9"/>
        <v>6.6751079999999989</v>
      </c>
      <c r="G36" s="65">
        <f t="shared" si="5"/>
        <v>5.8071999999999992E-2</v>
      </c>
      <c r="H36" s="65">
        <f t="shared" si="5"/>
        <v>0.48434000000000005</v>
      </c>
      <c r="I36" s="65">
        <f t="shared" si="5"/>
        <v>3.7819999999999999E-2</v>
      </c>
      <c r="J36" s="65">
        <f t="shared" si="5"/>
        <v>1.0369999999999999E-3</v>
      </c>
      <c r="K36" s="65">
        <f t="shared" si="5"/>
        <v>1.0064999999999999E-2</v>
      </c>
      <c r="L36" s="65">
        <f t="shared" si="5"/>
        <v>0.13297999999999999</v>
      </c>
      <c r="M36" s="65">
        <f t="shared" si="5"/>
        <v>0.11101999999999999</v>
      </c>
      <c r="N36" s="65">
        <f t="shared" si="5"/>
        <v>10.491999999999999</v>
      </c>
      <c r="O36" s="65">
        <f t="shared" si="5"/>
        <v>2055.6999999999998</v>
      </c>
      <c r="P36" s="65">
        <f t="shared" si="5"/>
        <v>0</v>
      </c>
      <c r="Q36" s="65">
        <f t="shared" si="10"/>
        <v>26.687499999999996</v>
      </c>
      <c r="R36" s="65">
        <f t="shared" si="11"/>
        <v>0</v>
      </c>
      <c r="S36" s="65">
        <f t="shared" si="11"/>
        <v>0.22813999999999998</v>
      </c>
      <c r="T36" s="65">
        <f t="shared" si="11"/>
        <v>0</v>
      </c>
      <c r="U36" s="126">
        <f t="shared" si="11"/>
        <v>0</v>
      </c>
    </row>
    <row r="37" spans="1:21" s="48" customFormat="1" x14ac:dyDescent="0.25">
      <c r="A37" s="125" t="str">
        <f>I8</f>
        <v>8222-B</v>
      </c>
      <c r="B37" s="11">
        <v>250</v>
      </c>
      <c r="C37" s="65">
        <f t="shared" si="6"/>
        <v>44.224999999999994</v>
      </c>
      <c r="D37" s="65">
        <f t="shared" si="7"/>
        <v>5.6319653000000001</v>
      </c>
      <c r="E37" s="65">
        <f t="shared" si="8"/>
        <v>0.80120449999999999</v>
      </c>
      <c r="F37" s="65">
        <f t="shared" si="9"/>
        <v>6.6751079999999989</v>
      </c>
      <c r="G37" s="65">
        <f t="shared" si="5"/>
        <v>5.8071999999999992E-2</v>
      </c>
      <c r="H37" s="65">
        <f t="shared" si="5"/>
        <v>0.48434000000000005</v>
      </c>
      <c r="I37" s="65">
        <f t="shared" si="5"/>
        <v>3.7819999999999999E-2</v>
      </c>
      <c r="J37" s="65">
        <f t="shared" si="5"/>
        <v>1.0369999999999999E-3</v>
      </c>
      <c r="K37" s="65">
        <f t="shared" si="5"/>
        <v>1.0064999999999999E-2</v>
      </c>
      <c r="L37" s="65">
        <f t="shared" si="5"/>
        <v>0.13297999999999999</v>
      </c>
      <c r="M37" s="65">
        <f t="shared" si="5"/>
        <v>0.11101999999999999</v>
      </c>
      <c r="N37" s="65">
        <f t="shared" si="5"/>
        <v>10.491999999999999</v>
      </c>
      <c r="O37" s="65">
        <f t="shared" si="5"/>
        <v>2055.6999999999998</v>
      </c>
      <c r="P37" s="65">
        <f t="shared" si="5"/>
        <v>0</v>
      </c>
      <c r="Q37" s="65">
        <f t="shared" si="10"/>
        <v>26.687499999999996</v>
      </c>
      <c r="R37" s="65">
        <f t="shared" si="11"/>
        <v>0</v>
      </c>
      <c r="S37" s="65">
        <f t="shared" si="11"/>
        <v>0.22813999999999998</v>
      </c>
      <c r="T37" s="65">
        <f t="shared" si="11"/>
        <v>0</v>
      </c>
      <c r="U37" s="126">
        <f t="shared" si="11"/>
        <v>0</v>
      </c>
    </row>
    <row r="38" spans="1:21" s="48" customFormat="1" x14ac:dyDescent="0.25">
      <c r="A38" s="125" t="str">
        <f>J8</f>
        <v>7233-B</v>
      </c>
      <c r="B38" s="11">
        <v>250</v>
      </c>
      <c r="C38" s="65">
        <f t="shared" si="6"/>
        <v>44.224999999999994</v>
      </c>
      <c r="D38" s="65">
        <f t="shared" si="7"/>
        <v>5.6319653000000001</v>
      </c>
      <c r="E38" s="65">
        <f t="shared" si="8"/>
        <v>0.80120449999999999</v>
      </c>
      <c r="F38" s="65">
        <f t="shared" si="9"/>
        <v>6.6751079999999989</v>
      </c>
      <c r="G38" s="65">
        <f t="shared" si="5"/>
        <v>5.8071999999999992E-2</v>
      </c>
      <c r="H38" s="65">
        <f t="shared" si="5"/>
        <v>0.48434000000000005</v>
      </c>
      <c r="I38" s="65">
        <f t="shared" si="5"/>
        <v>3.7819999999999999E-2</v>
      </c>
      <c r="J38" s="65">
        <f t="shared" si="5"/>
        <v>1.0369999999999999E-3</v>
      </c>
      <c r="K38" s="65">
        <f t="shared" si="5"/>
        <v>1.0064999999999999E-2</v>
      </c>
      <c r="L38" s="65">
        <f t="shared" si="5"/>
        <v>0.13297999999999999</v>
      </c>
      <c r="M38" s="65">
        <f t="shared" si="5"/>
        <v>0.11101999999999999</v>
      </c>
      <c r="N38" s="65">
        <f t="shared" si="5"/>
        <v>10.491999999999999</v>
      </c>
      <c r="O38" s="65">
        <f t="shared" si="5"/>
        <v>2055.6999999999998</v>
      </c>
      <c r="P38" s="65">
        <f t="shared" si="5"/>
        <v>0</v>
      </c>
      <c r="Q38" s="65">
        <f t="shared" si="10"/>
        <v>26.687499999999996</v>
      </c>
      <c r="R38" s="65">
        <f t="shared" si="11"/>
        <v>0</v>
      </c>
      <c r="S38" s="65">
        <f t="shared" si="11"/>
        <v>0.22813999999999998</v>
      </c>
      <c r="T38" s="65">
        <f t="shared" si="11"/>
        <v>0</v>
      </c>
      <c r="U38" s="126">
        <f t="shared" si="11"/>
        <v>0</v>
      </c>
    </row>
    <row r="39" spans="1:21" s="48" customFormat="1" x14ac:dyDescent="0.25">
      <c r="A39" s="125" t="str">
        <f>K8</f>
        <v>5641-B</v>
      </c>
      <c r="B39" s="11">
        <v>250</v>
      </c>
      <c r="C39" s="65">
        <f t="shared" si="6"/>
        <v>44.224999999999994</v>
      </c>
      <c r="D39" s="65">
        <f t="shared" si="7"/>
        <v>5.6319653000000001</v>
      </c>
      <c r="E39" s="65">
        <f t="shared" si="8"/>
        <v>0.80120449999999999</v>
      </c>
      <c r="F39" s="65">
        <f t="shared" si="9"/>
        <v>6.6751079999999989</v>
      </c>
      <c r="G39" s="65">
        <f t="shared" si="5"/>
        <v>5.8071999999999992E-2</v>
      </c>
      <c r="H39" s="65">
        <f t="shared" si="5"/>
        <v>0.48434000000000005</v>
      </c>
      <c r="I39" s="65">
        <f t="shared" si="5"/>
        <v>3.7819999999999999E-2</v>
      </c>
      <c r="J39" s="65">
        <f t="shared" si="5"/>
        <v>1.0369999999999999E-3</v>
      </c>
      <c r="K39" s="65">
        <f t="shared" si="5"/>
        <v>1.0064999999999999E-2</v>
      </c>
      <c r="L39" s="65">
        <f t="shared" si="5"/>
        <v>0.13297999999999999</v>
      </c>
      <c r="M39" s="65">
        <f t="shared" si="5"/>
        <v>0.11101999999999999</v>
      </c>
      <c r="N39" s="65">
        <f t="shared" si="5"/>
        <v>10.491999999999999</v>
      </c>
      <c r="O39" s="65">
        <f t="shared" si="5"/>
        <v>2055.6999999999998</v>
      </c>
      <c r="P39" s="65">
        <f t="shared" si="5"/>
        <v>0</v>
      </c>
      <c r="Q39" s="65">
        <f t="shared" si="10"/>
        <v>26.687499999999996</v>
      </c>
      <c r="R39" s="65">
        <f t="shared" si="11"/>
        <v>0</v>
      </c>
      <c r="S39" s="65">
        <f t="shared" si="11"/>
        <v>0.22813999999999998</v>
      </c>
      <c r="T39" s="65">
        <f t="shared" si="11"/>
        <v>0</v>
      </c>
      <c r="U39" s="126">
        <f t="shared" si="11"/>
        <v>0</v>
      </c>
    </row>
    <row r="40" spans="1:21" s="48" customFormat="1" x14ac:dyDescent="0.25">
      <c r="A40" s="125" t="str">
        <f>L8</f>
        <v>4956-B</v>
      </c>
      <c r="B40" s="11">
        <v>250</v>
      </c>
      <c r="C40" s="65">
        <f t="shared" si="6"/>
        <v>44.224999999999994</v>
      </c>
      <c r="D40" s="65">
        <f t="shared" si="7"/>
        <v>5.6319653000000001</v>
      </c>
      <c r="E40" s="65">
        <f t="shared" si="8"/>
        <v>0.80120449999999999</v>
      </c>
      <c r="F40" s="65">
        <f t="shared" si="9"/>
        <v>6.6751079999999989</v>
      </c>
      <c r="G40" s="65">
        <f t="shared" si="5"/>
        <v>5.8071999999999992E-2</v>
      </c>
      <c r="H40" s="65">
        <f t="shared" si="5"/>
        <v>0.48434000000000005</v>
      </c>
      <c r="I40" s="65">
        <f t="shared" si="5"/>
        <v>3.7819999999999999E-2</v>
      </c>
      <c r="J40" s="65">
        <f t="shared" si="5"/>
        <v>1.0369999999999999E-3</v>
      </c>
      <c r="K40" s="65">
        <f t="shared" si="5"/>
        <v>1.0064999999999999E-2</v>
      </c>
      <c r="L40" s="65">
        <f t="shared" si="5"/>
        <v>0.13297999999999999</v>
      </c>
      <c r="M40" s="65">
        <f t="shared" si="5"/>
        <v>0.11101999999999999</v>
      </c>
      <c r="N40" s="65">
        <f t="shared" si="5"/>
        <v>10.491999999999999</v>
      </c>
      <c r="O40" s="65">
        <f t="shared" si="5"/>
        <v>2055.6999999999998</v>
      </c>
      <c r="P40" s="65">
        <f t="shared" si="5"/>
        <v>0</v>
      </c>
      <c r="Q40" s="65">
        <f t="shared" si="10"/>
        <v>26.687499999999996</v>
      </c>
      <c r="R40" s="65">
        <f t="shared" si="11"/>
        <v>0</v>
      </c>
      <c r="S40" s="65">
        <f t="shared" si="11"/>
        <v>0.22813999999999998</v>
      </c>
      <c r="T40" s="65">
        <f t="shared" si="11"/>
        <v>0</v>
      </c>
      <c r="U40" s="126">
        <f t="shared" si="11"/>
        <v>0</v>
      </c>
    </row>
    <row r="41" spans="1:21" s="48" customFormat="1" x14ac:dyDescent="0.25">
      <c r="A41" s="125" t="str">
        <f>M8</f>
        <v>HAFOD B/FRON 2849</v>
      </c>
      <c r="B41" s="11">
        <v>250</v>
      </c>
      <c r="C41" s="65">
        <f t="shared" si="6"/>
        <v>44.224999999999994</v>
      </c>
      <c r="D41" s="65">
        <f t="shared" si="7"/>
        <v>5.6319653000000001</v>
      </c>
      <c r="E41" s="65">
        <f t="shared" si="8"/>
        <v>0.80120449999999999</v>
      </c>
      <c r="F41" s="65">
        <f t="shared" si="9"/>
        <v>6.6751079999999989</v>
      </c>
      <c r="G41" s="65">
        <f t="shared" si="5"/>
        <v>5.8071999999999992E-2</v>
      </c>
      <c r="H41" s="65">
        <f t="shared" si="5"/>
        <v>0.48434000000000005</v>
      </c>
      <c r="I41" s="65">
        <f t="shared" si="5"/>
        <v>3.7819999999999999E-2</v>
      </c>
      <c r="J41" s="65">
        <f t="shared" si="5"/>
        <v>1.0369999999999999E-3</v>
      </c>
      <c r="K41" s="65">
        <f t="shared" si="5"/>
        <v>1.0064999999999999E-2</v>
      </c>
      <c r="L41" s="65">
        <f t="shared" si="5"/>
        <v>0.13297999999999999</v>
      </c>
      <c r="M41" s="65">
        <f t="shared" si="5"/>
        <v>0.11101999999999999</v>
      </c>
      <c r="N41" s="65">
        <f t="shared" si="5"/>
        <v>10.491999999999999</v>
      </c>
      <c r="O41" s="65">
        <f t="shared" si="5"/>
        <v>2055.6999999999998</v>
      </c>
      <c r="P41" s="65">
        <f t="shared" si="5"/>
        <v>0</v>
      </c>
      <c r="Q41" s="65">
        <f t="shared" si="10"/>
        <v>26.687499999999996</v>
      </c>
      <c r="R41" s="65">
        <f t="shared" si="11"/>
        <v>0</v>
      </c>
      <c r="S41" s="65">
        <f t="shared" si="11"/>
        <v>0.22813999999999998</v>
      </c>
      <c r="T41" s="65">
        <f t="shared" si="11"/>
        <v>0</v>
      </c>
      <c r="U41" s="126">
        <f t="shared" si="11"/>
        <v>0</v>
      </c>
    </row>
    <row r="42" spans="1:21" s="48" customFormat="1" x14ac:dyDescent="0.25">
      <c r="A42" s="125" t="str">
        <f>N8</f>
        <v>HAFOD B/FRON 3836</v>
      </c>
      <c r="B42" s="11">
        <v>250</v>
      </c>
      <c r="C42" s="65">
        <f t="shared" si="6"/>
        <v>44.224999999999994</v>
      </c>
      <c r="D42" s="65">
        <f t="shared" si="7"/>
        <v>5.6319653000000001</v>
      </c>
      <c r="E42" s="65">
        <f t="shared" si="8"/>
        <v>0.80120449999999999</v>
      </c>
      <c r="F42" s="65">
        <f t="shared" si="9"/>
        <v>6.6751079999999989</v>
      </c>
      <c r="G42" s="65">
        <f t="shared" si="5"/>
        <v>5.8071999999999992E-2</v>
      </c>
      <c r="H42" s="65">
        <f t="shared" si="5"/>
        <v>0.48434000000000005</v>
      </c>
      <c r="I42" s="65">
        <f t="shared" si="5"/>
        <v>3.7819999999999999E-2</v>
      </c>
      <c r="J42" s="65">
        <f t="shared" si="5"/>
        <v>1.0369999999999999E-3</v>
      </c>
      <c r="K42" s="65">
        <f t="shared" si="5"/>
        <v>1.0064999999999999E-2</v>
      </c>
      <c r="L42" s="65">
        <f t="shared" si="5"/>
        <v>0.13297999999999999</v>
      </c>
      <c r="M42" s="65">
        <f t="shared" si="5"/>
        <v>0.11101999999999999</v>
      </c>
      <c r="N42" s="65">
        <f t="shared" si="5"/>
        <v>10.491999999999999</v>
      </c>
      <c r="O42" s="65">
        <f t="shared" si="5"/>
        <v>2055.6999999999998</v>
      </c>
      <c r="P42" s="65">
        <f t="shared" si="5"/>
        <v>0</v>
      </c>
      <c r="Q42" s="65">
        <f t="shared" si="10"/>
        <v>26.687499999999996</v>
      </c>
      <c r="R42" s="65">
        <f t="shared" si="11"/>
        <v>0</v>
      </c>
      <c r="S42" s="65">
        <f t="shared" si="11"/>
        <v>0.22813999999999998</v>
      </c>
      <c r="T42" s="65">
        <f t="shared" si="11"/>
        <v>0</v>
      </c>
      <c r="U42" s="126">
        <f t="shared" si="11"/>
        <v>0</v>
      </c>
    </row>
    <row r="43" spans="1:21" s="48" customFormat="1" x14ac:dyDescent="0.25">
      <c r="A43" s="125" t="str">
        <f>O8</f>
        <v>BOLAFRON 4718</v>
      </c>
      <c r="B43" s="11">
        <v>250</v>
      </c>
      <c r="C43" s="65">
        <f t="shared" si="6"/>
        <v>44.224999999999994</v>
      </c>
      <c r="D43" s="65">
        <f t="shared" si="7"/>
        <v>5.6319653000000001</v>
      </c>
      <c r="E43" s="65">
        <f t="shared" si="8"/>
        <v>0.80120449999999999</v>
      </c>
      <c r="F43" s="65">
        <f t="shared" si="9"/>
        <v>6.6751079999999989</v>
      </c>
      <c r="G43" s="65">
        <f t="shared" si="5"/>
        <v>5.8071999999999992E-2</v>
      </c>
      <c r="H43" s="65">
        <f t="shared" si="5"/>
        <v>0.48434000000000005</v>
      </c>
      <c r="I43" s="65">
        <f t="shared" si="5"/>
        <v>3.7819999999999999E-2</v>
      </c>
      <c r="J43" s="65">
        <f t="shared" si="5"/>
        <v>1.0369999999999999E-3</v>
      </c>
      <c r="K43" s="65">
        <f t="shared" si="5"/>
        <v>1.0064999999999999E-2</v>
      </c>
      <c r="L43" s="65">
        <f t="shared" si="5"/>
        <v>0.13297999999999999</v>
      </c>
      <c r="M43" s="65">
        <f t="shared" si="5"/>
        <v>0.11101999999999999</v>
      </c>
      <c r="N43" s="65">
        <f t="shared" si="5"/>
        <v>10.491999999999999</v>
      </c>
      <c r="O43" s="65">
        <f t="shared" si="5"/>
        <v>2055.6999999999998</v>
      </c>
      <c r="P43" s="65">
        <f t="shared" si="5"/>
        <v>0</v>
      </c>
      <c r="Q43" s="65">
        <f t="shared" si="10"/>
        <v>26.687499999999996</v>
      </c>
      <c r="R43" s="65">
        <f t="shared" si="11"/>
        <v>0</v>
      </c>
      <c r="S43" s="65">
        <f t="shared" si="11"/>
        <v>0.22813999999999998</v>
      </c>
      <c r="T43" s="65">
        <f t="shared" si="11"/>
        <v>0</v>
      </c>
      <c r="U43" s="126">
        <f t="shared" si="11"/>
        <v>0</v>
      </c>
    </row>
    <row r="44" spans="1:21" s="48" customFormat="1" x14ac:dyDescent="0.25">
      <c r="A44" s="125" t="str">
        <f>P8</f>
        <v>BOLAFRON 3107</v>
      </c>
      <c r="B44" s="11">
        <v>250</v>
      </c>
      <c r="C44" s="65">
        <f t="shared" si="6"/>
        <v>44.224999999999994</v>
      </c>
      <c r="D44" s="65">
        <f t="shared" si="7"/>
        <v>5.6319653000000001</v>
      </c>
      <c r="E44" s="65">
        <f t="shared" si="8"/>
        <v>0.80120449999999999</v>
      </c>
      <c r="F44" s="65">
        <f t="shared" si="9"/>
        <v>6.6751079999999989</v>
      </c>
      <c r="G44" s="65">
        <f t="shared" si="5"/>
        <v>5.8071999999999992E-2</v>
      </c>
      <c r="H44" s="65">
        <f t="shared" si="5"/>
        <v>0.48434000000000005</v>
      </c>
      <c r="I44" s="65">
        <f t="shared" si="5"/>
        <v>3.7819999999999999E-2</v>
      </c>
      <c r="J44" s="65">
        <f t="shared" si="5"/>
        <v>1.0369999999999999E-3</v>
      </c>
      <c r="K44" s="65">
        <f t="shared" si="5"/>
        <v>1.0064999999999999E-2</v>
      </c>
      <c r="L44" s="65">
        <f t="shared" si="5"/>
        <v>0.13297999999999999</v>
      </c>
      <c r="M44" s="65">
        <f t="shared" si="5"/>
        <v>0.11101999999999999</v>
      </c>
      <c r="N44" s="65">
        <f t="shared" si="5"/>
        <v>10.491999999999999</v>
      </c>
      <c r="O44" s="65">
        <f t="shared" si="5"/>
        <v>2055.6999999999998</v>
      </c>
      <c r="P44" s="65">
        <f t="shared" si="5"/>
        <v>0</v>
      </c>
      <c r="Q44" s="65">
        <f t="shared" si="10"/>
        <v>26.687499999999996</v>
      </c>
      <c r="R44" s="65">
        <f t="shared" si="11"/>
        <v>0</v>
      </c>
      <c r="S44" s="65">
        <f t="shared" si="11"/>
        <v>0.22813999999999998</v>
      </c>
      <c r="T44" s="65">
        <f t="shared" si="11"/>
        <v>0</v>
      </c>
      <c r="U44" s="126">
        <f t="shared" si="11"/>
        <v>0</v>
      </c>
    </row>
    <row r="45" spans="1:21" s="48" customFormat="1" x14ac:dyDescent="0.25">
      <c r="A45" s="125" t="str">
        <f>Q8</f>
        <v>BOLAFRON 6609</v>
      </c>
      <c r="B45" s="11">
        <v>250</v>
      </c>
      <c r="C45" s="65">
        <f t="shared" si="6"/>
        <v>44.224999999999994</v>
      </c>
      <c r="D45" s="65">
        <f t="shared" si="7"/>
        <v>5.6319653000000001</v>
      </c>
      <c r="E45" s="65">
        <f t="shared" si="8"/>
        <v>0.80120449999999999</v>
      </c>
      <c r="F45" s="65">
        <f t="shared" si="9"/>
        <v>6.6751079999999989</v>
      </c>
      <c r="G45" s="65">
        <f t="shared" si="5"/>
        <v>5.8071999999999992E-2</v>
      </c>
      <c r="H45" s="65">
        <f t="shared" si="5"/>
        <v>0.48434000000000005</v>
      </c>
      <c r="I45" s="65">
        <f t="shared" si="5"/>
        <v>3.7819999999999999E-2</v>
      </c>
      <c r="J45" s="65">
        <f t="shared" si="5"/>
        <v>1.0369999999999999E-3</v>
      </c>
      <c r="K45" s="65">
        <f t="shared" si="5"/>
        <v>1.0064999999999999E-2</v>
      </c>
      <c r="L45" s="65">
        <f t="shared" si="5"/>
        <v>0.13297999999999999</v>
      </c>
      <c r="M45" s="65">
        <f t="shared" si="5"/>
        <v>0.11101999999999999</v>
      </c>
      <c r="N45" s="65">
        <f t="shared" si="5"/>
        <v>10.491999999999999</v>
      </c>
      <c r="O45" s="65">
        <f t="shared" si="5"/>
        <v>2055.6999999999998</v>
      </c>
      <c r="P45" s="65">
        <f t="shared" si="5"/>
        <v>0</v>
      </c>
      <c r="Q45" s="65">
        <f t="shared" si="10"/>
        <v>26.687499999999996</v>
      </c>
      <c r="R45" s="65">
        <f t="shared" si="11"/>
        <v>0</v>
      </c>
      <c r="S45" s="65">
        <f t="shared" si="11"/>
        <v>0.22813999999999998</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 I Grass</v>
      </c>
      <c r="C58" s="10" t="str">
        <f>D16&amp;" I "&amp;(VLOOKUP(D14,Table24581113[],6,FALSE))</f>
        <v>Medium I Grass</v>
      </c>
      <c r="D58" s="10" t="str">
        <f>E16&amp;" I "&amp;(VLOOKUP(E14,Table24581113[],6,FALSE))</f>
        <v>Medium I Grass</v>
      </c>
      <c r="E58" s="10" t="str">
        <f>F16&amp;" I "&amp;(VLOOKUP(F14,Table24581113[],6,FALSE))</f>
        <v>Medium I Grass</v>
      </c>
      <c r="F58" s="10" t="str">
        <f>G16&amp;" I "&amp;(VLOOKUP(G14,Table24581113[],6,FALSE))</f>
        <v>Medium I Grass</v>
      </c>
      <c r="G58" s="10" t="str">
        <f>H16&amp;" I "&amp;(VLOOKUP(H14,Table24581113[],6,FALSE))</f>
        <v>Medium I Grass</v>
      </c>
      <c r="H58" s="10" t="str">
        <f>I16&amp;" I "&amp;(VLOOKUP(I14,Table24581113[],6,FALSE))</f>
        <v>Medium I Grass</v>
      </c>
      <c r="I58" s="10" t="str">
        <f>J16&amp;" I "&amp;(VLOOKUP(J14,Table24581113[],6,FALSE))</f>
        <v>Medium I Grass</v>
      </c>
      <c r="J58" s="10" t="str">
        <f>K16&amp;" I "&amp;(VLOOKUP(K14,Table24581113[],6,FALSE))</f>
        <v>Medium I Grass</v>
      </c>
      <c r="K58" s="10" t="str">
        <f>L16&amp;" I "&amp;(VLOOKUP(L14,Table24581113[],6,FALSE))</f>
        <v>Medium I Grass</v>
      </c>
      <c r="L58" s="10" t="str">
        <f>M16&amp;" I "&amp;(VLOOKUP(M14,Table24581113[],6,FALSE))</f>
        <v>Medium I Grass</v>
      </c>
      <c r="M58" s="10" t="str">
        <f>N16&amp;" I "&amp;(VLOOKUP(N14,Table24581113[],6,FALSE))</f>
        <v>Medium I Grass</v>
      </c>
      <c r="N58" s="10" t="str">
        <f>O16&amp;" I "&amp;(VLOOKUP(O14,Table24581113[],6,FALSE))</f>
        <v>Medium I Grass</v>
      </c>
      <c r="O58" s="10" t="str">
        <f>P16&amp;" I "&amp;(VLOOKUP(P14,Table24581113[],6,FALSE))</f>
        <v>Medium I Grass</v>
      </c>
      <c r="P58" s="10" t="str">
        <f>Q16&amp;" I "&amp;(VLOOKUP(Q14,Table24581113[],6,FALSE))</f>
        <v>Medium I Grass</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f>VLOOKUP(P$14,Table24581113[],5,FALSE)</f>
        <v>6.2</v>
      </c>
      <c r="P59" s="64">
        <f>VLOOKUP(Q$14,Table24581113[],5,FALSE)</f>
        <v>6.2</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250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6.62</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186</v>
      </c>
      <c r="G2" s="164" t="s">
        <v>110</v>
      </c>
      <c r="H2" s="165"/>
      <c r="I2" s="110">
        <v>62.1</v>
      </c>
      <c r="J2" s="132" t="s">
        <v>158</v>
      </c>
      <c r="K2" s="133"/>
      <c r="L2" s="110">
        <v>0.05</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v>200</v>
      </c>
      <c r="J3" s="134" t="s">
        <v>154</v>
      </c>
      <c r="K3" s="135"/>
      <c r="L3" s="110">
        <f>(L1/(L2*10000))*100</f>
        <v>5</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193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54.926725000000012</v>
      </c>
      <c r="D18" s="12">
        <f>$D32</f>
        <v>0</v>
      </c>
      <c r="E18" s="12">
        <f>$D33</f>
        <v>54.926725000000012</v>
      </c>
      <c r="F18" s="12">
        <f>$D34</f>
        <v>54.926725000000012</v>
      </c>
      <c r="G18" s="12">
        <f>$D35</f>
        <v>0</v>
      </c>
      <c r="H18" s="12">
        <f>$D36</f>
        <v>0</v>
      </c>
      <c r="I18" s="12">
        <f>$D37</f>
        <v>54.926725000000012</v>
      </c>
      <c r="J18" s="12">
        <f>$D38</f>
        <v>54.926725000000012</v>
      </c>
      <c r="K18" s="12">
        <f>$D39</f>
        <v>54.926725000000012</v>
      </c>
      <c r="L18" s="12">
        <f>$D40</f>
        <v>54.926725000000012</v>
      </c>
      <c r="M18" s="12">
        <f>$D41</f>
        <v>54.926725000000012</v>
      </c>
      <c r="N18" s="12">
        <f>$D42</f>
        <v>0</v>
      </c>
      <c r="O18" s="12">
        <f>$D43</f>
        <v>0</v>
      </c>
      <c r="P18" s="12">
        <f>$D44</f>
        <v>0</v>
      </c>
      <c r="Q18" s="12">
        <f>$D45</f>
        <v>54.926725000000012</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-24.97327499999998</v>
      </c>
      <c r="D19" s="12">
        <f t="shared" ref="D19:V19" si="1">D18-D17</f>
        <v>-79.899999999999991</v>
      </c>
      <c r="E19" s="12">
        <f t="shared" si="1"/>
        <v>-24.97327499999998</v>
      </c>
      <c r="F19" s="12">
        <f t="shared" si="1"/>
        <v>-24.97327499999998</v>
      </c>
      <c r="G19" s="12">
        <f t="shared" si="1"/>
        <v>-79.899999999999991</v>
      </c>
      <c r="H19" s="12">
        <f t="shared" si="1"/>
        <v>-79.899999999999991</v>
      </c>
      <c r="I19" s="12">
        <f t="shared" si="1"/>
        <v>-24.97327499999998</v>
      </c>
      <c r="J19" s="12">
        <f t="shared" si="1"/>
        <v>-24.97327499999998</v>
      </c>
      <c r="K19" s="12">
        <f t="shared" si="1"/>
        <v>-24.97327499999998</v>
      </c>
      <c r="L19" s="12">
        <f t="shared" si="1"/>
        <v>-24.97327499999998</v>
      </c>
      <c r="M19" s="12">
        <f t="shared" si="1"/>
        <v>-24.97327499999998</v>
      </c>
      <c r="N19" s="12">
        <f t="shared" si="1"/>
        <v>-79.899999999999991</v>
      </c>
      <c r="O19" s="12">
        <f t="shared" si="1"/>
        <v>-79.899999999999991</v>
      </c>
      <c r="P19" s="12">
        <f t="shared" si="1"/>
        <v>-79.899999999999991</v>
      </c>
      <c r="Q19" s="12">
        <f t="shared" si="1"/>
        <v>-24.97327499999998</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13.194749999999999</v>
      </c>
      <c r="D22" s="12">
        <f>$E32</f>
        <v>0</v>
      </c>
      <c r="E22" s="12">
        <f>$E33</f>
        <v>13.194749999999999</v>
      </c>
      <c r="F22" s="12">
        <f>$E34</f>
        <v>13.194749999999999</v>
      </c>
      <c r="G22" s="12">
        <f>$E35</f>
        <v>0</v>
      </c>
      <c r="H22" s="12">
        <f>$E36</f>
        <v>0</v>
      </c>
      <c r="I22" s="12">
        <f>$E37</f>
        <v>13.194749999999999</v>
      </c>
      <c r="J22" s="12">
        <f>$E38</f>
        <v>13.194749999999999</v>
      </c>
      <c r="K22" s="12">
        <f>$E39</f>
        <v>13.194749999999999</v>
      </c>
      <c r="L22" s="12">
        <f>$E40</f>
        <v>13.194749999999999</v>
      </c>
      <c r="M22" s="12">
        <f>$E41</f>
        <v>13.194749999999999</v>
      </c>
      <c r="N22" s="12">
        <f>$E42</f>
        <v>0</v>
      </c>
      <c r="O22" s="12">
        <f>$E43</f>
        <v>0</v>
      </c>
      <c r="P22" s="12">
        <f>$E44</f>
        <v>0</v>
      </c>
      <c r="Q22" s="12">
        <f>$E45</f>
        <v>13.194749999999999</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-268.80525</v>
      </c>
      <c r="D23" s="12">
        <f t="shared" ref="D23:V23" si="3">D22-D21</f>
        <v>-282</v>
      </c>
      <c r="E23" s="12">
        <f t="shared" si="3"/>
        <v>-268.80525</v>
      </c>
      <c r="F23" s="12">
        <f t="shared" si="3"/>
        <v>-268.80525</v>
      </c>
      <c r="G23" s="12">
        <f t="shared" si="3"/>
        <v>-282</v>
      </c>
      <c r="H23" s="12">
        <f t="shared" si="3"/>
        <v>-282</v>
      </c>
      <c r="I23" s="12">
        <f t="shared" si="3"/>
        <v>-268.80525</v>
      </c>
      <c r="J23" s="12">
        <f t="shared" si="3"/>
        <v>-268.80525</v>
      </c>
      <c r="K23" s="12">
        <f t="shared" si="3"/>
        <v>-268.80525</v>
      </c>
      <c r="L23" s="12">
        <f t="shared" si="3"/>
        <v>-268.80525</v>
      </c>
      <c r="M23" s="12">
        <f t="shared" si="3"/>
        <v>-268.80525</v>
      </c>
      <c r="N23" s="12">
        <f t="shared" si="3"/>
        <v>-282</v>
      </c>
      <c r="O23" s="12">
        <f t="shared" si="3"/>
        <v>-282</v>
      </c>
      <c r="P23" s="12">
        <f t="shared" si="3"/>
        <v>-282</v>
      </c>
      <c r="Q23" s="12">
        <f t="shared" si="3"/>
        <v>-268.80525</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25">
      <c r="A28" s="122"/>
      <c r="B28" s="16">
        <v>4.9000000000000004</v>
      </c>
      <c r="C28" s="11">
        <v>0.05</v>
      </c>
      <c r="D28" s="11">
        <v>95.9</v>
      </c>
      <c r="E28" s="11">
        <v>43.8</v>
      </c>
      <c r="F28" s="11">
        <v>57.9</v>
      </c>
      <c r="G28" s="11">
        <v>2.34</v>
      </c>
      <c r="H28" s="11">
        <v>4.68</v>
      </c>
      <c r="I28" s="11">
        <v>0.77</v>
      </c>
      <c r="J28" s="11">
        <v>0.02</v>
      </c>
      <c r="K28" s="15">
        <v>0.05</v>
      </c>
      <c r="L28" s="11">
        <v>1.33</v>
      </c>
      <c r="M28" s="11">
        <v>1.25</v>
      </c>
      <c r="N28" s="11">
        <v>5354</v>
      </c>
      <c r="O28" s="11">
        <v>895</v>
      </c>
      <c r="P28" s="11">
        <v>16.7</v>
      </c>
      <c r="Q28" s="11">
        <v>362</v>
      </c>
      <c r="R28" s="11">
        <v>0.15</v>
      </c>
      <c r="S28" s="11">
        <v>0.68</v>
      </c>
      <c r="T28" s="11">
        <v>7.0000000000000007E-2</v>
      </c>
      <c r="U28" s="97">
        <v>20.6</v>
      </c>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250</v>
      </c>
      <c r="C31" s="65">
        <f>IF(C$27="%w/w SAR",((C$28*10)*$B31),IF(C$27="%w/w DM",(((C$28*10)*($B$28/100))*$B31),IF(C$27="kg/t SAR",(C$28*$B31),IF(C$27="kg/t DM",((C$28*($B$28/100))*$B31),IF(C$27="mg/kg SAR",((C$28*0.001)*$B31),IF(C$27="mg/kg DM",(((C$28*0.001)*($B$28/100))*$B31),0))))))</f>
        <v>125</v>
      </c>
      <c r="D31" s="65">
        <f>(IF(D$27="%w/w SAR",((D$28*10)*$B31),IF(D$27="%w/w DM",(((D$28*10)*($B$28/100))*$B31),IF(D$27="kg/t SAR",(D$28*$B31),IF(D$27="kg/t DM",((D$28*($B$28/100))*$B31),IF(D$27="mg/kg SAR",((D$28*0.001)*$B31),IF(D$27="mg/kg DM",(((D$28*0.001)*($B$28/100))*$B31),"0")))))))*2.291</f>
        <v>54.926725000000012</v>
      </c>
      <c r="E31" s="65">
        <f>(IF(E$27="%w/w SAR",((E$28*10)*$B31),IF(E$27="%w/w DM",(((E$28*10)*($B$28/100))*$B31),IF(E$27="kg/t SAR",(E$28*$B31),IF(E$27="kg/t DM",((E$28*($B$28/100))*$B31),IF(E$27="mg/kg SAR",((E$28*0.001)*$B31),IF(E$27="mg/kg DM",(((E$28*0.001)*($B$28/100))*$B31),"0")))))))*1.205</f>
        <v>13.194749999999999</v>
      </c>
      <c r="F31" s="65">
        <f>(IF(F$27="%w/w SAR",((F$28*10)*$B31),IF(F$27="%w/w DM",(((F$28*10)*($B$28/100))*$B31),IF(F$27="kg/t SAR",(F$28*$B31),IF(F$27="kg/t DM",((F$28*($B$28/100))*$B31),IF(F$27="mg/kg SAR",((F$28*0.001)*$B31),IF(F$27="mg/kg DM",(((F$28*0.001)*($B$28/100))*$B31),"0")))))))*1.658</f>
        <v>23.999549999999999</v>
      </c>
      <c r="G31" s="65">
        <f t="shared" ref="G31:P46" si="5">IF(G$27="%w/w SAR",((G$28*10)*$B31),IF(G$27="%w/w DM",(((G$28*10)*($B$28/100))*$B31),IF(G$27="kg/t SAR",(G$28*$B31),IF(G$27="kg/t DM",((G$28*($B$28/100))*$B31),IF(G$27="mg/kg SAR",((G$28*0.001)*$B31),IF(G$27="mg/kg DM",(((G$28*0.001)*($B$28/100))*$B31),0))))))</f>
        <v>0.58499999999999996</v>
      </c>
      <c r="H31" s="65">
        <f t="shared" si="5"/>
        <v>1.17</v>
      </c>
      <c r="I31" s="65">
        <f t="shared" si="5"/>
        <v>0.1925</v>
      </c>
      <c r="J31" s="65">
        <f t="shared" si="5"/>
        <v>5.0000000000000001E-3</v>
      </c>
      <c r="K31" s="65">
        <f t="shared" si="5"/>
        <v>1.2500000000000001E-2</v>
      </c>
      <c r="L31" s="65">
        <f t="shared" si="5"/>
        <v>0.33250000000000002</v>
      </c>
      <c r="M31" s="65">
        <f t="shared" si="5"/>
        <v>0.3125</v>
      </c>
      <c r="N31" s="65">
        <f t="shared" si="5"/>
        <v>1338.5</v>
      </c>
      <c r="O31" s="65">
        <f t="shared" si="5"/>
        <v>223.75</v>
      </c>
      <c r="P31" s="65">
        <f t="shared" si="5"/>
        <v>4.1749999999999998</v>
      </c>
      <c r="Q31" s="65">
        <f>(IF(Q$27="%w/w SAR",((Q$28*10)*$B31),IF(Q$27="%w/w DM",(((Q$28*10)*($B$28/100))*$B31),IF(Q$27="kg/t SAR",(Q$28*$B31),IF(Q$27="kg/t DM",((Q$28*($B$28/100))*$B31),IF(Q$27="mg/kg SAR",((Q$28*0.001)*$B31),IF(Q$27="mg/kg DM",(((Q$28*0.001)*($B$28/100))*$B31),0)))))))*2.5</f>
        <v>226.25</v>
      </c>
      <c r="R31" s="65">
        <f>IF(R$27="%w/w SAR",((R$28*10)*$B31),IF(R$27="%w/w DM",(((R$28*10)*($B$28/100))*$B31),IF(R$27="kg/t SAR",(R$28*$B31),IF(R$27="kg/t DM",((R$28*($B$28/100))*$B31),IF(R$27="mg/kg SAR",((R$28*0.001)*$B31),IF(R$27="mg/kg DM",(((R$28*0.001)*($B$28/100))*$B31),0))))))</f>
        <v>3.7499999999999999E-2</v>
      </c>
      <c r="S31" s="65">
        <f>IF(S$27="%w/w SAR",((S$28*10)*$B31),IF(S$27="%w/w DM",(((S$28*10)*($B$28/100))*$B31),IF(S$27="kg/t SAR",(S$28*$B31),IF(S$27="kg/t DM",((S$28*($B$28/100))*$B31),IF(S$27="mg/kg SAR",((S$28*0.001)*$B31),IF(S$27="mg/kg DM",(((S$28*0.001)*($B$28/100))*$B31),0))))))</f>
        <v>0.17</v>
      </c>
      <c r="T31" s="65">
        <f>IF(T$27="%w/w SAR",((T$28*10)*$B31),IF(T$27="%w/w DM",(((T$28*10)*($B$28/100))*$B31),IF(T$27="kg/t SAR",(T$28*$B31),IF(T$27="kg/t DM",((T$28*($B$28/100))*$B31),IF(T$27="mg/kg SAR",((T$28*0.001)*$B31),IF(T$27="mg/kg DM",(((T$28*0.001)*($B$28/100))*$B31),0))))))</f>
        <v>1.7500000000000002E-2</v>
      </c>
      <c r="U31" s="126">
        <f>IF(U$27="%w/w SAR",((U$28*10)*$B31),IF(U$27="%w/w DM",(((U$28*10)*($B$28/100))*$B31),IF(U$27="kg/t SAR",(U$28*$B31),IF(U$27="kg/t DM",((U$28*($B$28/100))*$B31),IF(U$27="mg/kg SAR",((U$28*0.001)*$B31),IF(U$27="mg/kg DM",(((U$28*0.001)*($B$28/100))*$B31),0))))))</f>
        <v>5.15</v>
      </c>
    </row>
    <row r="32" spans="1:40" s="48" customFormat="1" x14ac:dyDescent="0.25">
      <c r="A32" s="125" t="str">
        <f>D8</f>
        <v>5-B</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6-B</v>
      </c>
      <c r="B33" s="11">
        <v>250</v>
      </c>
      <c r="C33" s="65">
        <f t="shared" si="6"/>
        <v>125</v>
      </c>
      <c r="D33" s="65">
        <f t="shared" si="7"/>
        <v>54.926725000000012</v>
      </c>
      <c r="E33" s="65">
        <f t="shared" si="8"/>
        <v>13.194749999999999</v>
      </c>
      <c r="F33" s="65">
        <f t="shared" si="9"/>
        <v>23.999549999999999</v>
      </c>
      <c r="G33" s="65">
        <f t="shared" si="5"/>
        <v>0.58499999999999996</v>
      </c>
      <c r="H33" s="65">
        <f t="shared" si="5"/>
        <v>1.17</v>
      </c>
      <c r="I33" s="65">
        <f t="shared" si="5"/>
        <v>0.1925</v>
      </c>
      <c r="J33" s="65">
        <f t="shared" si="5"/>
        <v>5.0000000000000001E-3</v>
      </c>
      <c r="K33" s="65">
        <f t="shared" si="5"/>
        <v>1.2500000000000001E-2</v>
      </c>
      <c r="L33" s="65">
        <f t="shared" si="5"/>
        <v>0.33250000000000002</v>
      </c>
      <c r="M33" s="65">
        <f t="shared" si="5"/>
        <v>0.3125</v>
      </c>
      <c r="N33" s="65">
        <f t="shared" si="5"/>
        <v>1338.5</v>
      </c>
      <c r="O33" s="65">
        <f t="shared" si="5"/>
        <v>223.75</v>
      </c>
      <c r="P33" s="65">
        <f t="shared" si="5"/>
        <v>4.1749999999999998</v>
      </c>
      <c r="Q33" s="65">
        <f t="shared" si="10"/>
        <v>226.25</v>
      </c>
      <c r="R33" s="65">
        <f t="shared" si="11"/>
        <v>3.7499999999999999E-2</v>
      </c>
      <c r="S33" s="65">
        <f t="shared" si="11"/>
        <v>0.17</v>
      </c>
      <c r="T33" s="65">
        <f t="shared" si="11"/>
        <v>1.7500000000000002E-2</v>
      </c>
      <c r="U33" s="126">
        <f t="shared" si="11"/>
        <v>5.15</v>
      </c>
    </row>
    <row r="34" spans="1:21" s="48" customFormat="1" x14ac:dyDescent="0.25">
      <c r="A34" s="125" t="str">
        <f>F8</f>
        <v>7-B</v>
      </c>
      <c r="B34" s="11">
        <v>250</v>
      </c>
      <c r="C34" s="65">
        <f t="shared" si="6"/>
        <v>125</v>
      </c>
      <c r="D34" s="65">
        <f t="shared" si="7"/>
        <v>54.926725000000012</v>
      </c>
      <c r="E34" s="65">
        <f t="shared" si="8"/>
        <v>13.194749999999999</v>
      </c>
      <c r="F34" s="65">
        <f t="shared" si="9"/>
        <v>23.999549999999999</v>
      </c>
      <c r="G34" s="65">
        <f t="shared" si="5"/>
        <v>0.58499999999999996</v>
      </c>
      <c r="H34" s="65">
        <f t="shared" si="5"/>
        <v>1.17</v>
      </c>
      <c r="I34" s="65">
        <f t="shared" si="5"/>
        <v>0.1925</v>
      </c>
      <c r="J34" s="65">
        <f t="shared" si="5"/>
        <v>5.0000000000000001E-3</v>
      </c>
      <c r="K34" s="65">
        <f t="shared" si="5"/>
        <v>1.2500000000000001E-2</v>
      </c>
      <c r="L34" s="65">
        <f t="shared" si="5"/>
        <v>0.33250000000000002</v>
      </c>
      <c r="M34" s="65">
        <f t="shared" si="5"/>
        <v>0.3125</v>
      </c>
      <c r="N34" s="65">
        <f t="shared" si="5"/>
        <v>1338.5</v>
      </c>
      <c r="O34" s="65">
        <f t="shared" si="5"/>
        <v>223.75</v>
      </c>
      <c r="P34" s="65">
        <f t="shared" si="5"/>
        <v>4.1749999999999998</v>
      </c>
      <c r="Q34" s="65">
        <f t="shared" si="10"/>
        <v>226.25</v>
      </c>
      <c r="R34" s="65">
        <f t="shared" si="11"/>
        <v>3.7499999999999999E-2</v>
      </c>
      <c r="S34" s="65">
        <f t="shared" si="11"/>
        <v>0.17</v>
      </c>
      <c r="T34" s="65">
        <f t="shared" si="11"/>
        <v>1.7500000000000002E-2</v>
      </c>
      <c r="U34" s="126">
        <f t="shared" si="11"/>
        <v>5.15</v>
      </c>
    </row>
    <row r="35" spans="1:21" s="48" customFormat="1" x14ac:dyDescent="0.25">
      <c r="A35" s="125" t="str">
        <f>G8</f>
        <v>8-B</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9-B</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8222-B</v>
      </c>
      <c r="B37" s="11">
        <v>250</v>
      </c>
      <c r="C37" s="65">
        <f t="shared" si="6"/>
        <v>125</v>
      </c>
      <c r="D37" s="65">
        <f t="shared" si="7"/>
        <v>54.926725000000012</v>
      </c>
      <c r="E37" s="65">
        <f t="shared" si="8"/>
        <v>13.194749999999999</v>
      </c>
      <c r="F37" s="65">
        <f t="shared" si="9"/>
        <v>23.999549999999999</v>
      </c>
      <c r="G37" s="65">
        <f t="shared" si="5"/>
        <v>0.58499999999999996</v>
      </c>
      <c r="H37" s="65">
        <f t="shared" si="5"/>
        <v>1.17</v>
      </c>
      <c r="I37" s="65">
        <f t="shared" si="5"/>
        <v>0.1925</v>
      </c>
      <c r="J37" s="65">
        <f t="shared" si="5"/>
        <v>5.0000000000000001E-3</v>
      </c>
      <c r="K37" s="65">
        <f t="shared" si="5"/>
        <v>1.2500000000000001E-2</v>
      </c>
      <c r="L37" s="65">
        <f t="shared" si="5"/>
        <v>0.33250000000000002</v>
      </c>
      <c r="M37" s="65">
        <f t="shared" si="5"/>
        <v>0.3125</v>
      </c>
      <c r="N37" s="65">
        <f t="shared" si="5"/>
        <v>1338.5</v>
      </c>
      <c r="O37" s="65">
        <f t="shared" si="5"/>
        <v>223.75</v>
      </c>
      <c r="P37" s="65">
        <f t="shared" si="5"/>
        <v>4.1749999999999998</v>
      </c>
      <c r="Q37" s="65">
        <f t="shared" si="10"/>
        <v>226.25</v>
      </c>
      <c r="R37" s="65">
        <f t="shared" si="11"/>
        <v>3.7499999999999999E-2</v>
      </c>
      <c r="S37" s="65">
        <f t="shared" si="11"/>
        <v>0.17</v>
      </c>
      <c r="T37" s="65">
        <f t="shared" si="11"/>
        <v>1.7500000000000002E-2</v>
      </c>
      <c r="U37" s="126">
        <f t="shared" si="11"/>
        <v>5.15</v>
      </c>
    </row>
    <row r="38" spans="1:21" s="48" customFormat="1" x14ac:dyDescent="0.25">
      <c r="A38" s="125" t="str">
        <f>J8</f>
        <v>7233-B</v>
      </c>
      <c r="B38" s="11">
        <v>250</v>
      </c>
      <c r="C38" s="65">
        <f t="shared" si="6"/>
        <v>125</v>
      </c>
      <c r="D38" s="65">
        <f t="shared" si="7"/>
        <v>54.926725000000012</v>
      </c>
      <c r="E38" s="65">
        <f t="shared" si="8"/>
        <v>13.194749999999999</v>
      </c>
      <c r="F38" s="65">
        <f t="shared" si="9"/>
        <v>23.999549999999999</v>
      </c>
      <c r="G38" s="65">
        <f t="shared" si="5"/>
        <v>0.58499999999999996</v>
      </c>
      <c r="H38" s="65">
        <f t="shared" si="5"/>
        <v>1.17</v>
      </c>
      <c r="I38" s="65">
        <f t="shared" si="5"/>
        <v>0.1925</v>
      </c>
      <c r="J38" s="65">
        <f t="shared" si="5"/>
        <v>5.0000000000000001E-3</v>
      </c>
      <c r="K38" s="65">
        <f t="shared" si="5"/>
        <v>1.2500000000000001E-2</v>
      </c>
      <c r="L38" s="65">
        <f t="shared" si="5"/>
        <v>0.33250000000000002</v>
      </c>
      <c r="M38" s="65">
        <f t="shared" si="5"/>
        <v>0.3125</v>
      </c>
      <c r="N38" s="65">
        <f t="shared" si="5"/>
        <v>1338.5</v>
      </c>
      <c r="O38" s="65">
        <f t="shared" si="5"/>
        <v>223.75</v>
      </c>
      <c r="P38" s="65">
        <f t="shared" si="5"/>
        <v>4.1749999999999998</v>
      </c>
      <c r="Q38" s="65">
        <f t="shared" si="10"/>
        <v>226.25</v>
      </c>
      <c r="R38" s="65">
        <f t="shared" si="11"/>
        <v>3.7499999999999999E-2</v>
      </c>
      <c r="S38" s="65">
        <f t="shared" si="11"/>
        <v>0.17</v>
      </c>
      <c r="T38" s="65">
        <f t="shared" si="11"/>
        <v>1.7500000000000002E-2</v>
      </c>
      <c r="U38" s="126">
        <f t="shared" si="11"/>
        <v>5.15</v>
      </c>
    </row>
    <row r="39" spans="1:21" s="48" customFormat="1" x14ac:dyDescent="0.25">
      <c r="A39" s="125" t="str">
        <f>K8</f>
        <v>5641-B</v>
      </c>
      <c r="B39" s="11">
        <v>250</v>
      </c>
      <c r="C39" s="65">
        <f t="shared" si="6"/>
        <v>125</v>
      </c>
      <c r="D39" s="65">
        <f t="shared" si="7"/>
        <v>54.926725000000012</v>
      </c>
      <c r="E39" s="65">
        <f t="shared" si="8"/>
        <v>13.194749999999999</v>
      </c>
      <c r="F39" s="65">
        <f t="shared" si="9"/>
        <v>23.999549999999999</v>
      </c>
      <c r="G39" s="65">
        <f t="shared" si="5"/>
        <v>0.58499999999999996</v>
      </c>
      <c r="H39" s="65">
        <f t="shared" si="5"/>
        <v>1.17</v>
      </c>
      <c r="I39" s="65">
        <f t="shared" si="5"/>
        <v>0.1925</v>
      </c>
      <c r="J39" s="65">
        <f t="shared" si="5"/>
        <v>5.0000000000000001E-3</v>
      </c>
      <c r="K39" s="65">
        <f t="shared" si="5"/>
        <v>1.2500000000000001E-2</v>
      </c>
      <c r="L39" s="65">
        <f t="shared" si="5"/>
        <v>0.33250000000000002</v>
      </c>
      <c r="M39" s="65">
        <f t="shared" si="5"/>
        <v>0.3125</v>
      </c>
      <c r="N39" s="65">
        <f t="shared" si="5"/>
        <v>1338.5</v>
      </c>
      <c r="O39" s="65">
        <f t="shared" si="5"/>
        <v>223.75</v>
      </c>
      <c r="P39" s="65">
        <f t="shared" si="5"/>
        <v>4.1749999999999998</v>
      </c>
      <c r="Q39" s="65">
        <f t="shared" si="10"/>
        <v>226.25</v>
      </c>
      <c r="R39" s="65">
        <f t="shared" si="11"/>
        <v>3.7499999999999999E-2</v>
      </c>
      <c r="S39" s="65">
        <f t="shared" si="11"/>
        <v>0.17</v>
      </c>
      <c r="T39" s="65">
        <f t="shared" si="11"/>
        <v>1.7500000000000002E-2</v>
      </c>
      <c r="U39" s="126">
        <f t="shared" si="11"/>
        <v>5.15</v>
      </c>
    </row>
    <row r="40" spans="1:21" s="48" customFormat="1" x14ac:dyDescent="0.25">
      <c r="A40" s="125" t="str">
        <f>L8</f>
        <v>4956-B</v>
      </c>
      <c r="B40" s="11">
        <v>250</v>
      </c>
      <c r="C40" s="65">
        <f t="shared" si="6"/>
        <v>125</v>
      </c>
      <c r="D40" s="65">
        <f t="shared" si="7"/>
        <v>54.926725000000012</v>
      </c>
      <c r="E40" s="65">
        <f t="shared" si="8"/>
        <v>13.194749999999999</v>
      </c>
      <c r="F40" s="65">
        <f t="shared" si="9"/>
        <v>23.999549999999999</v>
      </c>
      <c r="G40" s="65">
        <f t="shared" si="5"/>
        <v>0.58499999999999996</v>
      </c>
      <c r="H40" s="65">
        <f t="shared" si="5"/>
        <v>1.17</v>
      </c>
      <c r="I40" s="65">
        <f t="shared" si="5"/>
        <v>0.1925</v>
      </c>
      <c r="J40" s="65">
        <f t="shared" si="5"/>
        <v>5.0000000000000001E-3</v>
      </c>
      <c r="K40" s="65">
        <f t="shared" si="5"/>
        <v>1.2500000000000001E-2</v>
      </c>
      <c r="L40" s="65">
        <f t="shared" si="5"/>
        <v>0.33250000000000002</v>
      </c>
      <c r="M40" s="65">
        <f t="shared" si="5"/>
        <v>0.3125</v>
      </c>
      <c r="N40" s="65">
        <f t="shared" si="5"/>
        <v>1338.5</v>
      </c>
      <c r="O40" s="65">
        <f t="shared" si="5"/>
        <v>223.75</v>
      </c>
      <c r="P40" s="65">
        <f t="shared" si="5"/>
        <v>4.1749999999999998</v>
      </c>
      <c r="Q40" s="65">
        <f t="shared" si="10"/>
        <v>226.25</v>
      </c>
      <c r="R40" s="65">
        <f t="shared" si="11"/>
        <v>3.7499999999999999E-2</v>
      </c>
      <c r="S40" s="65">
        <f t="shared" si="11"/>
        <v>0.17</v>
      </c>
      <c r="T40" s="65">
        <f t="shared" si="11"/>
        <v>1.7500000000000002E-2</v>
      </c>
      <c r="U40" s="126">
        <f t="shared" si="11"/>
        <v>5.15</v>
      </c>
    </row>
    <row r="41" spans="1:21" s="48" customFormat="1" x14ac:dyDescent="0.25">
      <c r="A41" s="125" t="str">
        <f>M8</f>
        <v>HAFOD B/FRON 2849</v>
      </c>
      <c r="B41" s="11">
        <v>250</v>
      </c>
      <c r="C41" s="65">
        <f t="shared" si="6"/>
        <v>125</v>
      </c>
      <c r="D41" s="65">
        <f t="shared" si="7"/>
        <v>54.926725000000012</v>
      </c>
      <c r="E41" s="65">
        <f t="shared" si="8"/>
        <v>13.194749999999999</v>
      </c>
      <c r="F41" s="65">
        <f t="shared" si="9"/>
        <v>23.999549999999999</v>
      </c>
      <c r="G41" s="65">
        <f t="shared" si="5"/>
        <v>0.58499999999999996</v>
      </c>
      <c r="H41" s="65">
        <f t="shared" si="5"/>
        <v>1.17</v>
      </c>
      <c r="I41" s="65">
        <f t="shared" si="5"/>
        <v>0.1925</v>
      </c>
      <c r="J41" s="65">
        <f t="shared" si="5"/>
        <v>5.0000000000000001E-3</v>
      </c>
      <c r="K41" s="65">
        <f t="shared" si="5"/>
        <v>1.2500000000000001E-2</v>
      </c>
      <c r="L41" s="65">
        <f t="shared" si="5"/>
        <v>0.33250000000000002</v>
      </c>
      <c r="M41" s="65">
        <f t="shared" si="5"/>
        <v>0.3125</v>
      </c>
      <c r="N41" s="65">
        <f t="shared" si="5"/>
        <v>1338.5</v>
      </c>
      <c r="O41" s="65">
        <f t="shared" si="5"/>
        <v>223.75</v>
      </c>
      <c r="P41" s="65">
        <f t="shared" si="5"/>
        <v>4.1749999999999998</v>
      </c>
      <c r="Q41" s="65">
        <f t="shared" si="10"/>
        <v>226.25</v>
      </c>
      <c r="R41" s="65">
        <f t="shared" si="11"/>
        <v>3.7499999999999999E-2</v>
      </c>
      <c r="S41" s="65">
        <f t="shared" si="11"/>
        <v>0.17</v>
      </c>
      <c r="T41" s="65">
        <f t="shared" si="11"/>
        <v>1.7500000000000002E-2</v>
      </c>
      <c r="U41" s="126">
        <f t="shared" si="11"/>
        <v>5.15</v>
      </c>
    </row>
    <row r="42" spans="1:21" s="48" customFormat="1" x14ac:dyDescent="0.25">
      <c r="A42" s="125" t="str">
        <f>N8</f>
        <v>HAFOD B/FRON 3836</v>
      </c>
      <c r="B42" s="11">
        <v>0</v>
      </c>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BOLAFRON 4718</v>
      </c>
      <c r="B43" s="11">
        <v>0</v>
      </c>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BOLAFRON 3107</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BOLAFRON 6609</v>
      </c>
      <c r="B45" s="11">
        <v>250</v>
      </c>
      <c r="C45" s="65">
        <f t="shared" si="6"/>
        <v>125</v>
      </c>
      <c r="D45" s="65">
        <f t="shared" si="7"/>
        <v>54.926725000000012</v>
      </c>
      <c r="E45" s="65">
        <f t="shared" si="8"/>
        <v>13.194749999999999</v>
      </c>
      <c r="F45" s="65">
        <f t="shared" si="9"/>
        <v>23.999549999999999</v>
      </c>
      <c r="G45" s="65">
        <f t="shared" si="5"/>
        <v>0.58499999999999996</v>
      </c>
      <c r="H45" s="65">
        <f t="shared" si="5"/>
        <v>1.17</v>
      </c>
      <c r="I45" s="65">
        <f t="shared" si="5"/>
        <v>0.1925</v>
      </c>
      <c r="J45" s="65">
        <f t="shared" si="5"/>
        <v>5.0000000000000001E-3</v>
      </c>
      <c r="K45" s="65">
        <f t="shared" si="5"/>
        <v>1.2500000000000001E-2</v>
      </c>
      <c r="L45" s="65">
        <f t="shared" si="5"/>
        <v>0.33250000000000002</v>
      </c>
      <c r="M45" s="65">
        <f t="shared" si="5"/>
        <v>0.3125</v>
      </c>
      <c r="N45" s="65">
        <f t="shared" si="5"/>
        <v>1338.5</v>
      </c>
      <c r="O45" s="65">
        <f t="shared" si="5"/>
        <v>223.75</v>
      </c>
      <c r="P45" s="65">
        <f t="shared" si="5"/>
        <v>4.1749999999999998</v>
      </c>
      <c r="Q45" s="65">
        <f t="shared" si="10"/>
        <v>226.25</v>
      </c>
      <c r="R45" s="65">
        <f t="shared" si="11"/>
        <v>3.7499999999999999E-2</v>
      </c>
      <c r="S45" s="65">
        <f t="shared" si="11"/>
        <v>0.17</v>
      </c>
      <c r="T45" s="65">
        <f t="shared" si="11"/>
        <v>1.7500000000000002E-2</v>
      </c>
      <c r="U45" s="126">
        <f t="shared" si="11"/>
        <v>5.15</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 I Grass</v>
      </c>
      <c r="C58" s="10" t="str">
        <f>D16&amp;" I "&amp;(VLOOKUP(D14,Table24567[],6,FALSE))</f>
        <v>Medium I Grass</v>
      </c>
      <c r="D58" s="10" t="str">
        <f>E16&amp;" I "&amp;(VLOOKUP(E14,Table24567[],6,FALSE))</f>
        <v>Medium I Grass</v>
      </c>
      <c r="E58" s="10" t="str">
        <f>F16&amp;" I "&amp;(VLOOKUP(F14,Table24567[],6,FALSE))</f>
        <v>Medium I Grass</v>
      </c>
      <c r="F58" s="10" t="str">
        <f>G16&amp;" I "&amp;(VLOOKUP(G14,Table24567[],6,FALSE))</f>
        <v>Medium I Grass</v>
      </c>
      <c r="G58" s="10" t="str">
        <f>H16&amp;" I "&amp;(VLOOKUP(H14,Table24567[],6,FALSE))</f>
        <v>Medium I Grass</v>
      </c>
      <c r="H58" s="10" t="str">
        <f>I16&amp;" I "&amp;(VLOOKUP(I14,Table24567[],6,FALSE))</f>
        <v>Medium I Grass</v>
      </c>
      <c r="I58" s="10" t="str">
        <f>J16&amp;" I "&amp;(VLOOKUP(J14,Table24567[],6,FALSE))</f>
        <v>Medium I Grass</v>
      </c>
      <c r="J58" s="10" t="str">
        <f>K16&amp;" I "&amp;(VLOOKUP(K14,Table24567[],6,FALSE))</f>
        <v>Medium I Grass</v>
      </c>
      <c r="K58" s="10" t="str">
        <f>L16&amp;" I "&amp;(VLOOKUP(L14,Table24567[],6,FALSE))</f>
        <v>Medium I Grass</v>
      </c>
      <c r="L58" s="10" t="str">
        <f>M16&amp;" I "&amp;(VLOOKUP(M14,Table24567[],6,FALSE))</f>
        <v>Medium I Grass</v>
      </c>
      <c r="M58" s="10" t="str">
        <f>N16&amp;" I "&amp;(VLOOKUP(N14,Table24567[],6,FALSE))</f>
        <v>Medium I Grass</v>
      </c>
      <c r="N58" s="10" t="str">
        <f>O16&amp;" I "&amp;(VLOOKUP(O14,Table24567[],6,FALSE))</f>
        <v>Medium I Grass</v>
      </c>
      <c r="O58" s="10" t="str">
        <f>P16&amp;" I "&amp;(VLOOKUP(P14,Table24567[],6,FALSE))</f>
        <v>Medium I Grass</v>
      </c>
      <c r="P58" s="10" t="str">
        <f>Q16&amp;" I "&amp;(VLOOKUP(Q14,Table24567[],6,FALSE))</f>
        <v>Medium I Grass</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f>VLOOKUP(P$14,Table24567[],5,FALSE)</f>
        <v>6.2</v>
      </c>
      <c r="P59" s="64">
        <f>VLOOKUP(Q$14,Table24567[],5,FALSE)</f>
        <v>6.2</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0</v>
      </c>
      <c r="D62" s="65">
        <f>B33</f>
        <v>250</v>
      </c>
      <c r="E62" s="65">
        <f>B34</f>
        <v>250</v>
      </c>
      <c r="F62" s="65">
        <f>B35</f>
        <v>0</v>
      </c>
      <c r="G62" s="65">
        <f>B36</f>
        <v>0</v>
      </c>
      <c r="H62" s="65">
        <f>B37</f>
        <v>250</v>
      </c>
      <c r="I62" s="65">
        <f>B38</f>
        <v>250</v>
      </c>
      <c r="J62" s="65">
        <f>B39</f>
        <v>250</v>
      </c>
      <c r="K62" s="65">
        <f>B40</f>
        <v>250</v>
      </c>
      <c r="L62" s="65">
        <f>B41</f>
        <v>250</v>
      </c>
      <c r="M62" s="65">
        <f>B42</f>
        <v>0</v>
      </c>
      <c r="N62" s="65">
        <f>B43</f>
        <v>0</v>
      </c>
      <c r="O62" s="65">
        <f>B44</f>
        <v>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S29" sqref="S2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'Volac Sensient'!C1:D1</f>
        <v>PAN-028923</v>
      </c>
      <c r="D1" s="173"/>
      <c r="E1" s="106" t="s">
        <v>45</v>
      </c>
      <c r="F1" s="113" t="str">
        <f>'Volac Sensient'!F1</f>
        <v>49.1 ha</v>
      </c>
      <c r="G1" s="162" t="s">
        <v>43</v>
      </c>
      <c r="H1" s="163"/>
      <c r="I1" s="109">
        <v>7.2</v>
      </c>
      <c r="J1" s="130" t="s">
        <v>153</v>
      </c>
      <c r="K1" s="131"/>
      <c r="L1" s="109">
        <v>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'Volac Sensient'!C2:D2</f>
        <v>EPR/AB3891CX</v>
      </c>
      <c r="D2" s="169"/>
      <c r="E2" s="96" t="s">
        <v>109</v>
      </c>
      <c r="F2" s="110" t="s">
        <v>186</v>
      </c>
      <c r="G2" s="164" t="s">
        <v>110</v>
      </c>
      <c r="H2" s="165"/>
      <c r="I2" s="110"/>
      <c r="J2" s="132" t="s">
        <v>158</v>
      </c>
      <c r="K2" s="133"/>
      <c r="L2" s="110">
        <v>1.05</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'Volac Sensient'!C3:D3</f>
        <v>Mr Daniel James and Mrs Carys James</v>
      </c>
      <c r="D3" s="169"/>
      <c r="E3" s="96" t="s">
        <v>108</v>
      </c>
      <c r="F3" s="111" t="s">
        <v>78</v>
      </c>
      <c r="G3" s="132" t="s">
        <v>159</v>
      </c>
      <c r="H3" s="133"/>
      <c r="I3" s="110"/>
      <c r="J3" s="134" t="s">
        <v>154</v>
      </c>
      <c r="K3" s="135"/>
      <c r="L3" s="110">
        <f>(L1/(L2*10000))*100</f>
        <v>5.7142857142857148E-2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'Volac Sensient'!C4:D4</f>
        <v>Hafod Farm, Ferwig, Cardigan, Ceredigion, SA43 1PU</v>
      </c>
      <c r="D4" s="171"/>
      <c r="E4" s="99" t="s">
        <v>1</v>
      </c>
      <c r="F4" s="110" t="s">
        <v>194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'Volac Sensient'!C5:D5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'Volac Sensient'!C8</f>
        <v>4-B</v>
      </c>
      <c r="D8" s="49" t="str">
        <f>'Volac Sensient'!D8</f>
        <v>5-B</v>
      </c>
      <c r="E8" s="49" t="str">
        <f>'Volac Sensient'!E8</f>
        <v>6-B</v>
      </c>
      <c r="F8" s="49" t="str">
        <f>'Volac Sensient'!F8</f>
        <v>7-B</v>
      </c>
      <c r="G8" s="49" t="str">
        <f>'Volac Sensient'!G8</f>
        <v>8-B</v>
      </c>
      <c r="H8" s="49" t="str">
        <f>'Volac Sensient'!H8</f>
        <v>9-B</v>
      </c>
      <c r="I8" s="49" t="str">
        <f>'Volac Sensient'!I8</f>
        <v>8222-B</v>
      </c>
      <c r="J8" s="49" t="str">
        <f>'Volac Sensient'!J8</f>
        <v>7233-B</v>
      </c>
      <c r="K8" s="49" t="str">
        <f>'Volac Sensient'!K8</f>
        <v>5641-B</v>
      </c>
      <c r="L8" s="49" t="str">
        <f>'Volac Sensient'!L8</f>
        <v>4956-B</v>
      </c>
      <c r="M8" s="49" t="str">
        <f>'Volac Sensient'!M8</f>
        <v>HAFOD B/FRON 2849</v>
      </c>
      <c r="N8" s="49" t="str">
        <f>'Volac Sensient'!N8</f>
        <v>HAFOD B/FRON 3836</v>
      </c>
      <c r="O8" s="49" t="str">
        <f>'Volac Sensient'!O8</f>
        <v>BOLAFRON 4718</v>
      </c>
      <c r="P8" s="49" t="str">
        <f>'Volac Sensient'!P8</f>
        <v>BOLAFRON 3107</v>
      </c>
      <c r="Q8" s="49" t="str">
        <f>'Volac Sensient'!Q8</f>
        <v>BOLAFRON 6609</v>
      </c>
      <c r="R8" s="49">
        <f>'Volac Sensient'!R8</f>
        <v>0</v>
      </c>
      <c r="S8" s="49">
        <f>'Volac Sensient'!S8</f>
        <v>0</v>
      </c>
      <c r="T8" s="49">
        <f>'Volac Sensient'!T8</f>
        <v>0</v>
      </c>
      <c r="U8" s="49">
        <f>'Volac Sensient'!U8</f>
        <v>0</v>
      </c>
      <c r="V8" s="102">
        <f>'Volac Sensient'!V8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t="str">
        <f>'Volac Sensient'!C9</f>
        <v>Moderate</v>
      </c>
      <c r="D9" s="49" t="str">
        <f>'Volac Sensient'!D9</f>
        <v>Moderate</v>
      </c>
      <c r="E9" s="49" t="str">
        <f>'Volac Sensient'!E9</f>
        <v>Moderate</v>
      </c>
      <c r="F9" s="49" t="str">
        <f>'Volac Sensient'!F9</f>
        <v>Moderate</v>
      </c>
      <c r="G9" s="49" t="str">
        <f>'Volac Sensient'!G9</f>
        <v>Moderate</v>
      </c>
      <c r="H9" s="49" t="str">
        <f>'Volac Sensient'!H9</f>
        <v>Moderate</v>
      </c>
      <c r="I9" s="49" t="str">
        <f>'Volac Sensient'!I9</f>
        <v>Moderate</v>
      </c>
      <c r="J9" s="49" t="str">
        <f>'Volac Sensient'!J9</f>
        <v>Moderate</v>
      </c>
      <c r="K9" s="49" t="str">
        <f>'Volac Sensient'!K9</f>
        <v>Moderate</v>
      </c>
      <c r="L9" s="49" t="str">
        <f>'Volac Sensient'!L9</f>
        <v>Moderate</v>
      </c>
      <c r="M9" s="49" t="str">
        <f>'Volac Sensient'!M9</f>
        <v>Moderate</v>
      </c>
      <c r="N9" s="49" t="str">
        <f>'Volac Sensient'!N9</f>
        <v>Moderate</v>
      </c>
      <c r="O9" s="49" t="str">
        <f>'Volac Sensient'!O9</f>
        <v>Moderate</v>
      </c>
      <c r="P9" s="49" t="str">
        <f>'Volac Sensient'!P9</f>
        <v>Moderate</v>
      </c>
      <c r="Q9" s="49" t="str">
        <f>'Volac Sensient'!Q9</f>
        <v>Moderate</v>
      </c>
      <c r="R9" s="49">
        <f>'Volac Sensient'!R9</f>
        <v>0</v>
      </c>
      <c r="S9" s="49">
        <f>'Volac Sensient'!S9</f>
        <v>0</v>
      </c>
      <c r="T9" s="49">
        <f>'Volac Sensient'!T9</f>
        <v>0</v>
      </c>
      <c r="U9" s="49">
        <f>'Volac Sensient'!U9</f>
        <v>0</v>
      </c>
      <c r="V9" s="102">
        <f>'Volac Sensient'!V9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'Volac Sensient'!C10</f>
        <v>6</v>
      </c>
      <c r="D10" s="49">
        <f>'Volac Sensient'!D10</f>
        <v>5.8</v>
      </c>
      <c r="E10" s="49">
        <f>'Volac Sensient'!E10</f>
        <v>6.1</v>
      </c>
      <c r="F10" s="49">
        <f>'Volac Sensient'!F10</f>
        <v>6.1</v>
      </c>
      <c r="G10" s="49">
        <f>'Volac Sensient'!G10</f>
        <v>5.8</v>
      </c>
      <c r="H10" s="49">
        <f>'Volac Sensient'!H10</f>
        <v>5.9</v>
      </c>
      <c r="I10" s="49">
        <f>'Volac Sensient'!I10</f>
        <v>6</v>
      </c>
      <c r="J10" s="49">
        <f>'Volac Sensient'!J10</f>
        <v>6.3</v>
      </c>
      <c r="K10" s="49">
        <f>'Volac Sensient'!K10</f>
        <v>6.3</v>
      </c>
      <c r="L10" s="49">
        <f>'Volac Sensient'!L10</f>
        <v>6</v>
      </c>
      <c r="M10" s="49">
        <f>'Volac Sensient'!M10</f>
        <v>6.1</v>
      </c>
      <c r="N10" s="49">
        <f>'Volac Sensient'!N10</f>
        <v>5.6</v>
      </c>
      <c r="O10" s="49">
        <f>'Volac Sensient'!O10</f>
        <v>5.9</v>
      </c>
      <c r="P10" s="49">
        <f>'Volac Sensient'!P10</f>
        <v>5.9</v>
      </c>
      <c r="Q10" s="49">
        <f>'Volac Sensient'!Q10</f>
        <v>6.1</v>
      </c>
      <c r="R10" s="49">
        <f>'Volac Sensient'!R10</f>
        <v>0</v>
      </c>
      <c r="S10" s="49">
        <f>'Volac Sensient'!S10</f>
        <v>0</v>
      </c>
      <c r="T10" s="49">
        <f>'Volac Sensient'!T10</f>
        <v>0</v>
      </c>
      <c r="U10" s="49">
        <f>'Volac Sensient'!U10</f>
        <v>0</v>
      </c>
      <c r="V10" s="102">
        <f>'Volac Sensient'!V10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'Volac Sensient'!C11</f>
        <v>3</v>
      </c>
      <c r="D11" s="49">
        <f>'Volac Sensient'!D11</f>
        <v>2</v>
      </c>
      <c r="E11" s="49">
        <f>'Volac Sensient'!E11</f>
        <v>2</v>
      </c>
      <c r="F11" s="49">
        <f>'Volac Sensient'!F11</f>
        <v>2</v>
      </c>
      <c r="G11" s="49">
        <f>'Volac Sensient'!G11</f>
        <v>3</v>
      </c>
      <c r="H11" s="49">
        <f>'Volac Sensient'!H11</f>
        <v>2</v>
      </c>
      <c r="I11" s="49">
        <f>'Volac Sensient'!I11</f>
        <v>2</v>
      </c>
      <c r="J11" s="49">
        <f>'Volac Sensient'!J11</f>
        <v>2</v>
      </c>
      <c r="K11" s="49">
        <f>'Volac Sensient'!K11</f>
        <v>2</v>
      </c>
      <c r="L11" s="49">
        <f>'Volac Sensient'!L11</f>
        <v>2</v>
      </c>
      <c r="M11" s="49">
        <f>'Volac Sensient'!M11</f>
        <v>3</v>
      </c>
      <c r="N11" s="49">
        <f>'Volac Sensient'!N11</f>
        <v>3</v>
      </c>
      <c r="O11" s="49">
        <f>'Volac Sensient'!O11</f>
        <v>3</v>
      </c>
      <c r="P11" s="49">
        <f>'Volac Sensient'!P11</f>
        <v>3</v>
      </c>
      <c r="Q11" s="49">
        <f>'Volac Sensient'!Q11</f>
        <v>3</v>
      </c>
      <c r="R11" s="49">
        <f>'Volac Sensient'!R11</f>
        <v>0</v>
      </c>
      <c r="S11" s="49">
        <f>'Volac Sensient'!S11</f>
        <v>0</v>
      </c>
      <c r="T11" s="49">
        <f>'Volac Sensient'!T11</f>
        <v>0</v>
      </c>
      <c r="U11" s="49">
        <f>'Volac Sensient'!U11</f>
        <v>0</v>
      </c>
      <c r="V11" s="102">
        <f>'Volac Sensient'!V11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'Volac Sensient'!C12</f>
        <v>3</v>
      </c>
      <c r="D12" s="49">
        <f>'Volac Sensient'!D12</f>
        <v>3</v>
      </c>
      <c r="E12" s="49">
        <f>'Volac Sensient'!E12</f>
        <v>3</v>
      </c>
      <c r="F12" s="49">
        <f>'Volac Sensient'!F12</f>
        <v>3</v>
      </c>
      <c r="G12" s="49">
        <f>'Volac Sensient'!G12</f>
        <v>3</v>
      </c>
      <c r="H12" s="49">
        <f>'Volac Sensient'!H12</f>
        <v>3</v>
      </c>
      <c r="I12" s="49">
        <f>'Volac Sensient'!I12</f>
        <v>3</v>
      </c>
      <c r="J12" s="49">
        <f>'Volac Sensient'!J12</f>
        <v>3</v>
      </c>
      <c r="K12" s="49">
        <f>'Volac Sensient'!K12</f>
        <v>3</v>
      </c>
      <c r="L12" s="49">
        <f>'Volac Sensient'!L12</f>
        <v>2</v>
      </c>
      <c r="M12" s="49">
        <f>'Volac Sensient'!M12</f>
        <v>1</v>
      </c>
      <c r="N12" s="49">
        <f>'Volac Sensient'!N12</f>
        <v>1</v>
      </c>
      <c r="O12" s="49">
        <f>'Volac Sensient'!O12</f>
        <v>1</v>
      </c>
      <c r="P12" s="49">
        <f>'Volac Sensient'!P12</f>
        <v>1</v>
      </c>
      <c r="Q12" s="49">
        <f>'Volac Sensient'!Q12</f>
        <v>1</v>
      </c>
      <c r="R12" s="49">
        <f>'Volac Sensient'!R12</f>
        <v>0</v>
      </c>
      <c r="S12" s="49">
        <f>'Volac Sensient'!S12</f>
        <v>0</v>
      </c>
      <c r="T12" s="49">
        <f>'Volac Sensient'!T12</f>
        <v>0</v>
      </c>
      <c r="U12" s="49">
        <f>'Volac Sensient'!U12</f>
        <v>0</v>
      </c>
      <c r="V12" s="102">
        <f>'Volac Sensient'!V12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'Volac Sensient'!C13</f>
        <v>3</v>
      </c>
      <c r="D13" s="49">
        <f>'Volac Sensient'!D13</f>
        <v>3</v>
      </c>
      <c r="E13" s="49">
        <f>'Volac Sensient'!E13</f>
        <v>3</v>
      </c>
      <c r="F13" s="49">
        <f>'Volac Sensient'!F13</f>
        <v>3</v>
      </c>
      <c r="G13" s="49">
        <f>'Volac Sensient'!G13</f>
        <v>3</v>
      </c>
      <c r="H13" s="49">
        <f>'Volac Sensient'!H13</f>
        <v>2</v>
      </c>
      <c r="I13" s="49">
        <f>'Volac Sensient'!I13</f>
        <v>3</v>
      </c>
      <c r="J13" s="49">
        <f>'Volac Sensient'!J13</f>
        <v>3</v>
      </c>
      <c r="K13" s="49">
        <f>'Volac Sensient'!K13</f>
        <v>3</v>
      </c>
      <c r="L13" s="49">
        <f>'Volac Sensient'!L13</f>
        <v>3</v>
      </c>
      <c r="M13" s="49">
        <f>'Volac Sensient'!M13</f>
        <v>3</v>
      </c>
      <c r="N13" s="49">
        <f>'Volac Sensient'!N13</f>
        <v>3</v>
      </c>
      <c r="O13" s="49">
        <f>'Volac Sensient'!O13</f>
        <v>3</v>
      </c>
      <c r="P13" s="49">
        <f>'Volac Sensient'!P13</f>
        <v>3</v>
      </c>
      <c r="Q13" s="49">
        <f>'Volac Sensient'!Q13</f>
        <v>3</v>
      </c>
      <c r="R13" s="49">
        <f>'Volac Sensient'!R13</f>
        <v>0</v>
      </c>
      <c r="S13" s="49">
        <f>'Volac Sensient'!S13</f>
        <v>0</v>
      </c>
      <c r="T13" s="49">
        <f>'Volac Sensient'!T13</f>
        <v>0</v>
      </c>
      <c r="U13" s="49">
        <f>'Volac Sensient'!U13</f>
        <v>0</v>
      </c>
      <c r="V13" s="102">
        <f>'Volac Sensient'!V13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'Volac Sensient'!C14</f>
        <v xml:space="preserve">Grass Silage (25% DM) </v>
      </c>
      <c r="D14" s="83" t="str">
        <f>'Volac Sensient'!D14</f>
        <v xml:space="preserve">Grass Silage (25% DM) </v>
      </c>
      <c r="E14" s="83" t="str">
        <f>'Volac Sensient'!E14</f>
        <v xml:space="preserve">Grass Silage (25% DM) </v>
      </c>
      <c r="F14" s="83" t="str">
        <f>'Volac Sensient'!F14</f>
        <v xml:space="preserve">Grass Silage (25% DM) </v>
      </c>
      <c r="G14" s="83" t="str">
        <f>'Volac Sensient'!G14</f>
        <v xml:space="preserve">Grass Silage (25% DM) </v>
      </c>
      <c r="H14" s="83" t="str">
        <f>'Volac Sensient'!H14</f>
        <v xml:space="preserve">Grass Silage (25% DM) </v>
      </c>
      <c r="I14" s="83" t="str">
        <f>'Volac Sensient'!I14</f>
        <v xml:space="preserve">Grass Silage (25% DM) </v>
      </c>
      <c r="J14" s="83" t="str">
        <f>'Volac Sensient'!J14</f>
        <v xml:space="preserve">Grass Silage (25% DM) </v>
      </c>
      <c r="K14" s="83" t="str">
        <f>'Volac Sensient'!K14</f>
        <v xml:space="preserve">Grass Silage (25% DM) </v>
      </c>
      <c r="L14" s="83" t="str">
        <f>'Volac Sensient'!L14</f>
        <v xml:space="preserve">Grass Silage (25% DM) </v>
      </c>
      <c r="M14" s="83" t="str">
        <f>'Volac Sensient'!M14</f>
        <v xml:space="preserve">Grass Silage (25% DM) </v>
      </c>
      <c r="N14" s="83" t="str">
        <f>'Volac Sensient'!N14</f>
        <v xml:space="preserve">Grass Silage (25% DM) </v>
      </c>
      <c r="O14" s="83" t="str">
        <f>'Volac Sensient'!O14</f>
        <v xml:space="preserve">Grass Silage (25% DM) </v>
      </c>
      <c r="P14" s="83" t="str">
        <f>'Volac Sensient'!P14</f>
        <v xml:space="preserve">Grass Silage (25% DM) </v>
      </c>
      <c r="Q14" s="83" t="str">
        <f>'Volac Sensient'!Q14</f>
        <v xml:space="preserve">Grass Silage (25% DM) </v>
      </c>
      <c r="R14" s="83">
        <f>'Volac Sensient'!R14</f>
        <v>0</v>
      </c>
      <c r="S14" s="83">
        <f>'Volac Sensient'!S14</f>
        <v>0</v>
      </c>
      <c r="T14" s="83">
        <f>'Volac Sensient'!T14</f>
        <v>0</v>
      </c>
      <c r="U14" s="83">
        <f>'Volac Sensient'!U14</f>
        <v>0</v>
      </c>
      <c r="V14" s="103">
        <f>'Volac Sensient'!V14</f>
        <v>0</v>
      </c>
      <c r="AD14" s="22" t="s">
        <v>138</v>
      </c>
      <c r="AE14" s="22">
        <v>6</v>
      </c>
      <c r="AI14" s="43" t="s">
        <v>119</v>
      </c>
      <c r="AJ14" s="44">
        <v>0.8</v>
      </c>
      <c r="AK14" s="45">
        <v>1.7</v>
      </c>
      <c r="AL14" s="9">
        <v>12</v>
      </c>
      <c r="AM14" s="9">
        <v>6.7</v>
      </c>
      <c r="AN14" s="9" t="s">
        <v>135</v>
      </c>
    </row>
    <row r="15" spans="1:41" x14ac:dyDescent="0.2">
      <c r="A15" s="148" t="s">
        <v>9</v>
      </c>
      <c r="B15" s="149"/>
      <c r="C15" s="49">
        <f>'Volac Sensient'!C15</f>
        <v>47</v>
      </c>
      <c r="D15" s="49">
        <f>'Volac Sensient'!D15</f>
        <v>47</v>
      </c>
      <c r="E15" s="49">
        <f>'Volac Sensient'!E15</f>
        <v>47</v>
      </c>
      <c r="F15" s="49">
        <f>'Volac Sensient'!F15</f>
        <v>47</v>
      </c>
      <c r="G15" s="49">
        <f>'Volac Sensient'!G15</f>
        <v>47</v>
      </c>
      <c r="H15" s="49">
        <f>'Volac Sensient'!H15</f>
        <v>47</v>
      </c>
      <c r="I15" s="49">
        <f>'Volac Sensient'!I15</f>
        <v>47</v>
      </c>
      <c r="J15" s="49">
        <f>'Volac Sensient'!J15</f>
        <v>47</v>
      </c>
      <c r="K15" s="49">
        <f>'Volac Sensient'!K15</f>
        <v>47</v>
      </c>
      <c r="L15" s="49">
        <f>'Volac Sensient'!L15</f>
        <v>47</v>
      </c>
      <c r="M15" s="49">
        <f>'Volac Sensient'!M15</f>
        <v>47</v>
      </c>
      <c r="N15" s="49">
        <f>'Volac Sensient'!N15</f>
        <v>47</v>
      </c>
      <c r="O15" s="49">
        <f>'Volac Sensient'!O15</f>
        <v>47</v>
      </c>
      <c r="P15" s="49">
        <f>'Volac Sensient'!P15</f>
        <v>47</v>
      </c>
      <c r="Q15" s="49">
        <f>'Volac Sensient'!Q15</f>
        <v>47</v>
      </c>
      <c r="R15" s="49">
        <f>'Volac Sensient'!R15</f>
        <v>0</v>
      </c>
      <c r="S15" s="49">
        <f>'Volac Sensient'!S15</f>
        <v>0</v>
      </c>
      <c r="T15" s="49">
        <f>'Volac Sensient'!T15</f>
        <v>0</v>
      </c>
      <c r="U15" s="49">
        <f>'Volac Sensient'!U15</f>
        <v>0</v>
      </c>
      <c r="V15" s="102">
        <f>'Volac Sensient'!V15</f>
        <v>0</v>
      </c>
      <c r="AD15" s="22" t="s">
        <v>144</v>
      </c>
      <c r="AE15" s="22">
        <v>7</v>
      </c>
      <c r="AI15" s="43" t="s">
        <v>101</v>
      </c>
      <c r="AJ15" s="51">
        <v>1.8</v>
      </c>
      <c r="AK15" s="45">
        <v>5.4</v>
      </c>
      <c r="AL15" s="9">
        <v>13</v>
      </c>
      <c r="AM15" s="9">
        <v>6.7</v>
      </c>
      <c r="AN15" s="9" t="s">
        <v>135</v>
      </c>
    </row>
    <row r="16" spans="1:41" ht="13.5" thickBot="1" x14ac:dyDescent="0.25">
      <c r="A16" s="152" t="s">
        <v>44</v>
      </c>
      <c r="B16" s="153"/>
      <c r="C16" s="104" t="str">
        <f>'Volac Sensient'!C16</f>
        <v>Medium</v>
      </c>
      <c r="D16" s="104" t="str">
        <f>'Volac Sensient'!D16</f>
        <v>Medium</v>
      </c>
      <c r="E16" s="104" t="str">
        <f>'Volac Sensient'!E16</f>
        <v>Medium</v>
      </c>
      <c r="F16" s="104" t="str">
        <f>'Volac Sensient'!F16</f>
        <v>Medium</v>
      </c>
      <c r="G16" s="104" t="str">
        <f>'Volac Sensient'!G16</f>
        <v>Medium</v>
      </c>
      <c r="H16" s="104" t="str">
        <f>'Volac Sensient'!H16</f>
        <v>Medium</v>
      </c>
      <c r="I16" s="104" t="str">
        <f>'Volac Sensient'!I16</f>
        <v>Medium</v>
      </c>
      <c r="J16" s="104" t="str">
        <f>'Volac Sensient'!J16</f>
        <v>Medium</v>
      </c>
      <c r="K16" s="104" t="str">
        <f>'Volac Sensient'!K16</f>
        <v>Medium</v>
      </c>
      <c r="L16" s="104" t="str">
        <f>'Volac Sensient'!L16</f>
        <v>Medium</v>
      </c>
      <c r="M16" s="104" t="str">
        <f>'Volac Sensient'!M16</f>
        <v>Medium</v>
      </c>
      <c r="N16" s="104" t="str">
        <f>'Volac Sensient'!N16</f>
        <v>Medium</v>
      </c>
      <c r="O16" s="104" t="str">
        <f>'Volac Sensient'!O16</f>
        <v>Medium</v>
      </c>
      <c r="P16" s="104" t="str">
        <f>'Volac Sensient'!P16</f>
        <v>Medium</v>
      </c>
      <c r="Q16" s="104" t="str">
        <f>'Volac Sensient'!Q16</f>
        <v>Medium</v>
      </c>
      <c r="R16" s="104">
        <f>'Volac Sensient'!R16</f>
        <v>0</v>
      </c>
      <c r="S16" s="104">
        <f>'Volac Sensient'!S16</f>
        <v>0</v>
      </c>
      <c r="T16" s="104">
        <f>'Volac Sensient'!T16</f>
        <v>0</v>
      </c>
      <c r="U16" s="104">
        <f>'Volac Sensient'!U16</f>
        <v>0</v>
      </c>
      <c r="V16" s="105">
        <f>'Volac Sensient'!V16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f t="shared" si="0"/>
        <v>79.899999999999991</v>
      </c>
      <c r="Q17" s="20">
        <f t="shared" si="0"/>
        <v>79.899999999999991</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10.767069975</v>
      </c>
      <c r="D18" s="12">
        <f>$D32</f>
        <v>0</v>
      </c>
      <c r="E18" s="12">
        <f>$D33</f>
        <v>10.767069975</v>
      </c>
      <c r="F18" s="12">
        <f>$D34</f>
        <v>10.767069975</v>
      </c>
      <c r="G18" s="12">
        <f>$D35</f>
        <v>0</v>
      </c>
      <c r="H18" s="12">
        <f>$D36</f>
        <v>0</v>
      </c>
      <c r="I18" s="12">
        <f>$D37</f>
        <v>10.767069975</v>
      </c>
      <c r="J18" s="12">
        <f>$D38</f>
        <v>10.767069975</v>
      </c>
      <c r="K18" s="12">
        <f>$D39</f>
        <v>10.767069975</v>
      </c>
      <c r="L18" s="12">
        <f>$D40</f>
        <v>10.767069975</v>
      </c>
      <c r="M18" s="12">
        <f>$D41</f>
        <v>10.767069975</v>
      </c>
      <c r="N18" s="12">
        <f>$D42</f>
        <v>0</v>
      </c>
      <c r="O18" s="12">
        <f>$D43</f>
        <v>0</v>
      </c>
      <c r="P18" s="12">
        <f>$D44</f>
        <v>0</v>
      </c>
      <c r="Q18" s="12">
        <f>$D45</f>
        <v>10.767069975</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-69.132930024999993</v>
      </c>
      <c r="D19" s="12">
        <f t="shared" ref="D19:V19" si="1">D18-D17</f>
        <v>-79.899999999999991</v>
      </c>
      <c r="E19" s="12">
        <f t="shared" si="1"/>
        <v>-69.132930024999993</v>
      </c>
      <c r="F19" s="12">
        <f t="shared" si="1"/>
        <v>-69.132930024999993</v>
      </c>
      <c r="G19" s="12">
        <f t="shared" si="1"/>
        <v>-79.899999999999991</v>
      </c>
      <c r="H19" s="12">
        <f t="shared" si="1"/>
        <v>-79.899999999999991</v>
      </c>
      <c r="I19" s="12">
        <f t="shared" si="1"/>
        <v>-69.132930024999993</v>
      </c>
      <c r="J19" s="12">
        <f t="shared" si="1"/>
        <v>-69.132930024999993</v>
      </c>
      <c r="K19" s="12">
        <f t="shared" si="1"/>
        <v>-69.132930024999993</v>
      </c>
      <c r="L19" s="12">
        <f t="shared" si="1"/>
        <v>-69.132930024999993</v>
      </c>
      <c r="M19" s="12">
        <f t="shared" si="1"/>
        <v>-69.132930024999993</v>
      </c>
      <c r="N19" s="12">
        <f t="shared" si="1"/>
        <v>-79.899999999999991</v>
      </c>
      <c r="O19" s="12">
        <f t="shared" si="1"/>
        <v>-79.899999999999991</v>
      </c>
      <c r="P19" s="12">
        <f t="shared" si="1"/>
        <v>-79.899999999999991</v>
      </c>
      <c r="Q19" s="12">
        <f t="shared" si="1"/>
        <v>-69.132930024999993</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DECREASE</v>
      </c>
      <c r="Q20" s="18" t="str">
        <f>IF($B45="","",IF(Q$19&gt;=0,"INCREASE","DECREASE"))</f>
        <v>DECREASE</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f t="shared" si="2"/>
        <v>282</v>
      </c>
      <c r="Q21" s="20">
        <f t="shared" si="2"/>
        <v>282</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0.98195449999999995</v>
      </c>
      <c r="D22" s="12">
        <f>$E32</f>
        <v>0</v>
      </c>
      <c r="E22" s="12">
        <f>$E33</f>
        <v>0.98195449999999995</v>
      </c>
      <c r="F22" s="12">
        <f>$E34</f>
        <v>0.98195449999999995</v>
      </c>
      <c r="G22" s="12">
        <f>$E35</f>
        <v>0</v>
      </c>
      <c r="H22" s="12">
        <f>$E36</f>
        <v>0</v>
      </c>
      <c r="I22" s="12">
        <f>$E37</f>
        <v>0.98195449999999995</v>
      </c>
      <c r="J22" s="12">
        <f>$E38</f>
        <v>0.98195449999999995</v>
      </c>
      <c r="K22" s="12">
        <f>$E39</f>
        <v>0.98195449999999995</v>
      </c>
      <c r="L22" s="12">
        <f>$E40</f>
        <v>0.98195449999999995</v>
      </c>
      <c r="M22" s="12">
        <f>$E41</f>
        <v>0.98195449999999995</v>
      </c>
      <c r="N22" s="12">
        <f>$E42</f>
        <v>0</v>
      </c>
      <c r="O22" s="12">
        <f>$E43</f>
        <v>0</v>
      </c>
      <c r="P22" s="12">
        <f>$E44</f>
        <v>0</v>
      </c>
      <c r="Q22" s="12">
        <f>$E45</f>
        <v>0.98195449999999995</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-281.01804550000003</v>
      </c>
      <c r="D23" s="12">
        <f t="shared" ref="D23:V23" si="3">D22-D21</f>
        <v>-282</v>
      </c>
      <c r="E23" s="12">
        <f t="shared" si="3"/>
        <v>-281.01804550000003</v>
      </c>
      <c r="F23" s="12">
        <f t="shared" si="3"/>
        <v>-281.01804550000003</v>
      </c>
      <c r="G23" s="12">
        <f t="shared" si="3"/>
        <v>-282</v>
      </c>
      <c r="H23" s="12">
        <f t="shared" si="3"/>
        <v>-282</v>
      </c>
      <c r="I23" s="12">
        <f t="shared" si="3"/>
        <v>-281.01804550000003</v>
      </c>
      <c r="J23" s="12">
        <f t="shared" si="3"/>
        <v>-281.01804550000003</v>
      </c>
      <c r="K23" s="12">
        <f t="shared" si="3"/>
        <v>-281.01804550000003</v>
      </c>
      <c r="L23" s="12">
        <f t="shared" si="3"/>
        <v>-281.01804550000003</v>
      </c>
      <c r="M23" s="12">
        <f t="shared" si="3"/>
        <v>-281.01804550000003</v>
      </c>
      <c r="N23" s="12">
        <f t="shared" si="3"/>
        <v>-282</v>
      </c>
      <c r="O23" s="12">
        <f t="shared" si="3"/>
        <v>-282</v>
      </c>
      <c r="P23" s="12">
        <f t="shared" si="3"/>
        <v>-282</v>
      </c>
      <c r="Q23" s="12">
        <f t="shared" si="3"/>
        <v>-281.01804550000003</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str">
        <f t="shared" si="4"/>
        <v>DECREASE</v>
      </c>
      <c r="Q24" s="18" t="str">
        <f t="shared" si="4"/>
        <v>DECREASE</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2.81</v>
      </c>
      <c r="C28" s="11">
        <v>1.05</v>
      </c>
      <c r="D28" s="11">
        <v>6.6900000000000001E-2</v>
      </c>
      <c r="E28" s="11">
        <v>1.1599999999999999E-2</v>
      </c>
      <c r="F28" s="11">
        <v>356</v>
      </c>
      <c r="G28" s="11">
        <v>33.700000000000003</v>
      </c>
      <c r="H28" s="11">
        <v>47.4</v>
      </c>
      <c r="I28" s="11">
        <v>4.6399999999999997</v>
      </c>
      <c r="J28" s="11">
        <v>0.4</v>
      </c>
      <c r="K28" s="15">
        <v>1.43</v>
      </c>
      <c r="L28" s="11">
        <v>5.0999999999999996</v>
      </c>
      <c r="M28" s="11">
        <v>2.4300000000000002</v>
      </c>
      <c r="N28" s="11">
        <v>191000</v>
      </c>
      <c r="O28" s="11">
        <v>7780</v>
      </c>
      <c r="P28" s="11"/>
      <c r="Q28" s="11">
        <v>8360</v>
      </c>
      <c r="R28" s="11"/>
      <c r="S28" s="11">
        <v>70</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4-B</v>
      </c>
      <c r="B31" s="11">
        <v>250</v>
      </c>
      <c r="C31" s="65">
        <f>IF(C$27="%w/w SAR",((C$28*10)*$B31),IF(C$27="%w/w DM",(((C$28*10)*($B$28/100))*$B31),IF(C$27="kg/t SAR",(C$28*$B31),IF(C$27="kg/t DM",((C$28*($B$28/100))*$B31),IF(C$27="mg/kg SAR",((C$28*0.001)*$B31),IF(C$27="mg/kg DM",(((C$28*0.001)*($B$28/100))*$B31),0))))))</f>
        <v>73.762499999999989</v>
      </c>
      <c r="D31" s="65">
        <f>(IF(D$27="%w/w SAR",((D$28*10)*$B31),IF(D$27="%w/w DM",(((D$28*10)*($B$28/100))*$B31),IF(D$27="kg/t SAR",(D$28*$B31),IF(D$27="kg/t DM",((D$28*($B$28/100))*$B31),IF(D$27="mg/kg SAR",((D$28*0.001)*$B31),IF(D$27="mg/kg DM",(((D$28*0.001)*($B$28/100))*$B31),"0")))))))*2.291</f>
        <v>10.767069975</v>
      </c>
      <c r="E31" s="65">
        <f>(IF(E$27="%w/w SAR",((E$28*10)*$B31),IF(E$27="%w/w DM",(((E$28*10)*($B$28/100))*$B31),IF(E$27="kg/t SAR",(E$28*$B31),IF(E$27="kg/t DM",((E$28*($B$28/100))*$B31),IF(E$27="mg/kg SAR",((E$28*0.001)*$B31),IF(E$27="mg/kg DM",(((E$28*0.001)*($B$28/100))*$B31),"0")))))))*1.205</f>
        <v>0.98195449999999995</v>
      </c>
      <c r="F31" s="65">
        <f>(IF(F$27="%w/w SAR",((F$28*10)*$B31),IF(F$27="%w/w DM",(((F$28*10)*($B$28/100))*$B31),IF(F$27="kg/t SAR",(F$28*$B31),IF(F$27="kg/t DM",((F$28*($B$28/100))*$B31),IF(F$27="mg/kg SAR",((F$28*0.001)*$B31),IF(F$27="mg/kg DM",(((F$28*0.001)*($B$28/100))*$B31),"0")))))))*1.658</f>
        <v>4.1464922</v>
      </c>
      <c r="G31" s="65">
        <f t="shared" ref="G31:P46" si="5">IF(G$27="%w/w SAR",((G$28*10)*$B31),IF(G$27="%w/w DM",(((G$28*10)*($B$28/100))*$B31),IF(G$27="kg/t SAR",(G$28*$B31),IF(G$27="kg/t DM",((G$28*($B$28/100))*$B31),IF(G$27="mg/kg SAR",((G$28*0.001)*$B31),IF(G$27="mg/kg DM",(((G$28*0.001)*($B$28/100))*$B31),0))))))</f>
        <v>0.23674249999999999</v>
      </c>
      <c r="H31" s="65">
        <f t="shared" si="5"/>
        <v>0.33298499999999998</v>
      </c>
      <c r="I31" s="65">
        <f t="shared" si="5"/>
        <v>3.2596E-2</v>
      </c>
      <c r="J31" s="65">
        <f t="shared" si="5"/>
        <v>2.81E-3</v>
      </c>
      <c r="K31" s="65">
        <f t="shared" si="5"/>
        <v>1.0045750000000001E-2</v>
      </c>
      <c r="L31" s="65">
        <f t="shared" si="5"/>
        <v>3.5827499999999998E-2</v>
      </c>
      <c r="M31" s="65">
        <f t="shared" si="5"/>
        <v>1.7070750000000003E-2</v>
      </c>
      <c r="N31" s="65">
        <f t="shared" si="5"/>
        <v>1341.7749999999999</v>
      </c>
      <c r="O31" s="65">
        <f t="shared" si="5"/>
        <v>54.654499999999999</v>
      </c>
      <c r="P31" s="65">
        <f t="shared" si="5"/>
        <v>0</v>
      </c>
      <c r="Q31" s="65">
        <f>(IF(Q$27="%w/w SAR",((Q$28*10)*$B31),IF(Q$27="%w/w DM",(((Q$28*10)*($B$28/100))*$B31),IF(Q$27="kg/t SAR",(Q$28*$B31),IF(Q$27="kg/t DM",((Q$28*($B$28/100))*$B31),IF(Q$27="mg/kg SAR",((Q$28*0.001)*$B31),IF(Q$27="mg/kg DM",(((Q$28*0.001)*($B$28/100))*$B31),0)))))))*2.5</f>
        <v>146.82249999999999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0.49175000000000002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5-B</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x14ac:dyDescent="0.25">
      <c r="A33" s="125" t="str">
        <f>E8</f>
        <v>6-B</v>
      </c>
      <c r="B33" s="11">
        <v>250</v>
      </c>
      <c r="C33" s="65">
        <f t="shared" si="6"/>
        <v>73.762499999999989</v>
      </c>
      <c r="D33" s="65">
        <f t="shared" si="7"/>
        <v>10.767069975</v>
      </c>
      <c r="E33" s="65">
        <f t="shared" si="8"/>
        <v>0.98195449999999995</v>
      </c>
      <c r="F33" s="65">
        <f t="shared" si="9"/>
        <v>4.1464922</v>
      </c>
      <c r="G33" s="65">
        <f t="shared" si="5"/>
        <v>0.23674249999999999</v>
      </c>
      <c r="H33" s="65">
        <f t="shared" si="5"/>
        <v>0.33298499999999998</v>
      </c>
      <c r="I33" s="65">
        <f t="shared" si="5"/>
        <v>3.2596E-2</v>
      </c>
      <c r="J33" s="65">
        <f t="shared" si="5"/>
        <v>2.81E-3</v>
      </c>
      <c r="K33" s="65">
        <f t="shared" si="5"/>
        <v>1.0045750000000001E-2</v>
      </c>
      <c r="L33" s="65">
        <f t="shared" si="5"/>
        <v>3.5827499999999998E-2</v>
      </c>
      <c r="M33" s="65">
        <f t="shared" si="5"/>
        <v>1.7070750000000003E-2</v>
      </c>
      <c r="N33" s="65">
        <f t="shared" si="5"/>
        <v>1341.7749999999999</v>
      </c>
      <c r="O33" s="65">
        <f t="shared" si="5"/>
        <v>54.654499999999999</v>
      </c>
      <c r="P33" s="65">
        <f t="shared" si="5"/>
        <v>0</v>
      </c>
      <c r="Q33" s="65">
        <f t="shared" si="10"/>
        <v>146.82249999999999</v>
      </c>
      <c r="R33" s="65">
        <f t="shared" si="11"/>
        <v>0</v>
      </c>
      <c r="S33" s="65">
        <f t="shared" si="11"/>
        <v>0.49175000000000002</v>
      </c>
      <c r="T33" s="65">
        <f t="shared" si="11"/>
        <v>0</v>
      </c>
      <c r="U33" s="126">
        <f t="shared" si="11"/>
        <v>0</v>
      </c>
    </row>
    <row r="34" spans="1:21" s="48" customFormat="1" x14ac:dyDescent="0.25">
      <c r="A34" s="125" t="str">
        <f>F8</f>
        <v>7-B</v>
      </c>
      <c r="B34" s="11">
        <v>250</v>
      </c>
      <c r="C34" s="65">
        <f t="shared" si="6"/>
        <v>73.762499999999989</v>
      </c>
      <c r="D34" s="65">
        <f t="shared" si="7"/>
        <v>10.767069975</v>
      </c>
      <c r="E34" s="65">
        <f t="shared" si="8"/>
        <v>0.98195449999999995</v>
      </c>
      <c r="F34" s="65">
        <f t="shared" si="9"/>
        <v>4.1464922</v>
      </c>
      <c r="G34" s="65">
        <f t="shared" si="5"/>
        <v>0.23674249999999999</v>
      </c>
      <c r="H34" s="65">
        <f t="shared" si="5"/>
        <v>0.33298499999999998</v>
      </c>
      <c r="I34" s="65">
        <f t="shared" si="5"/>
        <v>3.2596E-2</v>
      </c>
      <c r="J34" s="65">
        <f t="shared" si="5"/>
        <v>2.81E-3</v>
      </c>
      <c r="K34" s="65">
        <f t="shared" si="5"/>
        <v>1.0045750000000001E-2</v>
      </c>
      <c r="L34" s="65">
        <f t="shared" si="5"/>
        <v>3.5827499999999998E-2</v>
      </c>
      <c r="M34" s="65">
        <f t="shared" si="5"/>
        <v>1.7070750000000003E-2</v>
      </c>
      <c r="N34" s="65">
        <f t="shared" si="5"/>
        <v>1341.7749999999999</v>
      </c>
      <c r="O34" s="65">
        <f t="shared" si="5"/>
        <v>54.654499999999999</v>
      </c>
      <c r="P34" s="65">
        <f t="shared" si="5"/>
        <v>0</v>
      </c>
      <c r="Q34" s="65">
        <f t="shared" si="10"/>
        <v>146.82249999999999</v>
      </c>
      <c r="R34" s="65">
        <f t="shared" si="11"/>
        <v>0</v>
      </c>
      <c r="S34" s="65">
        <f t="shared" si="11"/>
        <v>0.49175000000000002</v>
      </c>
      <c r="T34" s="65">
        <f t="shared" si="11"/>
        <v>0</v>
      </c>
      <c r="U34" s="126">
        <f t="shared" si="11"/>
        <v>0</v>
      </c>
    </row>
    <row r="35" spans="1:21" s="48" customFormat="1" x14ac:dyDescent="0.25">
      <c r="A35" s="125" t="str">
        <f>G8</f>
        <v>8-B</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x14ac:dyDescent="0.25">
      <c r="A36" s="125" t="str">
        <f>H8</f>
        <v>9-B</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x14ac:dyDescent="0.25">
      <c r="A37" s="125" t="str">
        <f>I8</f>
        <v>8222-B</v>
      </c>
      <c r="B37" s="11">
        <v>250</v>
      </c>
      <c r="C37" s="65">
        <f t="shared" si="6"/>
        <v>73.762499999999989</v>
      </c>
      <c r="D37" s="65">
        <f t="shared" si="7"/>
        <v>10.767069975</v>
      </c>
      <c r="E37" s="65">
        <f t="shared" si="8"/>
        <v>0.98195449999999995</v>
      </c>
      <c r="F37" s="65">
        <f t="shared" si="9"/>
        <v>4.1464922</v>
      </c>
      <c r="G37" s="65">
        <f t="shared" si="5"/>
        <v>0.23674249999999999</v>
      </c>
      <c r="H37" s="65">
        <f t="shared" si="5"/>
        <v>0.33298499999999998</v>
      </c>
      <c r="I37" s="65">
        <f t="shared" si="5"/>
        <v>3.2596E-2</v>
      </c>
      <c r="J37" s="65">
        <f t="shared" si="5"/>
        <v>2.81E-3</v>
      </c>
      <c r="K37" s="65">
        <f t="shared" si="5"/>
        <v>1.0045750000000001E-2</v>
      </c>
      <c r="L37" s="65">
        <f t="shared" si="5"/>
        <v>3.5827499999999998E-2</v>
      </c>
      <c r="M37" s="65">
        <f t="shared" si="5"/>
        <v>1.7070750000000003E-2</v>
      </c>
      <c r="N37" s="65">
        <f t="shared" si="5"/>
        <v>1341.7749999999999</v>
      </c>
      <c r="O37" s="65">
        <f t="shared" si="5"/>
        <v>54.654499999999999</v>
      </c>
      <c r="P37" s="65">
        <f t="shared" si="5"/>
        <v>0</v>
      </c>
      <c r="Q37" s="65">
        <f t="shared" si="10"/>
        <v>146.82249999999999</v>
      </c>
      <c r="R37" s="65">
        <f t="shared" si="11"/>
        <v>0</v>
      </c>
      <c r="S37" s="65">
        <f t="shared" si="11"/>
        <v>0.49175000000000002</v>
      </c>
      <c r="T37" s="65">
        <f t="shared" si="11"/>
        <v>0</v>
      </c>
      <c r="U37" s="126">
        <f t="shared" si="11"/>
        <v>0</v>
      </c>
    </row>
    <row r="38" spans="1:21" s="48" customFormat="1" x14ac:dyDescent="0.25">
      <c r="A38" s="125" t="str">
        <f>J8</f>
        <v>7233-B</v>
      </c>
      <c r="B38" s="11">
        <v>250</v>
      </c>
      <c r="C38" s="65">
        <f t="shared" si="6"/>
        <v>73.762499999999989</v>
      </c>
      <c r="D38" s="65">
        <f t="shared" si="7"/>
        <v>10.767069975</v>
      </c>
      <c r="E38" s="65">
        <f t="shared" si="8"/>
        <v>0.98195449999999995</v>
      </c>
      <c r="F38" s="65">
        <f t="shared" si="9"/>
        <v>4.1464922</v>
      </c>
      <c r="G38" s="65">
        <f t="shared" si="5"/>
        <v>0.23674249999999999</v>
      </c>
      <c r="H38" s="65">
        <f t="shared" si="5"/>
        <v>0.33298499999999998</v>
      </c>
      <c r="I38" s="65">
        <f t="shared" si="5"/>
        <v>3.2596E-2</v>
      </c>
      <c r="J38" s="65">
        <f t="shared" si="5"/>
        <v>2.81E-3</v>
      </c>
      <c r="K38" s="65">
        <f t="shared" si="5"/>
        <v>1.0045750000000001E-2</v>
      </c>
      <c r="L38" s="65">
        <f t="shared" si="5"/>
        <v>3.5827499999999998E-2</v>
      </c>
      <c r="M38" s="65">
        <f t="shared" si="5"/>
        <v>1.7070750000000003E-2</v>
      </c>
      <c r="N38" s="65">
        <f t="shared" si="5"/>
        <v>1341.7749999999999</v>
      </c>
      <c r="O38" s="65">
        <f t="shared" si="5"/>
        <v>54.654499999999999</v>
      </c>
      <c r="P38" s="65">
        <f t="shared" si="5"/>
        <v>0</v>
      </c>
      <c r="Q38" s="65">
        <f t="shared" si="10"/>
        <v>146.82249999999999</v>
      </c>
      <c r="R38" s="65">
        <f t="shared" si="11"/>
        <v>0</v>
      </c>
      <c r="S38" s="65">
        <f t="shared" si="11"/>
        <v>0.49175000000000002</v>
      </c>
      <c r="T38" s="65">
        <f t="shared" si="11"/>
        <v>0</v>
      </c>
      <c r="U38" s="126">
        <f t="shared" si="11"/>
        <v>0</v>
      </c>
    </row>
    <row r="39" spans="1:21" s="48" customFormat="1" x14ac:dyDescent="0.25">
      <c r="A39" s="125" t="str">
        <f>K8</f>
        <v>5641-B</v>
      </c>
      <c r="B39" s="11">
        <v>250</v>
      </c>
      <c r="C39" s="65">
        <f t="shared" si="6"/>
        <v>73.762499999999989</v>
      </c>
      <c r="D39" s="65">
        <f t="shared" si="7"/>
        <v>10.767069975</v>
      </c>
      <c r="E39" s="65">
        <f t="shared" si="8"/>
        <v>0.98195449999999995</v>
      </c>
      <c r="F39" s="65">
        <f t="shared" si="9"/>
        <v>4.1464922</v>
      </c>
      <c r="G39" s="65">
        <f t="shared" si="5"/>
        <v>0.23674249999999999</v>
      </c>
      <c r="H39" s="65">
        <f t="shared" si="5"/>
        <v>0.33298499999999998</v>
      </c>
      <c r="I39" s="65">
        <f t="shared" si="5"/>
        <v>3.2596E-2</v>
      </c>
      <c r="J39" s="65">
        <f t="shared" si="5"/>
        <v>2.81E-3</v>
      </c>
      <c r="K39" s="65">
        <f t="shared" si="5"/>
        <v>1.0045750000000001E-2</v>
      </c>
      <c r="L39" s="65">
        <f t="shared" si="5"/>
        <v>3.5827499999999998E-2</v>
      </c>
      <c r="M39" s="65">
        <f t="shared" si="5"/>
        <v>1.7070750000000003E-2</v>
      </c>
      <c r="N39" s="65">
        <f t="shared" si="5"/>
        <v>1341.7749999999999</v>
      </c>
      <c r="O39" s="65">
        <f t="shared" si="5"/>
        <v>54.654499999999999</v>
      </c>
      <c r="P39" s="65">
        <f t="shared" si="5"/>
        <v>0</v>
      </c>
      <c r="Q39" s="65">
        <f t="shared" si="10"/>
        <v>146.82249999999999</v>
      </c>
      <c r="R39" s="65">
        <f t="shared" si="11"/>
        <v>0</v>
      </c>
      <c r="S39" s="65">
        <f t="shared" si="11"/>
        <v>0.49175000000000002</v>
      </c>
      <c r="T39" s="65">
        <f t="shared" si="11"/>
        <v>0</v>
      </c>
      <c r="U39" s="126">
        <f t="shared" si="11"/>
        <v>0</v>
      </c>
    </row>
    <row r="40" spans="1:21" s="48" customFormat="1" x14ac:dyDescent="0.25">
      <c r="A40" s="125" t="str">
        <f>L8</f>
        <v>4956-B</v>
      </c>
      <c r="B40" s="11">
        <v>250</v>
      </c>
      <c r="C40" s="65">
        <f t="shared" si="6"/>
        <v>73.762499999999989</v>
      </c>
      <c r="D40" s="65">
        <f t="shared" si="7"/>
        <v>10.767069975</v>
      </c>
      <c r="E40" s="65">
        <f t="shared" si="8"/>
        <v>0.98195449999999995</v>
      </c>
      <c r="F40" s="65">
        <f t="shared" si="9"/>
        <v>4.1464922</v>
      </c>
      <c r="G40" s="65">
        <f t="shared" si="5"/>
        <v>0.23674249999999999</v>
      </c>
      <c r="H40" s="65">
        <f t="shared" si="5"/>
        <v>0.33298499999999998</v>
      </c>
      <c r="I40" s="65">
        <f t="shared" si="5"/>
        <v>3.2596E-2</v>
      </c>
      <c r="J40" s="65">
        <f t="shared" si="5"/>
        <v>2.81E-3</v>
      </c>
      <c r="K40" s="65">
        <f t="shared" si="5"/>
        <v>1.0045750000000001E-2</v>
      </c>
      <c r="L40" s="65">
        <f t="shared" si="5"/>
        <v>3.5827499999999998E-2</v>
      </c>
      <c r="M40" s="65">
        <f t="shared" si="5"/>
        <v>1.7070750000000003E-2</v>
      </c>
      <c r="N40" s="65">
        <f t="shared" si="5"/>
        <v>1341.7749999999999</v>
      </c>
      <c r="O40" s="65">
        <f t="shared" si="5"/>
        <v>54.654499999999999</v>
      </c>
      <c r="P40" s="65">
        <f t="shared" si="5"/>
        <v>0</v>
      </c>
      <c r="Q40" s="65">
        <f t="shared" si="10"/>
        <v>146.82249999999999</v>
      </c>
      <c r="R40" s="65">
        <f t="shared" si="11"/>
        <v>0</v>
      </c>
      <c r="S40" s="65">
        <f t="shared" si="11"/>
        <v>0.49175000000000002</v>
      </c>
      <c r="T40" s="65">
        <f t="shared" si="11"/>
        <v>0</v>
      </c>
      <c r="U40" s="126">
        <f t="shared" si="11"/>
        <v>0</v>
      </c>
    </row>
    <row r="41" spans="1:21" s="48" customFormat="1" x14ac:dyDescent="0.25">
      <c r="A41" s="125" t="str">
        <f>M8</f>
        <v>HAFOD B/FRON 2849</v>
      </c>
      <c r="B41" s="11">
        <v>250</v>
      </c>
      <c r="C41" s="65">
        <f t="shared" si="6"/>
        <v>73.762499999999989</v>
      </c>
      <c r="D41" s="65">
        <f t="shared" si="7"/>
        <v>10.767069975</v>
      </c>
      <c r="E41" s="65">
        <f t="shared" si="8"/>
        <v>0.98195449999999995</v>
      </c>
      <c r="F41" s="65">
        <f t="shared" si="9"/>
        <v>4.1464922</v>
      </c>
      <c r="G41" s="65">
        <f t="shared" si="5"/>
        <v>0.23674249999999999</v>
      </c>
      <c r="H41" s="65">
        <f t="shared" si="5"/>
        <v>0.33298499999999998</v>
      </c>
      <c r="I41" s="65">
        <f t="shared" si="5"/>
        <v>3.2596E-2</v>
      </c>
      <c r="J41" s="65">
        <f t="shared" si="5"/>
        <v>2.81E-3</v>
      </c>
      <c r="K41" s="65">
        <f t="shared" si="5"/>
        <v>1.0045750000000001E-2</v>
      </c>
      <c r="L41" s="65">
        <f t="shared" si="5"/>
        <v>3.5827499999999998E-2</v>
      </c>
      <c r="M41" s="65">
        <f t="shared" si="5"/>
        <v>1.7070750000000003E-2</v>
      </c>
      <c r="N41" s="65">
        <f t="shared" si="5"/>
        <v>1341.7749999999999</v>
      </c>
      <c r="O41" s="65">
        <f t="shared" si="5"/>
        <v>54.654499999999999</v>
      </c>
      <c r="P41" s="65">
        <f t="shared" si="5"/>
        <v>0</v>
      </c>
      <c r="Q41" s="65">
        <f t="shared" si="10"/>
        <v>146.82249999999999</v>
      </c>
      <c r="R41" s="65">
        <f t="shared" si="11"/>
        <v>0</v>
      </c>
      <c r="S41" s="65">
        <f t="shared" si="11"/>
        <v>0.49175000000000002</v>
      </c>
      <c r="T41" s="65">
        <f t="shared" si="11"/>
        <v>0</v>
      </c>
      <c r="U41" s="126">
        <f t="shared" si="11"/>
        <v>0</v>
      </c>
    </row>
    <row r="42" spans="1:21" s="48" customFormat="1" x14ac:dyDescent="0.25">
      <c r="A42" s="125" t="str">
        <f>N8</f>
        <v>HAFOD B/FRON 3836</v>
      </c>
      <c r="B42" s="11">
        <v>0</v>
      </c>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x14ac:dyDescent="0.25">
      <c r="A43" s="125" t="str">
        <f>O8</f>
        <v>BOLAFRON 4718</v>
      </c>
      <c r="B43" s="11">
        <v>0</v>
      </c>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x14ac:dyDescent="0.25">
      <c r="A44" s="125" t="str">
        <f>P8</f>
        <v>BOLAFRON 3107</v>
      </c>
      <c r="B44" s="11">
        <v>0</v>
      </c>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t="str">
        <f>Q8</f>
        <v>BOLAFRON 6609</v>
      </c>
      <c r="B45" s="11">
        <v>250</v>
      </c>
      <c r="C45" s="65">
        <f t="shared" si="6"/>
        <v>73.762499999999989</v>
      </c>
      <c r="D45" s="65">
        <f t="shared" si="7"/>
        <v>10.767069975</v>
      </c>
      <c r="E45" s="65">
        <f t="shared" si="8"/>
        <v>0.98195449999999995</v>
      </c>
      <c r="F45" s="65">
        <f t="shared" si="9"/>
        <v>4.1464922</v>
      </c>
      <c r="G45" s="65">
        <f t="shared" si="5"/>
        <v>0.23674249999999999</v>
      </c>
      <c r="H45" s="65">
        <f t="shared" si="5"/>
        <v>0.33298499999999998</v>
      </c>
      <c r="I45" s="65">
        <f t="shared" si="5"/>
        <v>3.2596E-2</v>
      </c>
      <c r="J45" s="65">
        <f t="shared" si="5"/>
        <v>2.81E-3</v>
      </c>
      <c r="K45" s="65">
        <f t="shared" si="5"/>
        <v>1.0045750000000001E-2</v>
      </c>
      <c r="L45" s="65">
        <f t="shared" si="5"/>
        <v>3.5827499999999998E-2</v>
      </c>
      <c r="M45" s="65">
        <f t="shared" si="5"/>
        <v>1.7070750000000003E-2</v>
      </c>
      <c r="N45" s="65">
        <f t="shared" si="5"/>
        <v>1341.7749999999999</v>
      </c>
      <c r="O45" s="65">
        <f t="shared" si="5"/>
        <v>54.654499999999999</v>
      </c>
      <c r="P45" s="65">
        <f t="shared" si="5"/>
        <v>0</v>
      </c>
      <c r="Q45" s="65">
        <f t="shared" si="10"/>
        <v>146.82249999999999</v>
      </c>
      <c r="R45" s="65">
        <f t="shared" si="11"/>
        <v>0</v>
      </c>
      <c r="S45" s="65">
        <f t="shared" si="11"/>
        <v>0.49175000000000002</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4-B</v>
      </c>
      <c r="C57" s="8" t="str">
        <f t="shared" ref="C57:U57" si="13">D8</f>
        <v>5-B</v>
      </c>
      <c r="D57" s="8" t="str">
        <f t="shared" si="13"/>
        <v>6-B</v>
      </c>
      <c r="E57" s="8" t="str">
        <f t="shared" si="13"/>
        <v>7-B</v>
      </c>
      <c r="F57" s="8" t="str">
        <f t="shared" si="13"/>
        <v>8-B</v>
      </c>
      <c r="G57" s="8" t="str">
        <f t="shared" si="13"/>
        <v>9-B</v>
      </c>
      <c r="H57" s="8" t="str">
        <f t="shared" si="13"/>
        <v>8222-B</v>
      </c>
      <c r="I57" s="8" t="str">
        <f t="shared" si="13"/>
        <v>7233-B</v>
      </c>
      <c r="J57" s="8" t="str">
        <f t="shared" si="13"/>
        <v>5641-B</v>
      </c>
      <c r="K57" s="8" t="str">
        <f t="shared" si="13"/>
        <v>4956-B</v>
      </c>
      <c r="L57" s="8" t="str">
        <f t="shared" si="13"/>
        <v>HAFOD B/FRON 2849</v>
      </c>
      <c r="M57" s="8" t="str">
        <f t="shared" si="13"/>
        <v>HAFOD B/FRON 3836</v>
      </c>
      <c r="N57" s="8" t="str">
        <f t="shared" si="13"/>
        <v>BOLAFRON 4718</v>
      </c>
      <c r="O57" s="8" t="str">
        <f t="shared" si="13"/>
        <v>BOLAFRON 3107</v>
      </c>
      <c r="P57" s="8" t="str">
        <f t="shared" si="13"/>
        <v>BOLAFRON 6609</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 I Grass</v>
      </c>
      <c r="C58" s="10" t="str">
        <f>D16&amp;" I "&amp;(VLOOKUP(D14,Table2456[],6,FALSE))</f>
        <v>Medium I Grass</v>
      </c>
      <c r="D58" s="10" t="str">
        <f>E16&amp;" I "&amp;(VLOOKUP(E14,Table2456[],6,FALSE))</f>
        <v>Medium I Grass</v>
      </c>
      <c r="E58" s="10" t="str">
        <f>F16&amp;" I "&amp;(VLOOKUP(F14,Table2456[],6,FALSE))</f>
        <v>Medium I Grass</v>
      </c>
      <c r="F58" s="10" t="str">
        <f>G16&amp;" I "&amp;(VLOOKUP(G14,Table2456[],6,FALSE))</f>
        <v>Medium I Grass</v>
      </c>
      <c r="G58" s="10" t="str">
        <f>H16&amp;" I "&amp;(VLOOKUP(H14,Table2456[],6,FALSE))</f>
        <v>Medium I Grass</v>
      </c>
      <c r="H58" s="10" t="str">
        <f>I16&amp;" I "&amp;(VLOOKUP(I14,Table2456[],6,FALSE))</f>
        <v>Medium I Grass</v>
      </c>
      <c r="I58" s="10" t="str">
        <f>J16&amp;" I "&amp;(VLOOKUP(J14,Table2456[],6,FALSE))</f>
        <v>Medium I Grass</v>
      </c>
      <c r="J58" s="10" t="str">
        <f>K16&amp;" I "&amp;(VLOOKUP(K14,Table2456[],6,FALSE))</f>
        <v>Medium I Grass</v>
      </c>
      <c r="K58" s="10" t="str">
        <f>L16&amp;" I "&amp;(VLOOKUP(L14,Table2456[],6,FALSE))</f>
        <v>Medium I Grass</v>
      </c>
      <c r="L58" s="10" t="str">
        <f>M16&amp;" I "&amp;(VLOOKUP(M14,Table2456[],6,FALSE))</f>
        <v>Medium I Grass</v>
      </c>
      <c r="M58" s="10" t="str">
        <f>N16&amp;" I "&amp;(VLOOKUP(N14,Table2456[],6,FALSE))</f>
        <v>Medium I Grass</v>
      </c>
      <c r="N58" s="10" t="str">
        <f>O16&amp;" I "&amp;(VLOOKUP(O14,Table2456[],6,FALSE))</f>
        <v>Medium I Grass</v>
      </c>
      <c r="O58" s="10" t="str">
        <f>P16&amp;" I "&amp;(VLOOKUP(P14,Table2456[],6,FALSE))</f>
        <v>Medium I Grass</v>
      </c>
      <c r="P58" s="10" t="str">
        <f>Q16&amp;" I "&amp;(VLOOKUP(Q14,Table2456[],6,FALSE))</f>
        <v>Medium I Grass</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f>VLOOKUP(P$14,Table2456[],5,FALSE)</f>
        <v>6.2</v>
      </c>
      <c r="P59" s="64">
        <f>VLOOKUP(Q$14,Table2456[],5,FALSE)</f>
        <v>6.2</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6</v>
      </c>
      <c r="C60" s="64">
        <f t="shared" ref="C60:U60" si="14">D10</f>
        <v>5.8</v>
      </c>
      <c r="D60" s="64">
        <f t="shared" si="14"/>
        <v>6.1</v>
      </c>
      <c r="E60" s="64">
        <f t="shared" si="14"/>
        <v>6.1</v>
      </c>
      <c r="F60" s="64">
        <f t="shared" si="14"/>
        <v>5.8</v>
      </c>
      <c r="G60" s="64">
        <f t="shared" si="14"/>
        <v>5.9</v>
      </c>
      <c r="H60" s="64">
        <f t="shared" si="14"/>
        <v>6</v>
      </c>
      <c r="I60" s="64">
        <f t="shared" si="14"/>
        <v>6.3</v>
      </c>
      <c r="J60" s="64">
        <f t="shared" si="14"/>
        <v>6.3</v>
      </c>
      <c r="K60" s="64">
        <f t="shared" si="14"/>
        <v>6</v>
      </c>
      <c r="L60" s="64">
        <f t="shared" si="14"/>
        <v>6.1</v>
      </c>
      <c r="M60" s="64">
        <f t="shared" si="14"/>
        <v>5.6</v>
      </c>
      <c r="N60" s="64">
        <f t="shared" si="14"/>
        <v>5.9</v>
      </c>
      <c r="O60" s="64">
        <f t="shared" si="14"/>
        <v>5.9</v>
      </c>
      <c r="P60" s="64">
        <f t="shared" si="14"/>
        <v>6.1</v>
      </c>
      <c r="Q60" s="64">
        <f t="shared" si="14"/>
        <v>0</v>
      </c>
      <c r="R60" s="64">
        <f t="shared" si="14"/>
        <v>0</v>
      </c>
      <c r="S60" s="64">
        <f t="shared" si="14"/>
        <v>0</v>
      </c>
      <c r="T60" s="64">
        <f t="shared" si="14"/>
        <v>0</v>
      </c>
      <c r="U60" s="64">
        <f t="shared" si="14"/>
        <v>0</v>
      </c>
    </row>
    <row r="61" spans="1:21" x14ac:dyDescent="0.2">
      <c r="A61" s="87" t="s">
        <v>133</v>
      </c>
      <c r="B61" s="64" t="e">
        <f t="shared" ref="B61:U61" si="15">VLOOKUP(B58,$AD9:$AE18,2,FALSE)</f>
        <v>#N/A</v>
      </c>
      <c r="C61" s="64" t="e">
        <f t="shared" si="15"/>
        <v>#N/A</v>
      </c>
      <c r="D61" s="64" t="e">
        <f t="shared" si="15"/>
        <v>#N/A</v>
      </c>
      <c r="E61" s="64" t="e">
        <f t="shared" si="15"/>
        <v>#N/A</v>
      </c>
      <c r="F61" s="64" t="e">
        <f t="shared" si="15"/>
        <v>#N/A</v>
      </c>
      <c r="G61" s="64" t="e">
        <f t="shared" si="15"/>
        <v>#N/A</v>
      </c>
      <c r="H61" s="64" t="e">
        <f t="shared" si="15"/>
        <v>#N/A</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250</v>
      </c>
      <c r="C62" s="65">
        <f>B32</f>
        <v>0</v>
      </c>
      <c r="D62" s="65">
        <f>B33</f>
        <v>250</v>
      </c>
      <c r="E62" s="65">
        <f>B34</f>
        <v>250</v>
      </c>
      <c r="F62" s="65">
        <f>B35</f>
        <v>0</v>
      </c>
      <c r="G62" s="65">
        <f>B36</f>
        <v>0</v>
      </c>
      <c r="H62" s="65">
        <f>B37</f>
        <v>250</v>
      </c>
      <c r="I62" s="65">
        <f>B38</f>
        <v>250</v>
      </c>
      <c r="J62" s="65">
        <f>B39</f>
        <v>250</v>
      </c>
      <c r="K62" s="65">
        <f>B40</f>
        <v>250</v>
      </c>
      <c r="L62" s="65">
        <f>B41</f>
        <v>250</v>
      </c>
      <c r="M62" s="65">
        <f>B42</f>
        <v>0</v>
      </c>
      <c r="N62" s="65">
        <f>B43</f>
        <v>0</v>
      </c>
      <c r="O62" s="65">
        <f>B44</f>
        <v>0</v>
      </c>
      <c r="P62" s="65">
        <f>B45</f>
        <v>250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t="e">
        <f>(B59-B60)*B61</f>
        <v>#N/A</v>
      </c>
      <c r="C64" s="65" t="e">
        <f t="shared" ref="C64:U64" si="17">(C59-C60)*C61</f>
        <v>#N/A</v>
      </c>
      <c r="D64" s="65" t="e">
        <f t="shared" si="17"/>
        <v>#N/A</v>
      </c>
      <c r="E64" s="65" t="e">
        <f t="shared" si="17"/>
        <v>#N/A</v>
      </c>
      <c r="F64" s="65" t="e">
        <f t="shared" si="17"/>
        <v>#N/A</v>
      </c>
      <c r="G64" s="65" t="e">
        <f t="shared" si="17"/>
        <v>#N/A</v>
      </c>
      <c r="H64" s="65" t="e">
        <f t="shared" si="17"/>
        <v>#N/A</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t="e">
        <f>B63-B64</f>
        <v>#N/A</v>
      </c>
      <c r="C65" s="65" t="e">
        <f t="shared" ref="C65:U65" si="18">C63-C64</f>
        <v>#N/A</v>
      </c>
      <c r="D65" s="65" t="e">
        <f t="shared" si="18"/>
        <v>#N/A</v>
      </c>
      <c r="E65" s="65" t="e">
        <f t="shared" si="18"/>
        <v>#N/A</v>
      </c>
      <c r="F65" s="65" t="e">
        <f t="shared" si="18"/>
        <v>#N/A</v>
      </c>
      <c r="G65" s="65" t="e">
        <f t="shared" si="18"/>
        <v>#N/A</v>
      </c>
      <c r="H65" s="65" t="e">
        <f t="shared" si="18"/>
        <v>#N/A</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e">
        <f>IF(B64&lt;=B63,"OVER","UNDER")</f>
        <v>#N/A</v>
      </c>
      <c r="C66" s="66" t="e">
        <f t="shared" ref="C66:U66" si="19">IF(C64&lt;=C63,"OVER","UNDER")</f>
        <v>#N/A</v>
      </c>
      <c r="D66" s="66" t="e">
        <f t="shared" si="19"/>
        <v>#N/A</v>
      </c>
      <c r="E66" s="66" t="e">
        <f t="shared" si="19"/>
        <v>#N/A</v>
      </c>
      <c r="F66" s="66" t="e">
        <f t="shared" si="19"/>
        <v>#N/A</v>
      </c>
      <c r="G66" s="66" t="e">
        <f t="shared" si="19"/>
        <v>#N/A</v>
      </c>
      <c r="H66" s="66" t="e">
        <f t="shared" si="19"/>
        <v>#N/A</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'Volac Sensient'!B29</f>
        <v>Application Rate</v>
      </c>
      <c r="C1" s="29" t="str">
        <f>'Volac Sensient'!C29</f>
        <v>Nitrogen Addition</v>
      </c>
      <c r="D1" s="29" t="str">
        <f>'Volac Sensient'!D29</f>
        <v>Phosphate Addition</v>
      </c>
      <c r="E1" s="29" t="str">
        <f>'Volac Sensient'!E29</f>
        <v>Potash  Addition</v>
      </c>
      <c r="F1" s="29" t="str">
        <f>'Volac Sensient'!F29</f>
        <v>Mg Oxide Addition</v>
      </c>
      <c r="G1" s="29" t="str">
        <f>'Volac Sensient'!G29</f>
        <v>Copper Addition</v>
      </c>
      <c r="H1" s="29" t="str">
        <f>'Volac Sensient'!H29</f>
        <v>Zinc Addition</v>
      </c>
      <c r="I1" s="29" t="str">
        <f>'Volac Sensient'!I29</f>
        <v>Lead Addition</v>
      </c>
      <c r="J1" s="29" t="str">
        <f>'Volac Sensient'!J29</f>
        <v>Cadmium Addition</v>
      </c>
      <c r="K1" s="29" t="str">
        <f>'Volac Sensient'!K29</f>
        <v>Mercury Addition</v>
      </c>
      <c r="L1" s="29" t="str">
        <f>'Volac Sensient'!L29</f>
        <v>Nickel Addition</v>
      </c>
      <c r="M1" s="29" t="str">
        <f>'Volac Sensient'!M29</f>
        <v>Chromium Addition</v>
      </c>
      <c r="N1" s="29" t="str">
        <f>'Volac Sensient'!N29</f>
        <v>Aluminium Addition</v>
      </c>
      <c r="O1" s="29" t="str">
        <f>'Volac Sensient'!O29</f>
        <v>Iron Addition</v>
      </c>
      <c r="P1" s="29" t="str">
        <f>'Volac Sensient'!P29</f>
        <v xml:space="preserve">Sodium Addition                 </v>
      </c>
      <c r="Q1" s="29" t="str">
        <f>'Volac Sensient'!Q29</f>
        <v>SO3  Addition                             kg/ha</v>
      </c>
      <c r="R1" s="29" t="str">
        <f>'Volac Sensient'!R29</f>
        <v xml:space="preserve">Selenium Addition </v>
      </c>
      <c r="S1" s="29" t="str">
        <f>'Volac Sensient'!S29</f>
        <v xml:space="preserve">Arsenic  Addition  </v>
      </c>
      <c r="T1" s="29" t="str">
        <f>'Volac Sensient'!T29</f>
        <v xml:space="preserve">Molybdenum Addition  </v>
      </c>
      <c r="U1" s="29" t="str">
        <f>'Volac Sensient'!U29</f>
        <v xml:space="preserve">Fluoride Addition </v>
      </c>
    </row>
    <row r="2" spans="1:21" ht="25.5" x14ac:dyDescent="0.2">
      <c r="A2" s="174"/>
      <c r="B2" s="29" t="str">
        <f>'Volac Sensient'!B30</f>
        <v>tonnes/ha</v>
      </c>
      <c r="C2" s="29" t="str">
        <f>'Volac Sensient'!C30</f>
        <v>kg/ha</v>
      </c>
      <c r="D2" s="29" t="str">
        <f>'Volac Sensient'!D30</f>
        <v>P2O5 
kg/ha</v>
      </c>
      <c r="E2" s="29" t="str">
        <f>'Volac Sensient'!E30</f>
        <v>K2O 
kg/ha</v>
      </c>
      <c r="F2" s="29" t="str">
        <f>'Volac Sensient'!F30</f>
        <v>MgO 
kg/ha</v>
      </c>
      <c r="G2" s="29" t="str">
        <f>'Volac Sensient'!G30</f>
        <v>kg/ha</v>
      </c>
      <c r="H2" s="29" t="str">
        <f>'Volac Sensient'!H30</f>
        <v>kg/ha</v>
      </c>
      <c r="I2" s="29" t="str">
        <f>'Volac Sensient'!I30</f>
        <v>kg/ha</v>
      </c>
      <c r="J2" s="29" t="str">
        <f>'Volac Sensient'!J30</f>
        <v>kg/ha</v>
      </c>
      <c r="K2" s="29" t="str">
        <f>'Volac Sensient'!K30</f>
        <v>kg/ha</v>
      </c>
      <c r="L2" s="29" t="str">
        <f>'Volac Sensient'!L30</f>
        <v>kg/ha</v>
      </c>
      <c r="M2" s="29" t="str">
        <f>'Volac Sensient'!M30</f>
        <v>kg/ha</v>
      </c>
      <c r="N2" s="29" t="str">
        <f>'Volac Sensient'!N30</f>
        <v>kg/ha</v>
      </c>
      <c r="O2" s="29" t="str">
        <f>'Volac Sensient'!O30</f>
        <v>kg/ha</v>
      </c>
      <c r="P2" s="29" t="str">
        <f>'Volac Sensient'!P30</f>
        <v>kg/ha</v>
      </c>
      <c r="Q2" s="29" t="str">
        <f>'Volac Sensient'!Q30</f>
        <v>kg/ha</v>
      </c>
      <c r="R2" s="29" t="str">
        <f>'Volac Sensient'!R30</f>
        <v>kg/ha</v>
      </c>
      <c r="S2" s="29" t="str">
        <f>'Volac Sensient'!S30</f>
        <v>kg/ha</v>
      </c>
      <c r="T2" s="29" t="str">
        <f>'Volac Sensient'!T30</f>
        <v>kg/ha</v>
      </c>
      <c r="U2" s="29" t="str">
        <f>'Volac Sensient'!U30</f>
        <v>kg/ha</v>
      </c>
    </row>
    <row r="3" spans="1:21" x14ac:dyDescent="0.2">
      <c r="A3" s="27">
        <v>1</v>
      </c>
      <c r="B3" s="24">
        <f>'Volac Sensient'!B31</f>
        <v>81</v>
      </c>
      <c r="C3" s="24">
        <f>'Volac Sensient'!C31</f>
        <v>178.20000000000002</v>
      </c>
      <c r="D3" s="24">
        <f>'Volac Sensient'!D31</f>
        <v>79.981100999999995</v>
      </c>
      <c r="E3" s="24">
        <f>'Volac Sensient'!E31</f>
        <v>20.204235000000004</v>
      </c>
      <c r="F3" s="24">
        <f>'Volac Sensient'!F31</f>
        <v>3.7737738000000007</v>
      </c>
      <c r="G3" s="24">
        <f>'Volac Sensient'!G31</f>
        <v>1.6199999999999999E-2</v>
      </c>
      <c r="H3" s="24">
        <f>'Volac Sensient'!H31</f>
        <v>8.7480000000000002E-2</v>
      </c>
      <c r="I3" s="24">
        <f>'Volac Sensient'!I31</f>
        <v>4.0500000000000001E-2</v>
      </c>
      <c r="J3" s="24">
        <f>'Volac Sensient'!J31</f>
        <v>8.1000000000000006E-4</v>
      </c>
      <c r="K3" s="24">
        <f>'Volac Sensient'!K31</f>
        <v>4.0499999999999998E-3</v>
      </c>
      <c r="L3" s="24">
        <f>'Volac Sensient'!L31</f>
        <v>1.6199999999999999E-2</v>
      </c>
      <c r="M3" s="24">
        <f>'Volac Sensient'!M31</f>
        <v>1.6199999999999999E-2</v>
      </c>
      <c r="N3" s="24">
        <f>'Volac Sensient'!N31</f>
        <v>0</v>
      </c>
      <c r="O3" s="24">
        <f>'Volac Sensient'!O31</f>
        <v>0</v>
      </c>
      <c r="P3" s="24">
        <f>'Volac Sensient'!P31</f>
        <v>24.056999999999999</v>
      </c>
      <c r="Q3" s="24">
        <f>'Volac Sensient'!Q31</f>
        <v>18.326249999999998</v>
      </c>
      <c r="R3" s="24">
        <f>'Volac Sensient'!R31</f>
        <v>0</v>
      </c>
      <c r="S3" s="24">
        <f>'Volac Sensient'!S31</f>
        <v>0</v>
      </c>
      <c r="T3" s="24">
        <f>'Volac Sensient'!T31</f>
        <v>0</v>
      </c>
      <c r="U3" s="24">
        <f>'Volac Sensient'!U31</f>
        <v>0</v>
      </c>
    </row>
    <row r="4" spans="1:21" x14ac:dyDescent="0.2">
      <c r="A4" s="27">
        <v>2</v>
      </c>
      <c r="B4" s="24">
        <f>'First Milk'!B31</f>
        <v>83</v>
      </c>
      <c r="C4" s="24">
        <f>'First Milk'!C31</f>
        <v>157.69999999999999</v>
      </c>
      <c r="D4" s="24">
        <f>'First Milk'!D31</f>
        <v>79.483953999999983</v>
      </c>
      <c r="E4" s="24">
        <f>'First Milk'!E31</f>
        <v>19.302895000000003</v>
      </c>
      <c r="F4" s="24">
        <f>'First Milk'!F31</f>
        <v>3.5504411999999999</v>
      </c>
      <c r="G4" s="24">
        <f>'First Milk'!G31</f>
        <v>1.66E-2</v>
      </c>
      <c r="H4" s="24">
        <f>'First Milk'!H31</f>
        <v>0.1162</v>
      </c>
      <c r="I4" s="24">
        <f>'First Milk'!I31</f>
        <v>4.1500000000000002E-2</v>
      </c>
      <c r="J4" s="24">
        <f>'First Milk'!J31</f>
        <v>8.3000000000000012E-4</v>
      </c>
      <c r="K4" s="24">
        <f>'First Milk'!K31</f>
        <v>4.15E-3</v>
      </c>
      <c r="L4" s="24">
        <f>'First Milk'!L31</f>
        <v>1.66E-2</v>
      </c>
      <c r="M4" s="24">
        <f>'First Milk'!M31</f>
        <v>2.4070000000000001E-2</v>
      </c>
      <c r="N4" s="24">
        <f>'First Milk'!N31</f>
        <v>0</v>
      </c>
      <c r="O4" s="24">
        <f>'First Milk'!O31</f>
        <v>0</v>
      </c>
      <c r="P4" s="24">
        <f>'First Milk'!P31</f>
        <v>32.121000000000002</v>
      </c>
      <c r="Q4" s="24">
        <f>'First Milk'!Q31</f>
        <v>24.484999999999999</v>
      </c>
      <c r="R4" s="24">
        <f>'First Milk'!R31</f>
        <v>0</v>
      </c>
      <c r="S4" s="24">
        <f>'First Milk'!S31</f>
        <v>0</v>
      </c>
      <c r="T4" s="24">
        <f>'First Milk'!T31</f>
        <v>0</v>
      </c>
      <c r="U4" s="24">
        <f>'First Milk'!U31</f>
        <v>0</v>
      </c>
    </row>
    <row r="5" spans="1:21" x14ac:dyDescent="0.2">
      <c r="A5" s="27">
        <v>3</v>
      </c>
      <c r="B5" s="24">
        <f>'DCWW Llechryd'!B31</f>
        <v>140</v>
      </c>
      <c r="C5" s="24">
        <f>'DCWW Llechryd'!C31</f>
        <v>90.975500000000025</v>
      </c>
      <c r="D5" s="24">
        <f>'DCWW Llechryd'!D31</f>
        <v>80.026233700000006</v>
      </c>
      <c r="E5" s="24">
        <f>'DCWW Llechryd'!E31</f>
        <v>3.294626650000001</v>
      </c>
      <c r="F5" s="24">
        <f>'DCWW Llechryd'!F31</f>
        <v>12.325107760000002</v>
      </c>
      <c r="G5" s="24">
        <f>'DCWW Llechryd'!G31</f>
        <v>0.28022400000000008</v>
      </c>
      <c r="H5" s="24">
        <f>'DCWW Llechryd'!H31</f>
        <v>1.6541000000000003</v>
      </c>
      <c r="I5" s="24">
        <f>'DCWW Llechryd'!I31</f>
        <v>0.28022400000000008</v>
      </c>
      <c r="J5" s="24">
        <f>'DCWW Llechryd'!J31</f>
        <v>1.0703000000000002E-3</v>
      </c>
      <c r="K5" s="24">
        <f>'DCWW Llechryd'!K31</f>
        <v>5.7407000000000005E-3</v>
      </c>
      <c r="L5" s="24">
        <f>'DCWW Llechryd'!L31</f>
        <v>0.23546600000000001</v>
      </c>
      <c r="M5" s="24">
        <f>'DCWW Llechryd'!M31</f>
        <v>9.7105400000000008E-2</v>
      </c>
      <c r="N5" s="24">
        <f>'DCWW Llechryd'!N31</f>
        <v>34.055</v>
      </c>
      <c r="O5" s="24">
        <f>'DCWW Llechryd'!O31</f>
        <v>2539.5300000000002</v>
      </c>
      <c r="P5" s="24">
        <f>'DCWW Llechryd'!P31</f>
        <v>0</v>
      </c>
      <c r="Q5" s="24">
        <f>'DCWW Llechryd'!Q31</f>
        <v>76.137250000000009</v>
      </c>
      <c r="R5" s="24">
        <f>'DCWW Llechryd'!R31</f>
        <v>0</v>
      </c>
      <c r="S5" s="24">
        <f>'DCWW Llechryd'!S31</f>
        <v>0.26562900000000006</v>
      </c>
      <c r="T5" s="24">
        <f>'DCWW Llechryd'!T31</f>
        <v>0</v>
      </c>
      <c r="U5" s="24">
        <f>'DCWW Llechryd'!U31</f>
        <v>0</v>
      </c>
    </row>
    <row r="6" spans="1:21" x14ac:dyDescent="0.2">
      <c r="A6" s="27">
        <v>4</v>
      </c>
      <c r="B6" s="24">
        <f>'DCWW Strata Florida'!B31</f>
        <v>250</v>
      </c>
      <c r="C6" s="24">
        <f>'DCWW Strata Florida'!C31</f>
        <v>99.359999999999985</v>
      </c>
      <c r="D6" s="24">
        <f>'DCWW Strata Florida'!D31</f>
        <v>27.052128000000003</v>
      </c>
      <c r="E6" s="24">
        <f>'DCWW Strata Florida'!E31</f>
        <v>1.6137360000000001</v>
      </c>
      <c r="F6" s="24">
        <f>'DCWW Strata Florida'!F31</f>
        <v>2.9724623999999999</v>
      </c>
      <c r="G6" s="24">
        <f>'DCWW Strata Florida'!G31</f>
        <v>9.8640000000000005E-2</v>
      </c>
      <c r="H6" s="24">
        <f>'DCWW Strata Florida'!H31</f>
        <v>0.32039999999999996</v>
      </c>
      <c r="I6" s="24">
        <f>'DCWW Strata Florida'!I31</f>
        <v>3.2615999999999999E-2</v>
      </c>
      <c r="J6" s="24">
        <f>'DCWW Strata Florida'!J31</f>
        <v>2.3759999999999996E-3</v>
      </c>
      <c r="K6" s="24">
        <f>'DCWW Strata Florida'!K31</f>
        <v>1.008E-2</v>
      </c>
      <c r="L6" s="24">
        <f>'DCWW Strata Florida'!L31</f>
        <v>2.1600000000000001E-2</v>
      </c>
      <c r="M6" s="24">
        <f>'DCWW Strata Florida'!M31</f>
        <v>1.7064000000000003E-2</v>
      </c>
      <c r="N6" s="24">
        <f>'DCWW Strata Florida'!N31</f>
        <v>756</v>
      </c>
      <c r="O6" s="24">
        <f>'DCWW Strata Florida'!O31</f>
        <v>115.2</v>
      </c>
      <c r="P6" s="24">
        <f>'DCWW Strata Florida'!P31</f>
        <v>0</v>
      </c>
      <c r="Q6" s="24">
        <f>'DCWW Strata Florida'!Q31</f>
        <v>78.3</v>
      </c>
      <c r="R6" s="24">
        <f>'DCWW Strata Florida'!R31</f>
        <v>0</v>
      </c>
      <c r="S6" s="24">
        <f>'DCWW Strata Florida'!S31</f>
        <v>0.23975999999999997</v>
      </c>
      <c r="T6" s="24">
        <f>'DCWW Strata Florida'!T31</f>
        <v>0</v>
      </c>
      <c r="U6" s="24">
        <f>'DCWW Strata Florida'!U31</f>
        <v>0</v>
      </c>
    </row>
    <row r="7" spans="1:21" x14ac:dyDescent="0.2">
      <c r="A7" s="27">
        <v>5</v>
      </c>
      <c r="B7" s="24">
        <f>'DCWW Bontgoch'!B31</f>
        <v>95</v>
      </c>
      <c r="C7" s="24">
        <f>'DCWW Bontgoch'!C31</f>
        <v>62.982150000000004</v>
      </c>
      <c r="D7" s="24">
        <f>'DCWW Bontgoch'!D31</f>
        <v>79.329426049999981</v>
      </c>
      <c r="E7" s="24">
        <f>'DCWW Bontgoch'!E31</f>
        <v>0.41067906250000002</v>
      </c>
      <c r="F7" s="24">
        <f>'DCWW Bontgoch'!F31</f>
        <v>5.5150551399999994</v>
      </c>
      <c r="G7" s="24">
        <f>'DCWW Bontgoch'!G31</f>
        <v>4.6895800000000001E-2</v>
      </c>
      <c r="H7" s="24">
        <f>'DCWW Bontgoch'!H31</f>
        <v>1.0851470000000001</v>
      </c>
      <c r="I7" s="24">
        <f>'DCWW Bontgoch'!I31</f>
        <v>0.16359000000000001</v>
      </c>
      <c r="J7" s="24">
        <f>'DCWW Bontgoch'!J31</f>
        <v>1.2541900000000001E-3</v>
      </c>
      <c r="K7" s="24">
        <f>'DCWW Bontgoch'!K31</f>
        <v>3.8443649999999998E-3</v>
      </c>
      <c r="L7" s="24">
        <f>'DCWW Bontgoch'!L31</f>
        <v>8.6975349999999993E-2</v>
      </c>
      <c r="M7" s="24">
        <f>'DCWW Bontgoch'!M31</f>
        <v>4.4987250000000006E-2</v>
      </c>
      <c r="N7" s="24">
        <f>'DCWW Bontgoch'!N31</f>
        <v>25.029269999999997</v>
      </c>
      <c r="O7" s="24">
        <f>'DCWW Bontgoch'!O31</f>
        <v>1300.5405000000001</v>
      </c>
      <c r="P7" s="24">
        <f>'DCWW Bontgoch'!P31</f>
        <v>0</v>
      </c>
      <c r="Q7" s="24">
        <f>'DCWW Bontgoch'!Q31</f>
        <v>30.059662500000002</v>
      </c>
      <c r="R7" s="24">
        <f>'DCWW Bontgoch'!R31</f>
        <v>0</v>
      </c>
      <c r="S7" s="24">
        <f>'DCWW Bontgoch'!S31</f>
        <v>8.9429199999999986E-2</v>
      </c>
      <c r="T7" s="24">
        <f>'DCWW Bontgoch'!T31</f>
        <v>0</v>
      </c>
      <c r="U7" s="24">
        <f>'DCWW Bontgoch'!U31</f>
        <v>0</v>
      </c>
    </row>
    <row r="8" spans="1:21" x14ac:dyDescent="0.2">
      <c r="A8" s="27">
        <v>6</v>
      </c>
      <c r="B8" s="24">
        <f>'DCWW Bryngwyn'!B31</f>
        <v>250</v>
      </c>
      <c r="C8" s="24">
        <f>'DCWW Bryngwyn'!C31</f>
        <v>47.436749999999989</v>
      </c>
      <c r="D8" s="24">
        <f>'DCWW Bryngwyn'!D31</f>
        <v>6.3681781499999994</v>
      </c>
      <c r="E8" s="24">
        <f>'DCWW Bryngwyn'!E31</f>
        <v>0.68404837499999993</v>
      </c>
      <c r="F8" s="24">
        <f>'DCWW Bryngwyn'!F31</f>
        <v>7.1185400999999997</v>
      </c>
      <c r="G8" s="24">
        <f>'DCWW Bryngwyn'!G31</f>
        <v>7.7647500000000008E-2</v>
      </c>
      <c r="H8" s="24">
        <f>'DCWW Bryngwyn'!H31</f>
        <v>0.54548999999999992</v>
      </c>
      <c r="I8" s="24">
        <f>'DCWW Bryngwyn'!I31</f>
        <v>4.0454999999999998E-2</v>
      </c>
      <c r="J8" s="24">
        <f>'DCWW Bryngwyn'!J31</f>
        <v>7.1774999999999996E-4</v>
      </c>
      <c r="K8" s="24">
        <f>'DCWW Bryngwyn'!K31</f>
        <v>9.9832499999999991E-3</v>
      </c>
      <c r="L8" s="24">
        <f>'DCWW Bryngwyn'!L31</f>
        <v>7.1774999999999992E-2</v>
      </c>
      <c r="M8" s="24">
        <f>'DCWW Bryngwyn'!M31</f>
        <v>3.2951249999999994E-2</v>
      </c>
      <c r="N8" s="24">
        <f>'DCWW Bryngwyn'!N31</f>
        <v>11.6145</v>
      </c>
      <c r="O8" s="24">
        <f>'DCWW Bryngwyn'!O31</f>
        <v>2283.75</v>
      </c>
      <c r="P8" s="24">
        <f>'DCWW Bryngwyn'!P31</f>
        <v>0</v>
      </c>
      <c r="Q8" s="24">
        <f>'DCWW Bryngwyn'!Q31</f>
        <v>29.362500000000004</v>
      </c>
      <c r="R8" s="24">
        <f>'DCWW Bryngwyn'!R31</f>
        <v>0</v>
      </c>
      <c r="S8" s="24">
        <f>'DCWW Bryngwyn'!S31</f>
        <v>0.25512750000000001</v>
      </c>
      <c r="T8" s="24">
        <f>'DCWW Bryngwyn'!T31</f>
        <v>0</v>
      </c>
      <c r="U8" s="24">
        <f>'DCWW Bryngwyn'!U31</f>
        <v>0</v>
      </c>
    </row>
    <row r="9" spans="1:21" x14ac:dyDescent="0.2">
      <c r="A9" s="27">
        <v>7</v>
      </c>
      <c r="B9" s="24">
        <f>'DCWW Capel Dewi'!B31</f>
        <v>250</v>
      </c>
      <c r="C9" s="24">
        <f>'DCWW Capel Dewi'!C31</f>
        <v>46.792499999999997</v>
      </c>
      <c r="D9" s="24">
        <f>'DCWW Capel Dewi'!D31</f>
        <v>6.3532293749999988</v>
      </c>
      <c r="E9" s="24">
        <f>'DCWW Capel Dewi'!E31</f>
        <v>0.78355125000000003</v>
      </c>
      <c r="F9" s="24">
        <f>'DCWW Capel Dewi'!F31</f>
        <v>7.1557207499999995</v>
      </c>
      <c r="G9" s="24">
        <f>'DCWW Capel Dewi'!G31</f>
        <v>0.12749999999999997</v>
      </c>
      <c r="H9" s="24">
        <f>'DCWW Capel Dewi'!H31</f>
        <v>0.56673750000000001</v>
      </c>
      <c r="I9" s="24">
        <f>'DCWW Capel Dewi'!I31</f>
        <v>3.9524999999999998E-2</v>
      </c>
      <c r="J9" s="24">
        <f>'DCWW Capel Dewi'!J31</f>
        <v>1.8487499999999999E-3</v>
      </c>
      <c r="K9" s="24">
        <f>'DCWW Capel Dewi'!K31</f>
        <v>1.0072499999999998E-2</v>
      </c>
      <c r="L9" s="24">
        <f>'DCWW Capel Dewi'!L31</f>
        <v>0.1383375</v>
      </c>
      <c r="M9" s="24">
        <f>'DCWW Capel Dewi'!M31</f>
        <v>0.10199999999999999</v>
      </c>
      <c r="N9" s="24">
        <f>'DCWW Capel Dewi'!N31</f>
        <v>11.3475</v>
      </c>
      <c r="O9" s="24">
        <f>'DCWW Capel Dewi'!O31</f>
        <v>2269.5</v>
      </c>
      <c r="P9" s="24">
        <f>'DCWW Capel Dewi'!P31</f>
        <v>0</v>
      </c>
      <c r="Q9" s="24">
        <f>'DCWW Capel Dewi'!Q31</f>
        <v>29.324999999999996</v>
      </c>
      <c r="R9" s="24">
        <f>'DCWW Capel Dewi'!R31</f>
        <v>0</v>
      </c>
      <c r="S9" s="24">
        <f>'DCWW Capel Dewi'!S31</f>
        <v>0.25245000000000001</v>
      </c>
      <c r="T9" s="24">
        <f>'DCWW Capel Dewi'!T31</f>
        <v>0</v>
      </c>
      <c r="U9" s="24">
        <f>'DCWW Capel Dewi'!U31</f>
        <v>0</v>
      </c>
    </row>
    <row r="10" spans="1:21" x14ac:dyDescent="0.2">
      <c r="A10" s="27">
        <v>8</v>
      </c>
      <c r="B10" s="24">
        <f>'DCWW Cray'!B31</f>
        <v>250</v>
      </c>
      <c r="C10" s="24">
        <f>'DCWW Cray'!C31</f>
        <v>44.224999999999994</v>
      </c>
      <c r="D10" s="24">
        <f>'DCWW Cray'!D31</f>
        <v>5.6319653000000001</v>
      </c>
      <c r="E10" s="24">
        <f>'DCWW Cray'!E31</f>
        <v>0.80120449999999999</v>
      </c>
      <c r="F10" s="24">
        <f>'DCWW Cray'!F31</f>
        <v>6.6751079999999989</v>
      </c>
      <c r="G10" s="24">
        <f>'DCWW Cray'!G31</f>
        <v>5.8071999999999992E-2</v>
      </c>
      <c r="H10" s="24">
        <f>'DCWW Cray'!H31</f>
        <v>0.48434000000000005</v>
      </c>
      <c r="I10" s="24">
        <f>'DCWW Cray'!I31</f>
        <v>3.7819999999999999E-2</v>
      </c>
      <c r="J10" s="24">
        <f>'DCWW Cray'!J31</f>
        <v>1.0369999999999999E-3</v>
      </c>
      <c r="K10" s="24">
        <f>'DCWW Cray'!K31</f>
        <v>1.0064999999999999E-2</v>
      </c>
      <c r="L10" s="24">
        <f>'DCWW Cray'!L31</f>
        <v>0.13297999999999999</v>
      </c>
      <c r="M10" s="24">
        <f>'DCWW Cray'!M31</f>
        <v>0.11101999999999999</v>
      </c>
      <c r="N10" s="24">
        <f>'DCWW Cray'!N31</f>
        <v>10.491999999999999</v>
      </c>
      <c r="O10" s="24">
        <f>'DCWW Cray'!O31</f>
        <v>2055.6999999999998</v>
      </c>
      <c r="P10" s="24">
        <f>'DCWW Cray'!P31</f>
        <v>0</v>
      </c>
      <c r="Q10" s="24">
        <f>'DCWW Cray'!Q31</f>
        <v>26.687499999999996</v>
      </c>
      <c r="R10" s="24">
        <f>'DCWW Cray'!R31</f>
        <v>0</v>
      </c>
      <c r="S10" s="24">
        <f>'DCWW Cray'!S31</f>
        <v>0.22813999999999998</v>
      </c>
      <c r="T10" s="24">
        <f>'DCWW Cray'!T31</f>
        <v>0</v>
      </c>
      <c r="U10" s="24">
        <f>'DCWW Cray'!U31</f>
        <v>0</v>
      </c>
    </row>
    <row r="11" spans="1:21" x14ac:dyDescent="0.2">
      <c r="A11" s="27">
        <v>9</v>
      </c>
      <c r="B11" s="24">
        <f>'DCWW Bolton Hill'!B31</f>
        <v>250</v>
      </c>
      <c r="C11" s="24">
        <f>'DCWW Bolton Hill'!C31</f>
        <v>125</v>
      </c>
      <c r="D11" s="24">
        <f>'DCWW Bolton Hill'!D31</f>
        <v>54.926725000000012</v>
      </c>
      <c r="E11" s="24">
        <f>'DCWW Bolton Hill'!E31</f>
        <v>13.194749999999999</v>
      </c>
      <c r="F11" s="24">
        <f>'DCWW Bolton Hill'!F31</f>
        <v>23.999549999999999</v>
      </c>
      <c r="G11" s="24">
        <f>'DCWW Bolton Hill'!G31</f>
        <v>0.58499999999999996</v>
      </c>
      <c r="H11" s="24">
        <f>'DCWW Bolton Hill'!H31</f>
        <v>1.17</v>
      </c>
      <c r="I11" s="24">
        <f>'DCWW Bolton Hill'!I31</f>
        <v>0.1925</v>
      </c>
      <c r="J11" s="24">
        <f>'DCWW Bolton Hill'!J31</f>
        <v>5.0000000000000001E-3</v>
      </c>
      <c r="K11" s="24">
        <f>'DCWW Bolton Hill'!K31</f>
        <v>1.2500000000000001E-2</v>
      </c>
      <c r="L11" s="24">
        <f>'DCWW Bolton Hill'!L31</f>
        <v>0.33250000000000002</v>
      </c>
      <c r="M11" s="24">
        <f>'DCWW Bolton Hill'!M31</f>
        <v>0.3125</v>
      </c>
      <c r="N11" s="24">
        <f>'DCWW Bolton Hill'!N31</f>
        <v>1338.5</v>
      </c>
      <c r="O11" s="24">
        <f>'DCWW Bolton Hill'!O31</f>
        <v>223.75</v>
      </c>
      <c r="P11" s="24">
        <f>'DCWW Bolton Hill'!P31</f>
        <v>4.1749999999999998</v>
      </c>
      <c r="Q11" s="24">
        <f>'DCWW Bolton Hill'!Q31</f>
        <v>226.25</v>
      </c>
      <c r="R11" s="24">
        <f>'DCWW Bolton Hill'!R31</f>
        <v>3.7499999999999999E-2</v>
      </c>
      <c r="S11" s="24">
        <f>'DCWW Bolton Hill'!S31</f>
        <v>0.17</v>
      </c>
      <c r="T11" s="24">
        <f>'DCWW Bolton Hill'!T31</f>
        <v>1.7500000000000002E-2</v>
      </c>
      <c r="U11" s="24">
        <f>'DCWW Bolton Hill'!U31</f>
        <v>5.15</v>
      </c>
    </row>
    <row r="12" spans="1:21" x14ac:dyDescent="0.2">
      <c r="A12" s="27">
        <v>10</v>
      </c>
      <c r="B12" s="24">
        <f>'DCWW Preseli'!B31</f>
        <v>250</v>
      </c>
      <c r="C12" s="24">
        <f>'DCWW Preseli'!C31</f>
        <v>73.762499999999989</v>
      </c>
      <c r="D12" s="24">
        <f>'DCWW Preseli'!D31</f>
        <v>10.767069975</v>
      </c>
      <c r="E12" s="24">
        <f>'DCWW Preseli'!E31</f>
        <v>0.98195449999999995</v>
      </c>
      <c r="F12" s="24">
        <f>'DCWW Preseli'!F31</f>
        <v>4.1464922</v>
      </c>
      <c r="G12" s="24">
        <f>'DCWW Preseli'!G31</f>
        <v>0.23674249999999999</v>
      </c>
      <c r="H12" s="24">
        <f>'DCWW Preseli'!H31</f>
        <v>0.33298499999999998</v>
      </c>
      <c r="I12" s="24">
        <f>'DCWW Preseli'!I31</f>
        <v>3.2596E-2</v>
      </c>
      <c r="J12" s="24">
        <f>'DCWW Preseli'!J31</f>
        <v>2.81E-3</v>
      </c>
      <c r="K12" s="24">
        <f>'DCWW Preseli'!K31</f>
        <v>1.0045750000000001E-2</v>
      </c>
      <c r="L12" s="24">
        <f>'DCWW Preseli'!L31</f>
        <v>3.5827499999999998E-2</v>
      </c>
      <c r="M12" s="24">
        <f>'DCWW Preseli'!M31</f>
        <v>1.7070750000000003E-2</v>
      </c>
      <c r="N12" s="24">
        <f>'DCWW Preseli'!N31</f>
        <v>1341.7749999999999</v>
      </c>
      <c r="O12" s="24">
        <f>'DCWW Preseli'!O31</f>
        <v>54.654499999999999</v>
      </c>
      <c r="P12" s="24">
        <f>'DCWW Preseli'!P31</f>
        <v>0</v>
      </c>
      <c r="Q12" s="24">
        <f>'DCWW Preseli'!Q31</f>
        <v>146.82249999999999</v>
      </c>
      <c r="R12" s="24">
        <f>'DCWW Preseli'!R31</f>
        <v>0</v>
      </c>
      <c r="S12" s="24">
        <f>'DCWW Preseli'!S31</f>
        <v>0.49175000000000002</v>
      </c>
      <c r="T12" s="24">
        <f>'DCWW Preseli'!T31</f>
        <v>0</v>
      </c>
      <c r="U12" s="24">
        <f>'DCWW Preseli'!U31</f>
        <v>0</v>
      </c>
    </row>
    <row r="13" spans="1:21" s="69" customFormat="1" ht="15.75" x14ac:dyDescent="0.25">
      <c r="A13" s="67" t="s">
        <v>85</v>
      </c>
      <c r="B13" s="68">
        <f>SUM(B3:B12)</f>
        <v>1899</v>
      </c>
      <c r="C13" s="68">
        <f t="shared" ref="C13:U13" si="0">SUM(C3:C12)</f>
        <v>926.4344000000001</v>
      </c>
      <c r="D13" s="68">
        <f t="shared" si="0"/>
        <v>429.92001055000003</v>
      </c>
      <c r="E13" s="68">
        <f t="shared" si="0"/>
        <v>61.271680337500008</v>
      </c>
      <c r="F13" s="68">
        <f t="shared" si="0"/>
        <v>77.232251349999999</v>
      </c>
      <c r="G13" s="68">
        <f t="shared" si="0"/>
        <v>1.5435218000000002</v>
      </c>
      <c r="H13" s="68">
        <f t="shared" si="0"/>
        <v>6.3628795000000009</v>
      </c>
      <c r="I13" s="68">
        <f t="shared" si="0"/>
        <v>0.90132600000000007</v>
      </c>
      <c r="J13" s="68">
        <f t="shared" si="0"/>
        <v>1.7753990000000001E-2</v>
      </c>
      <c r="K13" s="68">
        <f t="shared" si="0"/>
        <v>8.0531564999999999E-2</v>
      </c>
      <c r="L13" s="68">
        <f t="shared" si="0"/>
        <v>1.0882613499999998</v>
      </c>
      <c r="M13" s="68">
        <f t="shared" si="0"/>
        <v>0.77496865000000004</v>
      </c>
      <c r="N13" s="68">
        <f t="shared" si="0"/>
        <v>3528.8132699999996</v>
      </c>
      <c r="O13" s="68">
        <f t="shared" si="0"/>
        <v>10842.625</v>
      </c>
      <c r="P13" s="68">
        <f t="shared" si="0"/>
        <v>60.352999999999994</v>
      </c>
      <c r="Q13" s="68">
        <f t="shared" si="0"/>
        <v>685.75566249999997</v>
      </c>
      <c r="R13" s="68">
        <f t="shared" si="0"/>
        <v>3.7499999999999999E-2</v>
      </c>
      <c r="S13" s="68">
        <f t="shared" si="0"/>
        <v>1.9922857</v>
      </c>
      <c r="T13" s="68">
        <f t="shared" si="0"/>
        <v>1.7500000000000002E-2</v>
      </c>
      <c r="U13" s="68">
        <f t="shared" si="0"/>
        <v>5.15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'Volac Sensient'!B29</f>
        <v>Application Rate</v>
      </c>
      <c r="D1" s="26" t="str">
        <f>'Volac Sensient'!C29</f>
        <v>Nitrogen Addition</v>
      </c>
      <c r="E1" s="26" t="str">
        <f>'Volac Sensient'!D29</f>
        <v>Phosphate Addition</v>
      </c>
      <c r="F1" s="26" t="str">
        <f>'Volac Sensient'!E29</f>
        <v>Potash  Addition</v>
      </c>
      <c r="G1" s="26" t="str">
        <f>'Volac Sensient'!F29</f>
        <v>Mg Oxide Addition</v>
      </c>
      <c r="H1" s="26" t="str">
        <f>'Volac Sensient'!G29</f>
        <v>Copper Addition</v>
      </c>
      <c r="I1" s="26" t="str">
        <f>'Volac Sensient'!H29</f>
        <v>Zinc Addition</v>
      </c>
      <c r="J1" s="26" t="str">
        <f>'Volac Sensient'!I29</f>
        <v>Lead Addition</v>
      </c>
      <c r="K1" s="26" t="str">
        <f>'Volac Sensient'!J29</f>
        <v>Cadmium Addition</v>
      </c>
      <c r="L1" s="26" t="str">
        <f>'Volac Sensient'!K29</f>
        <v>Mercury Addition</v>
      </c>
      <c r="M1" s="26" t="str">
        <f>'Volac Sensient'!L29</f>
        <v>Nickel Addition</v>
      </c>
      <c r="N1" s="26" t="str">
        <f>'Volac Sensient'!M29</f>
        <v>Chromium Addition</v>
      </c>
      <c r="O1" s="26" t="str">
        <f>'Volac Sensient'!N29</f>
        <v>Aluminium Addition</v>
      </c>
      <c r="P1" s="26" t="str">
        <f>'Volac Sensient'!O29</f>
        <v>Iron Addition</v>
      </c>
      <c r="Q1" s="26" t="str">
        <f>'Volac Sensient'!P29</f>
        <v xml:space="preserve">Sodium Addition                 </v>
      </c>
      <c r="R1" s="26" t="str">
        <f>'Volac Sensient'!Q29</f>
        <v>SO3  Addition                             kg/ha</v>
      </c>
      <c r="S1" s="26" t="str">
        <f>'Volac Sensient'!R29</f>
        <v xml:space="preserve">Selenium Addition </v>
      </c>
      <c r="T1" s="26" t="str">
        <f>'Volac Sensient'!S29</f>
        <v xml:space="preserve">Arsenic  Addition  </v>
      </c>
      <c r="U1" s="26" t="str">
        <f>'Volac Sensient'!T29</f>
        <v xml:space="preserve">Molybdenum Addition  </v>
      </c>
      <c r="V1" s="26" t="str">
        <f>'Volac Sensient'!U29</f>
        <v xml:space="preserve">Fluoride Addition </v>
      </c>
    </row>
    <row r="2" spans="1:22" s="70" customFormat="1" ht="25.5" x14ac:dyDescent="0.25">
      <c r="A2" s="175"/>
      <c r="B2" s="23" t="s">
        <v>46</v>
      </c>
      <c r="C2" s="26" t="str">
        <f>'Volac Sensient'!B30</f>
        <v>tonnes/ha</v>
      </c>
      <c r="D2" s="26" t="str">
        <f>'Volac Sensient'!C30</f>
        <v>kg/ha</v>
      </c>
      <c r="E2" s="26" t="str">
        <f>'Volac Sensient'!D30</f>
        <v>P2O5 
kg/ha</v>
      </c>
      <c r="F2" s="26" t="str">
        <f>'Volac Sensient'!E30</f>
        <v>K2O 
kg/ha</v>
      </c>
      <c r="G2" s="26" t="str">
        <f>'Volac Sensient'!F30</f>
        <v>MgO 
kg/ha</v>
      </c>
      <c r="H2" s="26" t="str">
        <f>'Volac Sensient'!G30</f>
        <v>kg/ha</v>
      </c>
      <c r="I2" s="26" t="str">
        <f>'Volac Sensient'!H30</f>
        <v>kg/ha</v>
      </c>
      <c r="J2" s="26" t="str">
        <f>'Volac Sensient'!I30</f>
        <v>kg/ha</v>
      </c>
      <c r="K2" s="26" t="str">
        <f>'Volac Sensient'!J30</f>
        <v>kg/ha</v>
      </c>
      <c r="L2" s="26" t="str">
        <f>'Volac Sensient'!K30</f>
        <v>kg/ha</v>
      </c>
      <c r="M2" s="26" t="str">
        <f>'Volac Sensient'!L30</f>
        <v>kg/ha</v>
      </c>
      <c r="N2" s="26" t="str">
        <f>'Volac Sensient'!M30</f>
        <v>kg/ha</v>
      </c>
      <c r="O2" s="26" t="str">
        <f>'Volac Sensient'!N30</f>
        <v>kg/ha</v>
      </c>
      <c r="P2" s="26" t="str">
        <f>'Volac Sensient'!O30</f>
        <v>kg/ha</v>
      </c>
      <c r="Q2" s="26" t="str">
        <f>'Volac Sensient'!P30</f>
        <v>kg/ha</v>
      </c>
      <c r="R2" s="26" t="str">
        <f>'Volac Sensient'!Q30</f>
        <v>kg/ha</v>
      </c>
      <c r="S2" s="26" t="str">
        <f>'Volac Sensient'!R30</f>
        <v>kg/ha</v>
      </c>
      <c r="T2" s="26" t="str">
        <f>'Volac Sensient'!S30</f>
        <v>kg/ha</v>
      </c>
      <c r="U2" s="26" t="str">
        <f>'Volac Sensient'!T30</f>
        <v>kg/ha</v>
      </c>
      <c r="V2" s="26" t="str">
        <f>'Volac Sensient'!U30</f>
        <v>kg/ha</v>
      </c>
    </row>
    <row r="3" spans="1:22" x14ac:dyDescent="0.2">
      <c r="A3" s="27">
        <v>1</v>
      </c>
      <c r="B3" s="78"/>
      <c r="C3" s="24">
        <f>'Volac Sensient'!B31</f>
        <v>81</v>
      </c>
      <c r="D3" s="24">
        <f>'Volac Sensient'!C31</f>
        <v>178.20000000000002</v>
      </c>
      <c r="E3" s="24">
        <f>'Volac Sensient'!D31</f>
        <v>79.981100999999995</v>
      </c>
      <c r="F3" s="24">
        <f>'Volac Sensient'!E31</f>
        <v>20.204235000000004</v>
      </c>
      <c r="G3" s="24">
        <f>'Volac Sensient'!F31</f>
        <v>3.7737738000000007</v>
      </c>
      <c r="H3" s="24">
        <f>'Volac Sensient'!G31</f>
        <v>1.6199999999999999E-2</v>
      </c>
      <c r="I3" s="24">
        <f>'Volac Sensient'!H31</f>
        <v>8.7480000000000002E-2</v>
      </c>
      <c r="J3" s="24">
        <f>'Volac Sensient'!I31</f>
        <v>4.0500000000000001E-2</v>
      </c>
      <c r="K3" s="24">
        <f>'Volac Sensient'!J31</f>
        <v>8.1000000000000006E-4</v>
      </c>
      <c r="L3" s="24">
        <f>'Volac Sensient'!K31</f>
        <v>4.0499999999999998E-3</v>
      </c>
      <c r="M3" s="24">
        <f>'Volac Sensient'!L31</f>
        <v>1.6199999999999999E-2</v>
      </c>
      <c r="N3" s="24">
        <f>'Volac Sensient'!M31</f>
        <v>1.6199999999999999E-2</v>
      </c>
      <c r="O3" s="24">
        <f>'Volac Sensient'!N31</f>
        <v>0</v>
      </c>
      <c r="P3" s="24">
        <f>'Volac Sensient'!O31</f>
        <v>0</v>
      </c>
      <c r="Q3" s="24">
        <f>'Volac Sensient'!P31</f>
        <v>24.056999999999999</v>
      </c>
      <c r="R3" s="24">
        <f>'Volac Sensient'!Q31</f>
        <v>18.326249999999998</v>
      </c>
      <c r="S3" s="24">
        <f>'Volac Sensient'!R31</f>
        <v>0</v>
      </c>
      <c r="T3" s="24">
        <f>'Volac Sensient'!S31</f>
        <v>0</v>
      </c>
      <c r="U3" s="24">
        <f>'Volac Sensient'!T31</f>
        <v>0</v>
      </c>
      <c r="V3" s="24">
        <f>'Volac Sensient'!U31</f>
        <v>0</v>
      </c>
    </row>
    <row r="4" spans="1:22" x14ac:dyDescent="0.2">
      <c r="A4" s="27">
        <v>2</v>
      </c>
      <c r="B4" s="78"/>
      <c r="C4" s="24">
        <f>'First Milk'!B31</f>
        <v>83</v>
      </c>
      <c r="D4" s="24">
        <f>'First Milk'!C31</f>
        <v>157.69999999999999</v>
      </c>
      <c r="E4" s="24">
        <f>'First Milk'!D31</f>
        <v>79.483953999999983</v>
      </c>
      <c r="F4" s="24">
        <f>'First Milk'!E31</f>
        <v>19.302895000000003</v>
      </c>
      <c r="G4" s="24">
        <f>'First Milk'!F31</f>
        <v>3.5504411999999999</v>
      </c>
      <c r="H4" s="24">
        <f>'First Milk'!G31</f>
        <v>1.66E-2</v>
      </c>
      <c r="I4" s="24">
        <f>'First Milk'!H31</f>
        <v>0.1162</v>
      </c>
      <c r="J4" s="24">
        <f>'First Milk'!I31</f>
        <v>4.1500000000000002E-2</v>
      </c>
      <c r="K4" s="24">
        <f>'First Milk'!J31</f>
        <v>8.3000000000000012E-4</v>
      </c>
      <c r="L4" s="24">
        <f>'First Milk'!K31</f>
        <v>4.15E-3</v>
      </c>
      <c r="M4" s="24">
        <f>'First Milk'!L31</f>
        <v>1.66E-2</v>
      </c>
      <c r="N4" s="24">
        <f>'First Milk'!M31</f>
        <v>2.4070000000000001E-2</v>
      </c>
      <c r="O4" s="24">
        <f>'First Milk'!N31</f>
        <v>0</v>
      </c>
      <c r="P4" s="24">
        <f>'First Milk'!O31</f>
        <v>0</v>
      </c>
      <c r="Q4" s="24">
        <f>'First Milk'!P31</f>
        <v>32.121000000000002</v>
      </c>
      <c r="R4" s="24">
        <f>'First Milk'!Q31</f>
        <v>24.484999999999999</v>
      </c>
      <c r="S4" s="24">
        <f>'First Milk'!R31</f>
        <v>0</v>
      </c>
      <c r="T4" s="24">
        <f>'First Milk'!S31</f>
        <v>0</v>
      </c>
      <c r="U4" s="24">
        <f>'First Milk'!T31</f>
        <v>0</v>
      </c>
      <c r="V4" s="24">
        <f>'First Milk'!U31</f>
        <v>0</v>
      </c>
    </row>
    <row r="5" spans="1:22" x14ac:dyDescent="0.2">
      <c r="A5" s="27">
        <v>3</v>
      </c>
      <c r="B5" s="78"/>
      <c r="C5" s="24">
        <f>'DCWW Llechryd'!B31</f>
        <v>140</v>
      </c>
      <c r="D5" s="24">
        <f>'DCWW Llechryd'!C31</f>
        <v>90.975500000000025</v>
      </c>
      <c r="E5" s="24">
        <f>'DCWW Llechryd'!D31</f>
        <v>80.026233700000006</v>
      </c>
      <c r="F5" s="24">
        <f>'DCWW Llechryd'!E31</f>
        <v>3.294626650000001</v>
      </c>
      <c r="G5" s="24">
        <f>'DCWW Llechryd'!F31</f>
        <v>12.325107760000002</v>
      </c>
      <c r="H5" s="24">
        <f>'DCWW Llechryd'!G31</f>
        <v>0.28022400000000008</v>
      </c>
      <c r="I5" s="24">
        <f>'DCWW Llechryd'!H31</f>
        <v>1.6541000000000003</v>
      </c>
      <c r="J5" s="24">
        <f>'DCWW Llechryd'!I31</f>
        <v>0.28022400000000008</v>
      </c>
      <c r="K5" s="24">
        <f>'DCWW Llechryd'!J31</f>
        <v>1.0703000000000002E-3</v>
      </c>
      <c r="L5" s="24">
        <f>'DCWW Llechryd'!K31</f>
        <v>5.7407000000000005E-3</v>
      </c>
      <c r="M5" s="24">
        <f>'DCWW Llechryd'!L31</f>
        <v>0.23546600000000001</v>
      </c>
      <c r="N5" s="24">
        <f>'DCWW Llechryd'!M31</f>
        <v>9.7105400000000008E-2</v>
      </c>
      <c r="O5" s="24">
        <f>'DCWW Llechryd'!N31</f>
        <v>34.055</v>
      </c>
      <c r="P5" s="24">
        <f>'DCWW Llechryd'!O31</f>
        <v>2539.5300000000002</v>
      </c>
      <c r="Q5" s="24">
        <f>'DCWW Llechryd'!P31</f>
        <v>0</v>
      </c>
      <c r="R5" s="24">
        <f>'DCWW Llechryd'!Q31</f>
        <v>76.137250000000009</v>
      </c>
      <c r="S5" s="24">
        <f>'DCWW Llechryd'!R31</f>
        <v>0</v>
      </c>
      <c r="T5" s="24">
        <f>'DCWW Llechryd'!S31</f>
        <v>0.26562900000000006</v>
      </c>
      <c r="U5" s="24">
        <f>'DCWW Llechryd'!T31</f>
        <v>0</v>
      </c>
      <c r="V5" s="24">
        <f>'DCWW Llechryd'!U31</f>
        <v>0</v>
      </c>
    </row>
    <row r="6" spans="1:22" x14ac:dyDescent="0.2">
      <c r="A6" s="27">
        <v>4</v>
      </c>
      <c r="B6" s="78"/>
      <c r="C6" s="24">
        <f>'DCWW Strata Florida'!B31</f>
        <v>250</v>
      </c>
      <c r="D6" s="24">
        <f>'DCWW Strata Florida'!C31</f>
        <v>99.359999999999985</v>
      </c>
      <c r="E6" s="24">
        <f>'DCWW Strata Florida'!D31</f>
        <v>27.052128000000003</v>
      </c>
      <c r="F6" s="24">
        <f>'DCWW Strata Florida'!E31</f>
        <v>1.6137360000000001</v>
      </c>
      <c r="G6" s="24">
        <f>'DCWW Strata Florida'!F31</f>
        <v>2.9724623999999999</v>
      </c>
      <c r="H6" s="24">
        <f>'DCWW Strata Florida'!G31</f>
        <v>9.8640000000000005E-2</v>
      </c>
      <c r="I6" s="24">
        <f>'DCWW Strata Florida'!H31</f>
        <v>0.32039999999999996</v>
      </c>
      <c r="J6" s="24">
        <f>'DCWW Strata Florida'!I31</f>
        <v>3.2615999999999999E-2</v>
      </c>
      <c r="K6" s="24">
        <f>'DCWW Strata Florida'!J31</f>
        <v>2.3759999999999996E-3</v>
      </c>
      <c r="L6" s="24">
        <f>'DCWW Strata Florida'!K31</f>
        <v>1.008E-2</v>
      </c>
      <c r="M6" s="24">
        <f>'DCWW Strata Florida'!L31</f>
        <v>2.1600000000000001E-2</v>
      </c>
      <c r="N6" s="24">
        <f>'DCWW Strata Florida'!M31</f>
        <v>1.7064000000000003E-2</v>
      </c>
      <c r="O6" s="24">
        <f>'DCWW Strata Florida'!N31</f>
        <v>756</v>
      </c>
      <c r="P6" s="24">
        <f>'DCWW Strata Florida'!O31</f>
        <v>115.2</v>
      </c>
      <c r="Q6" s="24">
        <f>'DCWW Strata Florida'!P31</f>
        <v>0</v>
      </c>
      <c r="R6" s="24">
        <f>'DCWW Strata Florida'!Q31</f>
        <v>78.3</v>
      </c>
      <c r="S6" s="24">
        <f>'DCWW Strata Florida'!R31</f>
        <v>0</v>
      </c>
      <c r="T6" s="24">
        <f>'DCWW Strata Florida'!S31</f>
        <v>0.23975999999999997</v>
      </c>
      <c r="U6" s="24">
        <f>'DCWW Strata Florida'!T31</f>
        <v>0</v>
      </c>
      <c r="V6" s="24">
        <f>'DCWW Strata Florida'!U31</f>
        <v>0</v>
      </c>
    </row>
    <row r="7" spans="1:22" x14ac:dyDescent="0.2">
      <c r="A7" s="27">
        <v>5</v>
      </c>
      <c r="B7" s="78"/>
      <c r="C7" s="24">
        <f>'DCWW Bontgoch'!B31</f>
        <v>95</v>
      </c>
      <c r="D7" s="24">
        <f>'DCWW Bontgoch'!C31</f>
        <v>62.982150000000004</v>
      </c>
      <c r="E7" s="24">
        <f>'DCWW Bontgoch'!D31</f>
        <v>79.329426049999981</v>
      </c>
      <c r="F7" s="24">
        <f>'DCWW Bontgoch'!E31</f>
        <v>0.41067906250000002</v>
      </c>
      <c r="G7" s="24">
        <f>'DCWW Bontgoch'!F31</f>
        <v>5.5150551399999994</v>
      </c>
      <c r="H7" s="24">
        <f>'DCWW Bontgoch'!G31</f>
        <v>4.6895800000000001E-2</v>
      </c>
      <c r="I7" s="24">
        <f>'DCWW Bontgoch'!H31</f>
        <v>1.0851470000000001</v>
      </c>
      <c r="J7" s="24">
        <f>'DCWW Bontgoch'!I31</f>
        <v>0.16359000000000001</v>
      </c>
      <c r="K7" s="24">
        <f>'DCWW Bontgoch'!J31</f>
        <v>1.2541900000000001E-3</v>
      </c>
      <c r="L7" s="24">
        <f>'DCWW Bontgoch'!K31</f>
        <v>3.8443649999999998E-3</v>
      </c>
      <c r="M7" s="24">
        <f>'DCWW Bontgoch'!L31</f>
        <v>8.6975349999999993E-2</v>
      </c>
      <c r="N7" s="24">
        <f>'DCWW Bontgoch'!M31</f>
        <v>4.4987250000000006E-2</v>
      </c>
      <c r="O7" s="24">
        <f>'DCWW Bontgoch'!N31</f>
        <v>25.029269999999997</v>
      </c>
      <c r="P7" s="24">
        <f>'DCWW Bontgoch'!O31</f>
        <v>1300.5405000000001</v>
      </c>
      <c r="Q7" s="24">
        <f>'DCWW Bontgoch'!P31</f>
        <v>0</v>
      </c>
      <c r="R7" s="24">
        <f>'DCWW Bontgoch'!Q31</f>
        <v>30.059662500000002</v>
      </c>
      <c r="S7" s="24">
        <f>'DCWW Bontgoch'!R31</f>
        <v>0</v>
      </c>
      <c r="T7" s="24">
        <f>'DCWW Bontgoch'!S31</f>
        <v>8.9429199999999986E-2</v>
      </c>
      <c r="U7" s="24">
        <f>'DCWW Bontgoch'!T31</f>
        <v>0</v>
      </c>
      <c r="V7" s="24">
        <f>'DCWW Bontgoch'!U31</f>
        <v>0</v>
      </c>
    </row>
    <row r="8" spans="1:22" x14ac:dyDescent="0.2">
      <c r="A8" s="27">
        <v>6</v>
      </c>
      <c r="B8" s="78"/>
      <c r="C8" s="24">
        <f>'DCWW Bryngwyn'!B31</f>
        <v>250</v>
      </c>
      <c r="D8" s="24">
        <f>'DCWW Bryngwyn'!C31</f>
        <v>47.436749999999989</v>
      </c>
      <c r="E8" s="24">
        <f>'DCWW Bryngwyn'!D31</f>
        <v>6.3681781499999994</v>
      </c>
      <c r="F8" s="24">
        <f>'DCWW Bryngwyn'!E31</f>
        <v>0.68404837499999993</v>
      </c>
      <c r="G8" s="24">
        <f>'DCWW Bryngwyn'!F31</f>
        <v>7.1185400999999997</v>
      </c>
      <c r="H8" s="24">
        <f>'DCWW Bryngwyn'!G31</f>
        <v>7.7647500000000008E-2</v>
      </c>
      <c r="I8" s="24">
        <f>'DCWW Bryngwyn'!H31</f>
        <v>0.54548999999999992</v>
      </c>
      <c r="J8" s="24">
        <f>'DCWW Bryngwyn'!I31</f>
        <v>4.0454999999999998E-2</v>
      </c>
      <c r="K8" s="24">
        <f>'DCWW Bryngwyn'!J31</f>
        <v>7.1774999999999996E-4</v>
      </c>
      <c r="L8" s="24">
        <f>'DCWW Bryngwyn'!K31</f>
        <v>9.9832499999999991E-3</v>
      </c>
      <c r="M8" s="24">
        <f>'DCWW Bryngwyn'!L31</f>
        <v>7.1774999999999992E-2</v>
      </c>
      <c r="N8" s="24">
        <f>'DCWW Bryngwyn'!M31</f>
        <v>3.2951249999999994E-2</v>
      </c>
      <c r="O8" s="24">
        <f>'DCWW Bryngwyn'!N31</f>
        <v>11.6145</v>
      </c>
      <c r="P8" s="24">
        <f>'DCWW Bryngwyn'!O31</f>
        <v>2283.75</v>
      </c>
      <c r="Q8" s="24">
        <f>'DCWW Bryngwyn'!P31</f>
        <v>0</v>
      </c>
      <c r="R8" s="24">
        <f>'DCWW Bryngwyn'!Q31</f>
        <v>29.362500000000004</v>
      </c>
      <c r="S8" s="24">
        <f>'DCWW Bryngwyn'!R31</f>
        <v>0</v>
      </c>
      <c r="T8" s="24">
        <f>'DCWW Bryngwyn'!S31</f>
        <v>0.25512750000000001</v>
      </c>
      <c r="U8" s="24">
        <f>'DCWW Bryngwyn'!T31</f>
        <v>0</v>
      </c>
      <c r="V8" s="24">
        <f>'DCWW Bryngwyn'!U31</f>
        <v>0</v>
      </c>
    </row>
    <row r="9" spans="1:22" x14ac:dyDescent="0.2">
      <c r="A9" s="27">
        <v>7</v>
      </c>
      <c r="B9" s="78"/>
      <c r="C9" s="24">
        <f>'DCWW Capel Dewi'!B31</f>
        <v>250</v>
      </c>
      <c r="D9" s="24">
        <f>'DCWW Capel Dewi'!C31</f>
        <v>46.792499999999997</v>
      </c>
      <c r="E9" s="24">
        <f>'DCWW Capel Dewi'!D31</f>
        <v>6.3532293749999988</v>
      </c>
      <c r="F9" s="24">
        <f>'DCWW Capel Dewi'!E31</f>
        <v>0.78355125000000003</v>
      </c>
      <c r="G9" s="24">
        <f>'DCWW Capel Dewi'!F31</f>
        <v>7.1557207499999995</v>
      </c>
      <c r="H9" s="24">
        <f>'DCWW Capel Dewi'!G31</f>
        <v>0.12749999999999997</v>
      </c>
      <c r="I9" s="24">
        <f>'DCWW Capel Dewi'!H31</f>
        <v>0.56673750000000001</v>
      </c>
      <c r="J9" s="24">
        <f>'DCWW Capel Dewi'!I31</f>
        <v>3.9524999999999998E-2</v>
      </c>
      <c r="K9" s="24">
        <f>'DCWW Capel Dewi'!J31</f>
        <v>1.8487499999999999E-3</v>
      </c>
      <c r="L9" s="24">
        <f>'DCWW Capel Dewi'!K31</f>
        <v>1.0072499999999998E-2</v>
      </c>
      <c r="M9" s="24">
        <f>'DCWW Capel Dewi'!L31</f>
        <v>0.1383375</v>
      </c>
      <c r="N9" s="24">
        <f>'DCWW Capel Dewi'!M31</f>
        <v>0.10199999999999999</v>
      </c>
      <c r="O9" s="24">
        <f>'DCWW Capel Dewi'!N31</f>
        <v>11.3475</v>
      </c>
      <c r="P9" s="24">
        <f>'DCWW Capel Dewi'!O31</f>
        <v>2269.5</v>
      </c>
      <c r="Q9" s="24">
        <f>'DCWW Capel Dewi'!P31</f>
        <v>0</v>
      </c>
      <c r="R9" s="24">
        <f>'DCWW Capel Dewi'!Q31</f>
        <v>29.324999999999996</v>
      </c>
      <c r="S9" s="24">
        <f>'DCWW Capel Dewi'!R31</f>
        <v>0</v>
      </c>
      <c r="T9" s="24">
        <f>'DCWW Capel Dewi'!S31</f>
        <v>0.25245000000000001</v>
      </c>
      <c r="U9" s="24">
        <f>'DCWW Capel Dewi'!T31</f>
        <v>0</v>
      </c>
      <c r="V9" s="24">
        <f>'DCWW Capel Dewi'!U31</f>
        <v>0</v>
      </c>
    </row>
    <row r="10" spans="1:22" x14ac:dyDescent="0.2">
      <c r="A10" s="27">
        <v>8</v>
      </c>
      <c r="B10" s="78"/>
      <c r="C10" s="24">
        <f>'DCWW Cray'!B31</f>
        <v>250</v>
      </c>
      <c r="D10" s="24">
        <f>'DCWW Cray'!C31</f>
        <v>44.224999999999994</v>
      </c>
      <c r="E10" s="24">
        <f>'DCWW Cray'!D31</f>
        <v>5.6319653000000001</v>
      </c>
      <c r="F10" s="24">
        <f>'DCWW Cray'!E31</f>
        <v>0.80120449999999999</v>
      </c>
      <c r="G10" s="24">
        <f>'DCWW Cray'!F31</f>
        <v>6.6751079999999989</v>
      </c>
      <c r="H10" s="24">
        <f>'DCWW Cray'!G31</f>
        <v>5.8071999999999992E-2</v>
      </c>
      <c r="I10" s="24">
        <f>'DCWW Cray'!H31</f>
        <v>0.48434000000000005</v>
      </c>
      <c r="J10" s="24">
        <f>'DCWW Cray'!I31</f>
        <v>3.7819999999999999E-2</v>
      </c>
      <c r="K10" s="24">
        <f>'DCWW Cray'!J31</f>
        <v>1.0369999999999999E-3</v>
      </c>
      <c r="L10" s="24">
        <f>'DCWW Cray'!K31</f>
        <v>1.0064999999999999E-2</v>
      </c>
      <c r="M10" s="24">
        <f>'DCWW Cray'!L31</f>
        <v>0.13297999999999999</v>
      </c>
      <c r="N10" s="24">
        <f>'DCWW Cray'!M31</f>
        <v>0.11101999999999999</v>
      </c>
      <c r="O10" s="24">
        <f>'DCWW Cray'!N31</f>
        <v>10.491999999999999</v>
      </c>
      <c r="P10" s="24">
        <f>'DCWW Cray'!O31</f>
        <v>2055.6999999999998</v>
      </c>
      <c r="Q10" s="24">
        <f>'DCWW Cray'!P31</f>
        <v>0</v>
      </c>
      <c r="R10" s="24">
        <f>'DCWW Cray'!Q31</f>
        <v>26.687499999999996</v>
      </c>
      <c r="S10" s="24">
        <f>'DCWW Cray'!R31</f>
        <v>0</v>
      </c>
      <c r="T10" s="24">
        <f>'DCWW Cray'!S31</f>
        <v>0.22813999999999998</v>
      </c>
      <c r="U10" s="24">
        <f>'DCWW Cray'!T31</f>
        <v>0</v>
      </c>
      <c r="V10" s="24">
        <f>'DCWW Cray'!U31</f>
        <v>0</v>
      </c>
    </row>
    <row r="11" spans="1:22" x14ac:dyDescent="0.2">
      <c r="A11" s="27">
        <v>9</v>
      </c>
      <c r="B11" s="78"/>
      <c r="C11" s="24">
        <f>'DCWW Bolton Hill'!B31</f>
        <v>250</v>
      </c>
      <c r="D11" s="24">
        <f>'DCWW Bolton Hill'!C31</f>
        <v>125</v>
      </c>
      <c r="E11" s="24">
        <f>'DCWW Bolton Hill'!D31</f>
        <v>54.926725000000012</v>
      </c>
      <c r="F11" s="24">
        <f>'DCWW Bolton Hill'!E31</f>
        <v>13.194749999999999</v>
      </c>
      <c r="G11" s="24">
        <f>'DCWW Bolton Hill'!F31</f>
        <v>23.999549999999999</v>
      </c>
      <c r="H11" s="24">
        <f>'DCWW Bolton Hill'!G31</f>
        <v>0.58499999999999996</v>
      </c>
      <c r="I11" s="24">
        <f>'DCWW Bolton Hill'!H31</f>
        <v>1.17</v>
      </c>
      <c r="J11" s="24">
        <f>'DCWW Bolton Hill'!I31</f>
        <v>0.1925</v>
      </c>
      <c r="K11" s="24">
        <f>'DCWW Bolton Hill'!J31</f>
        <v>5.0000000000000001E-3</v>
      </c>
      <c r="L11" s="24">
        <f>'DCWW Bolton Hill'!K31</f>
        <v>1.2500000000000001E-2</v>
      </c>
      <c r="M11" s="24">
        <f>'DCWW Bolton Hill'!L31</f>
        <v>0.33250000000000002</v>
      </c>
      <c r="N11" s="24">
        <f>'DCWW Bolton Hill'!M31</f>
        <v>0.3125</v>
      </c>
      <c r="O11" s="24">
        <f>'DCWW Bolton Hill'!N31</f>
        <v>1338.5</v>
      </c>
      <c r="P11" s="24">
        <f>'DCWW Bolton Hill'!O31</f>
        <v>223.75</v>
      </c>
      <c r="Q11" s="24">
        <f>'DCWW Bolton Hill'!P31</f>
        <v>4.1749999999999998</v>
      </c>
      <c r="R11" s="24">
        <f>'DCWW Bolton Hill'!Q31</f>
        <v>226.25</v>
      </c>
      <c r="S11" s="24">
        <f>'DCWW Bolton Hill'!R31</f>
        <v>3.7499999999999999E-2</v>
      </c>
      <c r="T11" s="24">
        <f>'DCWW Bolton Hill'!S31</f>
        <v>0.17</v>
      </c>
      <c r="U11" s="24">
        <f>'DCWW Bolton Hill'!T31</f>
        <v>1.7500000000000002E-2</v>
      </c>
      <c r="V11" s="24">
        <f>'DCWW Bolton Hill'!U31</f>
        <v>5.15</v>
      </c>
    </row>
    <row r="12" spans="1:22" x14ac:dyDescent="0.2">
      <c r="A12" s="27">
        <v>10</v>
      </c>
      <c r="B12" s="78"/>
      <c r="C12" s="24">
        <f>'DCWW Preseli'!B31</f>
        <v>250</v>
      </c>
      <c r="D12" s="24">
        <f>'DCWW Preseli'!C31</f>
        <v>73.762499999999989</v>
      </c>
      <c r="E12" s="24">
        <f>'DCWW Preseli'!D31</f>
        <v>10.767069975</v>
      </c>
      <c r="F12" s="24">
        <f>'DCWW Preseli'!E31</f>
        <v>0.98195449999999995</v>
      </c>
      <c r="G12" s="24">
        <f>'DCWW Preseli'!F31</f>
        <v>4.1464922</v>
      </c>
      <c r="H12" s="24">
        <f>'DCWW Preseli'!G31</f>
        <v>0.23674249999999999</v>
      </c>
      <c r="I12" s="24">
        <f>'DCWW Preseli'!H31</f>
        <v>0.33298499999999998</v>
      </c>
      <c r="J12" s="24">
        <f>'DCWW Preseli'!I31</f>
        <v>3.2596E-2</v>
      </c>
      <c r="K12" s="24">
        <f>'DCWW Preseli'!J31</f>
        <v>2.81E-3</v>
      </c>
      <c r="L12" s="24">
        <f>'DCWW Preseli'!K31</f>
        <v>1.0045750000000001E-2</v>
      </c>
      <c r="M12" s="24">
        <f>'DCWW Preseli'!L31</f>
        <v>3.5827499999999998E-2</v>
      </c>
      <c r="N12" s="24">
        <f>'DCWW Preseli'!M31</f>
        <v>1.7070750000000003E-2</v>
      </c>
      <c r="O12" s="24">
        <f>'DCWW Preseli'!N31</f>
        <v>1341.7749999999999</v>
      </c>
      <c r="P12" s="24">
        <f>'DCWW Preseli'!O31</f>
        <v>54.654499999999999</v>
      </c>
      <c r="Q12" s="24">
        <f>'DCWW Preseli'!P31</f>
        <v>0</v>
      </c>
      <c r="R12" s="24">
        <f>'DCWW Preseli'!Q31</f>
        <v>146.82249999999999</v>
      </c>
      <c r="S12" s="24">
        <f>'DCWW Preseli'!R31</f>
        <v>0</v>
      </c>
      <c r="T12" s="24">
        <f>'DCWW Preseli'!S31</f>
        <v>0.49175000000000002</v>
      </c>
      <c r="U12" s="24">
        <f>'DCWW Preseli'!T31</f>
        <v>0</v>
      </c>
      <c r="V12" s="24">
        <f>'DCWW Preseli'!U31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'Volac Sensient'!B43</f>
        <v>81</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'Volac Sensient'!B44</f>
        <v>81</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81</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83</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140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95</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250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250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250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250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417e1f37c0687413d1f1c9d7e38e360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REGU-488-218</_dlc_DocId>
    <_dlc_DocIdUrl xmlns="9be56660-2c31-41ef-bc00-23e72f632f2a">
      <Url>https://cyfoethnaturiolcymru.sharepoint.com/teams/Regulatory/Permitting/_layouts/15/DocIdRedir.aspx?ID=REGU-488-218</Url>
      <Description>REGU-488-218</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2025-05-11T23:00:00+00:00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EC445CB-0CCA-4FDD-9DBD-8CBAB0AF3407}"/>
</file>

<file path=customXml/itemProps2.xml><?xml version="1.0" encoding="utf-8"?>
<ds:datastoreItem xmlns:ds="http://schemas.openxmlformats.org/officeDocument/2006/customXml" ds:itemID="{3B275F2F-61FD-4B7D-BAF7-741237D09FD4}"/>
</file>

<file path=customXml/itemProps3.xml><?xml version="1.0" encoding="utf-8"?>
<ds:datastoreItem xmlns:ds="http://schemas.openxmlformats.org/officeDocument/2006/customXml" ds:itemID="{3EB88BFD-E29A-4849-A8E6-116EB74B98EA}">
  <ds:schemaRefs>
    <ds:schemaRef ds:uri="http://purl.org/dc/dcmitype/"/>
    <ds:schemaRef ds:uri="http://purl.org/dc/terms/"/>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9be56660-2c31-41ef-bc00-23e72f632f2a"/>
    <ds:schemaRef ds:uri="http://purl.org/dc/elements/1.1/"/>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Volac Sensient</vt:lpstr>
      <vt:lpstr>First Milk</vt:lpstr>
      <vt:lpstr>DCWW Llechryd</vt:lpstr>
      <vt:lpstr>DCWW Strata Florida</vt:lpstr>
      <vt:lpstr>DCWW Bontgoch</vt:lpstr>
      <vt:lpstr>DCWW Bryngwyn</vt:lpstr>
      <vt:lpstr>DCWW Capel Dewi</vt:lpstr>
      <vt:lpstr>DCWW Cray</vt:lpstr>
      <vt:lpstr>DCWW Bolton Hill</vt:lpstr>
      <vt:lpstr>DCWW Preseli</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Rhiannon Smith</dc:creator>
  <cp:keywords>NRW Nutrient Calculator</cp:keywords>
  <cp:lastModifiedBy>Smith, Rhiannon</cp:lastModifiedBy>
  <dcterms:created xsi:type="dcterms:W3CDTF">2016-09-26T10:07:59Z</dcterms:created>
  <dcterms:modified xsi:type="dcterms:W3CDTF">2025-04-23T15:58:44Z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e5c4c341-64d3-4358-b64d-11b68e587f65</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8" name="Email Recipients">
    <vt:lpwstr/>
  </property>
  <property fmtid="{D5CDD505-2E9C-101B-9397-08002B2CF9AE}" pid="10" name="_ExtendedDescription">
    <vt:lpwstr/>
  </property>
  <property fmtid="{D5CDD505-2E9C-101B-9397-08002B2CF9AE}" pid="11" name="Process">
    <vt:lpwstr/>
  </property>
  <property fmtid="{D5CDD505-2E9C-101B-9397-08002B2CF9AE}" pid="12" name="Email Subject">
    <vt:lpwstr/>
  </property>
  <property fmtid="{D5CDD505-2E9C-101B-9397-08002B2CF9AE}" pid="13" name="Link to previous EPR Permit">
    <vt:lpwstr/>
  </property>
  <property fmtid="{D5CDD505-2E9C-101B-9397-08002B2CF9AE}" pid="14" name="CAR Language Preference">
    <vt:lpwstr/>
  </property>
  <property fmtid="{D5CDD505-2E9C-101B-9397-08002B2CF9AE}" pid="16" name="Email CC">
    <vt:lpwstr/>
  </property>
  <property fmtid="{D5CDD505-2E9C-101B-9397-08002B2CF9AE}" pid="17" name="URL">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3" name="CC">
    <vt:lpwstr/>
  </property>
  <property fmtid="{D5CDD505-2E9C-101B-9397-08002B2CF9AE}" pid="24" name="To">
    <vt:lpwstr/>
  </property>
</Properties>
</file>