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8991/"/>
    </mc:Choice>
  </mc:AlternateContent>
  <xr:revisionPtr revIDLastSave="0" documentId="13_ncr:1_{4B3F3012-8050-48F4-AE7E-C34682B5574A}" xr6:coauthVersionLast="47" xr6:coauthVersionMax="47" xr10:uidLastSave="{00000000-0000-0000-0000-000000000000}"/>
  <bookViews>
    <workbookView xWindow="-110" yWindow="-110" windowWidth="22780" windowHeight="14540" tabRatio="870" activeTab="9" xr2:uid="{00000000-000D-0000-FFFF-FFFF00000000}"/>
  </bookViews>
  <sheets>
    <sheet name="Bolton Hill" sheetId="1" r:id="rId1"/>
    <sheet name="Preseli" sheetId="21" r:id="rId2"/>
    <sheet name="Llechryd" sheetId="27" r:id="rId3"/>
    <sheet name="Starta Florida" sheetId="28" r:id="rId4"/>
    <sheet name="Bontogch" sheetId="30" r:id="rId5"/>
    <sheet name="Bryngwyn" sheetId="26" r:id="rId6"/>
    <sheet name="Bontgoch 2" sheetId="24" r:id="rId7"/>
    <sheet name="Llechryd 2" sheetId="29" r:id="rId8"/>
    <sheet name="Strata Florida 2" sheetId="23" r:id="rId9"/>
    <sheet name="Cray"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K22" i="30"/>
  <c r="V20" i="30"/>
  <c r="U20" i="30"/>
  <c r="T20" i="30"/>
  <c r="S20" i="30"/>
  <c r="R20" i="30"/>
  <c r="Q20" i="30"/>
  <c r="P20" i="30"/>
  <c r="O20" i="30"/>
  <c r="N20" i="30"/>
  <c r="M20" i="30"/>
  <c r="V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V20" i="29"/>
  <c r="U20" i="29"/>
  <c r="T20" i="29"/>
  <c r="S20" i="29"/>
  <c r="R20" i="29"/>
  <c r="Q20" i="29"/>
  <c r="P20" i="29"/>
  <c r="O20" i="29"/>
  <c r="N20" i="29"/>
  <c r="M20" i="29"/>
  <c r="T18" i="29"/>
  <c r="R18" i="29"/>
  <c r="P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Q20" i="28"/>
  <c r="P20" i="28"/>
  <c r="O20" i="28"/>
  <c r="N20" i="28"/>
  <c r="M20" i="28"/>
  <c r="V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U18" i="27"/>
  <c r="R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V20" i="26"/>
  <c r="U20" i="26"/>
  <c r="T20" i="26"/>
  <c r="S20" i="26"/>
  <c r="R20" i="26"/>
  <c r="Q20" i="26"/>
  <c r="P20" i="26"/>
  <c r="O20" i="26"/>
  <c r="N20" i="26"/>
  <c r="M20" i="26"/>
  <c r="V18" i="26"/>
  <c r="T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M22" i="24"/>
  <c r="V20" i="24"/>
  <c r="U20" i="24"/>
  <c r="T20" i="24"/>
  <c r="S20" i="24"/>
  <c r="R20" i="24"/>
  <c r="Q20" i="24"/>
  <c r="P20" i="24"/>
  <c r="O20" i="24"/>
  <c r="N20" i="24"/>
  <c r="M20"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M20"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V20" i="22"/>
  <c r="U20" i="22"/>
  <c r="T20" i="22"/>
  <c r="S20" i="22"/>
  <c r="R20" i="22"/>
  <c r="Q20" i="22"/>
  <c r="P20" i="22"/>
  <c r="O20" i="22"/>
  <c r="N20" i="22"/>
  <c r="M20" i="22"/>
  <c r="R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U64" i="26" s="1"/>
  <c r="V21" i="26"/>
  <c r="V17" i="26"/>
  <c r="V19" i="26" s="1"/>
  <c r="C8" i="20"/>
  <c r="D8" i="19"/>
  <c r="D22" i="19" s="1"/>
  <c r="K8" i="20"/>
  <c r="L8" i="19"/>
  <c r="L22" i="19" s="1"/>
  <c r="S8" i="20"/>
  <c r="T8" i="19"/>
  <c r="T22" i="19" s="1"/>
  <c r="C59" i="29"/>
  <c r="D21" i="29"/>
  <c r="D23" i="29" s="1"/>
  <c r="D24" i="29" s="1"/>
  <c r="D17" i="29"/>
  <c r="D19" i="29" s="1"/>
  <c r="D20" i="29" s="1"/>
  <c r="K59" i="29"/>
  <c r="L21" i="29"/>
  <c r="L23" i="29" s="1"/>
  <c r="L24" i="29" s="1"/>
  <c r="L17" i="29"/>
  <c r="L19" i="29" s="1"/>
  <c r="L20" i="29" s="1"/>
  <c r="S59" i="29"/>
  <c r="T21" i="29"/>
  <c r="T23" i="29" s="1"/>
  <c r="T24" i="29" s="1"/>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L65" i="28" s="1"/>
  <c r="M17" i="28"/>
  <c r="M21" i="28"/>
  <c r="T59" i="28"/>
  <c r="U17" i="28"/>
  <c r="U21" i="28"/>
  <c r="U23" i="28" s="1"/>
  <c r="U24" i="28" s="1"/>
  <c r="I4" i="20"/>
  <c r="J4" i="19"/>
  <c r="J18" i="19" s="1"/>
  <c r="I59" i="21"/>
  <c r="J17" i="21"/>
  <c r="J19" i="21" s="1"/>
  <c r="J20" i="21" s="1"/>
  <c r="J21" i="21"/>
  <c r="J23" i="21" s="1"/>
  <c r="J24" i="21" s="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23" i="22" s="1"/>
  <c r="L24" i="22" s="1"/>
  <c r="L17" i="22"/>
  <c r="L19" i="22" s="1"/>
  <c r="L20" i="22" s="1"/>
  <c r="G12" i="20"/>
  <c r="H12" i="19"/>
  <c r="H26" i="19" s="1"/>
  <c r="J4" i="20"/>
  <c r="K4" i="19"/>
  <c r="K18" i="19" s="1"/>
  <c r="U63" i="21"/>
  <c r="N63" i="21"/>
  <c r="F63" i="21"/>
  <c r="P59" i="21"/>
  <c r="Q21" i="21"/>
  <c r="Q23" i="21" s="1"/>
  <c r="Q24" i="21" s="1"/>
  <c r="Q17" i="21"/>
  <c r="I17" i="21"/>
  <c r="I19" i="21" s="1"/>
  <c r="I20" i="21" s="1"/>
  <c r="I21" i="21"/>
  <c r="I23" i="21" s="1"/>
  <c r="I24" i="21" s="1"/>
  <c r="D59" i="22"/>
  <c r="E21" i="22"/>
  <c r="E23" i="22" s="1"/>
  <c r="E24" i="22" s="1"/>
  <c r="E17" i="22"/>
  <c r="E19" i="22" s="1"/>
  <c r="E20" i="22" s="1"/>
  <c r="L59" i="22"/>
  <c r="M21" i="22"/>
  <c r="M23" i="22" s="1"/>
  <c r="M24" i="22" s="1"/>
  <c r="M17" i="22"/>
  <c r="T59" i="22"/>
  <c r="U21" i="22"/>
  <c r="U23" i="22" s="1"/>
  <c r="U24" i="22" s="1"/>
  <c r="U17" i="22"/>
  <c r="U19" i="22" s="1"/>
  <c r="D59" i="27"/>
  <c r="E17" i="27"/>
  <c r="E19" i="27" s="1"/>
  <c r="E20" i="27" s="1"/>
  <c r="L59" i="27"/>
  <c r="M17" i="27"/>
  <c r="M19" i="27" s="1"/>
  <c r="T59" i="27"/>
  <c r="U17" i="27"/>
  <c r="U19" i="27" s="1"/>
  <c r="S59" i="22"/>
  <c r="T21" i="22"/>
  <c r="T23" i="22" s="1"/>
  <c r="T24" i="22" s="1"/>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0" i="22" s="1"/>
  <c r="J21" i="22"/>
  <c r="J23" i="22" s="1"/>
  <c r="J24" i="22" s="1"/>
  <c r="K59" i="23"/>
  <c r="L17" i="23"/>
  <c r="L19" i="23" s="1"/>
  <c r="L20" i="23" s="1"/>
  <c r="L21" i="23"/>
  <c r="L23" i="23" s="1"/>
  <c r="L24" i="23" s="1"/>
  <c r="M57" i="21"/>
  <c r="R59" i="21"/>
  <c r="S21" i="21"/>
  <c r="S23" i="21" s="1"/>
  <c r="S24" i="21" s="1"/>
  <c r="S17" i="21"/>
  <c r="S19" i="21" s="1"/>
  <c r="J59" i="21"/>
  <c r="K21" i="21"/>
  <c r="K23" i="21" s="1"/>
  <c r="K24" i="21" s="1"/>
  <c r="K17" i="21"/>
  <c r="K19" i="21" s="1"/>
  <c r="K20" i="21" s="1"/>
  <c r="J59" i="22"/>
  <c r="K17" i="22"/>
  <c r="K19" i="22" s="1"/>
  <c r="K20" i="22" s="1"/>
  <c r="K21" i="22"/>
  <c r="K23" i="22" s="1"/>
  <c r="K24" i="22" s="1"/>
  <c r="R59" i="22"/>
  <c r="S17" i="22"/>
  <c r="S21" i="22"/>
  <c r="S23" i="22" s="1"/>
  <c r="S24" i="22" s="1"/>
  <c r="D59" i="23"/>
  <c r="E17" i="23"/>
  <c r="E19" i="23" s="1"/>
  <c r="E20" i="23" s="1"/>
  <c r="E21" i="23"/>
  <c r="E23" i="23" s="1"/>
  <c r="E24" i="23" s="1"/>
  <c r="L59" i="23"/>
  <c r="M17" i="23"/>
  <c r="M19" i="23" s="1"/>
  <c r="M21" i="23"/>
  <c r="M23" i="23" s="1"/>
  <c r="M24" i="23" s="1"/>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23" i="26" s="1"/>
  <c r="L24" i="26" s="1"/>
  <c r="L17" i="26"/>
  <c r="L19" i="26" s="1"/>
  <c r="L20" i="26" s="1"/>
  <c r="S59" i="26"/>
  <c r="T21" i="26"/>
  <c r="T23" i="26" s="1"/>
  <c r="T24" i="26" s="1"/>
  <c r="T17" i="26"/>
  <c r="N63" i="26"/>
  <c r="J59" i="27"/>
  <c r="K17" i="27"/>
  <c r="K19" i="27" s="1"/>
  <c r="K20" i="27" s="1"/>
  <c r="R59" i="27"/>
  <c r="S17" i="27"/>
  <c r="S19" i="27" s="1"/>
  <c r="J59" i="28"/>
  <c r="K17" i="28"/>
  <c r="K19" i="28" s="1"/>
  <c r="K20" i="28" s="1"/>
  <c r="K21" i="28"/>
  <c r="K23" i="28" s="1"/>
  <c r="K24" i="28" s="1"/>
  <c r="R59" i="28"/>
  <c r="S17" i="28"/>
  <c r="S19" i="28" s="1"/>
  <c r="S21" i="28"/>
  <c r="S23" i="28" s="1"/>
  <c r="S24" i="28" s="1"/>
  <c r="I59" i="29"/>
  <c r="J17" i="29"/>
  <c r="J19" i="29" s="1"/>
  <c r="J20" i="29" s="1"/>
  <c r="J21" i="29"/>
  <c r="Q59" i="29"/>
  <c r="R21" i="29"/>
  <c r="R23" i="29" s="1"/>
  <c r="R24" i="29" s="1"/>
  <c r="R17" i="29"/>
  <c r="H59" i="30"/>
  <c r="I17" i="30"/>
  <c r="I19" i="30" s="1"/>
  <c r="I20" i="30" s="1"/>
  <c r="I21" i="30"/>
  <c r="I23" i="30" s="1"/>
  <c r="I24" i="30" s="1"/>
  <c r="Q17" i="30"/>
  <c r="Q19" i="30" s="1"/>
  <c r="Q21" i="30"/>
  <c r="Q23" i="30" s="1"/>
  <c r="Q24"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23" i="23" s="1"/>
  <c r="N24" i="23" s="1"/>
  <c r="N17" i="23"/>
  <c r="N19" i="23" s="1"/>
  <c r="U59" i="23"/>
  <c r="V21" i="23"/>
  <c r="V23" i="23" s="1"/>
  <c r="V24" i="23" s="1"/>
  <c r="V17" i="23"/>
  <c r="V19" i="23" s="1"/>
  <c r="I17" i="24"/>
  <c r="I19" i="24" s="1"/>
  <c r="I20" i="24" s="1"/>
  <c r="I21" i="24"/>
  <c r="I23" i="24" s="1"/>
  <c r="I24" i="24" s="1"/>
  <c r="Q17" i="24"/>
  <c r="Q19" i="24" s="1"/>
  <c r="Q21" i="24"/>
  <c r="Q23" i="24" s="1"/>
  <c r="Q24" i="24" s="1"/>
  <c r="D59" i="26"/>
  <c r="E21" i="26"/>
  <c r="E17" i="26"/>
  <c r="E19" i="26" s="1"/>
  <c r="E20" i="26" s="1"/>
  <c r="L59" i="26"/>
  <c r="M21" i="26"/>
  <c r="M17" i="26"/>
  <c r="M19" i="26" s="1"/>
  <c r="T59" i="26"/>
  <c r="U21" i="26"/>
  <c r="U23" i="26" s="1"/>
  <c r="U24" i="26" s="1"/>
  <c r="U17" i="26"/>
  <c r="U19" i="26" s="1"/>
  <c r="C59" i="27"/>
  <c r="D17" i="27"/>
  <c r="D19" i="27" s="1"/>
  <c r="D20" i="27" s="1"/>
  <c r="K59" i="27"/>
  <c r="L17" i="27"/>
  <c r="L19" i="27" s="1"/>
  <c r="L20" i="27" s="1"/>
  <c r="S59" i="27"/>
  <c r="T17" i="27"/>
  <c r="T19" i="27" s="1"/>
  <c r="C59" i="28"/>
  <c r="D21" i="28"/>
  <c r="D23" i="28" s="1"/>
  <c r="D24" i="28" s="1"/>
  <c r="D17" i="28"/>
  <c r="K59" i="28"/>
  <c r="L21" i="28"/>
  <c r="L17" i="28"/>
  <c r="L19" i="28" s="1"/>
  <c r="L20" i="28" s="1"/>
  <c r="S59" i="28"/>
  <c r="T21" i="28"/>
  <c r="T23" i="28" s="1"/>
  <c r="T24" i="28" s="1"/>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H21" i="21"/>
  <c r="H23" i="21" s="1"/>
  <c r="H24" i="21" s="1"/>
  <c r="H17" i="21"/>
  <c r="H19" i="21" s="1"/>
  <c r="H20" i="21" s="1"/>
  <c r="E59" i="22"/>
  <c r="F21" i="22"/>
  <c r="F23" i="22" s="1"/>
  <c r="F24" i="22" s="1"/>
  <c r="F17" i="22"/>
  <c r="F19" i="22" s="1"/>
  <c r="F20" i="22" s="1"/>
  <c r="M59" i="22"/>
  <c r="N21" i="22"/>
  <c r="N23" i="22" s="1"/>
  <c r="N24" i="22" s="1"/>
  <c r="N17" i="22"/>
  <c r="N19" i="22" s="1"/>
  <c r="U59" i="22"/>
  <c r="V17" i="22"/>
  <c r="V19" i="22" s="1"/>
  <c r="V21" i="22"/>
  <c r="V23" i="22" s="1"/>
  <c r="V24" i="22" s="1"/>
  <c r="C18" i="22"/>
  <c r="H21" i="23"/>
  <c r="H23" i="23" s="1"/>
  <c r="H24" i="23" s="1"/>
  <c r="H17" i="23"/>
  <c r="P17" i="23"/>
  <c r="P19" i="23" s="1"/>
  <c r="P21" i="23"/>
  <c r="J59" i="24"/>
  <c r="K21" i="24"/>
  <c r="K23" i="24" s="1"/>
  <c r="K24" i="24" s="1"/>
  <c r="K17" i="24"/>
  <c r="K19" i="24" s="1"/>
  <c r="K20" i="24" s="1"/>
  <c r="R59" i="24"/>
  <c r="S21" i="24"/>
  <c r="S23" i="24" s="1"/>
  <c r="S24" i="24" s="1"/>
  <c r="S17" i="24"/>
  <c r="S19" i="24" s="1"/>
  <c r="G21" i="26"/>
  <c r="G23" i="26" s="1"/>
  <c r="G24" i="26" s="1"/>
  <c r="G17" i="26"/>
  <c r="G19" i="26" s="1"/>
  <c r="G20" i="26" s="1"/>
  <c r="O17" i="26"/>
  <c r="O19" i="26" s="1"/>
  <c r="O21" i="26"/>
  <c r="E59" i="27"/>
  <c r="F17" i="27"/>
  <c r="F19" i="27" s="1"/>
  <c r="F20" i="27" s="1"/>
  <c r="M59" i="27"/>
  <c r="N17" i="27"/>
  <c r="N19" i="27" s="1"/>
  <c r="U59" i="27"/>
  <c r="V17" i="27"/>
  <c r="V19" i="27" s="1"/>
  <c r="E59" i="28"/>
  <c r="F17" i="28"/>
  <c r="F19" i="28" s="1"/>
  <c r="F20" i="28" s="1"/>
  <c r="F21" i="28"/>
  <c r="F23" i="28" s="1"/>
  <c r="F24" i="28" s="1"/>
  <c r="M59" i="28"/>
  <c r="N17" i="28"/>
  <c r="N19" i="28" s="1"/>
  <c r="N21" i="28"/>
  <c r="N23" i="28" s="1"/>
  <c r="N24" i="28" s="1"/>
  <c r="U59" i="28"/>
  <c r="V17" i="28"/>
  <c r="V19" i="28" s="1"/>
  <c r="V21" i="28"/>
  <c r="D59" i="29"/>
  <c r="E17" i="29"/>
  <c r="E19" i="29" s="1"/>
  <c r="E20" i="29" s="1"/>
  <c r="E21" i="29"/>
  <c r="E23" i="29" s="1"/>
  <c r="E24" i="29" s="1"/>
  <c r="L59" i="29"/>
  <c r="M17" i="29"/>
  <c r="M19" i="29" s="1"/>
  <c r="M21" i="29"/>
  <c r="M23" i="29" s="1"/>
  <c r="M24" i="29" s="1"/>
  <c r="T59" i="29"/>
  <c r="U17" i="29"/>
  <c r="U19" i="29" s="1"/>
  <c r="U21" i="29"/>
  <c r="C59" i="30"/>
  <c r="D17" i="30"/>
  <c r="D19" i="30" s="1"/>
  <c r="D20" i="30" s="1"/>
  <c r="D21" i="30"/>
  <c r="D23" i="30" s="1"/>
  <c r="D24" i="30" s="1"/>
  <c r="K59" i="30"/>
  <c r="L17" i="30"/>
  <c r="L19" i="30" s="1"/>
  <c r="L20" i="30" s="1"/>
  <c r="L21" i="30"/>
  <c r="L23" i="30" s="1"/>
  <c r="L24" i="30" s="1"/>
  <c r="S59" i="30"/>
  <c r="T17" i="30"/>
  <c r="T19" i="30" s="1"/>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S23" i="30" s="1"/>
  <c r="S24" i="30" s="1"/>
  <c r="A34" i="21"/>
  <c r="N59" i="21"/>
  <c r="N64" i="21" s="1"/>
  <c r="O21" i="21"/>
  <c r="O23" i="21" s="1"/>
  <c r="O24" i="21" s="1"/>
  <c r="O17" i="21"/>
  <c r="O19" i="21" s="1"/>
  <c r="F59" i="21"/>
  <c r="G21" i="21"/>
  <c r="G23" i="21" s="1"/>
  <c r="G24" i="21" s="1"/>
  <c r="G17" i="21"/>
  <c r="G19" i="21" s="1"/>
  <c r="G20" i="21" s="1"/>
  <c r="G17" i="22"/>
  <c r="G21" i="22"/>
  <c r="G23" i="22" s="1"/>
  <c r="G24" i="22" s="1"/>
  <c r="O17" i="22"/>
  <c r="O19" i="22" s="1"/>
  <c r="O21" i="22"/>
  <c r="O23" i="22" s="1"/>
  <c r="O24" i="22" s="1"/>
  <c r="H59" i="23"/>
  <c r="I21" i="23"/>
  <c r="I23" i="23" s="1"/>
  <c r="I24" i="23" s="1"/>
  <c r="I17" i="23"/>
  <c r="I19" i="23" s="1"/>
  <c r="I20" i="23" s="1"/>
  <c r="P59" i="23"/>
  <c r="Q17" i="23"/>
  <c r="Q21" i="23"/>
  <c r="Q23" i="23" s="1"/>
  <c r="Q24" i="23" s="1"/>
  <c r="C59" i="24"/>
  <c r="D17" i="24"/>
  <c r="D19" i="24" s="1"/>
  <c r="D20" i="24" s="1"/>
  <c r="D21" i="24"/>
  <c r="D23" i="24" s="1"/>
  <c r="D24" i="24" s="1"/>
  <c r="K59" i="24"/>
  <c r="L21" i="24"/>
  <c r="L23" i="24" s="1"/>
  <c r="L24" i="24" s="1"/>
  <c r="L17" i="24"/>
  <c r="L19" i="24" s="1"/>
  <c r="L20" i="24" s="1"/>
  <c r="S59" i="24"/>
  <c r="T21" i="24"/>
  <c r="T23" i="24" s="1"/>
  <c r="T24" i="24" s="1"/>
  <c r="T17" i="24"/>
  <c r="T19" i="24" s="1"/>
  <c r="H21" i="26"/>
  <c r="H23" i="26" s="1"/>
  <c r="H24" i="26" s="1"/>
  <c r="H17" i="26"/>
  <c r="P21" i="26"/>
  <c r="P17" i="26"/>
  <c r="F59" i="28"/>
  <c r="G17" i="28"/>
  <c r="G19" i="28" s="1"/>
  <c r="G20" i="28" s="1"/>
  <c r="G21" i="28"/>
  <c r="G23" i="28" s="1"/>
  <c r="G24" i="28" s="1"/>
  <c r="N59" i="28"/>
  <c r="O17" i="28"/>
  <c r="O19" i="28" s="1"/>
  <c r="O21" i="28"/>
  <c r="O23" i="28" s="1"/>
  <c r="O24" i="28" s="1"/>
  <c r="E59" i="29"/>
  <c r="F17" i="29"/>
  <c r="F19" i="29" s="1"/>
  <c r="F20" i="29" s="1"/>
  <c r="F21" i="29"/>
  <c r="F23" i="29" s="1"/>
  <c r="F24" i="29" s="1"/>
  <c r="M59" i="29"/>
  <c r="N17" i="29"/>
  <c r="N19" i="29" s="1"/>
  <c r="N21" i="29"/>
  <c r="N23" i="29" s="1"/>
  <c r="N24" i="29" s="1"/>
  <c r="U59" i="29"/>
  <c r="V17" i="29"/>
  <c r="V21" i="29"/>
  <c r="V23" i="29" s="1"/>
  <c r="V24" i="29" s="1"/>
  <c r="D59" i="30"/>
  <c r="E17" i="30"/>
  <c r="E19" i="30" s="1"/>
  <c r="E20" i="30" s="1"/>
  <c r="E21" i="30"/>
  <c r="E23" i="30" s="1"/>
  <c r="E24" i="30" s="1"/>
  <c r="L59" i="30"/>
  <c r="M17" i="30"/>
  <c r="M19"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1" i="24"/>
  <c r="M23" i="24" s="1"/>
  <c r="M24" i="24" s="1"/>
  <c r="T59" i="24"/>
  <c r="U21" i="24"/>
  <c r="U23" i="24" s="1"/>
  <c r="U24" i="24" s="1"/>
  <c r="U17" i="24"/>
  <c r="U19" i="24" s="1"/>
  <c r="H59" i="26"/>
  <c r="H64" i="26" s="1"/>
  <c r="I17" i="26"/>
  <c r="I21" i="26"/>
  <c r="I23" i="26" s="1"/>
  <c r="I24" i="26" s="1"/>
  <c r="P59" i="26"/>
  <c r="Q17" i="26"/>
  <c r="Q19" i="26" s="1"/>
  <c r="Q21" i="26"/>
  <c r="E63" i="26"/>
  <c r="H17" i="27"/>
  <c r="H19" i="27" s="1"/>
  <c r="H20" i="27" s="1"/>
  <c r="P17" i="27"/>
  <c r="P19" i="27" s="1"/>
  <c r="H21" i="28"/>
  <c r="H23" i="28" s="1"/>
  <c r="H24" i="28" s="1"/>
  <c r="H17" i="28"/>
  <c r="H19" i="28" s="1"/>
  <c r="H20" i="28" s="1"/>
  <c r="P21" i="28"/>
  <c r="P23" i="28" s="1"/>
  <c r="P24" i="28" s="1"/>
  <c r="P17" i="28"/>
  <c r="P19" i="28" s="1"/>
  <c r="G17" i="29"/>
  <c r="G19" i="29" s="1"/>
  <c r="G20" i="29" s="1"/>
  <c r="G21" i="29"/>
  <c r="G23" i="29" s="1"/>
  <c r="G24" i="29" s="1"/>
  <c r="O17" i="29"/>
  <c r="O21" i="29"/>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S23" i="23" s="1"/>
  <c r="S24" i="23" s="1"/>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Q19" i="27" s="1"/>
  <c r="I21" i="28"/>
  <c r="I23" i="28" s="1"/>
  <c r="I24" i="28" s="1"/>
  <c r="I17" i="28"/>
  <c r="Q21" i="28"/>
  <c r="Q23" i="28" s="1"/>
  <c r="Q24" i="28" s="1"/>
  <c r="Q17" i="28"/>
  <c r="Q19" i="28" s="1"/>
  <c r="H21" i="29"/>
  <c r="H23" i="29" s="1"/>
  <c r="H24" i="29" s="1"/>
  <c r="H17" i="29"/>
  <c r="H19" i="29" s="1"/>
  <c r="H20" i="29" s="1"/>
  <c r="P21" i="29"/>
  <c r="P23" i="29" s="1"/>
  <c r="P24" i="29" s="1"/>
  <c r="P17" i="29"/>
  <c r="P19" i="29" s="1"/>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19" i="23" s="1"/>
  <c r="T21" i="23"/>
  <c r="T23" i="23" s="1"/>
  <c r="T24" i="23" s="1"/>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R19" i="24"/>
  <c r="I21" i="27"/>
  <c r="I23" i="27" s="1"/>
  <c r="I24" i="27" s="1"/>
  <c r="Q21" i="27"/>
  <c r="Q23" i="27" s="1"/>
  <c r="Q24" i="27" s="1"/>
  <c r="R58" i="21"/>
  <c r="R61" i="21" s="1"/>
  <c r="O57" i="21"/>
  <c r="A43" i="21"/>
  <c r="J58" i="21"/>
  <c r="J61" i="21" s="1"/>
  <c r="D58" i="29"/>
  <c r="D61" i="29" s="1"/>
  <c r="P23" i="26"/>
  <c r="P24" i="26" s="1"/>
  <c r="G21" i="27"/>
  <c r="G23" i="27" s="1"/>
  <c r="G24" i="27" s="1"/>
  <c r="O21" i="27"/>
  <c r="O23" i="27" s="1"/>
  <c r="O24" i="27" s="1"/>
  <c r="D58" i="30"/>
  <c r="D61" i="30" s="1"/>
  <c r="L58" i="30"/>
  <c r="L61" i="30" s="1"/>
  <c r="R58" i="23"/>
  <c r="R61" i="23" s="1"/>
  <c r="H21" i="27"/>
  <c r="H23" i="27" s="1"/>
  <c r="H24" i="27" s="1"/>
  <c r="P21" i="27"/>
  <c r="J58" i="22"/>
  <c r="J61" i="22" s="1"/>
  <c r="J58" i="26"/>
  <c r="J61" i="26" s="1"/>
  <c r="R19" i="23"/>
  <c r="J58" i="27"/>
  <c r="J61" i="27" s="1"/>
  <c r="J64" i="27" s="1"/>
  <c r="R58" i="27"/>
  <c r="R61" i="27" s="1"/>
  <c r="R64" i="27" s="1"/>
  <c r="R65" i="27" s="1"/>
  <c r="R58" i="28"/>
  <c r="R61" i="28" s="1"/>
  <c r="F58" i="22"/>
  <c r="F61" i="22" s="1"/>
  <c r="N58" i="22"/>
  <c r="N61" i="22" s="1"/>
  <c r="N64" i="22" s="1"/>
  <c r="N65"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P65" i="22" s="1"/>
  <c r="F59" i="22"/>
  <c r="K58" i="29"/>
  <c r="K61" i="29" s="1"/>
  <c r="F19" i="23"/>
  <c r="F20" i="23" s="1"/>
  <c r="I58" i="23"/>
  <c r="I61" i="23" s="1"/>
  <c r="Q58" i="23"/>
  <c r="Q61" i="23" s="1"/>
  <c r="L58" i="29"/>
  <c r="L61" i="29" s="1"/>
  <c r="T58" i="29"/>
  <c r="T61" i="29" s="1"/>
  <c r="U23" i="30"/>
  <c r="U24" i="30" s="1"/>
  <c r="J58" i="28"/>
  <c r="J61" i="28" s="1"/>
  <c r="R58" i="22"/>
  <c r="R61" i="22" s="1"/>
  <c r="R64" i="22" s="1"/>
  <c r="R65" i="22" s="1"/>
  <c r="J58" i="23"/>
  <c r="J61" i="23" s="1"/>
  <c r="J64" i="23" s="1"/>
  <c r="J58" i="24"/>
  <c r="J61" i="24" s="1"/>
  <c r="J64" i="24" s="1"/>
  <c r="J65" i="24" s="1"/>
  <c r="R58" i="24"/>
  <c r="R61" i="24" s="1"/>
  <c r="F57" i="24"/>
  <c r="T58" i="30"/>
  <c r="T61" i="30" s="1"/>
  <c r="T64" i="30" s="1"/>
  <c r="T65" i="30" s="1"/>
  <c r="C58" i="23"/>
  <c r="C61" i="23" s="1"/>
  <c r="K58" i="23"/>
  <c r="K61" i="23" s="1"/>
  <c r="S58" i="23"/>
  <c r="S61" i="23" s="1"/>
  <c r="F58" i="26"/>
  <c r="F61" i="26" s="1"/>
  <c r="D58" i="27"/>
  <c r="D61" i="27" s="1"/>
  <c r="D64" i="27" s="1"/>
  <c r="D65" i="27" s="1"/>
  <c r="L58" i="27"/>
  <c r="L61" i="27" s="1"/>
  <c r="T58" i="27"/>
  <c r="T61" i="27" s="1"/>
  <c r="J58" i="30"/>
  <c r="J61" i="30" s="1"/>
  <c r="R58" i="30"/>
  <c r="R61" i="30" s="1"/>
  <c r="P57" i="30"/>
  <c r="J57" i="21"/>
  <c r="H59" i="21"/>
  <c r="Q23" i="22"/>
  <c r="Q24" i="22" s="1"/>
  <c r="R21" i="27"/>
  <c r="R23" i="27" s="1"/>
  <c r="R24" i="27" s="1"/>
  <c r="E58" i="27"/>
  <c r="E61" i="27" s="1"/>
  <c r="E64" i="27" s="1"/>
  <c r="M58" i="27"/>
  <c r="M61" i="27" s="1"/>
  <c r="U58" i="27"/>
  <c r="U61" i="27" s="1"/>
  <c r="I58" i="29"/>
  <c r="I61" i="29" s="1"/>
  <c r="Q58" i="29"/>
  <c r="Q61" i="29" s="1"/>
  <c r="Q64" i="29" s="1"/>
  <c r="Q65"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R65" i="29" s="1"/>
  <c r="P57" i="29"/>
  <c r="G58" i="30"/>
  <c r="G61" i="30" s="1"/>
  <c r="O58" i="30"/>
  <c r="O61" i="30" s="1"/>
  <c r="Q57" i="30"/>
  <c r="A36" i="22"/>
  <c r="G58" i="27"/>
  <c r="G61" i="27" s="1"/>
  <c r="T58" i="28"/>
  <c r="T61" i="28" s="1"/>
  <c r="C58" i="29"/>
  <c r="C61" i="29" s="1"/>
  <c r="H58" i="30"/>
  <c r="H61" i="30" s="1"/>
  <c r="N59" i="30"/>
  <c r="Q57" i="21"/>
  <c r="B58" i="21"/>
  <c r="B61" i="21" s="1"/>
  <c r="I58" i="22"/>
  <c r="I61" i="22" s="1"/>
  <c r="Q58" i="22"/>
  <c r="Q61" i="22" s="1"/>
  <c r="D58" i="23"/>
  <c r="D61" i="23" s="1"/>
  <c r="L58" i="23"/>
  <c r="L61" i="23" s="1"/>
  <c r="T58" i="23"/>
  <c r="T61"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P59" i="30"/>
  <c r="L58" i="24"/>
  <c r="L61" i="24" s="1"/>
  <c r="P58" i="26"/>
  <c r="P61" i="26" s="1"/>
  <c r="F59" i="26"/>
  <c r="O58" i="27"/>
  <c r="O61" i="27" s="1"/>
  <c r="A38" i="21"/>
  <c r="F57" i="22"/>
  <c r="N59" i="22"/>
  <c r="E58" i="23"/>
  <c r="E61" i="23" s="1"/>
  <c r="M58" i="23"/>
  <c r="M61" i="23" s="1"/>
  <c r="U58" i="23"/>
  <c r="U61" i="23" s="1"/>
  <c r="U64" i="23" s="1"/>
  <c r="U65" i="23" s="1"/>
  <c r="O23" i="24"/>
  <c r="O24" i="24" s="1"/>
  <c r="F58" i="24"/>
  <c r="F61" i="24" s="1"/>
  <c r="N58" i="24"/>
  <c r="N61" i="24" s="1"/>
  <c r="F59" i="24"/>
  <c r="I58" i="27"/>
  <c r="I61" i="27" s="1"/>
  <c r="Q58" i="27"/>
  <c r="Q61" i="27" s="1"/>
  <c r="H57" i="27"/>
  <c r="F59" i="27"/>
  <c r="F58" i="28"/>
  <c r="F61" i="28" s="1"/>
  <c r="N58" i="28"/>
  <c r="N61" i="28" s="1"/>
  <c r="E58" i="29"/>
  <c r="E61" i="29" s="1"/>
  <c r="M58" i="29"/>
  <c r="M61" i="29" s="1"/>
  <c r="U58" i="29"/>
  <c r="U61" i="29" s="1"/>
  <c r="F57" i="30"/>
  <c r="N58" i="26"/>
  <c r="N61" i="26" s="1"/>
  <c r="T58" i="24"/>
  <c r="T61" i="24" s="1"/>
  <c r="H58" i="26"/>
  <c r="H61" i="26" s="1"/>
  <c r="L58" i="28"/>
  <c r="L61" i="28" s="1"/>
  <c r="S58" i="29"/>
  <c r="S61" i="29" s="1"/>
  <c r="S64" i="29" s="1"/>
  <c r="S65" i="29" s="1"/>
  <c r="P23" i="22"/>
  <c r="P24" i="22" s="1"/>
  <c r="C58" i="22"/>
  <c r="C61" i="22" s="1"/>
  <c r="K58" i="22"/>
  <c r="K61" i="22" s="1"/>
  <c r="S58" i="22"/>
  <c r="S61" i="22" s="1"/>
  <c r="F57" i="23"/>
  <c r="G58" i="24"/>
  <c r="G61" i="24" s="1"/>
  <c r="O58" i="24"/>
  <c r="O61" i="24" s="1"/>
  <c r="N59" i="24"/>
  <c r="C58" i="26"/>
  <c r="C61" i="26" s="1"/>
  <c r="K58" i="26"/>
  <c r="K61" i="26" s="1"/>
  <c r="S58" i="26"/>
  <c r="S61" i="26" s="1"/>
  <c r="P23" i="27"/>
  <c r="P24" i="27" s="1"/>
  <c r="N57" i="27"/>
  <c r="H59" i="27"/>
  <c r="G58" i="28"/>
  <c r="G61" i="28" s="1"/>
  <c r="O58" i="28"/>
  <c r="O61" i="28" s="1"/>
  <c r="F57" i="28"/>
  <c r="F58" i="29"/>
  <c r="F61" i="29" s="1"/>
  <c r="N58" i="29"/>
  <c r="N61" i="29" s="1"/>
  <c r="H59" i="29"/>
  <c r="C58" i="30"/>
  <c r="C61" i="30" s="1"/>
  <c r="C64" i="30" s="1"/>
  <c r="K58" i="30"/>
  <c r="K61" i="30" s="1"/>
  <c r="S58" i="30"/>
  <c r="S61" i="30" s="1"/>
  <c r="H57" i="30"/>
  <c r="D58" i="24"/>
  <c r="D61" i="24" s="1"/>
  <c r="D64" i="24" s="1"/>
  <c r="D58" i="28"/>
  <c r="D61"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Q24" i="26" s="1"/>
  <c r="D58" i="26"/>
  <c r="D61" i="26" s="1"/>
  <c r="L58" i="26"/>
  <c r="L61" i="26" s="1"/>
  <c r="T58" i="26"/>
  <c r="T61" i="26" s="1"/>
  <c r="F57" i="26"/>
  <c r="C58" i="27"/>
  <c r="C61" i="27" s="1"/>
  <c r="K58" i="27"/>
  <c r="K61" i="27" s="1"/>
  <c r="S58" i="27"/>
  <c r="S61" i="27" s="1"/>
  <c r="S64" i="27" s="1"/>
  <c r="S65" i="27" s="1"/>
  <c r="P57" i="27"/>
  <c r="N59" i="27"/>
  <c r="H58" i="28"/>
  <c r="H61" i="28" s="1"/>
  <c r="P58" i="28"/>
  <c r="P61" i="28" s="1"/>
  <c r="N57" i="28"/>
  <c r="G58" i="29"/>
  <c r="G61" i="29" s="1"/>
  <c r="O58" i="29"/>
  <c r="O61" i="29" s="1"/>
  <c r="P59" i="29"/>
  <c r="I57" i="30"/>
  <c r="M19" i="21"/>
  <c r="G57" i="21"/>
  <c r="E58" i="22"/>
  <c r="E61" i="22" s="1"/>
  <c r="E64" i="22" s="1"/>
  <c r="M58" i="22"/>
  <c r="M61" i="22" s="1"/>
  <c r="U58" i="22"/>
  <c r="U61" i="22" s="1"/>
  <c r="A45" i="22"/>
  <c r="O57" i="22"/>
  <c r="H58" i="23"/>
  <c r="H61" i="23" s="1"/>
  <c r="P58" i="23"/>
  <c r="P61" i="23" s="1"/>
  <c r="I58" i="24"/>
  <c r="I61" i="24" s="1"/>
  <c r="Q58" i="24"/>
  <c r="Q61" i="24" s="1"/>
  <c r="Q64" i="24" s="1"/>
  <c r="Q65" i="24" s="1"/>
  <c r="E58" i="26"/>
  <c r="E61" i="26" s="1"/>
  <c r="M58" i="26"/>
  <c r="M61" i="26" s="1"/>
  <c r="U58" i="26"/>
  <c r="U61" i="26" s="1"/>
  <c r="N57" i="26"/>
  <c r="P59" i="27"/>
  <c r="I58" i="28"/>
  <c r="I61" i="28" s="1"/>
  <c r="Q58" i="28"/>
  <c r="Q61" i="28" s="1"/>
  <c r="H58" i="29"/>
  <c r="H61" i="29" s="1"/>
  <c r="P58" i="29"/>
  <c r="P61" i="29" s="1"/>
  <c r="E58" i="30"/>
  <c r="E61" i="30" s="1"/>
  <c r="E64" i="30" s="1"/>
  <c r="E65" i="30" s="1"/>
  <c r="M58" i="30"/>
  <c r="M61" i="30" s="1"/>
  <c r="U58" i="30"/>
  <c r="U61"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R19" i="30"/>
  <c r="F63" i="30"/>
  <c r="N63" i="30"/>
  <c r="A31" i="30"/>
  <c r="A33" i="30"/>
  <c r="A39" i="30"/>
  <c r="A41" i="30"/>
  <c r="A47" i="30"/>
  <c r="A49" i="30"/>
  <c r="G57" i="30"/>
  <c r="O57" i="30"/>
  <c r="G59" i="30"/>
  <c r="O59" i="30"/>
  <c r="G63" i="30"/>
  <c r="O63" i="30"/>
  <c r="P63" i="30"/>
  <c r="I63" i="30"/>
  <c r="Q63" i="30"/>
  <c r="V19" i="30"/>
  <c r="B63" i="30"/>
  <c r="J63" i="30"/>
  <c r="R63" i="30"/>
  <c r="A32" i="30"/>
  <c r="A34" i="30"/>
  <c r="A40" i="30"/>
  <c r="A42" i="30"/>
  <c r="A48" i="30"/>
  <c r="A50" i="30"/>
  <c r="C63" i="30"/>
  <c r="K63" i="30"/>
  <c r="S63" i="30"/>
  <c r="P19" i="30"/>
  <c r="D63" i="30"/>
  <c r="L63" i="30"/>
  <c r="T63" i="30"/>
  <c r="H63" i="30"/>
  <c r="E63" i="30"/>
  <c r="M63" i="30"/>
  <c r="O23" i="29"/>
  <c r="O24" i="29" s="1"/>
  <c r="T19" i="29"/>
  <c r="P63" i="29"/>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U23" i="29"/>
  <c r="U24" i="29" s="1"/>
  <c r="I57" i="29"/>
  <c r="Q57" i="29"/>
  <c r="I63" i="29"/>
  <c r="Q63" i="29"/>
  <c r="V19" i="29"/>
  <c r="B63" i="29"/>
  <c r="J63" i="29"/>
  <c r="R63" i="29"/>
  <c r="O19" i="29"/>
  <c r="A32" i="29"/>
  <c r="A34" i="29"/>
  <c r="A40" i="29"/>
  <c r="A42" i="29"/>
  <c r="A48" i="29"/>
  <c r="A50" i="29"/>
  <c r="C63" i="29"/>
  <c r="K63" i="29"/>
  <c r="S63" i="29"/>
  <c r="D63" i="29"/>
  <c r="L63" i="29"/>
  <c r="T63" i="29"/>
  <c r="E63" i="29"/>
  <c r="M63" i="29"/>
  <c r="A31" i="28"/>
  <c r="A33" i="28"/>
  <c r="A37" i="28"/>
  <c r="A39" i="28"/>
  <c r="A41" i="28"/>
  <c r="A45" i="28"/>
  <c r="A47" i="28"/>
  <c r="A49" i="28"/>
  <c r="G57" i="28"/>
  <c r="O57" i="28"/>
  <c r="G59" i="28"/>
  <c r="O59" i="28"/>
  <c r="G63" i="28"/>
  <c r="O63" i="28"/>
  <c r="D19" i="28"/>
  <c r="D20" i="28" s="1"/>
  <c r="L23" i="28"/>
  <c r="L24" i="28" s="1"/>
  <c r="H59" i="28"/>
  <c r="P59" i="28"/>
  <c r="H63" i="28"/>
  <c r="P63" i="28"/>
  <c r="M19" i="28"/>
  <c r="U19" i="28"/>
  <c r="M23" i="28"/>
  <c r="M24" i="28" s="1"/>
  <c r="I57" i="28"/>
  <c r="Q57" i="28"/>
  <c r="I63" i="28"/>
  <c r="Q63" i="28"/>
  <c r="R19" i="28"/>
  <c r="V23" i="28"/>
  <c r="V24" i="28" s="1"/>
  <c r="B63" i="28"/>
  <c r="J63" i="28"/>
  <c r="R63" i="28"/>
  <c r="A32" i="28"/>
  <c r="A34" i="28"/>
  <c r="A40" i="28"/>
  <c r="A42" i="28"/>
  <c r="A48" i="28"/>
  <c r="A50" i="28"/>
  <c r="C63" i="28"/>
  <c r="K63" i="28"/>
  <c r="S63" i="28"/>
  <c r="D63" i="28"/>
  <c r="L63" i="28"/>
  <c r="T63" i="28"/>
  <c r="I19" i="28"/>
  <c r="I20" i="28" s="1"/>
  <c r="E63" i="28"/>
  <c r="M63" i="28"/>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E63" i="27"/>
  <c r="M63" i="27"/>
  <c r="O23" i="26"/>
  <c r="O24" i="26" s="1"/>
  <c r="A31" i="26"/>
  <c r="A33" i="26"/>
  <c r="A37" i="26"/>
  <c r="A39" i="26"/>
  <c r="A41" i="26"/>
  <c r="A45" i="26"/>
  <c r="A47" i="26"/>
  <c r="A49" i="26"/>
  <c r="G57" i="26"/>
  <c r="O57" i="26"/>
  <c r="G59" i="26"/>
  <c r="O59" i="26"/>
  <c r="G63" i="26"/>
  <c r="O63" i="26"/>
  <c r="T19" i="26"/>
  <c r="H63" i="26"/>
  <c r="P63" i="26"/>
  <c r="E23" i="26"/>
  <c r="E24" i="26" s="1"/>
  <c r="M23" i="26"/>
  <c r="M24" i="26" s="1"/>
  <c r="I57" i="26"/>
  <c r="Q57" i="26"/>
  <c r="I59" i="26"/>
  <c r="Q59" i="26"/>
  <c r="I63" i="26"/>
  <c r="Q63" i="26"/>
  <c r="V23" i="26"/>
  <c r="V24" i="26" s="1"/>
  <c r="B63" i="26"/>
  <c r="J63" i="26"/>
  <c r="R63" i="26"/>
  <c r="A32" i="26"/>
  <c r="A34" i="26"/>
  <c r="A40" i="26"/>
  <c r="A42" i="26"/>
  <c r="A48" i="26"/>
  <c r="A50" i="26"/>
  <c r="C63" i="26"/>
  <c r="K63" i="26"/>
  <c r="S63" i="26"/>
  <c r="H19" i="26"/>
  <c r="H20" i="26" s="1"/>
  <c r="P19" i="26"/>
  <c r="D63" i="26"/>
  <c r="L63" i="26"/>
  <c r="I19" i="26"/>
  <c r="I20" i="26" s="1"/>
  <c r="P23" i="24"/>
  <c r="P24" i="24" s="1"/>
  <c r="A31" i="24"/>
  <c r="A33" i="24"/>
  <c r="A37" i="24"/>
  <c r="A39" i="24"/>
  <c r="A41" i="24"/>
  <c r="A45" i="24"/>
  <c r="A47" i="24"/>
  <c r="A49" i="24"/>
  <c r="G57" i="24"/>
  <c r="O57" i="24"/>
  <c r="G59" i="24"/>
  <c r="O59" i="24"/>
  <c r="G63" i="24"/>
  <c r="O63" i="24"/>
  <c r="H59" i="24"/>
  <c r="P59" i="24"/>
  <c r="H63" i="24"/>
  <c r="P63" i="24"/>
  <c r="E19" i="24"/>
  <c r="E20"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A31" i="23"/>
  <c r="A33" i="23"/>
  <c r="A37" i="23"/>
  <c r="A39" i="23"/>
  <c r="A41" i="23"/>
  <c r="A45" i="23"/>
  <c r="A47" i="23"/>
  <c r="A49" i="23"/>
  <c r="G57" i="23"/>
  <c r="O57" i="23"/>
  <c r="G59" i="23"/>
  <c r="O59" i="23"/>
  <c r="I57" i="23"/>
  <c r="Q57" i="23"/>
  <c r="O19" i="23"/>
  <c r="A32" i="23"/>
  <c r="A34" i="23"/>
  <c r="A40" i="23"/>
  <c r="A42" i="23"/>
  <c r="A48" i="23"/>
  <c r="A50" i="23"/>
  <c r="H19" i="23"/>
  <c r="H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A31" i="22"/>
  <c r="A33" i="22"/>
  <c r="A41" i="22"/>
  <c r="A47" i="22"/>
  <c r="M19" i="22"/>
  <c r="I57" i="22"/>
  <c r="Q57" i="22"/>
  <c r="A39" i="22"/>
  <c r="A49" i="22"/>
  <c r="G19" i="22"/>
  <c r="G20" i="22" s="1"/>
  <c r="A32" i="22"/>
  <c r="A34" i="22"/>
  <c r="A40" i="22"/>
  <c r="A42" i="22"/>
  <c r="A48" i="22"/>
  <c r="A50" i="22"/>
  <c r="P19" i="22"/>
  <c r="A33" i="21"/>
  <c r="A37" i="21"/>
  <c r="A41" i="21"/>
  <c r="A45" i="21"/>
  <c r="A49" i="21"/>
  <c r="E58" i="21"/>
  <c r="E61" i="21" s="1"/>
  <c r="M58" i="21"/>
  <c r="M61" i="21" s="1"/>
  <c r="U58" i="21"/>
  <c r="U61" i="21" s="1"/>
  <c r="C57" i="21"/>
  <c r="K57" i="21"/>
  <c r="S57" i="21"/>
  <c r="Q19" i="21"/>
  <c r="R23" i="21"/>
  <c r="R24"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2" l="1"/>
  <c r="C23" i="22"/>
  <c r="C24" i="22" s="1"/>
  <c r="J65" i="23"/>
  <c r="C19" i="29"/>
  <c r="C20" i="29" s="1"/>
  <c r="K64" i="30"/>
  <c r="K64" i="21"/>
  <c r="K65" i="21" s="1"/>
  <c r="D65" i="24"/>
  <c r="B65" i="24"/>
  <c r="H65" i="26"/>
  <c r="K65" i="30"/>
  <c r="C65" i="30"/>
  <c r="J65" i="27"/>
  <c r="E65" i="27"/>
  <c r="C23" i="21"/>
  <c r="C24" i="21" s="1"/>
  <c r="K64" i="22"/>
  <c r="K65" i="22" s="1"/>
  <c r="I64" i="29"/>
  <c r="I65" i="29" s="1"/>
  <c r="I64" i="28"/>
  <c r="I65" i="28" s="1"/>
  <c r="D64" i="30"/>
  <c r="D65" i="30" s="1"/>
  <c r="D64" i="28"/>
  <c r="D65" i="28" s="1"/>
  <c r="M64" i="22"/>
  <c r="M65" i="22" s="1"/>
  <c r="E64" i="23"/>
  <c r="E65" i="23" s="1"/>
  <c r="C64" i="21"/>
  <c r="C65" i="21" s="1"/>
  <c r="K64" i="27"/>
  <c r="K65" i="27" s="1"/>
  <c r="M64" i="26"/>
  <c r="M66" i="26" s="1"/>
  <c r="C64" i="22"/>
  <c r="C65" i="22" s="1"/>
  <c r="R64" i="28"/>
  <c r="R65" i="28" s="1"/>
  <c r="C64" i="26"/>
  <c r="C65" i="26" s="1"/>
  <c r="T64" i="29"/>
  <c r="T65" i="29" s="1"/>
  <c r="F64" i="26"/>
  <c r="F65" i="26" s="1"/>
  <c r="O64" i="22"/>
  <c r="O65" i="22" s="1"/>
  <c r="L64" i="26"/>
  <c r="L65" i="26" s="1"/>
  <c r="K64" i="28"/>
  <c r="K65" i="28" s="1"/>
  <c r="S64" i="22"/>
  <c r="S65" i="22" s="1"/>
  <c r="O64" i="21"/>
  <c r="O65" i="21" s="1"/>
  <c r="U64" i="30"/>
  <c r="S64" i="26"/>
  <c r="S65" i="26" s="1"/>
  <c r="Q64" i="27"/>
  <c r="Q65" i="27" s="1"/>
  <c r="H64" i="30"/>
  <c r="H65" i="30" s="1"/>
  <c r="C64" i="23"/>
  <c r="C65" i="23" s="1"/>
  <c r="P64" i="21"/>
  <c r="P65" i="21" s="1"/>
  <c r="G64" i="30"/>
  <c r="G65" i="30" s="1"/>
  <c r="Q64" i="28"/>
  <c r="Q65" i="28" s="1"/>
  <c r="L64" i="24"/>
  <c r="L65" i="24" s="1"/>
  <c r="T64" i="28"/>
  <c r="T65" i="28" s="1"/>
  <c r="R64" i="21"/>
  <c r="R65" i="21" s="1"/>
  <c r="H64" i="22"/>
  <c r="H65" i="22" s="1"/>
  <c r="L64" i="30"/>
  <c r="L65" i="30" s="1"/>
  <c r="T64" i="24"/>
  <c r="T65" i="24" s="1"/>
  <c r="I64" i="27"/>
  <c r="I65" i="27" s="1"/>
  <c r="N66" i="21"/>
  <c r="N65" i="21"/>
  <c r="T64" i="23"/>
  <c r="T65" i="23" s="1"/>
  <c r="H64" i="23"/>
  <c r="H65" i="23" s="1"/>
  <c r="C64" i="27"/>
  <c r="C65" i="27" s="1"/>
  <c r="I64" i="30"/>
  <c r="I65" i="30" s="1"/>
  <c r="L64" i="23"/>
  <c r="L65" i="23" s="1"/>
  <c r="I64" i="23"/>
  <c r="I65" i="23" s="1"/>
  <c r="Q64" i="26"/>
  <c r="Q65" i="26" s="1"/>
  <c r="R64" i="30"/>
  <c r="R65" i="30" s="1"/>
  <c r="U66" i="26"/>
  <c r="U65" i="26"/>
  <c r="P64" i="23"/>
  <c r="P65" i="23" s="1"/>
  <c r="U64" i="21"/>
  <c r="I64" i="26"/>
  <c r="I65" i="26" s="1"/>
  <c r="J64" i="30"/>
  <c r="J65" i="30" s="1"/>
  <c r="T64" i="21"/>
  <c r="T65" i="21" s="1"/>
  <c r="C64" i="29"/>
  <c r="C65" i="29" s="1"/>
  <c r="Q64" i="30"/>
  <c r="Q65" i="30" s="1"/>
  <c r="I64" i="22"/>
  <c r="I65" i="22" s="1"/>
  <c r="T64" i="27"/>
  <c r="T65" i="27" s="1"/>
  <c r="U66" i="30"/>
  <c r="U65" i="30"/>
  <c r="J64" i="28"/>
  <c r="J65" i="28"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P66" i="22"/>
  <c r="O64" i="27"/>
  <c r="O64" i="28"/>
  <c r="N64" i="27"/>
  <c r="N64" i="30"/>
  <c r="G64" i="26"/>
  <c r="G64" i="29"/>
  <c r="F64" i="22"/>
  <c r="O64" i="26"/>
  <c r="R66" i="22"/>
  <c r="T66" i="24"/>
  <c r="U66" i="23"/>
  <c r="P64" i="30"/>
  <c r="E66" i="22"/>
  <c r="Q66" i="21"/>
  <c r="K66" i="27"/>
  <c r="G64" i="23"/>
  <c r="Q66" i="24"/>
  <c r="R66" i="27"/>
  <c r="J66" i="27"/>
  <c r="G64" i="27"/>
  <c r="F64" i="27"/>
  <c r="T66" i="27"/>
  <c r="S66" i="23"/>
  <c r="E66" i="30"/>
  <c r="L66" i="21"/>
  <c r="S66" i="26"/>
  <c r="L66" i="28"/>
  <c r="T66" i="30"/>
  <c r="H66" i="22"/>
  <c r="N64" i="26"/>
  <c r="O64" i="29"/>
  <c r="P64" i="29"/>
  <c r="S64" i="1"/>
  <c r="R66" i="26"/>
  <c r="D66" i="27"/>
  <c r="N64" i="29"/>
  <c r="R66" i="30"/>
  <c r="L66" i="23"/>
  <c r="O66" i="22"/>
  <c r="R64" i="1"/>
  <c r="J66" i="23"/>
  <c r="Q64" i="1"/>
  <c r="U64" i="1"/>
  <c r="P64" i="1"/>
  <c r="E66" i="27"/>
  <c r="J66" i="24"/>
  <c r="Q66" i="29"/>
  <c r="F64" i="29"/>
  <c r="O64" i="23"/>
  <c r="O64" i="30"/>
  <c r="N64" i="24"/>
  <c r="B66" i="30"/>
  <c r="B66" i="24"/>
  <c r="K66" i="30"/>
  <c r="C66" i="30"/>
  <c r="R66" i="29"/>
  <c r="S66" i="29"/>
  <c r="D66" i="28"/>
  <c r="Q66" i="28"/>
  <c r="S66" i="28"/>
  <c r="P66" i="27"/>
  <c r="Q66" i="26"/>
  <c r="H66" i="26"/>
  <c r="D66" i="24"/>
  <c r="I66" i="23"/>
  <c r="E66" i="23"/>
  <c r="S66" i="22"/>
  <c r="T66" i="22"/>
  <c r="C66" i="21"/>
  <c r="D66" i="21"/>
  <c r="R66" i="21"/>
  <c r="N64" i="1"/>
  <c r="M64" i="1"/>
  <c r="T64" i="1"/>
  <c r="L64" i="1"/>
  <c r="J64" i="1"/>
  <c r="K64" i="1"/>
  <c r="O64" i="1"/>
  <c r="C64" i="1"/>
  <c r="I64" i="1"/>
  <c r="H64" i="1"/>
  <c r="G64" i="1"/>
  <c r="F64" i="1"/>
  <c r="E64" i="1"/>
  <c r="D64" i="1"/>
  <c r="B64" i="1"/>
  <c r="D63" i="1"/>
  <c r="L63" i="1"/>
  <c r="L65" i="1" s="1"/>
  <c r="F63" i="1"/>
  <c r="R63" i="1"/>
  <c r="J63" i="1"/>
  <c r="J65" i="1" s="1"/>
  <c r="Q63" i="1"/>
  <c r="I63" i="1"/>
  <c r="I65" i="1" s="1"/>
  <c r="C63" i="1"/>
  <c r="C65" i="1" s="1"/>
  <c r="K63" i="1"/>
  <c r="K65" i="1" s="1"/>
  <c r="P63" i="1"/>
  <c r="P65" i="1" s="1"/>
  <c r="H63" i="1"/>
  <c r="T63" i="1"/>
  <c r="S63" i="1"/>
  <c r="O63" i="1"/>
  <c r="G63" i="1"/>
  <c r="N63" i="1"/>
  <c r="E63" i="1"/>
  <c r="B63" i="1"/>
  <c r="U63" i="1"/>
  <c r="U65" i="1" s="1"/>
  <c r="M63" i="1"/>
  <c r="K66" i="21" l="1"/>
  <c r="K66" i="22"/>
  <c r="D65" i="1"/>
  <c r="I66" i="28"/>
  <c r="I66" i="29"/>
  <c r="M66" i="29"/>
  <c r="G66" i="30"/>
  <c r="M65" i="1"/>
  <c r="M66" i="22"/>
  <c r="B65" i="1"/>
  <c r="C66" i="29"/>
  <c r="C66" i="23"/>
  <c r="L66" i="24"/>
  <c r="N65" i="1"/>
  <c r="G65" i="1"/>
  <c r="D66" i="29"/>
  <c r="L66" i="26"/>
  <c r="E65" i="1"/>
  <c r="I66" i="26"/>
  <c r="H66" i="23"/>
  <c r="C66" i="26"/>
  <c r="H66" i="30"/>
  <c r="S65" i="1"/>
  <c r="I66" i="27"/>
  <c r="T66" i="1"/>
  <c r="T65" i="1"/>
  <c r="P66" i="21"/>
  <c r="M65" i="26"/>
  <c r="F66" i="26"/>
  <c r="D66" i="26"/>
  <c r="Q66" i="1"/>
  <c r="Q65" i="1"/>
  <c r="T66" i="28"/>
  <c r="T66" i="29"/>
  <c r="R65" i="1"/>
  <c r="F65" i="1"/>
  <c r="O65" i="1"/>
  <c r="I66" i="22"/>
  <c r="Q66" i="27"/>
  <c r="C66" i="22"/>
  <c r="H65" i="1"/>
  <c r="N66" i="23"/>
  <c r="K66" i="28"/>
  <c r="R66" i="28"/>
  <c r="J66" i="26"/>
  <c r="L66" i="30"/>
  <c r="E66" i="28"/>
  <c r="E65" i="28"/>
  <c r="N66" i="28"/>
  <c r="N65" i="28"/>
  <c r="L66" i="29"/>
  <c r="O66" i="26"/>
  <c r="O65" i="26"/>
  <c r="U66" i="27"/>
  <c r="U65" i="27"/>
  <c r="C66" i="24"/>
  <c r="C65" i="24"/>
  <c r="G66" i="22"/>
  <c r="G65" i="22"/>
  <c r="E66" i="24"/>
  <c r="E65" i="24"/>
  <c r="F66" i="21"/>
  <c r="F65" i="21"/>
  <c r="O66" i="24"/>
  <c r="O65" i="24"/>
  <c r="N66" i="26"/>
  <c r="N65" i="26"/>
  <c r="N66" i="27"/>
  <c r="N65" i="27"/>
  <c r="H66" i="24"/>
  <c r="H65" i="24"/>
  <c r="R66" i="24"/>
  <c r="R65" i="24"/>
  <c r="J66" i="21"/>
  <c r="J65" i="21"/>
  <c r="F66" i="29"/>
  <c r="F65" i="29"/>
  <c r="G66" i="23"/>
  <c r="G65" i="23"/>
  <c r="J66" i="22"/>
  <c r="J65" i="22"/>
  <c r="B66" i="21"/>
  <c r="B65" i="21"/>
  <c r="F66" i="23"/>
  <c r="F65" i="23"/>
  <c r="C66" i="28"/>
  <c r="C65" i="28"/>
  <c r="H66" i="27"/>
  <c r="H65" i="27"/>
  <c r="E66" i="21"/>
  <c r="E65" i="21"/>
  <c r="H66" i="29"/>
  <c r="H65" i="29"/>
  <c r="N66" i="30"/>
  <c r="N65" i="30"/>
  <c r="T66" i="21"/>
  <c r="T66" i="26"/>
  <c r="T65" i="26"/>
  <c r="O66" i="28"/>
  <c r="O65" i="28"/>
  <c r="K66" i="29"/>
  <c r="K65" i="29"/>
  <c r="D66" i="22"/>
  <c r="F66" i="27"/>
  <c r="F65" i="27"/>
  <c r="F66" i="22"/>
  <c r="F65" i="22"/>
  <c r="B66" i="26"/>
  <c r="B65" i="26"/>
  <c r="U66" i="24"/>
  <c r="U65" i="24"/>
  <c r="K66" i="26"/>
  <c r="K65" i="26"/>
  <c r="M66" i="27"/>
  <c r="M65" i="27"/>
  <c r="K66" i="23"/>
  <c r="K65" i="23"/>
  <c r="S66" i="21"/>
  <c r="S65" i="21"/>
  <c r="M66" i="28"/>
  <c r="C66" i="27"/>
  <c r="F66" i="28"/>
  <c r="F65" i="28"/>
  <c r="H66" i="28"/>
  <c r="H65" i="28"/>
  <c r="O66" i="23"/>
  <c r="O65" i="23"/>
  <c r="L66" i="22"/>
  <c r="G66" i="24"/>
  <c r="G65" i="24"/>
  <c r="P66" i="26"/>
  <c r="Q66" i="22"/>
  <c r="L66" i="27"/>
  <c r="L65" i="27"/>
  <c r="T66" i="23"/>
  <c r="G66" i="29"/>
  <c r="G65" i="29"/>
  <c r="B66" i="27"/>
  <c r="B65" i="27"/>
  <c r="U66" i="28"/>
  <c r="U65" i="28"/>
  <c r="M66" i="30"/>
  <c r="M65" i="30"/>
  <c r="B66" i="23"/>
  <c r="B65" i="23"/>
  <c r="F66" i="30"/>
  <c r="F65" i="30"/>
  <c r="G66" i="21"/>
  <c r="G65" i="21"/>
  <c r="R66" i="23"/>
  <c r="R65" i="23"/>
  <c r="B66" i="22"/>
  <c r="B65" i="22"/>
  <c r="U66" i="22"/>
  <c r="U65" i="22"/>
  <c r="E66" i="29"/>
  <c r="E65" i="29"/>
  <c r="N66" i="24"/>
  <c r="N65" i="24"/>
  <c r="J66" i="29"/>
  <c r="J65" i="29"/>
  <c r="D66" i="23"/>
  <c r="O66" i="27"/>
  <c r="O65" i="27"/>
  <c r="U66" i="21"/>
  <c r="U65" i="21"/>
  <c r="P66" i="29"/>
  <c r="P65" i="29"/>
  <c r="S66" i="24"/>
  <c r="G66" i="26"/>
  <c r="G65" i="26"/>
  <c r="B66" i="28"/>
  <c r="B65" i="28"/>
  <c r="I66" i="21"/>
  <c r="I65" i="21"/>
  <c r="Q66" i="23"/>
  <c r="Q65" i="23"/>
  <c r="M66" i="23"/>
  <c r="M65" i="23"/>
  <c r="P66" i="30"/>
  <c r="P65" i="30"/>
  <c r="E66" i="26"/>
  <c r="E65" i="26"/>
  <c r="G66" i="28"/>
  <c r="G65" i="28"/>
  <c r="O66" i="30"/>
  <c r="O65" i="30"/>
  <c r="F66" i="24"/>
  <c r="F65" i="24"/>
  <c r="N66" i="29"/>
  <c r="N65" i="29"/>
  <c r="M66" i="24"/>
  <c r="K66" i="24"/>
  <c r="M66" i="21"/>
  <c r="I66" i="30"/>
  <c r="J66" i="30"/>
  <c r="H66" i="21"/>
  <c r="P66" i="24"/>
  <c r="I66" i="24"/>
  <c r="O66" i="29"/>
  <c r="O65" i="29"/>
  <c r="G66" i="27"/>
  <c r="G65" i="27"/>
  <c r="P66" i="23"/>
  <c r="J66" i="28"/>
  <c r="B66" i="29"/>
  <c r="B65" i="29"/>
  <c r="P66" i="28"/>
  <c r="P65" i="28"/>
  <c r="U66" i="29"/>
  <c r="U65" i="29"/>
  <c r="S66" i="30"/>
  <c r="S65" i="30"/>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<sst xmlns="http://schemas.openxmlformats.org/spreadsheetml/2006/main" count="2261" uniqueCount="176">
  <si>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</si>
  <si>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</si>
  <si>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</si>
  <si>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</si>
  <si>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</si>
  <si>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</si>
  <si>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</si>
  <si>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</si>
  <si>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</si>
  <si>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</si>
  <si>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</si>
  <si>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</si>
  <si>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</si>
  <si>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</si>
  <si>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</si>
  <si>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</si>
  <si>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</si>
  <si>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</si>
  <si>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</si>
  <si>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</si>
  <si>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</si>
  <si>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</si>
  <si>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</si>
  <si>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</si>
  <si>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</si>
  <si>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</si>
  <si>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</si>
  <si>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</si>
  <si>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</si>
  <si>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</si>
  <si>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</si>
  <si>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</si>
  <si>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</si>
  <si>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</si>
  <si>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</si>
  <si>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</si>
  <si>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</si>
  <si>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</si>
  <si>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</si>
  <si>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</si>
  <si>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</si>
  <si>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</si>
  <si>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</si>
  <si>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</si>
  <si>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</si>
  <si>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</si>
  <si>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</si>
  <si>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</si>
  <si>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</si>
  <si>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</si>
  <si>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</si>
  <si>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</si>
  <si>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</si>
  <si>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</si>
  <si>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</si>
  <si>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</si>
  <si>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</si>
  <si>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</si>
  <si>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</si>
  <si>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</si>
  <si>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</si>
  <si>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</si>
  <si>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</si>
  <si>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</si>
  <si>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</si>
  <si>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</si>
  <si>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</si>
  <si>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</si>
  <si>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</si>
  <si>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</si>
  <si>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</si>
  <si>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</si>
  <si>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</si>
  <si>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</si>
  <si>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</si>
  <si>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</si>
  <si>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</si>
  <si>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</si>
  <si>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</si>
  <si>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</si>
  <si>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</si>
  <si>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</si>
  <si>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</si>
  <si>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</si>
  <si>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</si>
  <si>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</si>
  <si>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</si>
  <si>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</si>
  <si>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</si>
  <si>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</si>
  <si>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</si>
  <si>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</si>
  <si>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</si>
  <si>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</si>
  <si>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</si>
  <si>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</si>
  <si>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</si>
  <si>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</si>
  <si>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</si>
  <si>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</si>
  <si>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</si>
  <si>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</si>
  <si>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</si>
  <si>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</si>
  <si>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</si>
  <si>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</si>
  <si>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</si>
  <si>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</si>
  <si>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</si>
  <si>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</si>
  <si>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</si>
  <si>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</si>
  <si>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</si>
  <si>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</si>
  <si>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</si>
  <si>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</si>
  <si>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</si>
  <si>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</si>
  <si>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</si>
  <si>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</si>
  <si>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</si>
  <si>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</si>
  <si>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</si>
  <si>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</si>
  <si>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</si>
  <si>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</si>
  <si>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</si>
  <si>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</si>
  <si>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</si>
  <si>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</si>
  <si>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</si>
  <si>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</si>
  <si>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</si>
  <si>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</si>
  <si>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</si>
  <si>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</si>
  <si>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</si>
  <si>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</si>
  <si>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</si>
  <si>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</si>
  <si>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</si>
  <si>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</si>
  <si>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</si>
  <si>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</si>
  <si>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</si>
  <si>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</si>
  <si>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</si>
  <si>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</si>
  <si>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</si>
  <si>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</si>
  <si>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</si>
  <si>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</si>
  <si>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</si>
  <si>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</si>
  <si>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</si>
  <si>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</si>
  <si>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</si>
  <si>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</si>
  <si>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</si>
  <si>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</si>
  <si>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PAN-028991</t>
  </si>
  <si>
    <t>EPR/AB3891CX</t>
  </si>
  <si>
    <t>Mr Daniel James and Mrs Carys James</t>
  </si>
  <si>
    <t>Clyn yr Ynys, cwbert, Cardigan, Ceredigion, SA43 1PR</t>
  </si>
  <si>
    <t>Megan Tucker</t>
  </si>
  <si>
    <t>Bolton Hill</t>
  </si>
  <si>
    <t>19 09 02</t>
  </si>
  <si>
    <t>Preseli</t>
  </si>
  <si>
    <t xml:space="preserve">Llechryd </t>
  </si>
  <si>
    <t>Starta Florida</t>
  </si>
  <si>
    <t>Bontgoch</t>
  </si>
  <si>
    <t>Bryngwyn</t>
  </si>
  <si>
    <t>Bontgoch 2</t>
  </si>
  <si>
    <t>Llechryd 2</t>
  </si>
  <si>
    <t>Starta Florida 2</t>
  </si>
  <si>
    <t>Cray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</si>
</sst>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E1" zoomScale="90" zoomScaleNormal="90" workbookViewId="0">
      <selection activeCell="L18" sqref="L1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49.4</v>
      </c>
      <c r="G1" s="110" t="s">
        <v>43</v>
      </c>
      <c r="H1" s="111"/>
      <c r="I1" s="86">
        <v>6.62</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161</v>
      </c>
      <c r="D2" s="107"/>
      <c r="E2" s="83" t="s">
        <v>109</v>
      </c>
      <c r="F2" s="86" t="s">
        <v>166</v>
      </c>
      <c r="G2" s="112" t="s">
        <v>110</v>
      </c>
      <c r="H2" s="113"/>
      <c r="I2" s="86">
        <v>62.1</v>
      </c>
      <c r="J2" s="114" t="s">
        <v>158</v>
      </c>
      <c r="K2" s="114"/>
      <c r="L2" s="86">
        <v>0.05</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162</v>
      </c>
      <c r="D3" s="107"/>
      <c r="E3" s="83" t="s">
        <v>108</v>
      </c>
      <c r="F3" s="24" t="s">
        <v>78</v>
      </c>
      <c r="G3" s="114" t="s">
        <v>159</v>
      </c>
      <c r="H3" s="114"/>
      <c r="I3" s="86">
        <v>200</v>
      </c>
      <c r="J3" s="110" t="s">
        <v>154</v>
      </c>
      <c r="K3" s="111"/>
      <c r="L3" s="86">
        <f>(L1/(L2*10000))*100</f>
        <v>5</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08" t="s">
        <v>163</v>
      </c>
      <c r="D4" s="109"/>
      <c r="E4" s="84" t="s">
        <v>1</v>
      </c>
      <c r="F4" s="85" t="s">
        <v>165</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v>5505</v>
      </c>
      <c r="D8" s="12">
        <v>4885</v>
      </c>
      <c r="E8" s="12">
        <v>2056</v>
      </c>
      <c r="F8" s="12">
        <v>2</v>
      </c>
      <c r="G8" s="12">
        <v>9155</v>
      </c>
      <c r="H8" s="12">
        <v>2062</v>
      </c>
      <c r="I8" s="12">
        <v>834</v>
      </c>
      <c r="J8" s="12">
        <v>5928</v>
      </c>
      <c r="K8" s="12">
        <v>3370</v>
      </c>
      <c r="L8" s="12">
        <v>3234</v>
      </c>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c r="D9" s="12"/>
      <c r="E9" s="12"/>
      <c r="F9" s="12"/>
      <c r="G9" s="12"/>
      <c r="H9" s="12"/>
      <c r="I9" s="12"/>
      <c r="J9" s="12"/>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6.2</v>
      </c>
      <c r="D10" s="12">
        <v>6.1</v>
      </c>
      <c r="E10" s="12">
        <v>6</v>
      </c>
      <c r="F10" s="12">
        <v>6.3</v>
      </c>
      <c r="G10" s="12">
        <v>5.9</v>
      </c>
      <c r="H10" s="12">
        <v>6.3</v>
      </c>
      <c r="I10" s="12">
        <v>6.4</v>
      </c>
      <c r="J10" s="12">
        <v>6.4</v>
      </c>
      <c r="K10" s="12">
        <v>6.1</v>
      </c>
      <c r="L10" s="12">
        <v>6.1</v>
      </c>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3</v>
      </c>
      <c r="D11" s="12">
        <v>3</v>
      </c>
      <c r="E11" s="12">
        <v>3</v>
      </c>
      <c r="F11" s="12">
        <v>3</v>
      </c>
      <c r="G11" s="12">
        <v>2</v>
      </c>
      <c r="H11" s="12">
        <v>2</v>
      </c>
      <c r="I11" s="12">
        <v>1</v>
      </c>
      <c r="J11" s="12">
        <v>2</v>
      </c>
      <c r="K11" s="12">
        <v>2</v>
      </c>
      <c r="L11" s="12">
        <v>1</v>
      </c>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3</v>
      </c>
      <c r="D12" s="12">
        <v>3</v>
      </c>
      <c r="E12" s="12">
        <v>2</v>
      </c>
      <c r="F12" s="12">
        <v>3</v>
      </c>
      <c r="G12" s="12">
        <v>2</v>
      </c>
      <c r="H12" s="12">
        <v>2</v>
      </c>
      <c r="I12" s="12">
        <v>2</v>
      </c>
      <c r="J12" s="12">
        <v>2</v>
      </c>
      <c r="K12" s="12">
        <v>1</v>
      </c>
      <c r="L12" s="12">
        <v>2</v>
      </c>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3</v>
      </c>
      <c r="D13" s="12">
        <v>3</v>
      </c>
      <c r="E13" s="12">
        <v>3</v>
      </c>
      <c r="F13" s="12">
        <v>2</v>
      </c>
      <c r="G13" s="12">
        <v>3</v>
      </c>
      <c r="H13" s="12">
        <v>5</v>
      </c>
      <c r="I13" s="12">
        <v>3</v>
      </c>
      <c r="J13" s="12">
        <v>2</v>
      </c>
      <c r="K13" s="12">
        <v>2</v>
      </c>
      <c r="L13" s="12">
        <v>3</v>
      </c>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3" t="s">
        <v>8</v>
      </c>
      <c r="B14" s="123"/>
      <c r="C14" s="89" t="s">
        <v>68</v>
      </c>
      <c r="D14" s="89" t="s">
        <v>68</v>
      </c>
      <c r="E14" s="89" t="s">
        <v>113</v>
      </c>
      <c r="F14" s="89" t="s">
        <v>68</v>
      </c>
      <c r="G14" s="89" t="s">
        <v>113</v>
      </c>
      <c r="H14" s="89" t="s">
        <v>68</v>
      </c>
      <c r="I14" s="89" t="s">
        <v>68</v>
      </c>
      <c r="J14" s="89" t="s">
        <v>105</v>
      </c>
      <c r="K14" s="89" t="s">
        <v>105</v>
      </c>
      <c r="L14" s="89" t="s">
        <v>68</v>
      </c>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22" t="s">
        <v>9</v>
      </c>
      <c r="B15" s="122"/>
      <c r="C15" s="12">
        <v>30</v>
      </c>
      <c r="D15" s="12">
        <v>30</v>
      </c>
      <c r="E15" s="12">
        <v>47</v>
      </c>
      <c r="F15" s="12">
        <v>30</v>
      </c>
      <c r="G15" s="12">
        <v>47</v>
      </c>
      <c r="H15" s="12">
        <v>30</v>
      </c>
      <c r="I15" s="12">
        <v>30</v>
      </c>
      <c r="J15" s="12">
        <v>45</v>
      </c>
      <c r="K15" s="12">
        <v>45</v>
      </c>
      <c r="L15" s="12">
        <v>30</v>
      </c>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24" t="s">
        <v>44</v>
      </c>
      <c r="B16" s="124"/>
      <c r="C16" s="90"/>
      <c r="D16" s="90"/>
      <c r="E16" s="90"/>
      <c r="F16" s="90"/>
      <c r="G16" s="90"/>
      <c r="H16" s="90"/>
      <c r="I16" s="90"/>
      <c r="J16" s="90"/>
      <c r="K16" s="90"/>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21.970690000000005</v>
      </c>
      <c r="D18" s="13">
        <f>$D32</f>
        <v>21.970690000000005</v>
      </c>
      <c r="E18" s="13">
        <f>$D33</f>
        <v>54.926725000000012</v>
      </c>
      <c r="F18" s="13">
        <f>$D34</f>
        <v>21.970690000000005</v>
      </c>
      <c r="G18" s="13">
        <f>$D35</f>
        <v>0</v>
      </c>
      <c r="H18" s="13">
        <f>$D36</f>
        <v>21.970690000000005</v>
      </c>
      <c r="I18" s="13">
        <f>$D37</f>
        <v>21.970690000000005</v>
      </c>
      <c r="J18" s="13">
        <f>$D38</f>
        <v>21.970690000000005</v>
      </c>
      <c r="K18" s="13">
        <f>$D39</f>
        <v>21.970690000000005</v>
      </c>
      <c r="L18" s="13">
        <f>$D40</f>
        <v>21.970690000000005</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-233.02931000000001</v>
      </c>
      <c r="D19" s="13">
        <f t="shared" ref="D19:V19" si="1">D18-D17</f>
        <v>-233.02931000000001</v>
      </c>
      <c r="E19" s="13">
        <f t="shared" si="1"/>
        <v>-24.97327499999998</v>
      </c>
      <c r="F19" s="13">
        <f t="shared" si="1"/>
        <v>-233.02931000000001</v>
      </c>
      <c r="G19" s="13">
        <f t="shared" si="1"/>
        <v>-79.899999999999991</v>
      </c>
      <c r="H19" s="13">
        <f t="shared" si="1"/>
        <v>-233.02931000000001</v>
      </c>
      <c r="I19" s="13">
        <f t="shared" si="1"/>
        <v>-233.02931000000001</v>
      </c>
      <c r="J19" s="13">
        <f t="shared" si="1"/>
        <v>-41.029309999999988</v>
      </c>
      <c r="K19" s="13">
        <f t="shared" si="1"/>
        <v>-41.029309999999988</v>
      </c>
      <c r="L19" s="13">
        <f t="shared" si="1"/>
        <v>-233.02931000000001</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5.2778999999999998</v>
      </c>
      <c r="D22" s="13">
        <f>$E32</f>
        <v>5.2778999999999998</v>
      </c>
      <c r="E22" s="13">
        <f>$E33</f>
        <v>13.194749999999999</v>
      </c>
      <c r="F22" s="13">
        <f>$E34</f>
        <v>5.2778999999999998</v>
      </c>
      <c r="G22" s="13">
        <f>$E35</f>
        <v>0</v>
      </c>
      <c r="H22" s="13">
        <f>$E36</f>
        <v>5.2778999999999998</v>
      </c>
      <c r="I22" s="13">
        <f>$E37</f>
        <v>5.2778999999999998</v>
      </c>
      <c r="J22" s="13">
        <f>$E38</f>
        <v>5.2778999999999998</v>
      </c>
      <c r="K22" s="13">
        <f>$E39</f>
        <v>5.2778999999999998</v>
      </c>
      <c r="L22" s="13">
        <f>$E40</f>
        <v>5.2778999999999998</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-354.72210000000001</v>
      </c>
      <c r="D23" s="13">
        <f t="shared" ref="D23:V23" si="3">D22-D21</f>
        <v>-354.72210000000001</v>
      </c>
      <c r="E23" s="13">
        <f t="shared" si="3"/>
        <v>-268.80525</v>
      </c>
      <c r="F23" s="13">
        <f t="shared" si="3"/>
        <v>-354.72210000000001</v>
      </c>
      <c r="G23" s="13">
        <f t="shared" si="3"/>
        <v>-282</v>
      </c>
      <c r="H23" s="13">
        <f t="shared" si="3"/>
        <v>-354.72210000000001</v>
      </c>
      <c r="I23" s="13">
        <f t="shared" si="3"/>
        <v>-354.72210000000001</v>
      </c>
      <c r="J23" s="13">
        <f t="shared" si="3"/>
        <v>-192.72210000000004</v>
      </c>
      <c r="K23" s="13">
        <f t="shared" si="3"/>
        <v>-192.72210000000004</v>
      </c>
      <c r="L23" s="13">
        <f t="shared" si="3"/>
        <v>-354.72210000000001</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c r="U27" s="96" t="s">
        <v>54</v>
      </c>
    </row>
    <row r="28" spans="1:40" x14ac:dyDescent="0.35">
      <c r="A28" s="97"/>
      <c r="B28" s="17">
        <v>4.9000000000000004</v>
      </c>
      <c r="C28" s="12">
        <v>0.05</v>
      </c>
      <c r="D28" s="12">
        <v>95.9</v>
      </c>
      <c r="E28" s="12">
        <v>43.8</v>
      </c>
      <c r="F28" s="12">
        <v>57.9</v>
      </c>
      <c r="G28" s="12">
        <v>2.34</v>
      </c>
      <c r="H28" s="12">
        <v>4.68</v>
      </c>
      <c r="I28" s="12">
        <v>0.77</v>
      </c>
      <c r="J28" s="12">
        <v>0.02</v>
      </c>
      <c r="K28" s="16">
        <v>0.05</v>
      </c>
      <c r="L28" s="12">
        <v>1.33</v>
      </c>
      <c r="M28" s="12">
        <v>1.25</v>
      </c>
      <c r="N28" s="12">
        <v>5354</v>
      </c>
      <c r="O28" s="12">
        <v>895</v>
      </c>
      <c r="P28" s="12">
        <v>16.7</v>
      </c>
      <c r="Q28" s="12">
        <v>362</v>
      </c>
      <c r="R28" s="12">
        <v>0.15</v>
      </c>
      <c r="S28" s="12">
        <v>0.68</v>
      </c>
      <c r="T28" s="12"/>
      <c r="U28" s="12">
        <v>20.6</v>
      </c>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100</v>
      </c>
      <c r="C31" s="68">
        <f>IF(C$27="%w/w SAR",((C$28*10)*$B31),IF(C$27="%w/w DM",(((C$28*10)*($B$28/100))*$B31),IF(C$27="kg/t SAR",(C$28*$B31),IF(C$27="kg/t DM",((C$28*($B$28/100))*$B31),IF(C$27="mg/kg SAR",((C$28*0.001)*$B31),IF(C$27="mg/kg DM",(((C$28*0.001)*($B$28/100))*$B31),0))))))</f>
        <v>50</v>
      </c>
      <c r="D31" s="68">
        <f>(IF(D$27="%w/w SAR",((D$28*10)*$B31),IF(D$27="%w/w DM",(((D$28*10)*($B$28/100))*$B31),IF(D$27="kg/t SAR",(D$28*$B31),IF(D$27="kg/t DM",((D$28*($B$28/100))*$B31),IF(D$27="mg/kg SAR",((D$28*0.001)*$B31),IF(D$27="mg/kg DM",(((D$28*0.001)*($B$28/100))*$B31),"0")))))))*2.291</f>
        <v>21.970690000000005</v>
      </c>
      <c r="E31" s="68">
        <f>(IF(E$27="%w/w SAR",((E$28*10)*$B31),IF(E$27="%w/w DM",(((E$28*10)*($B$28/100))*$B31),IF(E$27="kg/t SAR",(E$28*$B31),IF(E$27="kg/t DM",((E$28*($B$28/100))*$B31),IF(E$27="mg/kg SAR",((E$28*0.001)*$B31),IF(E$27="mg/kg DM",(((E$28*0.001)*($B$28/100))*$B31),"0")))))))*1.205</f>
        <v>5.2778999999999998</v>
      </c>
      <c r="F31" s="68">
        <f>(IF(F$27="%w/w SAR",((F$28*10)*$B31),IF(F$27="%w/w DM",(((F$28*10)*($B$28/100))*$B31),IF(F$27="kg/t SAR",(F$28*$B31),IF(F$27="kg/t DM",((F$28*($B$28/100))*$B31),IF(F$27="mg/kg SAR",((F$28*0.001)*$B31),IF(F$27="mg/kg DM",(((F$28*0.001)*($B$28/100))*$B31),"0")))))))*1.658</f>
        <v>9.5998199999999994</v>
      </c>
      <c r="G31" s="68">
        <f t="shared" ref="G31:P31" si="5">IF(G$27="%w/w SAR",((G$28*10)*$B31),IF(G$27="%w/w DM",(((G$28*10)*($B$28/100))*$B31),IF(G$27="kg/t SAR",(G$28*$B31),IF(G$27="kg/t DM",((G$28*($B$28/100))*$B31),IF(G$27="mg/kg SAR",((G$28*0.001)*$B31),IF(G$27="mg/kg DM",(((G$28*0.001)*($B$28/100))*$B31),0))))))</f>
        <v>0.23400000000000001</v>
      </c>
      <c r="H31" s="68">
        <f t="shared" si="5"/>
        <v>0.46800000000000003</v>
      </c>
      <c r="I31" s="68">
        <f t="shared" si="5"/>
        <v>7.7000000000000013E-2</v>
      </c>
      <c r="J31" s="68">
        <f t="shared" si="5"/>
        <v>2E-3</v>
      </c>
      <c r="K31" s="68">
        <f t="shared" si="5"/>
        <v>5.0000000000000001E-3</v>
      </c>
      <c r="L31" s="68">
        <f t="shared" si="5"/>
        <v>0.13300000000000001</v>
      </c>
      <c r="M31" s="68">
        <f t="shared" si="5"/>
        <v>0.125</v>
      </c>
      <c r="N31" s="68">
        <f t="shared" si="5"/>
        <v>535.4</v>
      </c>
      <c r="O31" s="68">
        <f t="shared" si="5"/>
        <v>89.5</v>
      </c>
      <c r="P31" s="68">
        <f t="shared" si="5"/>
        <v>1.67</v>
      </c>
      <c r="Q31" s="68">
        <f>(IF(Q$27="%w/w SAR",((Q$28*10)*$B31),IF(Q$27="%w/w DM",(((Q$28*10)*($B$28/100))*$B31),IF(Q$27="kg/t SAR",(Q$28*$B31),IF(Q$27="kg/t DM",((Q$28*($B$28/100))*$B31),IF(Q$27="mg/kg SAR",((Q$28*0.001)*$B31),IF(Q$27="mg/kg DM",(((Q$28*0.001)*($B$28/100))*$B31),0)))))))*2.5</f>
        <v>90.499999999999986</v>
      </c>
      <c r="R31" s="68">
        <f>IF(R$27="%w/w SAR",((R$28*10)*$B31),IF(R$27="%w/w DM",(((R$28*10)*($B$28/100))*$B31),IF(R$27="kg/t SAR",(R$28*$B31),IF(R$27="kg/t DM",((R$28*($B$28/100))*$B31),IF(R$27="mg/kg SAR",((R$28*0.001)*$B31),IF(R$27="mg/kg DM",(((R$28*0.001)*($B$28/100))*$B31),0))))))</f>
        <v>1.4999999999999999E-2</v>
      </c>
      <c r="S31" s="68">
        <f>IF(S$27="%w/w SAR",((S$28*10)*$B31),IF(S$27="%w/w DM",(((S$28*10)*($B$28/100))*$B31),IF(S$27="kg/t SAR",(S$28*$B31),IF(S$27="kg/t DM",((S$28*($B$28/100))*$B31),IF(S$27="mg/kg SAR",((S$28*0.001)*$B31),IF(S$27="mg/kg DM",(((S$28*0.001)*($B$28/100))*$B31),0))))))</f>
        <v>6.8000000000000005E-2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2.06</v>
      </c>
    </row>
    <row r="32" spans="1:40" s="51" customFormat="1" ht="13" x14ac:dyDescent="0.35">
      <c r="A32" s="10">
        <f>D8</f>
        <v>4885</v>
      </c>
      <c r="B32" s="12">
        <v>100</v>
      </c>
      <c r="C32" s="68">
        <f t="shared" ref="C32:C50" si="6">IF(C$27="%w/w SAR",((C$28*10)*$B32),IF(C$27="%w/w DM",(((C$28*10)*($B$28/100))*$B32),IF(C$27="kg/t SAR",(C$28*$B32),IF(C$27="kg/t DM",((C$28*($B$28/100))*$B32),IF(C$27="mg/kg SAR",((C$28*0.001)*$B32),IF(C$27="mg/kg DM",(((C$28*0.001)*($B$28/100))*$B32),0))))))</f>
        <v>50</v>
      </c>
      <c r="D32" s="68">
        <f t="shared" ref="D32:D50" si="7">(IF(D$27="%w/w SAR",((D$28*10)*$B32),IF(D$27="%w/w DM",(((D$28*10)*($B$28/100))*$B32),IF(D$27="kg/t SAR",(D$28*$B32),IF(D$27="kg/t DM",((D$28*($B$28/100))*$B32),IF(D$27="mg/kg SAR",((D$28*0.001)*$B32),IF(D$27="mg/kg DM",(((D$28*0.001)*($B$28/100))*$B32),"0")))))))*2.291</f>
        <v>21.970690000000005</v>
      </c>
      <c r="E32" s="68">
        <f t="shared" ref="E32:E50" si="8">(IF(E$27="%w/w SAR",((E$28*10)*$B32),IF(E$27="%w/w DM",(((E$28*10)*($B$28/100))*$B32),IF(E$27="kg/t SAR",(E$28*$B32),IF(E$27="kg/t DM",((E$28*($B$28/100))*$B32),IF(E$27="mg/kg SAR",((E$28*0.001)*$B32),IF(E$27="mg/kg DM",(((E$28*0.001)*($B$28/100))*$B32),"0")))))))*1.205</f>
        <v>5.2778999999999998</v>
      </c>
      <c r="F32" s="68">
        <f t="shared" ref="F32:F50" si="9">(IF(F$27="%w/w SAR",((F$28*10)*$B32),IF(F$27="%w/w DM",(((F$28*10)*($B$28/100))*$B32),IF(F$27="kg/t SAR",(F$28*$B32),IF(F$27="kg/t DM",((F$28*($B$28/100))*$B32),IF(F$27="mg/kg SAR",((F$28*0.001)*$B32),IF(F$27="mg/kg DM",(((F$28*0.001)*($B$28/100))*$B32),"0")))))))*1.658</f>
        <v>9.5998199999999994</v>
      </c>
      <c r="G32" s="68">
        <f t="shared" ref="G32:P50" si="10">IF(G$27="%w/w SAR",((G$28*10)*$B32),IF(G$27="%w/w DM",(((G$28*10)*($B$28/100))*$B32),IF(G$27="kg/t SAR",(G$28*$B32),IF(G$27="kg/t DM",((G$28*($B$28/100))*$B32),IF(G$27="mg/kg SAR",((G$28*0.001)*$B32),IF(G$27="mg/kg DM",(((G$28*0.001)*($B$28/100))*$B32),0))))))</f>
        <v>0.23400000000000001</v>
      </c>
      <c r="H32" s="68">
        <f t="shared" si="10"/>
        <v>0.46800000000000003</v>
      </c>
      <c r="I32" s="68">
        <f t="shared" si="10"/>
        <v>7.7000000000000013E-2</v>
      </c>
      <c r="J32" s="68">
        <f t="shared" si="10"/>
        <v>2E-3</v>
      </c>
      <c r="K32" s="68">
        <f t="shared" si="10"/>
        <v>5.0000000000000001E-3</v>
      </c>
      <c r="L32" s="68">
        <f t="shared" si="10"/>
        <v>0.13300000000000001</v>
      </c>
      <c r="M32" s="68">
        <f t="shared" si="10"/>
        <v>0.125</v>
      </c>
      <c r="N32" s="68">
        <f t="shared" si="10"/>
        <v>535.4</v>
      </c>
      <c r="O32" s="68">
        <f t="shared" si="10"/>
        <v>89.5</v>
      </c>
      <c r="P32" s="68">
        <f t="shared" si="10"/>
        <v>1.67</v>
      </c>
      <c r="Q32" s="68">
        <f t="shared" ref="Q32:Q50" si="11">(IF(Q$27="%w/w SAR",((Q$28*10)*$B32),IF(Q$27="%w/w DM",(((Q$28*10)*($B$28/100))*$B32),IF(Q$27="kg/t SAR",(Q$28*$B32),IF(Q$27="kg/t DM",((Q$28*($B$28/100))*$B32),IF(Q$27="mg/kg SAR",((Q$28*0.001)*$B32),IF(Q$27="mg/kg DM",(((Q$28*0.001)*($B$28/100))*$B32),0)))))))*2.5</f>
        <v>90.499999999999986</v>
      </c>
      <c r="R32" s="68">
        <f t="shared" ref="R32:U50" si="12">IF(R$27="%w/w SAR",((R$28*10)*$B32),IF(R$27="%w/w DM",(((R$28*10)*($B$28/100))*$B32),IF(R$27="kg/t SAR",(R$28*$B32),IF(R$27="kg/t DM",((R$28*($B$28/100))*$B32),IF(R$27="mg/kg SAR",((R$28*0.001)*$B32),IF(R$27="mg/kg DM",(((R$28*0.001)*($B$28/100))*$B32),0))))))</f>
        <v>1.4999999999999999E-2</v>
      </c>
      <c r="S32" s="68">
        <f t="shared" si="12"/>
        <v>6.8000000000000005E-2</v>
      </c>
      <c r="T32" s="68">
        <f t="shared" si="12"/>
        <v>0</v>
      </c>
      <c r="U32" s="68">
        <f t="shared" si="12"/>
        <v>2.06</v>
      </c>
    </row>
    <row r="33" spans="1:21" s="51" customFormat="1" ht="13" x14ac:dyDescent="0.35">
      <c r="A33" s="10">
        <f>E8</f>
        <v>2056</v>
      </c>
      <c r="B33" s="12">
        <v>250</v>
      </c>
      <c r="C33" s="68">
        <f t="shared" si="6"/>
        <v>125</v>
      </c>
      <c r="D33" s="68">
        <f t="shared" si="7"/>
        <v>54.926725000000012</v>
      </c>
      <c r="E33" s="68">
        <f t="shared" si="8"/>
        <v>13.194749999999999</v>
      </c>
      <c r="F33" s="68">
        <f t="shared" si="9"/>
        <v>23.999549999999999</v>
      </c>
      <c r="G33" s="68">
        <f t="shared" si="10"/>
        <v>0.58499999999999996</v>
      </c>
      <c r="H33" s="68">
        <f t="shared" si="10"/>
        <v>1.17</v>
      </c>
      <c r="I33" s="68">
        <f t="shared" si="10"/>
        <v>0.1925</v>
      </c>
      <c r="J33" s="68">
        <f t="shared" si="10"/>
        <v>5.0000000000000001E-3</v>
      </c>
      <c r="K33" s="68">
        <f t="shared" si="10"/>
        <v>1.2500000000000001E-2</v>
      </c>
      <c r="L33" s="68">
        <f t="shared" si="10"/>
        <v>0.33250000000000002</v>
      </c>
      <c r="M33" s="68">
        <f t="shared" si="10"/>
        <v>0.3125</v>
      </c>
      <c r="N33" s="68">
        <f t="shared" si="10"/>
        <v>1338.5</v>
      </c>
      <c r="O33" s="68">
        <f t="shared" si="10"/>
        <v>223.75</v>
      </c>
      <c r="P33" s="68">
        <f t="shared" si="10"/>
        <v>4.1749999999999998</v>
      </c>
      <c r="Q33" s="68">
        <f t="shared" si="11"/>
        <v>226.25</v>
      </c>
      <c r="R33" s="68">
        <f t="shared" si="12"/>
        <v>3.7499999999999999E-2</v>
      </c>
      <c r="S33" s="68">
        <f t="shared" si="12"/>
        <v>0.17</v>
      </c>
      <c r="T33" s="68">
        <f t="shared" si="12"/>
        <v>0</v>
      </c>
      <c r="U33" s="68">
        <f t="shared" si="12"/>
        <v>5.15</v>
      </c>
    </row>
    <row r="34" spans="1:21" s="51" customFormat="1" ht="13" x14ac:dyDescent="0.35">
      <c r="A34" s="10">
        <f>F8</f>
        <v>2</v>
      </c>
      <c r="B34" s="12">
        <v>100</v>
      </c>
      <c r="C34" s="68">
        <f t="shared" si="6"/>
        <v>50</v>
      </c>
      <c r="D34" s="68">
        <f t="shared" si="7"/>
        <v>21.970690000000005</v>
      </c>
      <c r="E34" s="68">
        <f t="shared" si="8"/>
        <v>5.2778999999999998</v>
      </c>
      <c r="F34" s="68">
        <f t="shared" si="9"/>
        <v>9.5998199999999994</v>
      </c>
      <c r="G34" s="68">
        <f t="shared" si="10"/>
        <v>0.23400000000000001</v>
      </c>
      <c r="H34" s="68">
        <f t="shared" si="10"/>
        <v>0.46800000000000003</v>
      </c>
      <c r="I34" s="68">
        <f t="shared" si="10"/>
        <v>7.7000000000000013E-2</v>
      </c>
      <c r="J34" s="68">
        <f t="shared" si="10"/>
        <v>2E-3</v>
      </c>
      <c r="K34" s="68">
        <f t="shared" si="10"/>
        <v>5.0000000000000001E-3</v>
      </c>
      <c r="L34" s="68">
        <f t="shared" si="10"/>
        <v>0.13300000000000001</v>
      </c>
      <c r="M34" s="68">
        <f t="shared" si="10"/>
        <v>0.125</v>
      </c>
      <c r="N34" s="68">
        <f t="shared" si="10"/>
        <v>535.4</v>
      </c>
      <c r="O34" s="68">
        <f t="shared" si="10"/>
        <v>89.5</v>
      </c>
      <c r="P34" s="68">
        <f t="shared" si="10"/>
        <v>1.67</v>
      </c>
      <c r="Q34" s="68">
        <f t="shared" si="11"/>
        <v>90.499999999999986</v>
      </c>
      <c r="R34" s="68">
        <f t="shared" si="12"/>
        <v>1.4999999999999999E-2</v>
      </c>
      <c r="S34" s="68">
        <f t="shared" si="12"/>
        <v>6.8000000000000005E-2</v>
      </c>
      <c r="T34" s="68">
        <f t="shared" si="12"/>
        <v>0</v>
      </c>
      <c r="U34" s="68">
        <f t="shared" si="12"/>
        <v>2.06</v>
      </c>
    </row>
    <row r="35" spans="1:21" s="51" customFormat="1" ht="13" x14ac:dyDescent="0.35">
      <c r="A35" s="10">
        <f>G8</f>
        <v>9155</v>
      </c>
      <c r="B35" s="12"/>
      <c r="C35" s="68">
        <f t="shared" si="6"/>
        <v>0</v>
      </c>
      <c r="D35" s="68">
        <f t="shared" si="7"/>
        <v>0</v>
      </c>
      <c r="E35" s="68">
        <f t="shared" si="8"/>
        <v>0</v>
      </c>
      <c r="F35" s="68">
        <f t="shared" si="9"/>
        <v>0</v>
      </c>
      <c r="G35" s="68">
        <f t="shared" si="10"/>
        <v>0</v>
      </c>
      <c r="H35" s="68">
        <f t="shared" si="10"/>
        <v>0</v>
      </c>
      <c r="I35" s="68">
        <f t="shared" si="10"/>
        <v>0</v>
      </c>
      <c r="J35" s="68">
        <f t="shared" si="10"/>
        <v>0</v>
      </c>
      <c r="K35" s="68">
        <f t="shared" si="10"/>
        <v>0</v>
      </c>
      <c r="L35" s="68">
        <f t="shared" si="10"/>
        <v>0</v>
      </c>
      <c r="M35" s="68">
        <f t="shared" si="10"/>
        <v>0</v>
      </c>
      <c r="N35" s="68">
        <f t="shared" si="10"/>
        <v>0</v>
      </c>
      <c r="O35" s="68">
        <f t="shared" si="10"/>
        <v>0</v>
      </c>
      <c r="P35" s="68">
        <f t="shared" si="10"/>
        <v>0</v>
      </c>
      <c r="Q35" s="68">
        <f t="shared" si="11"/>
        <v>0</v>
      </c>
      <c r="R35" s="68">
        <f t="shared" si="12"/>
        <v>0</v>
      </c>
      <c r="S35" s="68">
        <f t="shared" si="12"/>
        <v>0</v>
      </c>
      <c r="T35" s="68">
        <f t="shared" si="12"/>
        <v>0</v>
      </c>
      <c r="U35" s="68">
        <f t="shared" si="12"/>
        <v>0</v>
      </c>
    </row>
    <row r="36" spans="1:21" s="51" customFormat="1" ht="13" x14ac:dyDescent="0.35">
      <c r="A36" s="10">
        <f>H8</f>
        <v>2062</v>
      </c>
      <c r="B36" s="12">
        <v>100</v>
      </c>
      <c r="C36" s="68">
        <f t="shared" si="6"/>
        <v>50</v>
      </c>
      <c r="D36" s="68">
        <f t="shared" si="7"/>
        <v>21.970690000000005</v>
      </c>
      <c r="E36" s="68">
        <f t="shared" si="8"/>
        <v>5.2778999999999998</v>
      </c>
      <c r="F36" s="68">
        <f t="shared" si="9"/>
        <v>9.5998199999999994</v>
      </c>
      <c r="G36" s="68">
        <f t="shared" si="10"/>
        <v>0.23400000000000001</v>
      </c>
      <c r="H36" s="68">
        <f t="shared" si="10"/>
        <v>0.46800000000000003</v>
      </c>
      <c r="I36" s="68">
        <f t="shared" si="10"/>
        <v>7.7000000000000013E-2</v>
      </c>
      <c r="J36" s="68">
        <f t="shared" si="10"/>
        <v>2E-3</v>
      </c>
      <c r="K36" s="68">
        <f t="shared" si="10"/>
        <v>5.0000000000000001E-3</v>
      </c>
      <c r="L36" s="68">
        <f t="shared" si="10"/>
        <v>0.13300000000000001</v>
      </c>
      <c r="M36" s="68">
        <f t="shared" si="10"/>
        <v>0.125</v>
      </c>
      <c r="N36" s="68">
        <f t="shared" si="10"/>
        <v>535.4</v>
      </c>
      <c r="O36" s="68">
        <f t="shared" si="10"/>
        <v>89.5</v>
      </c>
      <c r="P36" s="68">
        <f t="shared" si="10"/>
        <v>1.67</v>
      </c>
      <c r="Q36" s="68">
        <f t="shared" si="11"/>
        <v>90.499999999999986</v>
      </c>
      <c r="R36" s="68">
        <f t="shared" si="12"/>
        <v>1.4999999999999999E-2</v>
      </c>
      <c r="S36" s="68">
        <f t="shared" si="12"/>
        <v>6.8000000000000005E-2</v>
      </c>
      <c r="T36" s="68">
        <f t="shared" si="12"/>
        <v>0</v>
      </c>
      <c r="U36" s="68">
        <f t="shared" si="12"/>
        <v>2.06</v>
      </c>
    </row>
    <row r="37" spans="1:21" s="51" customFormat="1" ht="13" x14ac:dyDescent="0.35">
      <c r="A37" s="10">
        <f>I8</f>
        <v>834</v>
      </c>
      <c r="B37" s="12">
        <v>100</v>
      </c>
      <c r="C37" s="68">
        <f t="shared" si="6"/>
        <v>50</v>
      </c>
      <c r="D37" s="68">
        <f t="shared" si="7"/>
        <v>21.970690000000005</v>
      </c>
      <c r="E37" s="68">
        <f t="shared" si="8"/>
        <v>5.2778999999999998</v>
      </c>
      <c r="F37" s="68">
        <f t="shared" si="9"/>
        <v>9.5998199999999994</v>
      </c>
      <c r="G37" s="68">
        <f t="shared" si="10"/>
        <v>0.23400000000000001</v>
      </c>
      <c r="H37" s="68">
        <f t="shared" si="10"/>
        <v>0.46800000000000003</v>
      </c>
      <c r="I37" s="68">
        <f t="shared" si="10"/>
        <v>7.7000000000000013E-2</v>
      </c>
      <c r="J37" s="68">
        <f t="shared" si="10"/>
        <v>2E-3</v>
      </c>
      <c r="K37" s="68">
        <f t="shared" si="10"/>
        <v>5.0000000000000001E-3</v>
      </c>
      <c r="L37" s="68">
        <f t="shared" si="10"/>
        <v>0.13300000000000001</v>
      </c>
      <c r="M37" s="68">
        <f t="shared" si="10"/>
        <v>0.125</v>
      </c>
      <c r="N37" s="68">
        <f t="shared" si="10"/>
        <v>535.4</v>
      </c>
      <c r="O37" s="68">
        <f t="shared" si="10"/>
        <v>89.5</v>
      </c>
      <c r="P37" s="68">
        <f t="shared" si="10"/>
        <v>1.67</v>
      </c>
      <c r="Q37" s="68">
        <f t="shared" si="11"/>
        <v>90.499999999999986</v>
      </c>
      <c r="R37" s="68">
        <f t="shared" si="12"/>
        <v>1.4999999999999999E-2</v>
      </c>
      <c r="S37" s="68">
        <f t="shared" si="12"/>
        <v>6.8000000000000005E-2</v>
      </c>
      <c r="T37" s="68">
        <f t="shared" si="12"/>
        <v>0</v>
      </c>
      <c r="U37" s="68">
        <f t="shared" si="12"/>
        <v>2.06</v>
      </c>
    </row>
    <row r="38" spans="1:21" s="51" customFormat="1" ht="13" x14ac:dyDescent="0.35">
      <c r="A38" s="10">
        <f>J8</f>
        <v>5928</v>
      </c>
      <c r="B38" s="12">
        <v>100</v>
      </c>
      <c r="C38" s="68">
        <f t="shared" si="6"/>
        <v>50</v>
      </c>
      <c r="D38" s="68">
        <f t="shared" si="7"/>
        <v>21.970690000000005</v>
      </c>
      <c r="E38" s="68">
        <f t="shared" si="8"/>
        <v>5.2778999999999998</v>
      </c>
      <c r="F38" s="68">
        <f t="shared" si="9"/>
        <v>9.5998199999999994</v>
      </c>
      <c r="G38" s="68">
        <f t="shared" si="10"/>
        <v>0.23400000000000001</v>
      </c>
      <c r="H38" s="68">
        <f t="shared" si="10"/>
        <v>0.46800000000000003</v>
      </c>
      <c r="I38" s="68">
        <f t="shared" si="10"/>
        <v>7.7000000000000013E-2</v>
      </c>
      <c r="J38" s="68">
        <f t="shared" si="10"/>
        <v>2E-3</v>
      </c>
      <c r="K38" s="68">
        <f t="shared" si="10"/>
        <v>5.0000000000000001E-3</v>
      </c>
      <c r="L38" s="68">
        <f t="shared" si="10"/>
        <v>0.13300000000000001</v>
      </c>
      <c r="M38" s="68">
        <f t="shared" si="10"/>
        <v>0.125</v>
      </c>
      <c r="N38" s="68">
        <f t="shared" si="10"/>
        <v>535.4</v>
      </c>
      <c r="O38" s="68">
        <f t="shared" si="10"/>
        <v>89.5</v>
      </c>
      <c r="P38" s="68">
        <f t="shared" si="10"/>
        <v>1.67</v>
      </c>
      <c r="Q38" s="68">
        <f t="shared" si="11"/>
        <v>90.499999999999986</v>
      </c>
      <c r="R38" s="68">
        <f t="shared" si="12"/>
        <v>1.4999999999999999E-2</v>
      </c>
      <c r="S38" s="68">
        <f t="shared" si="12"/>
        <v>6.8000000000000005E-2</v>
      </c>
      <c r="T38" s="68">
        <f t="shared" si="12"/>
        <v>0</v>
      </c>
      <c r="U38" s="68">
        <f t="shared" si="12"/>
        <v>2.06</v>
      </c>
    </row>
    <row r="39" spans="1:21" s="51" customFormat="1" ht="13" x14ac:dyDescent="0.35">
      <c r="A39" s="10">
        <f>K8</f>
        <v>3370</v>
      </c>
      <c r="B39" s="12">
        <v>100</v>
      </c>
      <c r="C39" s="68">
        <f t="shared" si="6"/>
        <v>50</v>
      </c>
      <c r="D39" s="68">
        <f t="shared" si="7"/>
        <v>21.970690000000005</v>
      </c>
      <c r="E39" s="68">
        <f t="shared" si="8"/>
        <v>5.2778999999999998</v>
      </c>
      <c r="F39" s="68">
        <f t="shared" si="9"/>
        <v>9.5998199999999994</v>
      </c>
      <c r="G39" s="68">
        <f t="shared" si="10"/>
        <v>0.23400000000000001</v>
      </c>
      <c r="H39" s="68">
        <f t="shared" si="10"/>
        <v>0.46800000000000003</v>
      </c>
      <c r="I39" s="68">
        <f t="shared" si="10"/>
        <v>7.7000000000000013E-2</v>
      </c>
      <c r="J39" s="68">
        <f t="shared" si="10"/>
        <v>2E-3</v>
      </c>
      <c r="K39" s="68">
        <f t="shared" si="10"/>
        <v>5.0000000000000001E-3</v>
      </c>
      <c r="L39" s="68">
        <f t="shared" si="10"/>
        <v>0.13300000000000001</v>
      </c>
      <c r="M39" s="68">
        <f t="shared" si="10"/>
        <v>0.125</v>
      </c>
      <c r="N39" s="68">
        <f t="shared" si="10"/>
        <v>535.4</v>
      </c>
      <c r="O39" s="68">
        <f t="shared" si="10"/>
        <v>89.5</v>
      </c>
      <c r="P39" s="68">
        <f t="shared" si="10"/>
        <v>1.67</v>
      </c>
      <c r="Q39" s="68">
        <f t="shared" si="11"/>
        <v>90.499999999999986</v>
      </c>
      <c r="R39" s="68">
        <f t="shared" si="12"/>
        <v>1.4999999999999999E-2</v>
      </c>
      <c r="S39" s="68">
        <f t="shared" si="12"/>
        <v>6.8000000000000005E-2</v>
      </c>
      <c r="T39" s="68">
        <f t="shared" si="12"/>
        <v>0</v>
      </c>
      <c r="U39" s="68">
        <f t="shared" si="12"/>
        <v>2.06</v>
      </c>
    </row>
    <row r="40" spans="1:21" s="51" customFormat="1" ht="13" x14ac:dyDescent="0.35">
      <c r="A40" s="10">
        <f>L8</f>
        <v>3234</v>
      </c>
      <c r="B40" s="12">
        <v>100</v>
      </c>
      <c r="C40" s="68">
        <f t="shared" si="6"/>
        <v>50</v>
      </c>
      <c r="D40" s="68">
        <f t="shared" si="7"/>
        <v>21.970690000000005</v>
      </c>
      <c r="E40" s="68">
        <f t="shared" si="8"/>
        <v>5.2778999999999998</v>
      </c>
      <c r="F40" s="68">
        <f t="shared" si="9"/>
        <v>9.5998199999999994</v>
      </c>
      <c r="G40" s="68">
        <f t="shared" si="10"/>
        <v>0.23400000000000001</v>
      </c>
      <c r="H40" s="68">
        <f t="shared" si="10"/>
        <v>0.46800000000000003</v>
      </c>
      <c r="I40" s="68">
        <f t="shared" si="10"/>
        <v>7.7000000000000013E-2</v>
      </c>
      <c r="J40" s="68">
        <f t="shared" si="10"/>
        <v>2E-3</v>
      </c>
      <c r="K40" s="68">
        <f t="shared" si="10"/>
        <v>5.0000000000000001E-3</v>
      </c>
      <c r="L40" s="68">
        <f t="shared" si="10"/>
        <v>0.13300000000000001</v>
      </c>
      <c r="M40" s="68">
        <f t="shared" si="10"/>
        <v>0.125</v>
      </c>
      <c r="N40" s="68">
        <f t="shared" si="10"/>
        <v>535.4</v>
      </c>
      <c r="O40" s="68">
        <f t="shared" si="10"/>
        <v>89.5</v>
      </c>
      <c r="P40" s="68">
        <f t="shared" si="10"/>
        <v>1.67</v>
      </c>
      <c r="Q40" s="68">
        <f t="shared" si="11"/>
        <v>90.499999999999986</v>
      </c>
      <c r="R40" s="68">
        <f t="shared" si="12"/>
        <v>1.4999999999999999E-2</v>
      </c>
      <c r="S40" s="68">
        <f t="shared" si="12"/>
        <v>6.8000000000000005E-2</v>
      </c>
      <c r="T40" s="68">
        <f t="shared" si="12"/>
        <v>0</v>
      </c>
      <c r="U40" s="68">
        <f t="shared" si="12"/>
        <v>2.06</v>
      </c>
    </row>
    <row r="41" spans="1:21" s="51" customFormat="1" ht="13" x14ac:dyDescent="0.3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 xml:space="preserve"> I Arable</v>
      </c>
      <c r="C58" s="10" t="str">
        <f>D16&amp;" I "&amp;(VLOOKUP(D14,Table24[],6,FALSE))</f>
        <v xml:space="preserve"> I Arable</v>
      </c>
      <c r="D58" s="10" t="str">
        <f>E16&amp;" I "&amp;(VLOOKUP(E14,Table24[],6,FALSE))</f>
        <v xml:space="preserve"> I Grass</v>
      </c>
      <c r="E58" s="10" t="str">
        <f>F16&amp;" I "&amp;(VLOOKUP(F14,Table24[],6,FALSE))</f>
        <v xml:space="preserve"> I Arable</v>
      </c>
      <c r="F58" s="10" t="str">
        <f>G16&amp;" I "&amp;(VLOOKUP(G14,Table24[],6,FALSE))</f>
        <v xml:space="preserve"> I Grass</v>
      </c>
      <c r="G58" s="10" t="str">
        <f>H16&amp;" I "&amp;(VLOOKUP(H14,Table24[],6,FALSE))</f>
        <v xml:space="preserve"> I Arable</v>
      </c>
      <c r="H58" s="10" t="str">
        <f>I16&amp;" I "&amp;(VLOOKUP(I14,Table24[],6,FALSE))</f>
        <v xml:space="preserve"> I Arable</v>
      </c>
      <c r="I58" s="10" t="str">
        <f>J16&amp;" I "&amp;(VLOOKUP(J14,Table24[],6,FALSE))</f>
        <v xml:space="preserve"> I Arable</v>
      </c>
      <c r="J58" s="10" t="str">
        <f>K16&amp;" I "&amp;(VLOOKUP(K14,Table24[],6,FALSE))</f>
        <v xml:space="preserve"> I Arable</v>
      </c>
      <c r="K58" s="10" t="str">
        <f>L16&amp;" I "&amp;(VLOOKUP(L14,Table24[],6,FALSE))</f>
        <v xml:space="preserve"> I Arable</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6.7</v>
      </c>
      <c r="C59" s="67">
        <f>VLOOKUP(D$14,Table24[],5,FALSE)</f>
        <v>6.7</v>
      </c>
      <c r="D59" s="67">
        <f>VLOOKUP(E$14,Table24[],5,FALSE)</f>
        <v>6.2</v>
      </c>
      <c r="E59" s="67">
        <f>VLOOKUP(F$14,Table24[],5,FALSE)</f>
        <v>6.7</v>
      </c>
      <c r="F59" s="67">
        <f>VLOOKUP(G$14,Table24[],5,FALSE)</f>
        <v>6.2</v>
      </c>
      <c r="G59" s="67">
        <f>VLOOKUP(H$14,Table24[],5,FALSE)</f>
        <v>6.7</v>
      </c>
      <c r="H59" s="67">
        <f>VLOOKUP(I$14,Table24[],5,FALSE)</f>
        <v>6.7</v>
      </c>
      <c r="I59" s="67">
        <f>VLOOKUP(J$14,Table24[],5,FALSE)</f>
        <v>6.7</v>
      </c>
      <c r="J59" s="67">
        <f>VLOOKUP(K$14,Table24[],5,FALSE)</f>
        <v>6.7</v>
      </c>
      <c r="K59" s="67">
        <f>VLOOKUP(L$14,Table24[],5,FALSE)</f>
        <v>6.7</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100</v>
      </c>
      <c r="D62" s="68">
        <f>B33</f>
        <v>250</v>
      </c>
      <c r="E62" s="68">
        <f>B34</f>
        <v>100</v>
      </c>
      <c r="F62" s="68">
        <f>B35</f>
        <v>0</v>
      </c>
      <c r="G62" s="68">
        <f>B36</f>
        <v>100</v>
      </c>
      <c r="H62" s="68">
        <f>B37</f>
        <v>100</v>
      </c>
      <c r="I62" s="68">
        <f>B38</f>
        <v>100</v>
      </c>
      <c r="J62" s="68">
        <f>B39</f>
        <v>100</v>
      </c>
      <c r="K62" s="68">
        <f>B40</f>
        <v>100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4" zoomScale="90" zoomScaleNormal="90" workbookViewId="0">
      <selection activeCell="H19" sqref="H1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7.2</v>
      </c>
      <c r="J1" s="114" t="s">
        <v>153</v>
      </c>
      <c r="K1" s="114"/>
      <c r="L1" s="86">
        <v>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1.05</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5.7142857142857148E-2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167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4.3068279900000004</v>
      </c>
      <c r="D18" s="13">
        <f>$D32</f>
        <v>4.3068279900000004</v>
      </c>
      <c r="E18" s="13">
        <f>$D33</f>
        <v>10.767069975</v>
      </c>
      <c r="F18" s="13">
        <f>$D34</f>
        <v>4.3068279900000004</v>
      </c>
      <c r="G18" s="13">
        <f>$D35</f>
        <v>0</v>
      </c>
      <c r="H18" s="13">
        <f>$D36</f>
        <v>4.3068279900000004</v>
      </c>
      <c r="I18" s="13">
        <f>$D37</f>
        <v>4.3068279900000004</v>
      </c>
      <c r="J18" s="13">
        <f>$D38</f>
        <v>4.3068279900000004</v>
      </c>
      <c r="K18" s="13">
        <f>$D39</f>
        <v>4.3068279900000004</v>
      </c>
      <c r="L18" s="13">
        <f>$D40</f>
        <v>4.3068279900000004</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-250.69317201000001</v>
      </c>
      <c r="D19" s="13">
        <f t="shared" ref="D19:V19" si="1">D18-D17</f>
        <v>-250.69317201000001</v>
      </c>
      <c r="E19" s="13">
        <f t="shared" si="1"/>
        <v>-69.132930024999993</v>
      </c>
      <c r="F19" s="13">
        <f t="shared" si="1"/>
        <v>-250.69317201000001</v>
      </c>
      <c r="G19" s="13">
        <f t="shared" si="1"/>
        <v>-79.899999999999991</v>
      </c>
      <c r="H19" s="13">
        <f t="shared" si="1"/>
        <v>-250.69317201000001</v>
      </c>
      <c r="I19" s="13">
        <f t="shared" si="1"/>
        <v>-250.69317201000001</v>
      </c>
      <c r="J19" s="13">
        <f t="shared" si="1"/>
        <v>-58.693172009999991</v>
      </c>
      <c r="K19" s="13">
        <f t="shared" si="1"/>
        <v>-58.693172009999991</v>
      </c>
      <c r="L19" s="13">
        <f t="shared" si="1"/>
        <v>-250.69317201000001</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3.9278179999999998E-5</v>
      </c>
      <c r="D22" s="13">
        <f>$E32</f>
        <v>3.9278179999999998E-5</v>
      </c>
      <c r="E22" s="13">
        <f>$E33</f>
        <v>9.8195449999999995E-5</v>
      </c>
      <c r="F22" s="13">
        <f>$E34</f>
        <v>3.9278179999999998E-5</v>
      </c>
      <c r="G22" s="13">
        <f>$E35</f>
        <v>0</v>
      </c>
      <c r="H22" s="13">
        <f>$E36</f>
        <v>3.9278179999999998E-5</v>
      </c>
      <c r="I22" s="13">
        <f>$E37</f>
        <v>3.9278179999999998E-5</v>
      </c>
      <c r="J22" s="13">
        <f>$E38</f>
        <v>3.9278179999999998E-5</v>
      </c>
      <c r="K22" s="13">
        <f>$E39</f>
        <v>3.9278179999999998E-5</v>
      </c>
      <c r="L22" s="13">
        <f>$E40</f>
        <v>3.9278179999999998E-5</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-359.99996072182</v>
      </c>
      <c r="D23" s="13">
        <f t="shared" ref="D23:V23" si="3">D22-D21</f>
        <v>-359.99996072182</v>
      </c>
      <c r="E23" s="13">
        <f t="shared" si="3"/>
        <v>-281.99990180455001</v>
      </c>
      <c r="F23" s="13">
        <f t="shared" si="3"/>
        <v>-359.99996072182</v>
      </c>
      <c r="G23" s="13">
        <f t="shared" si="3"/>
        <v>-282</v>
      </c>
      <c r="H23" s="13">
        <f t="shared" si="3"/>
        <v>-359.99996072182</v>
      </c>
      <c r="I23" s="13">
        <f t="shared" si="3"/>
        <v>-359.99996072182</v>
      </c>
      <c r="J23" s="13">
        <f t="shared" si="3"/>
        <v>-197.99996072182003</v>
      </c>
      <c r="K23" s="13">
        <f t="shared" si="3"/>
        <v>-197.99996072182003</v>
      </c>
      <c r="L23" s="13">
        <f t="shared" si="3"/>
        <v>-359.99996072182</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t="s">
        <v>55</v>
      </c>
    </row>
    <row r="28" spans="1:40" x14ac:dyDescent="0.35">
      <c r="A28" s="97"/>
      <c r="B28" s="17">
        <v>2.81</v>
      </c>
      <c r="C28" s="12">
        <v>1.05</v>
      </c>
      <c r="D28" s="12">
        <v>6.6900000000000001E-2</v>
      </c>
      <c r="E28" s="12">
        <v>1.1599999999999999E-2</v>
      </c>
      <c r="F28" s="12">
        <v>356</v>
      </c>
      <c r="G28" s="12">
        <v>33.700000000000003</v>
      </c>
      <c r="H28" s="12">
        <v>47.4</v>
      </c>
      <c r="I28" s="12">
        <v>4.6399999999999997</v>
      </c>
      <c r="J28" s="12">
        <v>0.4</v>
      </c>
      <c r="K28" s="16">
        <v>1.43</v>
      </c>
      <c r="L28" s="12">
        <v>5.0999999999999996</v>
      </c>
      <c r="M28" s="12">
        <v>2.4300000000000002</v>
      </c>
      <c r="N28" s="12">
        <v>191000</v>
      </c>
      <c r="O28" s="12">
        <v>7780</v>
      </c>
      <c r="P28" s="12"/>
      <c r="Q28" s="12">
        <v>8360</v>
      </c>
      <c r="R28" s="12"/>
      <c r="S28" s="12">
        <v>70</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100</v>
      </c>
      <c r="C31" s="68">
        <f>IF(C$27="%w/w SAR",((C$28*10)*$B31),IF(C$27="%w/w DM",(((C$28*10)*($B$28/100))*$B31),IF(C$27="kg/t SAR",(C$28*$B31),IF(C$27="kg/t DM",((C$28*($B$28/100))*$B31),IF(C$27="mg/kg SAR",((C$28*0.001)*$B31),IF(C$27="mg/kg DM",(((C$28*0.001)*($B$28/100))*$B31),0))))))</f>
        <v>29.504999999999999</v>
      </c>
      <c r="D31" s="68">
        <f>(IF(D$27="%w/w SAR",((D$28*10)*$B31),IF(D$27="%w/w DM",(((D$28*10)*($B$28/100))*$B31),IF(D$27="kg/t SAR",(D$28*$B31),IF(D$27="kg/t DM",((D$28*($B$28/100))*$B31),IF(D$27="mg/kg SAR",((D$28*0.001)*$B31),IF(D$27="mg/kg DM",(((D$28*0.001)*($B$28/100))*$B31),"0")))))))*2.291</f>
        <v>4.3068279900000004</v>
      </c>
      <c r="E31" s="68">
        <f>(IF(E$27="%w/w SAR",((E$28*10)*$B31),IF(E$27="%w/w DM",(((E$28*10)*($B$28/100))*$B31),IF(E$27="kg/t SAR",(E$28*$B31),IF(E$27="kg/t DM",((E$28*($B$28/100))*$B31),IF(E$27="mg/kg SAR",((E$28*0.001)*$B31),IF(E$27="mg/kg DM",(((E$28*0.001)*($B$28/100))*$B31),"0")))))))*1.205</f>
        <v>3.9278179999999998E-5</v>
      </c>
      <c r="F31" s="68">
        <f>(IF(F$27="%w/w SAR",((F$28*10)*$B31),IF(F$27="%w/w DM",(((F$28*10)*($B$28/100))*$B31),IF(F$27="kg/t SAR",(F$28*$B31),IF(F$27="kg/t DM",((F$28*($B$28/100))*$B31),IF(F$27="mg/kg SAR",((F$28*0.001)*$B31),IF(F$27="mg/kg DM",(((F$28*0.001)*($B$28/100))*$B31),"0")))))))*1.658</f>
        <v>1.6585968799999997</v>
      </c>
      <c r="G31" s="68">
        <f t="shared" ref="G31:P46" si="5">IF(G$27="%w/w SAR",((G$28*10)*$B31),IF(G$27="%w/w DM",(((G$28*10)*($B$28/100))*$B31),IF(G$27="kg/t SAR",(G$28*$B31),IF(G$27="kg/t DM",((G$28*($B$28/100))*$B31),IF(G$27="mg/kg SAR",((G$28*0.001)*$B31),IF(G$27="mg/kg DM",(((G$28*0.001)*($B$28/100))*$B31),0))))))</f>
        <v>9.4697000000000003E-2</v>
      </c>
      <c r="H31" s="68">
        <f t="shared" si="5"/>
        <v>0.13319400000000001</v>
      </c>
      <c r="I31" s="68">
        <f t="shared" si="5"/>
        <v>1.3038399999999999E-2</v>
      </c>
      <c r="J31" s="68">
        <f t="shared" si="5"/>
        <v>1.124E-3</v>
      </c>
      <c r="K31" s="68">
        <f t="shared" si="5"/>
        <v>4.0183000000000007E-3</v>
      </c>
      <c r="L31" s="68">
        <f t="shared" si="5"/>
        <v>1.4330999999999998E-2</v>
      </c>
      <c r="M31" s="68">
        <f t="shared" si="5"/>
        <v>6.8283000000000007E-3</v>
      </c>
      <c r="N31" s="68">
        <f t="shared" si="5"/>
        <v>536.70999999999992</v>
      </c>
      <c r="O31" s="68">
        <f t="shared" si="5"/>
        <v>21.861800000000002</v>
      </c>
      <c r="P31" s="68">
        <f t="shared" si="5"/>
        <v>0</v>
      </c>
      <c r="Q31" s="68">
        <f>(IF(Q$27="%w/w SAR",((Q$28*10)*$B31),IF(Q$27="%w/w DM",(((Q$28*10)*($B$28/100))*$B31),IF(Q$27="kg/t SAR",(Q$28*$B31),IF(Q$27="kg/t DM",((Q$28*($B$28/100))*$B31),IF(Q$27="mg/kg SAR",((Q$28*0.001)*$B31),IF(Q$27="mg/kg DM",(((Q$28*0.001)*($B$28/100))*$B31),0)))))))*2.5</f>
        <v>58.728999999999999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0.19669999999999999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100</v>
      </c>
      <c r="C32" s="68">
        <f t="shared" ref="C32:C50" si="6">IF(C$27="%w/w SAR",((C$28*10)*$B32),IF(C$27="%w/w DM",(((C$28*10)*($B$28/100))*$B32),IF(C$27="kg/t SAR",(C$28*$B32),IF(C$27="kg/t DM",((C$28*($B$28/100))*$B32),IF(C$27="mg/kg SAR",((C$28*0.001)*$B32),IF(C$27="mg/kg DM",(((C$28*0.001)*($B$28/100))*$B32),0))))))</f>
        <v>29.504999999999999</v>
      </c>
      <c r="D32" s="68">
        <f t="shared" ref="D32:D50" si="7">(IF(D$27="%w/w SAR",((D$28*10)*$B32),IF(D$27="%w/w DM",(((D$28*10)*($B$28/100))*$B32),IF(D$27="kg/t SAR",(D$28*$B32),IF(D$27="kg/t DM",((D$28*($B$28/100))*$B32),IF(D$27="mg/kg SAR",((D$28*0.001)*$B32),IF(D$27="mg/kg DM",(((D$28*0.001)*($B$28/100))*$B32),"0")))))))*2.291</f>
        <v>4.3068279900000004</v>
      </c>
      <c r="E32" s="68">
        <f t="shared" ref="E32:E50" si="8">(IF(E$27="%w/w SAR",((E$28*10)*$B32),IF(E$27="%w/w DM",(((E$28*10)*($B$28/100))*$B32),IF(E$27="kg/t SAR",(E$28*$B32),IF(E$27="kg/t DM",((E$28*($B$28/100))*$B32),IF(E$27="mg/kg SAR",((E$28*0.001)*$B32),IF(E$27="mg/kg DM",(((E$28*0.001)*($B$28/100))*$B32),"0")))))))*1.205</f>
        <v>3.9278179999999998E-5</v>
      </c>
      <c r="F32" s="68">
        <f t="shared" ref="F32:F50" si="9">(IF(F$27="%w/w SAR",((F$28*10)*$B32),IF(F$27="%w/w DM",(((F$28*10)*($B$28/100))*$B32),IF(F$27="kg/t SAR",(F$28*$B32),IF(F$27="kg/t DM",((F$28*($B$28/100))*$B32),IF(F$27="mg/kg SAR",((F$28*0.001)*$B32),IF(F$27="mg/kg DM",(((F$28*0.001)*($B$28/100))*$B32),"0")))))))*1.658</f>
        <v>1.6585968799999997</v>
      </c>
      <c r="G32" s="68">
        <f t="shared" si="5"/>
        <v>9.4697000000000003E-2</v>
      </c>
      <c r="H32" s="68">
        <f t="shared" si="5"/>
        <v>0.13319400000000001</v>
      </c>
      <c r="I32" s="68">
        <f t="shared" si="5"/>
        <v>1.3038399999999999E-2</v>
      </c>
      <c r="J32" s="68">
        <f t="shared" si="5"/>
        <v>1.124E-3</v>
      </c>
      <c r="K32" s="68">
        <f t="shared" si="5"/>
        <v>4.0183000000000007E-3</v>
      </c>
      <c r="L32" s="68">
        <f t="shared" si="5"/>
        <v>1.4330999999999998E-2</v>
      </c>
      <c r="M32" s="68">
        <f t="shared" si="5"/>
        <v>6.8283000000000007E-3</v>
      </c>
      <c r="N32" s="68">
        <f t="shared" si="5"/>
        <v>536.70999999999992</v>
      </c>
      <c r="O32" s="68">
        <f t="shared" si="5"/>
        <v>21.861800000000002</v>
      </c>
      <c r="P32" s="68">
        <f t="shared" si="5"/>
        <v>0</v>
      </c>
      <c r="Q32" s="68">
        <f t="shared" ref="Q32:Q50" si="10">(IF(Q$27="%w/w SAR",((Q$28*10)*$B32),IF(Q$27="%w/w DM",(((Q$28*10)*($B$28/100))*$B32),IF(Q$27="kg/t SAR",(Q$28*$B32),IF(Q$27="kg/t DM",((Q$28*($B$28/100))*$B32),IF(Q$27="mg/kg SAR",((Q$28*0.001)*$B32),IF(Q$27="mg/kg DM",(((Q$28*0.001)*($B$28/100))*$B32),0)))))))*2.5</f>
        <v>58.728999999999999</v>
      </c>
      <c r="R32" s="68">
        <f t="shared" ref="R32:U50" si="11">IF(R$27="%w/w SAR",((R$28*10)*$B32),IF(R$27="%w/w DM",(((R$28*10)*($B$28/100))*$B32),IF(R$27="kg/t SAR",(R$28*$B32),IF(R$27="kg/t DM",((R$28*($B$28/100))*$B32),IF(R$27="mg/kg SAR",((R$28*0.001)*$B32),IF(R$27="mg/kg DM",(((R$28*0.001)*($B$28/100))*$B32),0))))))</f>
        <v>0</v>
      </c>
      <c r="S32" s="68">
        <f t="shared" si="11"/>
        <v>0.19669999999999999</v>
      </c>
      <c r="T32" s="68">
        <f t="shared" si="11"/>
        <v>0</v>
      </c>
      <c r="U32" s="68">
        <f t="shared" si="11"/>
        <v>0</v>
      </c>
    </row>
    <row r="33" spans="1:21" s="51" customFormat="1" ht="13" x14ac:dyDescent="0.35">
      <c r="A33" s="10">
        <f>E8</f>
        <v>2056</v>
      </c>
      <c r="B33" s="12">
        <v>250</v>
      </c>
      <c r="C33" s="68">
        <f t="shared" si="6"/>
        <v>73.762499999999989</v>
      </c>
      <c r="D33" s="68">
        <f t="shared" si="7"/>
        <v>10.767069975</v>
      </c>
      <c r="E33" s="68">
        <f t="shared" si="8"/>
        <v>9.8195449999999995E-5</v>
      </c>
      <c r="F33" s="68">
        <f t="shared" si="9"/>
        <v>4.1464922</v>
      </c>
      <c r="G33" s="68">
        <f t="shared" si="5"/>
        <v>0.23674249999999999</v>
      </c>
      <c r="H33" s="68">
        <f t="shared" si="5"/>
        <v>0.33298499999999998</v>
      </c>
      <c r="I33" s="68">
        <f t="shared" si="5"/>
        <v>3.2596E-2</v>
      </c>
      <c r="J33" s="68">
        <f t="shared" si="5"/>
        <v>2.81E-3</v>
      </c>
      <c r="K33" s="68">
        <f t="shared" si="5"/>
        <v>1.0045750000000001E-2</v>
      </c>
      <c r="L33" s="68">
        <f t="shared" si="5"/>
        <v>3.5827499999999998E-2</v>
      </c>
      <c r="M33" s="68">
        <f t="shared" si="5"/>
        <v>1.7070750000000003E-2</v>
      </c>
      <c r="N33" s="68">
        <f t="shared" si="5"/>
        <v>1341.7749999999999</v>
      </c>
      <c r="O33" s="68">
        <f t="shared" si="5"/>
        <v>54.654499999999999</v>
      </c>
      <c r="P33" s="68">
        <f t="shared" si="5"/>
        <v>0</v>
      </c>
      <c r="Q33" s="68">
        <f t="shared" si="10"/>
        <v>146.82249999999999</v>
      </c>
      <c r="R33" s="68">
        <f t="shared" si="11"/>
        <v>0</v>
      </c>
      <c r="S33" s="68">
        <f t="shared" si="11"/>
        <v>0.49175000000000002</v>
      </c>
      <c r="T33" s="68">
        <f t="shared" si="11"/>
        <v>0</v>
      </c>
      <c r="U33" s="68">
        <f t="shared" si="11"/>
        <v>0</v>
      </c>
    </row>
    <row r="34" spans="1:21" s="51" customFormat="1" ht="13" x14ac:dyDescent="0.35">
      <c r="A34" s="10">
        <f>F8</f>
        <v>2</v>
      </c>
      <c r="B34" s="12">
        <v>100</v>
      </c>
      <c r="C34" s="68">
        <f t="shared" si="6"/>
        <v>29.504999999999999</v>
      </c>
      <c r="D34" s="68">
        <f t="shared" si="7"/>
        <v>4.3068279900000004</v>
      </c>
      <c r="E34" s="68">
        <f t="shared" si="8"/>
        <v>3.9278179999999998E-5</v>
      </c>
      <c r="F34" s="68">
        <f t="shared" si="9"/>
        <v>1.6585968799999997</v>
      </c>
      <c r="G34" s="68">
        <f t="shared" si="5"/>
        <v>9.4697000000000003E-2</v>
      </c>
      <c r="H34" s="68">
        <f t="shared" si="5"/>
        <v>0.13319400000000001</v>
      </c>
      <c r="I34" s="68">
        <f t="shared" si="5"/>
        <v>1.3038399999999999E-2</v>
      </c>
      <c r="J34" s="68">
        <f t="shared" si="5"/>
        <v>1.124E-3</v>
      </c>
      <c r="K34" s="68">
        <f t="shared" si="5"/>
        <v>4.0183000000000007E-3</v>
      </c>
      <c r="L34" s="68">
        <f t="shared" si="5"/>
        <v>1.4330999999999998E-2</v>
      </c>
      <c r="M34" s="68">
        <f t="shared" si="5"/>
        <v>6.8283000000000007E-3</v>
      </c>
      <c r="N34" s="68">
        <f t="shared" si="5"/>
        <v>536.70999999999992</v>
      </c>
      <c r="O34" s="68">
        <f t="shared" si="5"/>
        <v>21.861800000000002</v>
      </c>
      <c r="P34" s="68">
        <f t="shared" si="5"/>
        <v>0</v>
      </c>
      <c r="Q34" s="68">
        <f t="shared" si="10"/>
        <v>58.728999999999999</v>
      </c>
      <c r="R34" s="68">
        <f t="shared" si="11"/>
        <v>0</v>
      </c>
      <c r="S34" s="68">
        <f t="shared" si="11"/>
        <v>0.19669999999999999</v>
      </c>
      <c r="T34" s="68">
        <f t="shared" si="11"/>
        <v>0</v>
      </c>
      <c r="U34" s="68">
        <f t="shared" si="11"/>
        <v>0</v>
      </c>
    </row>
    <row r="35" spans="1:21" s="51" customFormat="1" ht="13" x14ac:dyDescent="0.35">
      <c r="A35" s="10">
        <f>G8</f>
        <v>9155</v>
      </c>
      <c r="B35" s="12">
        <v>0</v>
      </c>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ht="13" x14ac:dyDescent="0.35">
      <c r="A36" s="10">
        <f>H8</f>
        <v>2062</v>
      </c>
      <c r="B36" s="12">
        <v>100</v>
      </c>
      <c r="C36" s="68">
        <f t="shared" si="6"/>
        <v>29.504999999999999</v>
      </c>
      <c r="D36" s="68">
        <f t="shared" si="7"/>
        <v>4.3068279900000004</v>
      </c>
      <c r="E36" s="68">
        <f t="shared" si="8"/>
        <v>3.9278179999999998E-5</v>
      </c>
      <c r="F36" s="68">
        <f t="shared" si="9"/>
        <v>1.6585968799999997</v>
      </c>
      <c r="G36" s="68">
        <f t="shared" si="5"/>
        <v>9.4697000000000003E-2</v>
      </c>
      <c r="H36" s="68">
        <f t="shared" si="5"/>
        <v>0.13319400000000001</v>
      </c>
      <c r="I36" s="68">
        <f t="shared" si="5"/>
        <v>1.3038399999999999E-2</v>
      </c>
      <c r="J36" s="68">
        <f t="shared" si="5"/>
        <v>1.124E-3</v>
      </c>
      <c r="K36" s="68">
        <f t="shared" si="5"/>
        <v>4.0183000000000007E-3</v>
      </c>
      <c r="L36" s="68">
        <f t="shared" si="5"/>
        <v>1.4330999999999998E-2</v>
      </c>
      <c r="M36" s="68">
        <f t="shared" si="5"/>
        <v>6.8283000000000007E-3</v>
      </c>
      <c r="N36" s="68">
        <f t="shared" si="5"/>
        <v>536.70999999999992</v>
      </c>
      <c r="O36" s="68">
        <f t="shared" si="5"/>
        <v>21.861800000000002</v>
      </c>
      <c r="P36" s="68">
        <f t="shared" si="5"/>
        <v>0</v>
      </c>
      <c r="Q36" s="68">
        <f t="shared" si="10"/>
        <v>58.728999999999999</v>
      </c>
      <c r="R36" s="68">
        <f t="shared" si="11"/>
        <v>0</v>
      </c>
      <c r="S36" s="68">
        <f t="shared" si="11"/>
        <v>0.19669999999999999</v>
      </c>
      <c r="T36" s="68">
        <f t="shared" si="11"/>
        <v>0</v>
      </c>
      <c r="U36" s="68">
        <f t="shared" si="11"/>
        <v>0</v>
      </c>
    </row>
    <row r="37" spans="1:21" s="51" customFormat="1" ht="13" x14ac:dyDescent="0.35">
      <c r="A37" s="10">
        <f>I8</f>
        <v>834</v>
      </c>
      <c r="B37" s="12">
        <v>100</v>
      </c>
      <c r="C37" s="68">
        <f t="shared" si="6"/>
        <v>29.504999999999999</v>
      </c>
      <c r="D37" s="68">
        <f t="shared" si="7"/>
        <v>4.3068279900000004</v>
      </c>
      <c r="E37" s="68">
        <f t="shared" si="8"/>
        <v>3.9278179999999998E-5</v>
      </c>
      <c r="F37" s="68">
        <f t="shared" si="9"/>
        <v>1.6585968799999997</v>
      </c>
      <c r="G37" s="68">
        <f t="shared" si="5"/>
        <v>9.4697000000000003E-2</v>
      </c>
      <c r="H37" s="68">
        <f t="shared" si="5"/>
        <v>0.13319400000000001</v>
      </c>
      <c r="I37" s="68">
        <f t="shared" si="5"/>
        <v>1.3038399999999999E-2</v>
      </c>
      <c r="J37" s="68">
        <f t="shared" si="5"/>
        <v>1.124E-3</v>
      </c>
      <c r="K37" s="68">
        <f t="shared" si="5"/>
        <v>4.0183000000000007E-3</v>
      </c>
      <c r="L37" s="68">
        <f t="shared" si="5"/>
        <v>1.4330999999999998E-2</v>
      </c>
      <c r="M37" s="68">
        <f t="shared" si="5"/>
        <v>6.8283000000000007E-3</v>
      </c>
      <c r="N37" s="68">
        <f t="shared" si="5"/>
        <v>536.70999999999992</v>
      </c>
      <c r="O37" s="68">
        <f t="shared" si="5"/>
        <v>21.861800000000002</v>
      </c>
      <c r="P37" s="68">
        <f t="shared" si="5"/>
        <v>0</v>
      </c>
      <c r="Q37" s="68">
        <f t="shared" si="10"/>
        <v>58.728999999999999</v>
      </c>
      <c r="R37" s="68">
        <f t="shared" si="11"/>
        <v>0</v>
      </c>
      <c r="S37" s="68">
        <f t="shared" si="11"/>
        <v>0.19669999999999999</v>
      </c>
      <c r="T37" s="68">
        <f t="shared" si="11"/>
        <v>0</v>
      </c>
      <c r="U37" s="68">
        <f t="shared" si="11"/>
        <v>0</v>
      </c>
    </row>
    <row r="38" spans="1:21" s="51" customFormat="1" ht="13" x14ac:dyDescent="0.35">
      <c r="A38" s="10">
        <f>J8</f>
        <v>5928</v>
      </c>
      <c r="B38" s="12">
        <v>100</v>
      </c>
      <c r="C38" s="68">
        <f t="shared" si="6"/>
        <v>29.504999999999999</v>
      </c>
      <c r="D38" s="68">
        <f t="shared" si="7"/>
        <v>4.3068279900000004</v>
      </c>
      <c r="E38" s="68">
        <f t="shared" si="8"/>
        <v>3.9278179999999998E-5</v>
      </c>
      <c r="F38" s="68">
        <f t="shared" si="9"/>
        <v>1.6585968799999997</v>
      </c>
      <c r="G38" s="68">
        <f t="shared" si="5"/>
        <v>9.4697000000000003E-2</v>
      </c>
      <c r="H38" s="68">
        <f t="shared" si="5"/>
        <v>0.13319400000000001</v>
      </c>
      <c r="I38" s="68">
        <f t="shared" si="5"/>
        <v>1.3038399999999999E-2</v>
      </c>
      <c r="J38" s="68">
        <f t="shared" si="5"/>
        <v>1.124E-3</v>
      </c>
      <c r="K38" s="68">
        <f t="shared" si="5"/>
        <v>4.0183000000000007E-3</v>
      </c>
      <c r="L38" s="68">
        <f t="shared" si="5"/>
        <v>1.4330999999999998E-2</v>
      </c>
      <c r="M38" s="68">
        <f t="shared" si="5"/>
        <v>6.8283000000000007E-3</v>
      </c>
      <c r="N38" s="68">
        <f t="shared" si="5"/>
        <v>536.70999999999992</v>
      </c>
      <c r="O38" s="68">
        <f t="shared" si="5"/>
        <v>21.861800000000002</v>
      </c>
      <c r="P38" s="68">
        <f t="shared" si="5"/>
        <v>0</v>
      </c>
      <c r="Q38" s="68">
        <f t="shared" si="10"/>
        <v>58.728999999999999</v>
      </c>
      <c r="R38" s="68">
        <f t="shared" si="11"/>
        <v>0</v>
      </c>
      <c r="S38" s="68">
        <f t="shared" si="11"/>
        <v>0.19669999999999999</v>
      </c>
      <c r="T38" s="68">
        <f t="shared" si="11"/>
        <v>0</v>
      </c>
      <c r="U38" s="68">
        <f t="shared" si="11"/>
        <v>0</v>
      </c>
    </row>
    <row r="39" spans="1:21" s="51" customFormat="1" ht="13" x14ac:dyDescent="0.35">
      <c r="A39" s="10">
        <f>K8</f>
        <v>3370</v>
      </c>
      <c r="B39" s="12">
        <v>100</v>
      </c>
      <c r="C39" s="68">
        <f t="shared" si="6"/>
        <v>29.504999999999999</v>
      </c>
      <c r="D39" s="68">
        <f t="shared" si="7"/>
        <v>4.3068279900000004</v>
      </c>
      <c r="E39" s="68">
        <f t="shared" si="8"/>
        <v>3.9278179999999998E-5</v>
      </c>
      <c r="F39" s="68">
        <f t="shared" si="9"/>
        <v>1.6585968799999997</v>
      </c>
      <c r="G39" s="68">
        <f t="shared" si="5"/>
        <v>9.4697000000000003E-2</v>
      </c>
      <c r="H39" s="68">
        <f t="shared" si="5"/>
        <v>0.13319400000000001</v>
      </c>
      <c r="I39" s="68">
        <f t="shared" si="5"/>
        <v>1.3038399999999999E-2</v>
      </c>
      <c r="J39" s="68">
        <f t="shared" si="5"/>
        <v>1.124E-3</v>
      </c>
      <c r="K39" s="68">
        <f t="shared" si="5"/>
        <v>4.0183000000000007E-3</v>
      </c>
      <c r="L39" s="68">
        <f t="shared" si="5"/>
        <v>1.4330999999999998E-2</v>
      </c>
      <c r="M39" s="68">
        <f t="shared" si="5"/>
        <v>6.8283000000000007E-3</v>
      </c>
      <c r="N39" s="68">
        <f t="shared" si="5"/>
        <v>536.70999999999992</v>
      </c>
      <c r="O39" s="68">
        <f t="shared" si="5"/>
        <v>21.861800000000002</v>
      </c>
      <c r="P39" s="68">
        <f t="shared" si="5"/>
        <v>0</v>
      </c>
      <c r="Q39" s="68">
        <f t="shared" si="10"/>
        <v>58.728999999999999</v>
      </c>
      <c r="R39" s="68">
        <f t="shared" si="11"/>
        <v>0</v>
      </c>
      <c r="S39" s="68">
        <f t="shared" si="11"/>
        <v>0.19669999999999999</v>
      </c>
      <c r="T39" s="68">
        <f t="shared" si="11"/>
        <v>0</v>
      </c>
      <c r="U39" s="68">
        <f t="shared" si="11"/>
        <v>0</v>
      </c>
    </row>
    <row r="40" spans="1:21" s="51" customFormat="1" ht="13" x14ac:dyDescent="0.35">
      <c r="A40" s="10">
        <f>L8</f>
        <v>3234</v>
      </c>
      <c r="B40" s="12">
        <v>100</v>
      </c>
      <c r="C40" s="68">
        <f t="shared" si="6"/>
        <v>29.504999999999999</v>
      </c>
      <c r="D40" s="68">
        <f t="shared" si="7"/>
        <v>4.3068279900000004</v>
      </c>
      <c r="E40" s="68">
        <f t="shared" si="8"/>
        <v>3.9278179999999998E-5</v>
      </c>
      <c r="F40" s="68">
        <f t="shared" si="9"/>
        <v>1.6585968799999997</v>
      </c>
      <c r="G40" s="68">
        <f t="shared" si="5"/>
        <v>9.4697000000000003E-2</v>
      </c>
      <c r="H40" s="68">
        <f t="shared" si="5"/>
        <v>0.13319400000000001</v>
      </c>
      <c r="I40" s="68">
        <f t="shared" si="5"/>
        <v>1.3038399999999999E-2</v>
      </c>
      <c r="J40" s="68">
        <f t="shared" si="5"/>
        <v>1.124E-3</v>
      </c>
      <c r="K40" s="68">
        <f t="shared" si="5"/>
        <v>4.0183000000000007E-3</v>
      </c>
      <c r="L40" s="68">
        <f t="shared" si="5"/>
        <v>1.4330999999999998E-2</v>
      </c>
      <c r="M40" s="68">
        <f t="shared" si="5"/>
        <v>6.8283000000000007E-3</v>
      </c>
      <c r="N40" s="68">
        <f t="shared" si="5"/>
        <v>536.70999999999992</v>
      </c>
      <c r="O40" s="68">
        <f t="shared" si="5"/>
        <v>21.861800000000002</v>
      </c>
      <c r="P40" s="68">
        <f t="shared" si="5"/>
        <v>0</v>
      </c>
      <c r="Q40" s="68">
        <f t="shared" si="10"/>
        <v>58.728999999999999</v>
      </c>
      <c r="R40" s="68">
        <f t="shared" si="11"/>
        <v>0</v>
      </c>
      <c r="S40" s="68">
        <f t="shared" si="11"/>
        <v>0.19669999999999999</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0 I Arable</v>
      </c>
      <c r="C58" s="10" t="str">
        <f>D16&amp;" I "&amp;(VLOOKUP(D14,Table245[],6,FALSE))</f>
        <v>0 I Arable</v>
      </c>
      <c r="D58" s="10" t="str">
        <f>E16&amp;" I "&amp;(VLOOKUP(E14,Table245[],6,FALSE))</f>
        <v>0 I Grass</v>
      </c>
      <c r="E58" s="10" t="str">
        <f>F16&amp;" I "&amp;(VLOOKUP(F14,Table245[],6,FALSE))</f>
        <v>0 I Arable</v>
      </c>
      <c r="F58" s="10" t="str">
        <f>G16&amp;" I "&amp;(VLOOKUP(G14,Table245[],6,FALSE))</f>
        <v>0 I Grass</v>
      </c>
      <c r="G58" s="10" t="str">
        <f>H16&amp;" I "&amp;(VLOOKUP(H14,Table245[],6,FALSE))</f>
        <v>0 I Arable</v>
      </c>
      <c r="H58" s="10" t="str">
        <f>I16&amp;" I "&amp;(VLOOKUP(I14,Table245[],6,FALSE))</f>
        <v>0 I Arable</v>
      </c>
      <c r="I58" s="10" t="str">
        <f>J16&amp;" I "&amp;(VLOOKUP(J14,Table245[],6,FALSE))</f>
        <v>0 I Arable</v>
      </c>
      <c r="J58" s="10" t="str">
        <f>K16&amp;" I "&amp;(VLOOKUP(K14,Table245[],6,FALSE))</f>
        <v>0 I Arable</v>
      </c>
      <c r="K58" s="10" t="str">
        <f>L16&amp;" I "&amp;(VLOOKUP(L14,Table245[],6,FALSE))</f>
        <v>0 I Arable</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6.7</v>
      </c>
      <c r="C59" s="67">
        <f>VLOOKUP(D$14,Table245[],5,FALSE)</f>
        <v>6.7</v>
      </c>
      <c r="D59" s="67">
        <f>VLOOKUP(E$14,Table245[],5,FALSE)</f>
        <v>6.2</v>
      </c>
      <c r="E59" s="67">
        <f>VLOOKUP(F$14,Table245[],5,FALSE)</f>
        <v>6.7</v>
      </c>
      <c r="F59" s="67">
        <f>VLOOKUP(G$14,Table245[],5,FALSE)</f>
        <v>6.2</v>
      </c>
      <c r="G59" s="67">
        <f>VLOOKUP(H$14,Table245[],5,FALSE)</f>
        <v>6.7</v>
      </c>
      <c r="H59" s="67">
        <f>VLOOKUP(I$14,Table245[],5,FALSE)</f>
        <v>6.7</v>
      </c>
      <c r="I59" s="67">
        <f>VLOOKUP(J$14,Table245[],5,FALSE)</f>
        <v>6.7</v>
      </c>
      <c r="J59" s="67">
        <f>VLOOKUP(K$14,Table245[],5,FALSE)</f>
        <v>6.7</v>
      </c>
      <c r="K59" s="67">
        <f>VLOOKUP(L$14,Table245[],5,FALSE)</f>
        <v>6.7</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100</v>
      </c>
      <c r="D62" s="68">
        <f>B33</f>
        <v>250</v>
      </c>
      <c r="E62" s="68">
        <f>B34</f>
        <v>100</v>
      </c>
      <c r="F62" s="68">
        <f>B35</f>
        <v>0</v>
      </c>
      <c r="G62" s="68">
        <f>B36</f>
        <v>100</v>
      </c>
      <c r="H62" s="68">
        <f>B37</f>
        <v>100</v>
      </c>
      <c r="I62" s="68">
        <f>B38</f>
        <v>100</v>
      </c>
      <c r="J62" s="68">
        <f>B39</f>
        <v>100</v>
      </c>
      <c r="K62" s="68">
        <f>B40</f>
        <v>100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0" zoomScale="90" zoomScaleNormal="90" workbookViewId="0">
      <selection activeCell="N28" sqref="N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6.5</v>
      </c>
      <c r="J1" s="114" t="s">
        <v>153</v>
      </c>
      <c r="K1" s="114"/>
      <c r="L1" s="86">
        <v>99.3</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0.93500000000000005</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1.0620320855614973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168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53.731899769999998</v>
      </c>
      <c r="D18" s="13">
        <f>$D32</f>
        <v>53.731899769999998</v>
      </c>
      <c r="E18" s="13">
        <f>$D33</f>
        <v>80.026233700000006</v>
      </c>
      <c r="F18" s="13">
        <f>$D34</f>
        <v>53.731899769999998</v>
      </c>
      <c r="G18" s="13">
        <f>$D35</f>
        <v>80.026233700000006</v>
      </c>
      <c r="H18" s="13">
        <f>$D36</f>
        <v>53.731899769999998</v>
      </c>
      <c r="I18" s="13">
        <f>$D37</f>
        <v>53.731899769999998</v>
      </c>
      <c r="J18" s="13">
        <f>$D38</f>
        <v>53.731899769999998</v>
      </c>
      <c r="K18" s="13">
        <f>$D39</f>
        <v>53.731899769999998</v>
      </c>
      <c r="L18" s="13">
        <f>$D40</f>
        <v>53.731899769999998</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-201.26810023000002</v>
      </c>
      <c r="D19" s="13">
        <f t="shared" ref="D19:V19" si="1">D18-D17</f>
        <v>-201.26810023000002</v>
      </c>
      <c r="E19" s="13">
        <f t="shared" si="1"/>
        <v>0.12623370000001444</v>
      </c>
      <c r="F19" s="13">
        <f t="shared" si="1"/>
        <v>-201.26810023000002</v>
      </c>
      <c r="G19" s="13">
        <f t="shared" si="1"/>
        <v>0.12623370000001444</v>
      </c>
      <c r="H19" s="13">
        <f t="shared" si="1"/>
        <v>-201.26810023000002</v>
      </c>
      <c r="I19" s="13">
        <f t="shared" si="1"/>
        <v>-201.26810023000002</v>
      </c>
      <c r="J19" s="13">
        <f t="shared" si="1"/>
        <v>-9.2681002299999946</v>
      </c>
      <c r="K19" s="13">
        <f t="shared" si="1"/>
        <v>-9.2681002299999946</v>
      </c>
      <c r="L19" s="13">
        <f t="shared" si="1"/>
        <v>-201.26810023000002</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INCREASE</v>
      </c>
      <c r="F20" s="19" t="str">
        <f>IF($B34="","",IF(F$19&gt;=0,"INCREASE","DECREASE"))</f>
        <v>DECREASE</v>
      </c>
      <c r="G20" s="19" t="str">
        <f>IF($B35="","",IF(G$19&gt;=0,"INCREASE","DECREASE"))</f>
        <v>INCREASE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(VLOOKUP(D$14,$AI2:$AK24,3,FALSE))*D$15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2.2121064650000008E-4</v>
      </c>
      <c r="D22" s="13">
        <f>$E32</f>
        <v>2.2121064650000008E-4</v>
      </c>
      <c r="E22" s="13">
        <f>$E33</f>
        <v>3.2946266500000009E-4</v>
      </c>
      <c r="F22" s="13">
        <f>$E34</f>
        <v>2.2121064650000008E-4</v>
      </c>
      <c r="G22" s="13">
        <f>$E35</f>
        <v>3.2946266500000009E-4</v>
      </c>
      <c r="H22" s="13">
        <f>$E36</f>
        <v>2.2121064650000008E-4</v>
      </c>
      <c r="I22" s="13">
        <f>$E37</f>
        <v>2.2121064650000008E-4</v>
      </c>
      <c r="J22" s="13">
        <f>$E38</f>
        <v>2.2121064650000008E-4</v>
      </c>
      <c r="K22" s="13">
        <f>$E39</f>
        <v>2.2121064650000008E-4</v>
      </c>
      <c r="L22" s="13">
        <f>$E40</f>
        <v>2.2121064650000008E-4</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-359.99977878935351</v>
      </c>
      <c r="D23" s="13">
        <f t="shared" ref="D23:V23" si="3">D22-D21</f>
        <v>-359.99977878935351</v>
      </c>
      <c r="E23" s="13">
        <f t="shared" si="3"/>
        <v>-281.99967053733502</v>
      </c>
      <c r="F23" s="13">
        <f t="shared" si="3"/>
        <v>-359.99977878935351</v>
      </c>
      <c r="G23" s="13">
        <f t="shared" si="3"/>
        <v>-281.99967053733502</v>
      </c>
      <c r="H23" s="13">
        <f t="shared" si="3"/>
        <v>-359.99977878935351</v>
      </c>
      <c r="I23" s="13">
        <f t="shared" si="3"/>
        <v>-359.99977878935351</v>
      </c>
      <c r="J23" s="13">
        <f t="shared" si="3"/>
        <v>-197.99977878935354</v>
      </c>
      <c r="K23" s="13">
        <f t="shared" si="3"/>
        <v>-197.99977878935354</v>
      </c>
      <c r="L23" s="13">
        <f t="shared" si="3"/>
        <v>-359.99977878935351</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6.95</v>
      </c>
      <c r="C28" s="12">
        <v>0.93500000000000005</v>
      </c>
      <c r="D28" s="12">
        <v>0.35899999999999999</v>
      </c>
      <c r="E28" s="12">
        <v>2.81E-2</v>
      </c>
      <c r="F28" s="12">
        <v>764</v>
      </c>
      <c r="G28" s="12">
        <v>28.8</v>
      </c>
      <c r="H28" s="12">
        <v>170</v>
      </c>
      <c r="I28" s="12">
        <v>28.8</v>
      </c>
      <c r="J28" s="12">
        <v>0.11</v>
      </c>
      <c r="K28" s="16">
        <v>0.59</v>
      </c>
      <c r="L28" s="12">
        <v>24.2</v>
      </c>
      <c r="M28" s="12">
        <v>9.98</v>
      </c>
      <c r="N28" s="12">
        <v>3500</v>
      </c>
      <c r="O28" s="12">
        <v>2610000</v>
      </c>
      <c r="P28" s="12"/>
      <c r="Q28" s="12">
        <v>3130</v>
      </c>
      <c r="R28" s="12"/>
      <c r="S28" s="12">
        <v>27.3</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94</v>
      </c>
      <c r="C31" s="68">
        <f>IF(C$27="%w/w SAR",((C$28*10)*$B31),IF(C$27="%w/w DM",(((C$28*10)*($B$28/100))*$B31),IF(C$27="kg/t SAR",(C$28*$B31),IF(C$27="kg/t DM",((C$28*($B$28/100))*$B31),IF(C$27="mg/kg SAR",((C$28*0.001)*$B31),IF(C$27="mg/kg DM",(((C$28*0.001)*($B$28/100))*$B31),0))))))</f>
        <v>61.083550000000017</v>
      </c>
      <c r="D31" s="68">
        <f>(IF(D$27="%w/w SAR",((D$28*10)*$B31),IF(D$27="%w/w DM",(((D$28*10)*($B$28/100))*$B31),IF(D$27="kg/t SAR",(D$28*$B31),IF(D$27="kg/t DM",((D$28*($B$28/100))*$B31),IF(D$27="mg/kg SAR",((D$28*0.001)*$B31),IF(D$27="mg/kg DM",(((D$28*0.001)*($B$28/100))*$B31),"0")))))))*2.291</f>
        <v>53.731899769999998</v>
      </c>
      <c r="E31" s="68">
        <f>(IF(E$27="%w/w SAR",((E$28*10)*$B31),IF(E$27="%w/w DM",(((E$28*10)*($B$28/100))*$B31),IF(E$27="kg/t SAR",(E$28*$B31),IF(E$27="kg/t DM",((E$28*($B$28/100))*$B31),IF(E$27="mg/kg SAR",((E$28*0.001)*$B31),IF(E$27="mg/kg DM",(((E$28*0.001)*($B$28/100))*$B31),"0")))))))*1.205</f>
        <v>2.2121064650000008E-4</v>
      </c>
      <c r="F31" s="68">
        <f>(IF(F$27="%w/w SAR",((F$28*10)*$B31),IF(F$27="%w/w DM",(((F$28*10)*($B$28/100))*$B31),IF(F$27="kg/t SAR",(F$28*$B31),IF(F$27="kg/t DM",((F$28*($B$28/100))*$B31),IF(F$27="mg/kg SAR",((F$28*0.001)*$B31),IF(F$27="mg/kg DM",(((F$28*0.001)*($B$28/100))*$B31),"0")))))))*1.658</f>
        <v>8.275429496000001</v>
      </c>
      <c r="G31" s="68">
        <f t="shared" ref="G31:P46" si="5">IF(G$27="%w/w SAR",((G$28*10)*$B31),IF(G$27="%w/w DM",(((G$28*10)*($B$28/100))*$B31),IF(G$27="kg/t SAR",(G$28*$B31),IF(G$27="kg/t DM",((G$28*($B$28/100))*$B31),IF(G$27="mg/kg SAR",((G$28*0.001)*$B31),IF(G$27="mg/kg DM",(((G$28*0.001)*($B$28/100))*$B31),0))))))</f>
        <v>0.18815040000000005</v>
      </c>
      <c r="H31" s="68">
        <f t="shared" si="5"/>
        <v>1.1106100000000003</v>
      </c>
      <c r="I31" s="68">
        <f t="shared" si="5"/>
        <v>0.18815040000000005</v>
      </c>
      <c r="J31" s="68">
        <f t="shared" si="5"/>
        <v>7.1863000000000005E-4</v>
      </c>
      <c r="K31" s="68">
        <f t="shared" si="5"/>
        <v>3.8544700000000005E-3</v>
      </c>
      <c r="L31" s="68">
        <f t="shared" si="5"/>
        <v>0.15809860000000001</v>
      </c>
      <c r="M31" s="68">
        <f t="shared" si="5"/>
        <v>6.5199340000000008E-2</v>
      </c>
      <c r="N31" s="68">
        <f t="shared" si="5"/>
        <v>22.865500000000001</v>
      </c>
      <c r="O31" s="68">
        <f t="shared" si="5"/>
        <v>17051.13</v>
      </c>
      <c r="P31" s="68">
        <f t="shared" si="5"/>
        <v>0</v>
      </c>
      <c r="Q31" s="68">
        <f>(IF(Q$27="%w/w SAR",((Q$28*10)*$B31),IF(Q$27="%w/w DM",(((Q$28*10)*($B$28/100))*$B31),IF(Q$27="kg/t SAR",(Q$28*$B31),IF(Q$27="kg/t DM",((Q$28*($B$28/100))*$B31),IF(Q$27="mg/kg SAR",((Q$28*0.001)*$B31),IF(Q$27="mg/kg DM",(((Q$28*0.001)*($B$28/100))*$B31),0)))))))*2.5</f>
        <v>51.120725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0.17835090000000003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94</v>
      </c>
      <c r="C32" s="68">
        <f t="shared" ref="C32:C50" si="6">IF(C$27="%w/w SAR",((C$28*10)*$B32),IF(C$27="%w/w DM",(((C$28*10)*($B$28/100))*$B32),IF(C$27="kg/t SAR",(C$28*$B32),IF(C$27="kg/t DM",((C$28*($B$28/100))*$B32),IF(C$27="mg/kg SAR",((C$28*0.001)*$B32),IF(C$27="mg/kg DM",(((C$28*0.001)*($B$28/100))*$B32),0))))))</f>
        <v>61.083550000000017</v>
      </c>
      <c r="D32" s="68">
        <f t="shared" ref="D32:D50" si="7">(IF(D$27="%w/w SAR",((D$28*10)*$B32),IF(D$27="%w/w DM",(((D$28*10)*($B$28/100))*$B32),IF(D$27="kg/t SAR",(D$28*$B32),IF(D$27="kg/t DM",((D$28*($B$28/100))*$B32),IF(D$27="mg/kg SAR",((D$28*0.001)*$B32),IF(D$27="mg/kg DM",(((D$28*0.001)*($B$28/100))*$B32),"0")))))))*2.291</f>
        <v>53.731899769999998</v>
      </c>
      <c r="E32" s="68">
        <f t="shared" ref="E32:E50" si="8">(IF(E$27="%w/w SAR",((E$28*10)*$B32),IF(E$27="%w/w DM",(((E$28*10)*($B$28/100))*$B32),IF(E$27="kg/t SAR",(E$28*$B32),IF(E$27="kg/t DM",((E$28*($B$28/100))*$B32),IF(E$27="mg/kg SAR",((E$28*0.001)*$B32),IF(E$27="mg/kg DM",(((E$28*0.001)*($B$28/100))*$B32),"0")))))))*1.205</f>
        <v>2.2121064650000008E-4</v>
      </c>
      <c r="F32" s="68">
        <f t="shared" ref="F32:F50" si="9">(IF(F$27="%w/w SAR",((F$28*10)*$B32),IF(F$27="%w/w DM",(((F$28*10)*($B$28/100))*$B32),IF(F$27="kg/t SAR",(F$28*$B32),IF(F$27="kg/t DM",((F$28*($B$28/100))*$B32),IF(F$27="mg/kg SAR",((F$28*0.001)*$B32),IF(F$27="mg/kg DM",(((F$28*0.001)*($B$28/100))*$B32),"0")))))))*1.658</f>
        <v>8.275429496000001</v>
      </c>
      <c r="G32" s="68">
        <f t="shared" si="5"/>
        <v>0.18815040000000005</v>
      </c>
      <c r="H32" s="68">
        <f t="shared" si="5"/>
        <v>1.1106100000000003</v>
      </c>
      <c r="I32" s="68">
        <f t="shared" si="5"/>
        <v>0.18815040000000005</v>
      </c>
      <c r="J32" s="68">
        <f t="shared" si="5"/>
        <v>7.1863000000000005E-4</v>
      </c>
      <c r="K32" s="68">
        <f t="shared" si="5"/>
        <v>3.8544700000000005E-3</v>
      </c>
      <c r="L32" s="68">
        <f t="shared" si="5"/>
        <v>0.15809860000000001</v>
      </c>
      <c r="M32" s="68">
        <f t="shared" si="5"/>
        <v>6.5199340000000008E-2</v>
      </c>
      <c r="N32" s="68">
        <f t="shared" si="5"/>
        <v>22.865500000000001</v>
      </c>
      <c r="O32" s="68">
        <f t="shared" si="5"/>
        <v>17051.13</v>
      </c>
      <c r="P32" s="68">
        <f t="shared" si="5"/>
        <v>0</v>
      </c>
      <c r="Q32" s="68">
        <f t="shared" ref="Q32:Q50" si="10">(IF(Q$27="%w/w SAR",((Q$28*10)*$B32),IF(Q$27="%w/w DM",(((Q$28*10)*($B$28/100))*$B32),IF(Q$27="kg/t SAR",(Q$28*$B32),IF(Q$27="kg/t DM",((Q$28*($B$28/100))*$B32),IF(Q$27="mg/kg SAR",((Q$28*0.001)*$B32),IF(Q$27="mg/kg DM",(((Q$28*0.001)*($B$28/100))*$B32),0)))))))*2.5</f>
        <v>51.120725</v>
      </c>
      <c r="R32" s="68">
        <f t="shared" ref="R32:U50" si="11">IF(R$27="%w/w SAR",((R$28*10)*$B32),IF(R$27="%w/w DM",(((R$28*10)*($B$28/100))*$B32),IF(R$27="kg/t SAR",(R$28*$B32),IF(R$27="kg/t DM",((R$28*($B$28/100))*$B32),IF(R$27="mg/kg SAR",((R$28*0.001)*$B32),IF(R$27="mg/kg DM",(((R$28*0.001)*($B$28/100))*$B32),0))))))</f>
        <v>0</v>
      </c>
      <c r="S32" s="68">
        <f t="shared" si="11"/>
        <v>0.17835090000000003</v>
      </c>
      <c r="T32" s="68">
        <f t="shared" si="11"/>
        <v>0</v>
      </c>
      <c r="U32" s="68">
        <f t="shared" si="11"/>
        <v>0</v>
      </c>
    </row>
    <row r="33" spans="1:21" s="51" customFormat="1" ht="13" x14ac:dyDescent="0.35">
      <c r="A33" s="10">
        <f>E8</f>
        <v>2056</v>
      </c>
      <c r="B33" s="12">
        <v>140</v>
      </c>
      <c r="C33" s="68">
        <f t="shared" si="6"/>
        <v>90.975500000000025</v>
      </c>
      <c r="D33" s="68">
        <f t="shared" si="7"/>
        <v>80.026233700000006</v>
      </c>
      <c r="E33" s="68">
        <f t="shared" si="8"/>
        <v>3.2946266500000009E-4</v>
      </c>
      <c r="F33" s="68">
        <f t="shared" si="9"/>
        <v>12.325107760000002</v>
      </c>
      <c r="G33" s="68">
        <f t="shared" si="5"/>
        <v>0.28022400000000008</v>
      </c>
      <c r="H33" s="68">
        <f t="shared" si="5"/>
        <v>1.6541000000000003</v>
      </c>
      <c r="I33" s="68">
        <f t="shared" si="5"/>
        <v>0.28022400000000008</v>
      </c>
      <c r="J33" s="68">
        <f t="shared" si="5"/>
        <v>1.0703000000000002E-3</v>
      </c>
      <c r="K33" s="68">
        <f t="shared" si="5"/>
        <v>5.7407000000000005E-3</v>
      </c>
      <c r="L33" s="68">
        <f t="shared" si="5"/>
        <v>0.23546600000000001</v>
      </c>
      <c r="M33" s="68">
        <f t="shared" si="5"/>
        <v>9.7105400000000008E-2</v>
      </c>
      <c r="N33" s="68">
        <f t="shared" si="5"/>
        <v>34.055</v>
      </c>
      <c r="O33" s="68">
        <f t="shared" si="5"/>
        <v>25395.300000000003</v>
      </c>
      <c r="P33" s="68">
        <f t="shared" si="5"/>
        <v>0</v>
      </c>
      <c r="Q33" s="68">
        <f t="shared" si="10"/>
        <v>76.137250000000009</v>
      </c>
      <c r="R33" s="68">
        <f t="shared" si="11"/>
        <v>0</v>
      </c>
      <c r="S33" s="68">
        <f t="shared" si="11"/>
        <v>0.26562900000000006</v>
      </c>
      <c r="T33" s="68">
        <f t="shared" si="11"/>
        <v>0</v>
      </c>
      <c r="U33" s="68">
        <f t="shared" si="11"/>
        <v>0</v>
      </c>
    </row>
    <row r="34" spans="1:21" s="51" customFormat="1" ht="13" x14ac:dyDescent="0.35">
      <c r="A34" s="10">
        <f>F8</f>
        <v>2</v>
      </c>
      <c r="B34" s="12">
        <v>94</v>
      </c>
      <c r="C34" s="68">
        <f t="shared" si="6"/>
        <v>61.083550000000017</v>
      </c>
      <c r="D34" s="68">
        <f t="shared" si="7"/>
        <v>53.731899769999998</v>
      </c>
      <c r="E34" s="68">
        <f t="shared" si="8"/>
        <v>2.2121064650000008E-4</v>
      </c>
      <c r="F34" s="68">
        <f t="shared" si="9"/>
        <v>8.275429496000001</v>
      </c>
      <c r="G34" s="68">
        <f t="shared" si="5"/>
        <v>0.18815040000000005</v>
      </c>
      <c r="H34" s="68">
        <f t="shared" si="5"/>
        <v>1.1106100000000003</v>
      </c>
      <c r="I34" s="68">
        <f t="shared" si="5"/>
        <v>0.18815040000000005</v>
      </c>
      <c r="J34" s="68">
        <f t="shared" si="5"/>
        <v>7.1863000000000005E-4</v>
      </c>
      <c r="K34" s="68">
        <f t="shared" si="5"/>
        <v>3.8544700000000005E-3</v>
      </c>
      <c r="L34" s="68">
        <f t="shared" si="5"/>
        <v>0.15809860000000001</v>
      </c>
      <c r="M34" s="68">
        <f t="shared" si="5"/>
        <v>6.5199340000000008E-2</v>
      </c>
      <c r="N34" s="68">
        <f t="shared" si="5"/>
        <v>22.865500000000001</v>
      </c>
      <c r="O34" s="68">
        <f t="shared" si="5"/>
        <v>17051.13</v>
      </c>
      <c r="P34" s="68">
        <f t="shared" si="5"/>
        <v>0</v>
      </c>
      <c r="Q34" s="68">
        <f t="shared" si="10"/>
        <v>51.120725</v>
      </c>
      <c r="R34" s="68">
        <f t="shared" si="11"/>
        <v>0</v>
      </c>
      <c r="S34" s="68">
        <f t="shared" si="11"/>
        <v>0.17835090000000003</v>
      </c>
      <c r="T34" s="68">
        <f t="shared" si="11"/>
        <v>0</v>
      </c>
      <c r="U34" s="68">
        <f t="shared" si="11"/>
        <v>0</v>
      </c>
    </row>
    <row r="35" spans="1:21" s="51" customFormat="1" ht="13" x14ac:dyDescent="0.35">
      <c r="A35" s="10">
        <f>G8</f>
        <v>9155</v>
      </c>
      <c r="B35" s="12">
        <v>140</v>
      </c>
      <c r="C35" s="68">
        <f t="shared" si="6"/>
        <v>90.975500000000025</v>
      </c>
      <c r="D35" s="68">
        <f t="shared" si="7"/>
        <v>80.026233700000006</v>
      </c>
      <c r="E35" s="68">
        <f t="shared" si="8"/>
        <v>3.2946266500000009E-4</v>
      </c>
      <c r="F35" s="68">
        <f t="shared" si="9"/>
        <v>12.325107760000002</v>
      </c>
      <c r="G35" s="68">
        <f t="shared" si="5"/>
        <v>0.28022400000000008</v>
      </c>
      <c r="H35" s="68">
        <f t="shared" si="5"/>
        <v>1.6541000000000003</v>
      </c>
      <c r="I35" s="68">
        <f t="shared" si="5"/>
        <v>0.28022400000000008</v>
      </c>
      <c r="J35" s="68">
        <f t="shared" si="5"/>
        <v>1.0703000000000002E-3</v>
      </c>
      <c r="K35" s="68">
        <f t="shared" si="5"/>
        <v>5.7407000000000005E-3</v>
      </c>
      <c r="L35" s="68">
        <f t="shared" si="5"/>
        <v>0.23546600000000001</v>
      </c>
      <c r="M35" s="68">
        <f t="shared" si="5"/>
        <v>9.7105400000000008E-2</v>
      </c>
      <c r="N35" s="68">
        <f t="shared" si="5"/>
        <v>34.055</v>
      </c>
      <c r="O35" s="68">
        <f t="shared" si="5"/>
        <v>25395.300000000003</v>
      </c>
      <c r="P35" s="68">
        <f t="shared" si="5"/>
        <v>0</v>
      </c>
      <c r="Q35" s="68">
        <f t="shared" si="10"/>
        <v>76.137250000000009</v>
      </c>
      <c r="R35" s="68">
        <f t="shared" si="11"/>
        <v>0</v>
      </c>
      <c r="S35" s="68">
        <f t="shared" si="11"/>
        <v>0.26562900000000006</v>
      </c>
      <c r="T35" s="68">
        <f t="shared" si="11"/>
        <v>0</v>
      </c>
      <c r="U35" s="68">
        <f t="shared" si="11"/>
        <v>0</v>
      </c>
    </row>
    <row r="36" spans="1:21" s="51" customFormat="1" ht="13" x14ac:dyDescent="0.35">
      <c r="A36" s="10">
        <f>H8</f>
        <v>2062</v>
      </c>
      <c r="B36" s="12">
        <v>94</v>
      </c>
      <c r="C36" s="68">
        <f t="shared" si="6"/>
        <v>61.083550000000017</v>
      </c>
      <c r="D36" s="68">
        <f t="shared" si="7"/>
        <v>53.731899769999998</v>
      </c>
      <c r="E36" s="68">
        <f t="shared" si="8"/>
        <v>2.2121064650000008E-4</v>
      </c>
      <c r="F36" s="68">
        <f t="shared" si="9"/>
        <v>8.275429496000001</v>
      </c>
      <c r="G36" s="68">
        <f t="shared" si="5"/>
        <v>0.18815040000000005</v>
      </c>
      <c r="H36" s="68">
        <f t="shared" si="5"/>
        <v>1.1106100000000003</v>
      </c>
      <c r="I36" s="68">
        <f t="shared" si="5"/>
        <v>0.18815040000000005</v>
      </c>
      <c r="J36" s="68">
        <f t="shared" si="5"/>
        <v>7.1863000000000005E-4</v>
      </c>
      <c r="K36" s="68">
        <f t="shared" si="5"/>
        <v>3.8544700000000005E-3</v>
      </c>
      <c r="L36" s="68">
        <f t="shared" si="5"/>
        <v>0.15809860000000001</v>
      </c>
      <c r="M36" s="68">
        <f t="shared" si="5"/>
        <v>6.5199340000000008E-2</v>
      </c>
      <c r="N36" s="68">
        <f t="shared" si="5"/>
        <v>22.865500000000001</v>
      </c>
      <c r="O36" s="68">
        <f t="shared" si="5"/>
        <v>17051.13</v>
      </c>
      <c r="P36" s="68">
        <f t="shared" si="5"/>
        <v>0</v>
      </c>
      <c r="Q36" s="68">
        <f t="shared" si="10"/>
        <v>51.120725</v>
      </c>
      <c r="R36" s="68">
        <f t="shared" si="11"/>
        <v>0</v>
      </c>
      <c r="S36" s="68">
        <f t="shared" si="11"/>
        <v>0.17835090000000003</v>
      </c>
      <c r="T36" s="68">
        <f t="shared" si="11"/>
        <v>0</v>
      </c>
      <c r="U36" s="68">
        <f t="shared" si="11"/>
        <v>0</v>
      </c>
    </row>
    <row r="37" spans="1:21" s="51" customFormat="1" ht="13" x14ac:dyDescent="0.35">
      <c r="A37" s="10">
        <f>I8</f>
        <v>834</v>
      </c>
      <c r="B37" s="12">
        <v>94</v>
      </c>
      <c r="C37" s="68">
        <f t="shared" si="6"/>
        <v>61.083550000000017</v>
      </c>
      <c r="D37" s="68">
        <f t="shared" si="7"/>
        <v>53.731899769999998</v>
      </c>
      <c r="E37" s="68">
        <f t="shared" si="8"/>
        <v>2.2121064650000008E-4</v>
      </c>
      <c r="F37" s="68">
        <f t="shared" si="9"/>
        <v>8.275429496000001</v>
      </c>
      <c r="G37" s="68">
        <f t="shared" si="5"/>
        <v>0.18815040000000005</v>
      </c>
      <c r="H37" s="68">
        <f t="shared" si="5"/>
        <v>1.1106100000000003</v>
      </c>
      <c r="I37" s="68">
        <f t="shared" si="5"/>
        <v>0.18815040000000005</v>
      </c>
      <c r="J37" s="68">
        <f t="shared" si="5"/>
        <v>7.1863000000000005E-4</v>
      </c>
      <c r="K37" s="68">
        <f t="shared" si="5"/>
        <v>3.8544700000000005E-3</v>
      </c>
      <c r="L37" s="68">
        <f t="shared" si="5"/>
        <v>0.15809860000000001</v>
      </c>
      <c r="M37" s="68">
        <f t="shared" si="5"/>
        <v>6.5199340000000008E-2</v>
      </c>
      <c r="N37" s="68">
        <f t="shared" si="5"/>
        <v>22.865500000000001</v>
      </c>
      <c r="O37" s="68">
        <f t="shared" si="5"/>
        <v>17051.13</v>
      </c>
      <c r="P37" s="68">
        <f t="shared" si="5"/>
        <v>0</v>
      </c>
      <c r="Q37" s="68">
        <f t="shared" si="10"/>
        <v>51.120725</v>
      </c>
      <c r="R37" s="68">
        <f t="shared" si="11"/>
        <v>0</v>
      </c>
      <c r="S37" s="68">
        <f t="shared" si="11"/>
        <v>0.17835090000000003</v>
      </c>
      <c r="T37" s="68">
        <f t="shared" si="11"/>
        <v>0</v>
      </c>
      <c r="U37" s="68">
        <f t="shared" si="11"/>
        <v>0</v>
      </c>
    </row>
    <row r="38" spans="1:21" s="51" customFormat="1" ht="13" x14ac:dyDescent="0.35">
      <c r="A38" s="10">
        <f>J8</f>
        <v>5928</v>
      </c>
      <c r="B38" s="12">
        <v>94</v>
      </c>
      <c r="C38" s="68">
        <f t="shared" si="6"/>
        <v>61.083550000000017</v>
      </c>
      <c r="D38" s="68">
        <f t="shared" si="7"/>
        <v>53.731899769999998</v>
      </c>
      <c r="E38" s="68">
        <f t="shared" si="8"/>
        <v>2.2121064650000008E-4</v>
      </c>
      <c r="F38" s="68">
        <f t="shared" si="9"/>
        <v>8.275429496000001</v>
      </c>
      <c r="G38" s="68">
        <f t="shared" si="5"/>
        <v>0.18815040000000005</v>
      </c>
      <c r="H38" s="68">
        <f t="shared" si="5"/>
        <v>1.1106100000000003</v>
      </c>
      <c r="I38" s="68">
        <f t="shared" si="5"/>
        <v>0.18815040000000005</v>
      </c>
      <c r="J38" s="68">
        <f t="shared" si="5"/>
        <v>7.1863000000000005E-4</v>
      </c>
      <c r="K38" s="68">
        <f t="shared" si="5"/>
        <v>3.8544700000000005E-3</v>
      </c>
      <c r="L38" s="68">
        <f t="shared" si="5"/>
        <v>0.15809860000000001</v>
      </c>
      <c r="M38" s="68">
        <f t="shared" si="5"/>
        <v>6.5199340000000008E-2</v>
      </c>
      <c r="N38" s="68">
        <f t="shared" si="5"/>
        <v>22.865500000000001</v>
      </c>
      <c r="O38" s="68">
        <f t="shared" si="5"/>
        <v>17051.13</v>
      </c>
      <c r="P38" s="68">
        <f t="shared" si="5"/>
        <v>0</v>
      </c>
      <c r="Q38" s="68">
        <f t="shared" si="10"/>
        <v>51.120725</v>
      </c>
      <c r="R38" s="68">
        <f t="shared" si="11"/>
        <v>0</v>
      </c>
      <c r="S38" s="68">
        <f t="shared" si="11"/>
        <v>0.17835090000000003</v>
      </c>
      <c r="T38" s="68">
        <f t="shared" si="11"/>
        <v>0</v>
      </c>
      <c r="U38" s="68">
        <f t="shared" si="11"/>
        <v>0</v>
      </c>
    </row>
    <row r="39" spans="1:21" s="51" customFormat="1" ht="13" x14ac:dyDescent="0.35">
      <c r="A39" s="10">
        <f>K8</f>
        <v>3370</v>
      </c>
      <c r="B39" s="12">
        <v>94</v>
      </c>
      <c r="C39" s="68">
        <f t="shared" si="6"/>
        <v>61.083550000000017</v>
      </c>
      <c r="D39" s="68">
        <f t="shared" si="7"/>
        <v>53.731899769999998</v>
      </c>
      <c r="E39" s="68">
        <f t="shared" si="8"/>
        <v>2.2121064650000008E-4</v>
      </c>
      <c r="F39" s="68">
        <f t="shared" si="9"/>
        <v>8.275429496000001</v>
      </c>
      <c r="G39" s="68">
        <f t="shared" si="5"/>
        <v>0.18815040000000005</v>
      </c>
      <c r="H39" s="68">
        <f t="shared" si="5"/>
        <v>1.1106100000000003</v>
      </c>
      <c r="I39" s="68">
        <f t="shared" si="5"/>
        <v>0.18815040000000005</v>
      </c>
      <c r="J39" s="68">
        <f t="shared" si="5"/>
        <v>7.1863000000000005E-4</v>
      </c>
      <c r="K39" s="68">
        <f t="shared" si="5"/>
        <v>3.8544700000000005E-3</v>
      </c>
      <c r="L39" s="68">
        <f t="shared" si="5"/>
        <v>0.15809860000000001</v>
      </c>
      <c r="M39" s="68">
        <f t="shared" si="5"/>
        <v>6.5199340000000008E-2</v>
      </c>
      <c r="N39" s="68">
        <f t="shared" si="5"/>
        <v>22.865500000000001</v>
      </c>
      <c r="O39" s="68">
        <f t="shared" si="5"/>
        <v>17051.13</v>
      </c>
      <c r="P39" s="68">
        <f t="shared" si="5"/>
        <v>0</v>
      </c>
      <c r="Q39" s="68">
        <f t="shared" si="10"/>
        <v>51.120725</v>
      </c>
      <c r="R39" s="68">
        <f t="shared" si="11"/>
        <v>0</v>
      </c>
      <c r="S39" s="68">
        <f t="shared" si="11"/>
        <v>0.17835090000000003</v>
      </c>
      <c r="T39" s="68">
        <f t="shared" si="11"/>
        <v>0</v>
      </c>
      <c r="U39" s="68">
        <f t="shared" si="11"/>
        <v>0</v>
      </c>
    </row>
    <row r="40" spans="1:21" s="51" customFormat="1" ht="13" x14ac:dyDescent="0.35">
      <c r="A40" s="10">
        <f>L8</f>
        <v>3234</v>
      </c>
      <c r="B40" s="12">
        <v>94</v>
      </c>
      <c r="C40" s="68">
        <f t="shared" si="6"/>
        <v>61.083550000000017</v>
      </c>
      <c r="D40" s="68">
        <f t="shared" si="7"/>
        <v>53.731899769999998</v>
      </c>
      <c r="E40" s="68">
        <f t="shared" si="8"/>
        <v>2.2121064650000008E-4</v>
      </c>
      <c r="F40" s="68">
        <f t="shared" si="9"/>
        <v>8.275429496000001</v>
      </c>
      <c r="G40" s="68">
        <f t="shared" si="5"/>
        <v>0.18815040000000005</v>
      </c>
      <c r="H40" s="68">
        <f t="shared" si="5"/>
        <v>1.1106100000000003</v>
      </c>
      <c r="I40" s="68">
        <f t="shared" si="5"/>
        <v>0.18815040000000005</v>
      </c>
      <c r="J40" s="68">
        <f t="shared" si="5"/>
        <v>7.1863000000000005E-4</v>
      </c>
      <c r="K40" s="68">
        <f t="shared" si="5"/>
        <v>3.8544700000000005E-3</v>
      </c>
      <c r="L40" s="68">
        <f t="shared" si="5"/>
        <v>0.15809860000000001</v>
      </c>
      <c r="M40" s="68">
        <f t="shared" si="5"/>
        <v>6.5199340000000008E-2</v>
      </c>
      <c r="N40" s="68">
        <f t="shared" si="5"/>
        <v>22.865500000000001</v>
      </c>
      <c r="O40" s="68">
        <f t="shared" si="5"/>
        <v>17051.13</v>
      </c>
      <c r="P40" s="68">
        <f t="shared" si="5"/>
        <v>0</v>
      </c>
      <c r="Q40" s="68">
        <f t="shared" si="10"/>
        <v>51.120725</v>
      </c>
      <c r="R40" s="68">
        <f t="shared" si="11"/>
        <v>0</v>
      </c>
      <c r="S40" s="68">
        <f t="shared" si="11"/>
        <v>0.17835090000000003</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0 I Arable</v>
      </c>
      <c r="C58" s="10" t="str">
        <f>D16&amp;" I "&amp;(VLOOKUP(D14,Table245811[],6,FALSE))</f>
        <v>0 I Arable</v>
      </c>
      <c r="D58" s="10" t="str">
        <f>E16&amp;" I "&amp;(VLOOKUP(E14,Table245811[],6,FALSE))</f>
        <v>0 I Grass</v>
      </c>
      <c r="E58" s="10" t="str">
        <f>F16&amp;" I "&amp;(VLOOKUP(F14,Table245811[],6,FALSE))</f>
        <v>0 I Arable</v>
      </c>
      <c r="F58" s="10" t="str">
        <f>G16&amp;" I "&amp;(VLOOKUP(G14,Table245811[],6,FALSE))</f>
        <v>0 I Grass</v>
      </c>
      <c r="G58" s="10" t="str">
        <f>H16&amp;" I "&amp;(VLOOKUP(H14,Table245811[],6,FALSE))</f>
        <v>0 I Arable</v>
      </c>
      <c r="H58" s="10" t="str">
        <f>I16&amp;" I "&amp;(VLOOKUP(I14,Table245811[],6,FALSE))</f>
        <v>0 I Arable</v>
      </c>
      <c r="I58" s="10" t="str">
        <f>J16&amp;" I "&amp;(VLOOKUP(J14,Table245811[],6,FALSE))</f>
        <v>0 I Arable</v>
      </c>
      <c r="J58" s="10" t="str">
        <f>K16&amp;" I "&amp;(VLOOKUP(K14,Table245811[],6,FALSE))</f>
        <v>0 I Arable</v>
      </c>
      <c r="K58" s="10" t="str">
        <f>L16&amp;" I "&amp;(VLOOKUP(L14,Table245811[],6,FALSE))</f>
        <v>0 I Arable</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6.7</v>
      </c>
      <c r="C59" s="67">
        <f>VLOOKUP(D$14,Table245811[],5,FALSE)</f>
        <v>6.7</v>
      </c>
      <c r="D59" s="67">
        <f>VLOOKUP(E$14,Table245811[],5,FALSE)</f>
        <v>6.2</v>
      </c>
      <c r="E59" s="67">
        <f>VLOOKUP(F$14,Table245811[],5,FALSE)</f>
        <v>6.7</v>
      </c>
      <c r="F59" s="67">
        <f>VLOOKUP(G$14,Table245811[],5,FALSE)</f>
        <v>6.2</v>
      </c>
      <c r="G59" s="67">
        <f>VLOOKUP(H$14,Table245811[],5,FALSE)</f>
        <v>6.7</v>
      </c>
      <c r="H59" s="67">
        <f>VLOOKUP(I$14,Table245811[],5,FALSE)</f>
        <v>6.7</v>
      </c>
      <c r="I59" s="67">
        <f>VLOOKUP(J$14,Table245811[],5,FALSE)</f>
        <v>6.7</v>
      </c>
      <c r="J59" s="67">
        <f>VLOOKUP(K$14,Table245811[],5,FALSE)</f>
        <v>6.7</v>
      </c>
      <c r="K59" s="67">
        <f>VLOOKUP(L$14,Table245811[],5,FALSE)</f>
        <v>6.7</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94</v>
      </c>
      <c r="C62" s="68">
        <f>B32</f>
        <v>94</v>
      </c>
      <c r="D62" s="68">
        <f>B33</f>
        <v>140</v>
      </c>
      <c r="E62" s="68">
        <f>B34</f>
        <v>94</v>
      </c>
      <c r="F62" s="68">
        <f>B35</f>
        <v>140</v>
      </c>
      <c r="G62" s="68">
        <f>B36</f>
        <v>94</v>
      </c>
      <c r="H62" s="68">
        <f>B37</f>
        <v>94</v>
      </c>
      <c r="I62" s="68">
        <f>B38</f>
        <v>94</v>
      </c>
      <c r="J62" s="68">
        <f>B39</f>
        <v>94</v>
      </c>
      <c r="K62" s="68">
        <f>B40</f>
        <v>94</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D27" sqref="D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6.6</v>
      </c>
      <c r="J1" s="114" t="s">
        <v>153</v>
      </c>
      <c r="K1" s="114"/>
      <c r="L1" s="86">
        <v>213</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1.38</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1.5434782608695654</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169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10.8208512</v>
      </c>
      <c r="D18" s="13">
        <f>$D32</f>
        <v>10.8208512</v>
      </c>
      <c r="E18" s="13">
        <f>$D33</f>
        <v>27.052128000000003</v>
      </c>
      <c r="F18" s="13">
        <f>$D34</f>
        <v>10.8208512</v>
      </c>
      <c r="G18" s="13">
        <f>$D35</f>
        <v>0</v>
      </c>
      <c r="H18" s="13">
        <f>$D36</f>
        <v>10.8208512</v>
      </c>
      <c r="I18" s="13">
        <f>$D37</f>
        <v>10.8208512</v>
      </c>
      <c r="J18" s="13">
        <f>$D38</f>
        <v>10.8208512</v>
      </c>
      <c r="K18" s="13">
        <f>$D39</f>
        <v>10.8208512</v>
      </c>
      <c r="L18" s="13">
        <f>$D40</f>
        <v>10.8208512</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-244.17914880000001</v>
      </c>
      <c r="D19" s="13">
        <f t="shared" ref="D19:V19" si="1">D18-D17</f>
        <v>-244.17914880000001</v>
      </c>
      <c r="E19" s="13">
        <f t="shared" si="1"/>
        <v>-52.847871999999988</v>
      </c>
      <c r="F19" s="13">
        <f t="shared" si="1"/>
        <v>-244.17914880000001</v>
      </c>
      <c r="G19" s="13">
        <f t="shared" si="1"/>
        <v>-79.899999999999991</v>
      </c>
      <c r="H19" s="13">
        <f t="shared" si="1"/>
        <v>-244.17914880000001</v>
      </c>
      <c r="I19" s="13">
        <f t="shared" si="1"/>
        <v>-244.17914880000001</v>
      </c>
      <c r="J19" s="13">
        <f t="shared" si="1"/>
        <v>-52.179148799999993</v>
      </c>
      <c r="K19" s="13">
        <f t="shared" si="1"/>
        <v>-52.179148799999993</v>
      </c>
      <c r="L19" s="13">
        <f t="shared" si="1"/>
        <v>-244.17914880000001</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6.4549439999999985E-5</v>
      </c>
      <c r="D22" s="13">
        <f>$E32</f>
        <v>6.4549439999999985E-5</v>
      </c>
      <c r="E22" s="13">
        <f>$E33</f>
        <v>1.6137359999999996E-4</v>
      </c>
      <c r="F22" s="13">
        <f>$E34</f>
        <v>6.4549439999999985E-5</v>
      </c>
      <c r="G22" s="13">
        <f>$E35</f>
        <v>0</v>
      </c>
      <c r="H22" s="13">
        <f>$E36</f>
        <v>6.4549439999999985E-5</v>
      </c>
      <c r="I22" s="13">
        <f>$E37</f>
        <v>6.4549439999999985E-5</v>
      </c>
      <c r="J22" s="13">
        <f>$E38</f>
        <v>6.4549439999999985E-5</v>
      </c>
      <c r="K22" s="13">
        <f>$E39</f>
        <v>6.4549439999999985E-5</v>
      </c>
      <c r="L22" s="13">
        <f>$E40</f>
        <v>6.4549439999999985E-5</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-359.99993545055997</v>
      </c>
      <c r="D23" s="13">
        <f t="shared" ref="D23:V23" si="3">D22-D21</f>
        <v>-359.99993545055997</v>
      </c>
      <c r="E23" s="13">
        <f t="shared" si="3"/>
        <v>-281.99983862639999</v>
      </c>
      <c r="F23" s="13">
        <f t="shared" si="3"/>
        <v>-359.99993545055997</v>
      </c>
      <c r="G23" s="13">
        <f t="shared" si="3"/>
        <v>-282</v>
      </c>
      <c r="H23" s="13">
        <f t="shared" si="3"/>
        <v>-359.99993545055997</v>
      </c>
      <c r="I23" s="13">
        <f t="shared" si="3"/>
        <v>-359.99993545055997</v>
      </c>
      <c r="J23" s="13">
        <f t="shared" si="3"/>
        <v>-197.99993545056003</v>
      </c>
      <c r="K23" s="13">
        <f t="shared" si="3"/>
        <v>-197.99993545056003</v>
      </c>
      <c r="L23" s="13">
        <f t="shared" si="3"/>
        <v>-359.99993545055997</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2.88</v>
      </c>
      <c r="C28" s="12">
        <v>1.38</v>
      </c>
      <c r="D28" s="12">
        <v>0.16400000000000001</v>
      </c>
      <c r="E28" s="12">
        <v>1.8599999999999998E-2</v>
      </c>
      <c r="F28" s="12">
        <v>249</v>
      </c>
      <c r="G28" s="12">
        <v>13.7</v>
      </c>
      <c r="H28" s="12">
        <v>44.5</v>
      </c>
      <c r="I28" s="12">
        <v>4.53</v>
      </c>
      <c r="J28" s="12">
        <v>0.33</v>
      </c>
      <c r="K28" s="16">
        <v>1.4</v>
      </c>
      <c r="L28" s="12">
        <v>3</v>
      </c>
      <c r="M28" s="12">
        <v>2.37</v>
      </c>
      <c r="N28" s="12">
        <v>105000</v>
      </c>
      <c r="O28" s="12">
        <v>16000</v>
      </c>
      <c r="P28" s="12"/>
      <c r="Q28" s="12">
        <v>4350</v>
      </c>
      <c r="R28" s="12"/>
      <c r="S28" s="12">
        <v>33.299999999999997</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100</v>
      </c>
      <c r="C31" s="68">
        <f>IF(C$27="%w/w SAR",((C$28*10)*$B31),IF(C$27="%w/w DM",(((C$28*10)*($B$28/100))*$B31),IF(C$27="kg/t SAR",(C$28*$B31),IF(C$27="kg/t DM",((C$28*($B$28/100))*$B31),IF(C$27="mg/kg SAR",((C$28*0.001)*$B31),IF(C$27="mg/kg DM",(((C$28*0.001)*($B$28/100))*$B31),0))))))</f>
        <v>39.743999999999993</v>
      </c>
      <c r="D31" s="68">
        <f>(IF(D$27="%w/w SAR",((D$28*10)*$B31),IF(D$27="%w/w DM",(((D$28*10)*($B$28/100))*$B31),IF(D$27="kg/t SAR",(D$28*$B31),IF(D$27="kg/t DM",((D$28*($B$28/100))*$B31),IF(D$27="mg/kg SAR",((D$28*0.001)*$B31),IF(D$27="mg/kg DM",(((D$28*0.001)*($B$28/100))*$B31),"0")))))))*2.291</f>
        <v>10.8208512</v>
      </c>
      <c r="E31" s="68">
        <f>(IF(E$27="%w/w SAR",((E$28*10)*$B31),IF(E$27="%w/w DM",(((E$28*10)*($B$28/100))*$B31),IF(E$27="kg/t SAR",(E$28*$B31),IF(E$27="kg/t DM",((E$28*($B$28/100))*$B31),IF(E$27="mg/kg SAR",((E$28*0.001)*$B31),IF(E$27="mg/kg DM",(((E$28*0.001)*($B$28/100))*$B31),"0")))))))*1.205</f>
        <v>6.4549439999999985E-5</v>
      </c>
      <c r="F31" s="68">
        <f>(IF(F$27="%w/w SAR",((F$28*10)*$B31),IF(F$27="%w/w DM",(((F$28*10)*($B$28/100))*$B31),IF(F$27="kg/t SAR",(F$28*$B31),IF(F$27="kg/t DM",((F$28*($B$28/100))*$B31),IF(F$27="mg/kg SAR",((F$28*0.001)*$B31),IF(F$27="mg/kg DM",(((F$28*0.001)*($B$28/100))*$B31),"0")))))))*1.658</f>
        <v>1.18898496</v>
      </c>
      <c r="G31" s="68">
        <f t="shared" ref="G31:P46" si="5">IF(G$27="%w/w SAR",((G$28*10)*$B31),IF(G$27="%w/w DM",(((G$28*10)*($B$28/100))*$B31),IF(G$27="kg/t SAR",(G$28*$B31),IF(G$27="kg/t DM",((G$28*($B$28/100))*$B31),IF(G$27="mg/kg SAR",((G$28*0.001)*$B31),IF(G$27="mg/kg DM",(((G$28*0.001)*($B$28/100))*$B31),0))))))</f>
        <v>3.9456000000000005E-2</v>
      </c>
      <c r="H31" s="68">
        <f t="shared" si="5"/>
        <v>0.12816</v>
      </c>
      <c r="I31" s="68">
        <f t="shared" si="5"/>
        <v>1.30464E-2</v>
      </c>
      <c r="J31" s="68">
        <f t="shared" si="5"/>
        <v>9.503999999999999E-4</v>
      </c>
      <c r="K31" s="68">
        <f t="shared" si="5"/>
        <v>4.032E-3</v>
      </c>
      <c r="L31" s="68">
        <f t="shared" si="5"/>
        <v>8.6400000000000001E-3</v>
      </c>
      <c r="M31" s="68">
        <f t="shared" si="5"/>
        <v>6.8256000000000002E-3</v>
      </c>
      <c r="N31" s="68">
        <f t="shared" si="5"/>
        <v>302.39999999999998</v>
      </c>
      <c r="O31" s="68">
        <f t="shared" si="5"/>
        <v>46.08</v>
      </c>
      <c r="P31" s="68">
        <f t="shared" si="5"/>
        <v>0</v>
      </c>
      <c r="Q31" s="68">
        <f>(IF(Q$27="%w/w SAR",((Q$28*10)*$B31),IF(Q$27="%w/w DM",(((Q$28*10)*($B$28/100))*$B31),IF(Q$27="kg/t SAR",(Q$28*$B31),IF(Q$27="kg/t DM",((Q$28*($B$28/100))*$B31),IF(Q$27="mg/kg SAR",((Q$28*0.001)*$B31),IF(Q$27="mg/kg DM",(((Q$28*0.001)*($B$28/100))*$B31),0)))))))*2.5</f>
        <v>31.32</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9.5903999999999989E-2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100</v>
      </c>
      <c r="C32" s="68">
        <f t="shared" ref="C32:C50" si="6">IF(C$27="%w/w SAR",((C$28*10)*$B32),IF(C$27="%w/w DM",(((C$28*10)*($B$28/100))*$B32),IF(C$27="kg/t SAR",(C$28*$B32),IF(C$27="kg/t DM",((C$28*($B$28/100))*$B32),IF(C$27="mg/kg SAR",((C$28*0.001)*$B32),IF(C$27="mg/kg DM",(((C$28*0.001)*($B$28/100))*$B32),0))))))</f>
        <v>39.743999999999993</v>
      </c>
      <c r="D32" s="68">
        <f t="shared" ref="D32:D50" si="7">(IF(D$27="%w/w SAR",((D$28*10)*$B32),IF(D$27="%w/w DM",(((D$28*10)*($B$28/100))*$B32),IF(D$27="kg/t SAR",(D$28*$B32),IF(D$27="kg/t DM",((D$28*($B$28/100))*$B32),IF(D$27="mg/kg SAR",((D$28*0.001)*$B32),IF(D$27="mg/kg DM",(((D$28*0.001)*($B$28/100))*$B32),"0")))))))*2.291</f>
        <v>10.8208512</v>
      </c>
      <c r="E32" s="68">
        <f t="shared" ref="E32:E50" si="8">(IF(E$27="%w/w SAR",((E$28*10)*$B32),IF(E$27="%w/w DM",(((E$28*10)*($B$28/100))*$B32),IF(E$27="kg/t SAR",(E$28*$B32),IF(E$27="kg/t DM",((E$28*($B$28/100))*$B32),IF(E$27="mg/kg SAR",((E$28*0.001)*$B32),IF(E$27="mg/kg DM",(((E$28*0.001)*($B$28/100))*$B32),"0")))))))*1.205</f>
        <v>6.4549439999999985E-5</v>
      </c>
      <c r="F32" s="68">
        <f t="shared" ref="F32:F50" si="9">(IF(F$27="%w/w SAR",((F$28*10)*$B32),IF(F$27="%w/w DM",(((F$28*10)*($B$28/100))*$B32),IF(F$27="kg/t SAR",(F$28*$B32),IF(F$27="kg/t DM",((F$28*($B$28/100))*$B32),IF(F$27="mg/kg SAR",((F$28*0.001)*$B32),IF(F$27="mg/kg DM",(((F$28*0.001)*($B$28/100))*$B32),"0")))))))*1.658</f>
        <v>1.18898496</v>
      </c>
      <c r="G32" s="68">
        <f t="shared" si="5"/>
        <v>3.9456000000000005E-2</v>
      </c>
      <c r="H32" s="68">
        <f t="shared" si="5"/>
        <v>0.12816</v>
      </c>
      <c r="I32" s="68">
        <f t="shared" si="5"/>
        <v>1.30464E-2</v>
      </c>
      <c r="J32" s="68">
        <f t="shared" si="5"/>
        <v>9.503999999999999E-4</v>
      </c>
      <c r="K32" s="68">
        <f t="shared" si="5"/>
        <v>4.032E-3</v>
      </c>
      <c r="L32" s="68">
        <f t="shared" si="5"/>
        <v>8.6400000000000001E-3</v>
      </c>
      <c r="M32" s="68">
        <f t="shared" si="5"/>
        <v>6.8256000000000002E-3</v>
      </c>
      <c r="N32" s="68">
        <f t="shared" si="5"/>
        <v>302.39999999999998</v>
      </c>
      <c r="O32" s="68">
        <f t="shared" si="5"/>
        <v>46.08</v>
      </c>
      <c r="P32" s="68">
        <f t="shared" si="5"/>
        <v>0</v>
      </c>
      <c r="Q32" s="68">
        <f t="shared" ref="Q32:Q50" si="10">(IF(Q$27="%w/w SAR",((Q$28*10)*$B32),IF(Q$27="%w/w DM",(((Q$28*10)*($B$28/100))*$B32),IF(Q$27="kg/t SAR",(Q$28*$B32),IF(Q$27="kg/t DM",((Q$28*($B$28/100))*$B32),IF(Q$27="mg/kg SAR",((Q$28*0.001)*$B32),IF(Q$27="mg/kg DM",(((Q$28*0.001)*($B$28/100))*$B32),0)))))))*2.5</f>
        <v>31.32</v>
      </c>
      <c r="R32" s="68">
        <f t="shared" ref="R32:U50" si="11">IF(R$27="%w/w SAR",((R$28*10)*$B32),IF(R$27="%w/w DM",(((R$28*10)*($B$28/100))*$B32),IF(R$27="kg/t SAR",(R$28*$B32),IF(R$27="kg/t DM",((R$28*($B$28/100))*$B32),IF(R$27="mg/kg SAR",((R$28*0.001)*$B32),IF(R$27="mg/kg DM",(((R$28*0.001)*($B$28/100))*$B32),0))))))</f>
        <v>0</v>
      </c>
      <c r="S32" s="68">
        <f t="shared" si="11"/>
        <v>9.5903999999999989E-2</v>
      </c>
      <c r="T32" s="68">
        <f t="shared" si="11"/>
        <v>0</v>
      </c>
      <c r="U32" s="68">
        <f t="shared" si="11"/>
        <v>0</v>
      </c>
    </row>
    <row r="33" spans="1:21" s="51" customFormat="1" ht="13" x14ac:dyDescent="0.35">
      <c r="A33" s="10">
        <f>E8</f>
        <v>2056</v>
      </c>
      <c r="B33" s="12">
        <v>250</v>
      </c>
      <c r="C33" s="68">
        <f t="shared" si="6"/>
        <v>99.359999999999985</v>
      </c>
      <c r="D33" s="68">
        <f t="shared" si="7"/>
        <v>27.052128000000003</v>
      </c>
      <c r="E33" s="68">
        <f t="shared" si="8"/>
        <v>1.6137359999999996E-4</v>
      </c>
      <c r="F33" s="68">
        <f t="shared" si="9"/>
        <v>2.9724623999999999</v>
      </c>
      <c r="G33" s="68">
        <f t="shared" si="5"/>
        <v>9.8640000000000005E-2</v>
      </c>
      <c r="H33" s="68">
        <f t="shared" si="5"/>
        <v>0.32039999999999996</v>
      </c>
      <c r="I33" s="68">
        <f t="shared" si="5"/>
        <v>3.2615999999999999E-2</v>
      </c>
      <c r="J33" s="68">
        <f t="shared" si="5"/>
        <v>2.3759999999999996E-3</v>
      </c>
      <c r="K33" s="68">
        <f t="shared" si="5"/>
        <v>1.008E-2</v>
      </c>
      <c r="L33" s="68">
        <f t="shared" si="5"/>
        <v>2.1600000000000001E-2</v>
      </c>
      <c r="M33" s="68">
        <f t="shared" si="5"/>
        <v>1.7064000000000003E-2</v>
      </c>
      <c r="N33" s="68">
        <f t="shared" si="5"/>
        <v>756</v>
      </c>
      <c r="O33" s="68">
        <f t="shared" si="5"/>
        <v>115.2</v>
      </c>
      <c r="P33" s="68">
        <f t="shared" si="5"/>
        <v>0</v>
      </c>
      <c r="Q33" s="68">
        <f t="shared" si="10"/>
        <v>78.3</v>
      </c>
      <c r="R33" s="68">
        <f t="shared" si="11"/>
        <v>0</v>
      </c>
      <c r="S33" s="68">
        <f t="shared" si="11"/>
        <v>0.23975999999999997</v>
      </c>
      <c r="T33" s="68">
        <f t="shared" si="11"/>
        <v>0</v>
      </c>
      <c r="U33" s="68">
        <f t="shared" si="11"/>
        <v>0</v>
      </c>
    </row>
    <row r="34" spans="1:21" s="51" customFormat="1" ht="13" x14ac:dyDescent="0.35">
      <c r="A34" s="10">
        <f>F8</f>
        <v>2</v>
      </c>
      <c r="B34" s="12">
        <v>100</v>
      </c>
      <c r="C34" s="68">
        <f t="shared" si="6"/>
        <v>39.743999999999993</v>
      </c>
      <c r="D34" s="68">
        <f t="shared" si="7"/>
        <v>10.8208512</v>
      </c>
      <c r="E34" s="68">
        <f t="shared" si="8"/>
        <v>6.4549439999999985E-5</v>
      </c>
      <c r="F34" s="68">
        <f t="shared" si="9"/>
        <v>1.18898496</v>
      </c>
      <c r="G34" s="68">
        <f t="shared" si="5"/>
        <v>3.9456000000000005E-2</v>
      </c>
      <c r="H34" s="68">
        <f t="shared" si="5"/>
        <v>0.12816</v>
      </c>
      <c r="I34" s="68">
        <f t="shared" si="5"/>
        <v>1.30464E-2</v>
      </c>
      <c r="J34" s="68">
        <f t="shared" si="5"/>
        <v>9.503999999999999E-4</v>
      </c>
      <c r="K34" s="68">
        <f t="shared" si="5"/>
        <v>4.032E-3</v>
      </c>
      <c r="L34" s="68">
        <f t="shared" si="5"/>
        <v>8.6400000000000001E-3</v>
      </c>
      <c r="M34" s="68">
        <f t="shared" si="5"/>
        <v>6.8256000000000002E-3</v>
      </c>
      <c r="N34" s="68">
        <f t="shared" si="5"/>
        <v>302.39999999999998</v>
      </c>
      <c r="O34" s="68">
        <f t="shared" si="5"/>
        <v>46.08</v>
      </c>
      <c r="P34" s="68">
        <f t="shared" si="5"/>
        <v>0</v>
      </c>
      <c r="Q34" s="68">
        <f t="shared" si="10"/>
        <v>31.32</v>
      </c>
      <c r="R34" s="68">
        <f t="shared" si="11"/>
        <v>0</v>
      </c>
      <c r="S34" s="68">
        <f t="shared" si="11"/>
        <v>9.5903999999999989E-2</v>
      </c>
      <c r="T34" s="68">
        <f t="shared" si="11"/>
        <v>0</v>
      </c>
      <c r="U34" s="68">
        <f t="shared" si="11"/>
        <v>0</v>
      </c>
    </row>
    <row r="35" spans="1:21" s="51" customFormat="1" ht="13" x14ac:dyDescent="0.35">
      <c r="A35" s="10">
        <f>G8</f>
        <v>9155</v>
      </c>
      <c r="B35" s="12">
        <v>0</v>
      </c>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ht="13" x14ac:dyDescent="0.35">
      <c r="A36" s="10">
        <f>H8</f>
        <v>2062</v>
      </c>
      <c r="B36" s="12">
        <v>100</v>
      </c>
      <c r="C36" s="68">
        <f t="shared" si="6"/>
        <v>39.743999999999993</v>
      </c>
      <c r="D36" s="68">
        <f t="shared" si="7"/>
        <v>10.8208512</v>
      </c>
      <c r="E36" s="68">
        <f t="shared" si="8"/>
        <v>6.4549439999999985E-5</v>
      </c>
      <c r="F36" s="68">
        <f t="shared" si="9"/>
        <v>1.18898496</v>
      </c>
      <c r="G36" s="68">
        <f t="shared" si="5"/>
        <v>3.9456000000000005E-2</v>
      </c>
      <c r="H36" s="68">
        <f t="shared" si="5"/>
        <v>0.12816</v>
      </c>
      <c r="I36" s="68">
        <f t="shared" si="5"/>
        <v>1.30464E-2</v>
      </c>
      <c r="J36" s="68">
        <f t="shared" si="5"/>
        <v>9.503999999999999E-4</v>
      </c>
      <c r="K36" s="68">
        <f t="shared" si="5"/>
        <v>4.032E-3</v>
      </c>
      <c r="L36" s="68">
        <f t="shared" si="5"/>
        <v>8.6400000000000001E-3</v>
      </c>
      <c r="M36" s="68">
        <f t="shared" si="5"/>
        <v>6.8256000000000002E-3</v>
      </c>
      <c r="N36" s="68">
        <f t="shared" si="5"/>
        <v>302.39999999999998</v>
      </c>
      <c r="O36" s="68">
        <f t="shared" si="5"/>
        <v>46.08</v>
      </c>
      <c r="P36" s="68">
        <f t="shared" si="5"/>
        <v>0</v>
      </c>
      <c r="Q36" s="68">
        <f t="shared" si="10"/>
        <v>31.32</v>
      </c>
      <c r="R36" s="68">
        <f t="shared" si="11"/>
        <v>0</v>
      </c>
      <c r="S36" s="68">
        <f t="shared" si="11"/>
        <v>9.5903999999999989E-2</v>
      </c>
      <c r="T36" s="68">
        <f t="shared" si="11"/>
        <v>0</v>
      </c>
      <c r="U36" s="68">
        <f t="shared" si="11"/>
        <v>0</v>
      </c>
    </row>
    <row r="37" spans="1:21" s="51" customFormat="1" ht="13" x14ac:dyDescent="0.35">
      <c r="A37" s="10">
        <f>I8</f>
        <v>834</v>
      </c>
      <c r="B37" s="12">
        <v>100</v>
      </c>
      <c r="C37" s="68">
        <f t="shared" si="6"/>
        <v>39.743999999999993</v>
      </c>
      <c r="D37" s="68">
        <f t="shared" si="7"/>
        <v>10.8208512</v>
      </c>
      <c r="E37" s="68">
        <f t="shared" si="8"/>
        <v>6.4549439999999985E-5</v>
      </c>
      <c r="F37" s="68">
        <f t="shared" si="9"/>
        <v>1.18898496</v>
      </c>
      <c r="G37" s="68">
        <f t="shared" si="5"/>
        <v>3.9456000000000005E-2</v>
      </c>
      <c r="H37" s="68">
        <f t="shared" si="5"/>
        <v>0.12816</v>
      </c>
      <c r="I37" s="68">
        <f t="shared" si="5"/>
        <v>1.30464E-2</v>
      </c>
      <c r="J37" s="68">
        <f t="shared" si="5"/>
        <v>9.503999999999999E-4</v>
      </c>
      <c r="K37" s="68">
        <f t="shared" si="5"/>
        <v>4.032E-3</v>
      </c>
      <c r="L37" s="68">
        <f t="shared" si="5"/>
        <v>8.6400000000000001E-3</v>
      </c>
      <c r="M37" s="68">
        <f t="shared" si="5"/>
        <v>6.8256000000000002E-3</v>
      </c>
      <c r="N37" s="68">
        <f t="shared" si="5"/>
        <v>302.39999999999998</v>
      </c>
      <c r="O37" s="68">
        <f t="shared" si="5"/>
        <v>46.08</v>
      </c>
      <c r="P37" s="68">
        <f t="shared" si="5"/>
        <v>0</v>
      </c>
      <c r="Q37" s="68">
        <f t="shared" si="10"/>
        <v>31.32</v>
      </c>
      <c r="R37" s="68">
        <f t="shared" si="11"/>
        <v>0</v>
      </c>
      <c r="S37" s="68">
        <f t="shared" si="11"/>
        <v>9.5903999999999989E-2</v>
      </c>
      <c r="T37" s="68">
        <f t="shared" si="11"/>
        <v>0</v>
      </c>
      <c r="U37" s="68">
        <f t="shared" si="11"/>
        <v>0</v>
      </c>
    </row>
    <row r="38" spans="1:21" s="51" customFormat="1" ht="13" x14ac:dyDescent="0.35">
      <c r="A38" s="10">
        <f>J8</f>
        <v>5928</v>
      </c>
      <c r="B38" s="12">
        <v>100</v>
      </c>
      <c r="C38" s="68">
        <f t="shared" si="6"/>
        <v>39.743999999999993</v>
      </c>
      <c r="D38" s="68">
        <f t="shared" si="7"/>
        <v>10.8208512</v>
      </c>
      <c r="E38" s="68">
        <f t="shared" si="8"/>
        <v>6.4549439999999985E-5</v>
      </c>
      <c r="F38" s="68">
        <f t="shared" si="9"/>
        <v>1.18898496</v>
      </c>
      <c r="G38" s="68">
        <f t="shared" si="5"/>
        <v>3.9456000000000005E-2</v>
      </c>
      <c r="H38" s="68">
        <f t="shared" si="5"/>
        <v>0.12816</v>
      </c>
      <c r="I38" s="68">
        <f t="shared" si="5"/>
        <v>1.30464E-2</v>
      </c>
      <c r="J38" s="68">
        <f t="shared" si="5"/>
        <v>9.503999999999999E-4</v>
      </c>
      <c r="K38" s="68">
        <f t="shared" si="5"/>
        <v>4.032E-3</v>
      </c>
      <c r="L38" s="68">
        <f t="shared" si="5"/>
        <v>8.6400000000000001E-3</v>
      </c>
      <c r="M38" s="68">
        <f t="shared" si="5"/>
        <v>6.8256000000000002E-3</v>
      </c>
      <c r="N38" s="68">
        <f t="shared" si="5"/>
        <v>302.39999999999998</v>
      </c>
      <c r="O38" s="68">
        <f t="shared" si="5"/>
        <v>46.08</v>
      </c>
      <c r="P38" s="68">
        <f t="shared" si="5"/>
        <v>0</v>
      </c>
      <c r="Q38" s="68">
        <f t="shared" si="10"/>
        <v>31.32</v>
      </c>
      <c r="R38" s="68">
        <f t="shared" si="11"/>
        <v>0</v>
      </c>
      <c r="S38" s="68">
        <f t="shared" si="11"/>
        <v>9.5903999999999989E-2</v>
      </c>
      <c r="T38" s="68">
        <f t="shared" si="11"/>
        <v>0</v>
      </c>
      <c r="U38" s="68">
        <f t="shared" si="11"/>
        <v>0</v>
      </c>
    </row>
    <row r="39" spans="1:21" s="51" customFormat="1" ht="13" x14ac:dyDescent="0.35">
      <c r="A39" s="10">
        <f>K8</f>
        <v>3370</v>
      </c>
      <c r="B39" s="12">
        <v>100</v>
      </c>
      <c r="C39" s="68">
        <f t="shared" si="6"/>
        <v>39.743999999999993</v>
      </c>
      <c r="D39" s="68">
        <f t="shared" si="7"/>
        <v>10.8208512</v>
      </c>
      <c r="E39" s="68">
        <f t="shared" si="8"/>
        <v>6.4549439999999985E-5</v>
      </c>
      <c r="F39" s="68">
        <f t="shared" si="9"/>
        <v>1.18898496</v>
      </c>
      <c r="G39" s="68">
        <f t="shared" si="5"/>
        <v>3.9456000000000005E-2</v>
      </c>
      <c r="H39" s="68">
        <f t="shared" si="5"/>
        <v>0.12816</v>
      </c>
      <c r="I39" s="68">
        <f t="shared" si="5"/>
        <v>1.30464E-2</v>
      </c>
      <c r="J39" s="68">
        <f t="shared" si="5"/>
        <v>9.503999999999999E-4</v>
      </c>
      <c r="K39" s="68">
        <f t="shared" si="5"/>
        <v>4.032E-3</v>
      </c>
      <c r="L39" s="68">
        <f t="shared" si="5"/>
        <v>8.6400000000000001E-3</v>
      </c>
      <c r="M39" s="68">
        <f t="shared" si="5"/>
        <v>6.8256000000000002E-3</v>
      </c>
      <c r="N39" s="68">
        <f t="shared" si="5"/>
        <v>302.39999999999998</v>
      </c>
      <c r="O39" s="68">
        <f t="shared" si="5"/>
        <v>46.08</v>
      </c>
      <c r="P39" s="68">
        <f t="shared" si="5"/>
        <v>0</v>
      </c>
      <c r="Q39" s="68">
        <f t="shared" si="10"/>
        <v>31.32</v>
      </c>
      <c r="R39" s="68">
        <f t="shared" si="11"/>
        <v>0</v>
      </c>
      <c r="S39" s="68">
        <f t="shared" si="11"/>
        <v>9.5903999999999989E-2</v>
      </c>
      <c r="T39" s="68">
        <f t="shared" si="11"/>
        <v>0</v>
      </c>
      <c r="U39" s="68">
        <f t="shared" si="11"/>
        <v>0</v>
      </c>
    </row>
    <row r="40" spans="1:21" s="51" customFormat="1" ht="13" x14ac:dyDescent="0.35">
      <c r="A40" s="10">
        <f>L8</f>
        <v>3234</v>
      </c>
      <c r="B40" s="12">
        <v>100</v>
      </c>
      <c r="C40" s="68">
        <f t="shared" si="6"/>
        <v>39.743999999999993</v>
      </c>
      <c r="D40" s="68">
        <f t="shared" si="7"/>
        <v>10.8208512</v>
      </c>
      <c r="E40" s="68">
        <f t="shared" si="8"/>
        <v>6.4549439999999985E-5</v>
      </c>
      <c r="F40" s="68">
        <f t="shared" si="9"/>
        <v>1.18898496</v>
      </c>
      <c r="G40" s="68">
        <f t="shared" si="5"/>
        <v>3.9456000000000005E-2</v>
      </c>
      <c r="H40" s="68">
        <f t="shared" si="5"/>
        <v>0.12816</v>
      </c>
      <c r="I40" s="68">
        <f t="shared" si="5"/>
        <v>1.30464E-2</v>
      </c>
      <c r="J40" s="68">
        <f t="shared" si="5"/>
        <v>9.503999999999999E-4</v>
      </c>
      <c r="K40" s="68">
        <f t="shared" si="5"/>
        <v>4.032E-3</v>
      </c>
      <c r="L40" s="68">
        <f t="shared" si="5"/>
        <v>8.6400000000000001E-3</v>
      </c>
      <c r="M40" s="68">
        <f t="shared" si="5"/>
        <v>6.8256000000000002E-3</v>
      </c>
      <c r="N40" s="68">
        <f t="shared" si="5"/>
        <v>302.39999999999998</v>
      </c>
      <c r="O40" s="68">
        <f t="shared" si="5"/>
        <v>46.08</v>
      </c>
      <c r="P40" s="68">
        <f t="shared" si="5"/>
        <v>0</v>
      </c>
      <c r="Q40" s="68">
        <f t="shared" si="10"/>
        <v>31.32</v>
      </c>
      <c r="R40" s="68">
        <f t="shared" si="11"/>
        <v>0</v>
      </c>
      <c r="S40" s="68">
        <f t="shared" si="11"/>
        <v>9.5903999999999989E-2</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"&amp;(VLOOKUP(C14,Table24581112[],6,FALSE))</f>
        <v>0 I Arable</v>
      </c>
      <c r="C58" s="10" t="str">
        <f>D16&amp;" I "&amp;(VLOOKUP(D14,Table24581112[],6,FALSE))</f>
        <v>0 I Arable</v>
      </c>
      <c r="D58" s="10" t="str">
        <f>E16&amp;" I "&amp;(VLOOKUP(E14,Table24581112[],6,FALSE))</f>
        <v>0 I Grass</v>
      </c>
      <c r="E58" s="10" t="str">
        <f>F16&amp;" I "&amp;(VLOOKUP(F14,Table24581112[],6,FALSE))</f>
        <v>0 I Arable</v>
      </c>
      <c r="F58" s="10" t="str">
        <f>G16&amp;" I "&amp;(VLOOKUP(G14,Table24581112[],6,FALSE))</f>
        <v>0 I Grass</v>
      </c>
      <c r="G58" s="10" t="str">
        <f>H16&amp;" I "&amp;(VLOOKUP(H14,Table24581112[],6,FALSE))</f>
        <v>0 I Arable</v>
      </c>
      <c r="H58" s="10" t="str">
        <f>I16&amp;" I "&amp;(VLOOKUP(I14,Table24581112[],6,FALSE))</f>
        <v>0 I Arable</v>
      </c>
      <c r="I58" s="10" t="str">
        <f>J16&amp;" I "&amp;(VLOOKUP(J14,Table24581112[],6,FALSE))</f>
        <v>0 I Arable</v>
      </c>
      <c r="J58" s="10" t="str">
        <f>K16&amp;" I "&amp;(VLOOKUP(K14,Table24581112[],6,FALSE))</f>
        <v>0 I Arable</v>
      </c>
      <c r="K58" s="10" t="str">
        <f>L16&amp;" I "&amp;(VLOOKUP(L14,Table24581112[],6,FALSE))</f>
        <v>0 I Arable</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100" t="s">
        <v>132</v>
      </c>
      <c r="B59" s="67">
        <f>VLOOKUP(C$14,Table24581112[],5,FALSE)</f>
        <v>6.7</v>
      </c>
      <c r="C59" s="67">
        <f>VLOOKUP(D$14,Table24581112[],5,FALSE)</f>
        <v>6.7</v>
      </c>
      <c r="D59" s="67">
        <f>VLOOKUP(E$14,Table24581112[],5,FALSE)</f>
        <v>6.2</v>
      </c>
      <c r="E59" s="67">
        <f>VLOOKUP(F$14,Table24581112[],5,FALSE)</f>
        <v>6.7</v>
      </c>
      <c r="F59" s="67">
        <f>VLOOKUP(G$14,Table24581112[],5,FALSE)</f>
        <v>6.2</v>
      </c>
      <c r="G59" s="67">
        <f>VLOOKUP(H$14,Table24581112[],5,FALSE)</f>
        <v>6.7</v>
      </c>
      <c r="H59" s="67">
        <f>VLOOKUP(I$14,Table24581112[],5,FALSE)</f>
        <v>6.7</v>
      </c>
      <c r="I59" s="67">
        <f>VLOOKUP(J$14,Table24581112[],5,FALSE)</f>
        <v>6.7</v>
      </c>
      <c r="J59" s="67">
        <f>VLOOKUP(K$14,Table24581112[],5,FALSE)</f>
        <v>6.7</v>
      </c>
      <c r="K59" s="67">
        <f>VLOOKUP(L$14,Table24581112[],5,FALSE)</f>
        <v>6.7</v>
      </c>
      <c r="L59" s="67" t="e">
        <f>VLOOKUP(M$14,Table24581112[],5,FALSE)</f>
        <v>#N/A</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100</v>
      </c>
      <c r="D62" s="68">
        <f>B33</f>
        <v>250</v>
      </c>
      <c r="E62" s="68">
        <f>B34</f>
        <v>100</v>
      </c>
      <c r="F62" s="68">
        <f>B35</f>
        <v>0</v>
      </c>
      <c r="G62" s="68">
        <f>B36</f>
        <v>100</v>
      </c>
      <c r="H62" s="68">
        <f>B37</f>
        <v>100</v>
      </c>
      <c r="I62" s="68">
        <f>B38</f>
        <v>100</v>
      </c>
      <c r="J62" s="68">
        <f>B39</f>
        <v>100</v>
      </c>
      <c r="K62" s="68">
        <f>B40</f>
        <v>100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K7" zoomScale="90" zoomScaleNormal="90" workbookViewId="0">
      <selection activeCell="T28" sqref="T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14" t="s">
        <v>41</v>
      </c>
      <c r="B1" s="114"/>
      <c r="C1" s="127" t="str">
        <f>'Bolton Hill'!C1:D1</f>
        <v>PAN-028991</v>
      </c>
      <c r="D1" s="128"/>
      <c r="E1" s="83" t="s">
        <v>45</v>
      </c>
      <c r="F1" s="32">
        <f>'Bolton Hill'!F1</f>
        <v>49.4</v>
      </c>
      <c r="G1" s="110" t="s">
        <v>43</v>
      </c>
      <c r="H1" s="111"/>
      <c r="I1" s="86">
        <v>6.2</v>
      </c>
      <c r="J1" s="114" t="s">
        <v>153</v>
      </c>
      <c r="K1" s="114"/>
      <c r="L1" s="86">
        <v>43.4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2.31</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0.18787878787878787</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170</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53.442981759999995</v>
      </c>
      <c r="D18" s="13">
        <f>$D32</f>
        <v>53.442981759999995</v>
      </c>
      <c r="E18" s="13">
        <f>$D33</f>
        <v>79.329426049999981</v>
      </c>
      <c r="F18" s="13">
        <f>$D34</f>
        <v>53.442981759999995</v>
      </c>
      <c r="G18" s="13">
        <f>$D35</f>
        <v>79.329426049999981</v>
      </c>
      <c r="H18" s="13">
        <f>$D36</f>
        <v>53.442981759999995</v>
      </c>
      <c r="I18" s="13">
        <f>$D37</f>
        <v>79.329426049999981</v>
      </c>
      <c r="J18" s="13">
        <f>$D38</f>
        <v>53.442981759999995</v>
      </c>
      <c r="K18" s="13">
        <f>$D39</f>
        <v>53.442981759999995</v>
      </c>
      <c r="L18" s="13">
        <f>$D40</f>
        <v>79.329426049999981</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-201.55701823999999</v>
      </c>
      <c r="D19" s="13">
        <f t="shared" ref="D19:V19" si="1">D18-D17</f>
        <v>-201.55701823999999</v>
      </c>
      <c r="E19" s="13">
        <f t="shared" si="1"/>
        <v>-0.57057395000001065</v>
      </c>
      <c r="F19" s="13">
        <f t="shared" si="1"/>
        <v>-201.55701823999999</v>
      </c>
      <c r="G19" s="13">
        <f t="shared" si="1"/>
        <v>-0.57057395000001065</v>
      </c>
      <c r="H19" s="13">
        <f t="shared" si="1"/>
        <v>-201.55701823999999</v>
      </c>
      <c r="I19" s="13">
        <f t="shared" si="1"/>
        <v>-175.67057395</v>
      </c>
      <c r="J19" s="13">
        <f t="shared" si="1"/>
        <v>-9.5570182399999979</v>
      </c>
      <c r="K19" s="13">
        <f t="shared" si="1"/>
        <v>-9.5570182399999979</v>
      </c>
      <c r="L19" s="13">
        <f t="shared" si="1"/>
        <v>-175.67057395</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2.7666800000000001E-5</v>
      </c>
      <c r="D22" s="13">
        <f>$E32</f>
        <v>2.7666800000000001E-5</v>
      </c>
      <c r="E22" s="13">
        <f>$E33</f>
        <v>4.1067906250000002E-5</v>
      </c>
      <c r="F22" s="13">
        <f>$E34</f>
        <v>2.7666800000000001E-5</v>
      </c>
      <c r="G22" s="13">
        <f>$E35</f>
        <v>4.1067906250000002E-5</v>
      </c>
      <c r="H22" s="13">
        <f>$E36</f>
        <v>2.7666800000000001E-5</v>
      </c>
      <c r="I22" s="13">
        <f>$E37</f>
        <v>4.1067906250000002E-5</v>
      </c>
      <c r="J22" s="13">
        <f>$E38</f>
        <v>2.7666800000000001E-5</v>
      </c>
      <c r="K22" s="13">
        <f>$E39</f>
        <v>2.7666800000000001E-5</v>
      </c>
      <c r="L22" s="13">
        <f>$E40</f>
        <v>4.1067906250000002E-5</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-359.99997233319999</v>
      </c>
      <c r="D23" s="13">
        <f t="shared" ref="D23:V23" si="3">D22-D21</f>
        <v>-359.99997233319999</v>
      </c>
      <c r="E23" s="13">
        <f t="shared" si="3"/>
        <v>-281.99995893209376</v>
      </c>
      <c r="F23" s="13">
        <f t="shared" si="3"/>
        <v>-359.99997233319999</v>
      </c>
      <c r="G23" s="13">
        <f t="shared" si="3"/>
        <v>-281.99995893209376</v>
      </c>
      <c r="H23" s="13">
        <f t="shared" si="3"/>
        <v>-359.99997233319999</v>
      </c>
      <c r="I23" s="13">
        <f t="shared" si="3"/>
        <v>-359.99995893209376</v>
      </c>
      <c r="J23" s="13">
        <f t="shared" si="3"/>
        <v>-197.99997233320002</v>
      </c>
      <c r="K23" s="13">
        <f t="shared" si="3"/>
        <v>-197.99997233320002</v>
      </c>
      <c r="L23" s="13">
        <f t="shared" si="3"/>
        <v>-359.99995893209376</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2.87</v>
      </c>
      <c r="C28" s="12">
        <v>2.31</v>
      </c>
      <c r="D28" s="12">
        <v>1.27</v>
      </c>
      <c r="E28" s="12">
        <v>1.2500000000000001E-2</v>
      </c>
      <c r="F28" s="12">
        <v>1220</v>
      </c>
      <c r="G28" s="12">
        <v>17.2</v>
      </c>
      <c r="H28" s="12">
        <v>398</v>
      </c>
      <c r="I28" s="12">
        <v>60</v>
      </c>
      <c r="J28" s="12">
        <v>0.46</v>
      </c>
      <c r="K28" s="16">
        <v>1.41</v>
      </c>
      <c r="L28" s="12">
        <v>31.9</v>
      </c>
      <c r="M28" s="12">
        <v>16.5</v>
      </c>
      <c r="N28" s="12">
        <v>9180</v>
      </c>
      <c r="O28" s="12">
        <v>477000</v>
      </c>
      <c r="P28" s="12"/>
      <c r="Q28" s="12">
        <v>4410</v>
      </c>
      <c r="R28" s="12"/>
      <c r="S28" s="12">
        <v>32.799999999999997</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64</v>
      </c>
      <c r="C31" s="68">
        <f>IF(C$27="%w/w SAR",((C$28*10)*$B31),IF(C$27="%w/w DM",(((C$28*10)*($B$28/100))*$B31),IF(C$27="kg/t SAR",(C$28*$B31),IF(C$27="kg/t DM",((C$28*($B$28/100))*$B31),IF(C$27="mg/kg SAR",((C$28*0.001)*$B31),IF(C$27="mg/kg DM",(((C$28*0.001)*($B$28/100))*$B31),0))))))</f>
        <v>42.430080000000004</v>
      </c>
      <c r="D31" s="68">
        <f>(IF(D$27="%w/w SAR",((D$28*10)*$B31),IF(D$27="%w/w DM",(((D$28*10)*($B$28/100))*$B31),IF(D$27="kg/t SAR",(D$28*$B31),IF(D$27="kg/t DM",((D$28*($B$28/100))*$B31),IF(D$27="mg/kg SAR",((D$28*0.001)*$B31),IF(D$27="mg/kg DM",(((D$28*0.001)*($B$28/100))*$B31),"0")))))))*2.291</f>
        <v>53.442981759999995</v>
      </c>
      <c r="E31" s="68">
        <f>(IF(E$27="%w/w SAR",((E$28*10)*$B31),IF(E$27="%w/w DM",(((E$28*10)*($B$28/100))*$B31),IF(E$27="kg/t SAR",(E$28*$B31),IF(E$27="kg/t DM",((E$28*($B$28/100))*$B31),IF(E$27="mg/kg SAR",((E$28*0.001)*$B31),IF(E$27="mg/kg DM",(((E$28*0.001)*($B$28/100))*$B31),"0")))))))*1.205</f>
        <v>2.7666800000000001E-5</v>
      </c>
      <c r="F31" s="68">
        <f>(IF(F$27="%w/w SAR",((F$28*10)*$B31),IF(F$27="%w/w DM",(((F$28*10)*($B$28/100))*$B31),IF(F$27="kg/t SAR",(F$28*$B31),IF(F$27="kg/t DM",((F$28*($B$28/100))*$B31),IF(F$27="mg/kg SAR",((F$28*0.001)*$B31),IF(F$27="mg/kg DM",(((F$28*0.001)*($B$28/100))*$B31),"0")))))))*1.658</f>
        <v>3.7154055679999995</v>
      </c>
      <c r="G31" s="68">
        <f t="shared" ref="G31:P46" si="5">IF(G$27="%w/w SAR",((G$28*10)*$B31),IF(G$27="%w/w DM",(((G$28*10)*($B$28/100))*$B31),IF(G$27="kg/t SAR",(G$28*$B31),IF(G$27="kg/t DM",((G$28*($B$28/100))*$B31),IF(G$27="mg/kg SAR",((G$28*0.001)*$B31),IF(G$27="mg/kg DM",(((G$28*0.001)*($B$28/100))*$B31),0))))))</f>
        <v>3.1592960000000003E-2</v>
      </c>
      <c r="H31" s="68">
        <f t="shared" si="5"/>
        <v>0.73104639999999999</v>
      </c>
      <c r="I31" s="68">
        <f t="shared" si="5"/>
        <v>0.110208</v>
      </c>
      <c r="J31" s="68">
        <f t="shared" si="5"/>
        <v>8.44928E-4</v>
      </c>
      <c r="K31" s="68">
        <f t="shared" si="5"/>
        <v>2.5898879999999998E-3</v>
      </c>
      <c r="L31" s="68">
        <f t="shared" si="5"/>
        <v>5.8593919999999994E-2</v>
      </c>
      <c r="M31" s="68">
        <f t="shared" si="5"/>
        <v>3.0307200000000003E-2</v>
      </c>
      <c r="N31" s="68">
        <f t="shared" si="5"/>
        <v>16.861823999999999</v>
      </c>
      <c r="O31" s="68">
        <f t="shared" si="5"/>
        <v>876.15359999999998</v>
      </c>
      <c r="P31" s="68">
        <f t="shared" si="5"/>
        <v>0</v>
      </c>
      <c r="Q31" s="68">
        <f>(IF(Q$27="%w/w SAR",((Q$28*10)*$B31),IF(Q$27="%w/w DM",(((Q$28*10)*($B$28/100))*$B31),IF(Q$27="kg/t SAR",(Q$28*$B31),IF(Q$27="kg/t DM",((Q$28*($B$28/100))*$B31),IF(Q$27="mg/kg SAR",((Q$28*0.001)*$B31),IF(Q$27="mg/kg DM",(((Q$28*0.001)*($B$28/100))*$B31),0)))))))*2.5</f>
        <v>20.250720000000001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6.0247039999999995E-2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64</v>
      </c>
      <c r="C32" s="68">
        <f t="shared" ref="C32:C50" si="6">IF(C$27="%w/w SAR",((C$28*10)*$B32),IF(C$27="%w/w DM",(((C$28*10)*($B$28/100))*$B32),IF(C$27="kg/t SAR",(C$28*$B32),IF(C$27="kg/t DM",((C$28*($B$28/100))*$B32),IF(C$27="mg/kg SAR",((C$28*0.001)*$B32),IF(C$27="mg/kg DM",(((C$28*0.001)*($B$28/100))*$B32),0))))))</f>
        <v>42.430080000000004</v>
      </c>
      <c r="D32" s="68">
        <f t="shared" ref="D32:D50" si="7">(IF(D$27="%w/w SAR",((D$28*10)*$B32),IF(D$27="%w/w DM",(((D$28*10)*($B$28/100))*$B32),IF(D$27="kg/t SAR",(D$28*$B32),IF(D$27="kg/t DM",((D$28*($B$28/100))*$B32),IF(D$27="mg/kg SAR",((D$28*0.001)*$B32),IF(D$27="mg/kg DM",(((D$28*0.001)*($B$28/100))*$B32),"0")))))))*2.291</f>
        <v>53.442981759999995</v>
      </c>
      <c r="E32" s="68">
        <f t="shared" ref="E32:E50" si="8">(IF(E$27="%w/w SAR",((E$28*10)*$B32),IF(E$27="%w/w DM",(((E$28*10)*($B$28/100))*$B32),IF(E$27="kg/t SAR",(E$28*$B32),IF(E$27="kg/t DM",((E$28*($B$28/100))*$B32),IF(E$27="mg/kg SAR",((E$28*0.001)*$B32),IF(E$27="mg/kg DM",(((E$28*0.001)*($B$28/100))*$B32),"0")))))))*1.205</f>
        <v>2.7666800000000001E-5</v>
      </c>
      <c r="F32" s="68">
        <f t="shared" ref="F32:F50" si="9">(IF(F$27="%w/w SAR",((F$28*10)*$B32),IF(F$27="%w/w DM",(((F$28*10)*($B$28/100))*$B32),IF(F$27="kg/t SAR",(F$28*$B32),IF(F$27="kg/t DM",((F$28*($B$28/100))*$B32),IF(F$27="mg/kg SAR",((F$28*0.001)*$B32),IF(F$27="mg/kg DM",(((F$28*0.001)*($B$28/100))*$B32),"0")))))))*1.658</f>
        <v>3.7154055679999995</v>
      </c>
      <c r="G32" s="68">
        <f t="shared" si="5"/>
        <v>3.1592960000000003E-2</v>
      </c>
      <c r="H32" s="68">
        <f t="shared" si="5"/>
        <v>0.73104639999999999</v>
      </c>
      <c r="I32" s="68">
        <f t="shared" si="5"/>
        <v>0.110208</v>
      </c>
      <c r="J32" s="68">
        <f t="shared" si="5"/>
        <v>8.44928E-4</v>
      </c>
      <c r="K32" s="68">
        <f t="shared" si="5"/>
        <v>2.5898879999999998E-3</v>
      </c>
      <c r="L32" s="68">
        <f t="shared" si="5"/>
        <v>5.8593919999999994E-2</v>
      </c>
      <c r="M32" s="68">
        <f t="shared" si="5"/>
        <v>3.0307200000000003E-2</v>
      </c>
      <c r="N32" s="68">
        <f t="shared" si="5"/>
        <v>16.861823999999999</v>
      </c>
      <c r="O32" s="68">
        <f t="shared" si="5"/>
        <v>876.15359999999998</v>
      </c>
      <c r="P32" s="68">
        <f t="shared" si="5"/>
        <v>0</v>
      </c>
      <c r="Q32" s="68">
        <f t="shared" ref="Q32:Q50" si="10">(IF(Q$27="%w/w SAR",((Q$28*10)*$B32),IF(Q$27="%w/w DM",(((Q$28*10)*($B$28/100))*$B32),IF(Q$27="kg/t SAR",(Q$28*$B32),IF(Q$27="kg/t DM",((Q$28*($B$28/100))*$B32),IF(Q$27="mg/kg SAR",((Q$28*0.001)*$B32),IF(Q$27="mg/kg DM",(((Q$28*0.001)*($B$28/100))*$B32),0)))))))*2.5</f>
        <v>20.250720000000001</v>
      </c>
      <c r="R32" s="68">
        <f t="shared" ref="R32:U50" si="11">IF(R$27="%w/w SAR",((R$28*10)*$B32),IF(R$27="%w/w DM",(((R$28*10)*($B$28/100))*$B32),IF(R$27="kg/t SAR",(R$28*$B32),IF(R$27="kg/t DM",((R$28*($B$28/100))*$B32),IF(R$27="mg/kg SAR",((R$28*0.001)*$B32),IF(R$27="mg/kg DM",(((R$28*0.001)*($B$28/100))*$B32),0))))))</f>
        <v>0</v>
      </c>
      <c r="S32" s="68">
        <f t="shared" si="11"/>
        <v>6.0247039999999995E-2</v>
      </c>
      <c r="T32" s="68">
        <f t="shared" si="11"/>
        <v>0</v>
      </c>
      <c r="U32" s="68">
        <f t="shared" si="11"/>
        <v>0</v>
      </c>
    </row>
    <row r="33" spans="1:21" s="51" customFormat="1" ht="13" x14ac:dyDescent="0.35">
      <c r="A33" s="10">
        <f>E8</f>
        <v>2056</v>
      </c>
      <c r="B33" s="12">
        <v>95</v>
      </c>
      <c r="C33" s="68">
        <f t="shared" si="6"/>
        <v>62.982150000000004</v>
      </c>
      <c r="D33" s="68">
        <f t="shared" si="7"/>
        <v>79.329426049999981</v>
      </c>
      <c r="E33" s="68">
        <f t="shared" si="8"/>
        <v>4.1067906250000002E-5</v>
      </c>
      <c r="F33" s="68">
        <f t="shared" si="9"/>
        <v>5.5150551399999994</v>
      </c>
      <c r="G33" s="68">
        <f t="shared" si="5"/>
        <v>4.6895800000000001E-2</v>
      </c>
      <c r="H33" s="68">
        <f t="shared" si="5"/>
        <v>1.0851470000000001</v>
      </c>
      <c r="I33" s="68">
        <f t="shared" si="5"/>
        <v>0.16359000000000001</v>
      </c>
      <c r="J33" s="68">
        <f t="shared" si="5"/>
        <v>1.2541900000000001E-3</v>
      </c>
      <c r="K33" s="68">
        <f t="shared" si="5"/>
        <v>3.8443649999999998E-3</v>
      </c>
      <c r="L33" s="68">
        <f t="shared" si="5"/>
        <v>8.6975349999999993E-2</v>
      </c>
      <c r="M33" s="68">
        <f t="shared" si="5"/>
        <v>4.4987250000000006E-2</v>
      </c>
      <c r="N33" s="68">
        <f t="shared" si="5"/>
        <v>25.029269999999997</v>
      </c>
      <c r="O33" s="68">
        <f t="shared" si="5"/>
        <v>1300.5405000000001</v>
      </c>
      <c r="P33" s="68">
        <f t="shared" si="5"/>
        <v>0</v>
      </c>
      <c r="Q33" s="68">
        <f t="shared" si="10"/>
        <v>30.059662500000002</v>
      </c>
      <c r="R33" s="68">
        <f t="shared" si="11"/>
        <v>0</v>
      </c>
      <c r="S33" s="68">
        <f t="shared" si="11"/>
        <v>8.9429199999999986E-2</v>
      </c>
      <c r="T33" s="68">
        <f t="shared" si="11"/>
        <v>0</v>
      </c>
      <c r="U33" s="68">
        <f t="shared" si="11"/>
        <v>0</v>
      </c>
    </row>
    <row r="34" spans="1:21" s="51" customFormat="1" ht="13" x14ac:dyDescent="0.35">
      <c r="A34" s="10">
        <f>F8</f>
        <v>2</v>
      </c>
      <c r="B34" s="12">
        <v>64</v>
      </c>
      <c r="C34" s="68">
        <f t="shared" si="6"/>
        <v>42.430080000000004</v>
      </c>
      <c r="D34" s="68">
        <f t="shared" si="7"/>
        <v>53.442981759999995</v>
      </c>
      <c r="E34" s="68">
        <f t="shared" si="8"/>
        <v>2.7666800000000001E-5</v>
      </c>
      <c r="F34" s="68">
        <f t="shared" si="9"/>
        <v>3.7154055679999995</v>
      </c>
      <c r="G34" s="68">
        <f t="shared" si="5"/>
        <v>3.1592960000000003E-2</v>
      </c>
      <c r="H34" s="68">
        <f t="shared" si="5"/>
        <v>0.73104639999999999</v>
      </c>
      <c r="I34" s="68">
        <f t="shared" si="5"/>
        <v>0.110208</v>
      </c>
      <c r="J34" s="68">
        <f t="shared" si="5"/>
        <v>8.44928E-4</v>
      </c>
      <c r="K34" s="68">
        <f t="shared" si="5"/>
        <v>2.5898879999999998E-3</v>
      </c>
      <c r="L34" s="68">
        <f t="shared" si="5"/>
        <v>5.8593919999999994E-2</v>
      </c>
      <c r="M34" s="68">
        <f t="shared" si="5"/>
        <v>3.0307200000000003E-2</v>
      </c>
      <c r="N34" s="68">
        <f t="shared" si="5"/>
        <v>16.861823999999999</v>
      </c>
      <c r="O34" s="68">
        <f t="shared" si="5"/>
        <v>876.15359999999998</v>
      </c>
      <c r="P34" s="68">
        <f t="shared" si="5"/>
        <v>0</v>
      </c>
      <c r="Q34" s="68">
        <f t="shared" si="10"/>
        <v>20.250720000000001</v>
      </c>
      <c r="R34" s="68">
        <f t="shared" si="11"/>
        <v>0</v>
      </c>
      <c r="S34" s="68">
        <f t="shared" si="11"/>
        <v>6.0247039999999995E-2</v>
      </c>
      <c r="T34" s="68">
        <f t="shared" si="11"/>
        <v>0</v>
      </c>
      <c r="U34" s="68">
        <f t="shared" si="11"/>
        <v>0</v>
      </c>
    </row>
    <row r="35" spans="1:21" s="51" customFormat="1" ht="13" x14ac:dyDescent="0.35">
      <c r="A35" s="10">
        <f>G8</f>
        <v>9155</v>
      </c>
      <c r="B35" s="12">
        <v>95</v>
      </c>
      <c r="C35" s="68">
        <f t="shared" si="6"/>
        <v>62.982150000000004</v>
      </c>
      <c r="D35" s="68">
        <f t="shared" si="7"/>
        <v>79.329426049999981</v>
      </c>
      <c r="E35" s="68">
        <f t="shared" si="8"/>
        <v>4.1067906250000002E-5</v>
      </c>
      <c r="F35" s="68">
        <f t="shared" si="9"/>
        <v>5.5150551399999994</v>
      </c>
      <c r="G35" s="68">
        <f t="shared" si="5"/>
        <v>4.6895800000000001E-2</v>
      </c>
      <c r="H35" s="68">
        <f t="shared" si="5"/>
        <v>1.0851470000000001</v>
      </c>
      <c r="I35" s="68">
        <f t="shared" si="5"/>
        <v>0.16359000000000001</v>
      </c>
      <c r="J35" s="68">
        <f t="shared" si="5"/>
        <v>1.2541900000000001E-3</v>
      </c>
      <c r="K35" s="68">
        <f t="shared" si="5"/>
        <v>3.8443649999999998E-3</v>
      </c>
      <c r="L35" s="68">
        <f t="shared" si="5"/>
        <v>8.6975349999999993E-2</v>
      </c>
      <c r="M35" s="68">
        <f t="shared" si="5"/>
        <v>4.4987250000000006E-2</v>
      </c>
      <c r="N35" s="68">
        <f t="shared" si="5"/>
        <v>25.029269999999997</v>
      </c>
      <c r="O35" s="68">
        <f t="shared" si="5"/>
        <v>1300.5405000000001</v>
      </c>
      <c r="P35" s="68">
        <f t="shared" si="5"/>
        <v>0</v>
      </c>
      <c r="Q35" s="68">
        <f t="shared" si="10"/>
        <v>30.059662500000002</v>
      </c>
      <c r="R35" s="68">
        <f t="shared" si="11"/>
        <v>0</v>
      </c>
      <c r="S35" s="68">
        <f t="shared" si="11"/>
        <v>8.9429199999999986E-2</v>
      </c>
      <c r="T35" s="68">
        <f t="shared" si="11"/>
        <v>0</v>
      </c>
      <c r="U35" s="68">
        <f t="shared" si="11"/>
        <v>0</v>
      </c>
    </row>
    <row r="36" spans="1:21" s="51" customFormat="1" ht="13" x14ac:dyDescent="0.35">
      <c r="A36" s="10">
        <f>H8</f>
        <v>2062</v>
      </c>
      <c r="B36" s="12">
        <v>64</v>
      </c>
      <c r="C36" s="68">
        <f t="shared" si="6"/>
        <v>42.430080000000004</v>
      </c>
      <c r="D36" s="68">
        <f t="shared" si="7"/>
        <v>53.442981759999995</v>
      </c>
      <c r="E36" s="68">
        <f t="shared" si="8"/>
        <v>2.7666800000000001E-5</v>
      </c>
      <c r="F36" s="68">
        <f t="shared" si="9"/>
        <v>3.7154055679999995</v>
      </c>
      <c r="G36" s="68">
        <f t="shared" si="5"/>
        <v>3.1592960000000003E-2</v>
      </c>
      <c r="H36" s="68">
        <f t="shared" si="5"/>
        <v>0.73104639999999999</v>
      </c>
      <c r="I36" s="68">
        <f t="shared" si="5"/>
        <v>0.110208</v>
      </c>
      <c r="J36" s="68">
        <f t="shared" si="5"/>
        <v>8.44928E-4</v>
      </c>
      <c r="K36" s="68">
        <f t="shared" si="5"/>
        <v>2.5898879999999998E-3</v>
      </c>
      <c r="L36" s="68">
        <f t="shared" si="5"/>
        <v>5.8593919999999994E-2</v>
      </c>
      <c r="M36" s="68">
        <f t="shared" si="5"/>
        <v>3.0307200000000003E-2</v>
      </c>
      <c r="N36" s="68">
        <f t="shared" si="5"/>
        <v>16.861823999999999</v>
      </c>
      <c r="O36" s="68">
        <f t="shared" si="5"/>
        <v>876.15359999999998</v>
      </c>
      <c r="P36" s="68">
        <f t="shared" si="5"/>
        <v>0</v>
      </c>
      <c r="Q36" s="68">
        <f t="shared" si="10"/>
        <v>20.250720000000001</v>
      </c>
      <c r="R36" s="68">
        <f t="shared" si="11"/>
        <v>0</v>
      </c>
      <c r="S36" s="68">
        <f t="shared" si="11"/>
        <v>6.0247039999999995E-2</v>
      </c>
      <c r="T36" s="68">
        <f t="shared" si="11"/>
        <v>0</v>
      </c>
      <c r="U36" s="68">
        <f t="shared" si="11"/>
        <v>0</v>
      </c>
    </row>
    <row r="37" spans="1:21" s="51" customFormat="1" ht="13" x14ac:dyDescent="0.35">
      <c r="A37" s="10">
        <f>I8</f>
        <v>834</v>
      </c>
      <c r="B37" s="12">
        <v>95</v>
      </c>
      <c r="C37" s="68">
        <f t="shared" si="6"/>
        <v>62.982150000000004</v>
      </c>
      <c r="D37" s="68">
        <f t="shared" si="7"/>
        <v>79.329426049999981</v>
      </c>
      <c r="E37" s="68">
        <f t="shared" si="8"/>
        <v>4.1067906250000002E-5</v>
      </c>
      <c r="F37" s="68">
        <f t="shared" si="9"/>
        <v>5.5150551399999994</v>
      </c>
      <c r="G37" s="68">
        <f t="shared" si="5"/>
        <v>4.6895800000000001E-2</v>
      </c>
      <c r="H37" s="68">
        <f t="shared" si="5"/>
        <v>1.0851470000000001</v>
      </c>
      <c r="I37" s="68">
        <f t="shared" si="5"/>
        <v>0.16359000000000001</v>
      </c>
      <c r="J37" s="68">
        <f t="shared" si="5"/>
        <v>1.2541900000000001E-3</v>
      </c>
      <c r="K37" s="68">
        <f t="shared" si="5"/>
        <v>3.8443649999999998E-3</v>
      </c>
      <c r="L37" s="68">
        <f t="shared" si="5"/>
        <v>8.6975349999999993E-2</v>
      </c>
      <c r="M37" s="68">
        <f t="shared" si="5"/>
        <v>4.4987250000000006E-2</v>
      </c>
      <c r="N37" s="68">
        <f t="shared" si="5"/>
        <v>25.029269999999997</v>
      </c>
      <c r="O37" s="68">
        <f t="shared" si="5"/>
        <v>1300.5405000000001</v>
      </c>
      <c r="P37" s="68">
        <f t="shared" si="5"/>
        <v>0</v>
      </c>
      <c r="Q37" s="68">
        <f t="shared" si="10"/>
        <v>30.059662500000002</v>
      </c>
      <c r="R37" s="68">
        <f t="shared" si="11"/>
        <v>0</v>
      </c>
      <c r="S37" s="68">
        <f t="shared" si="11"/>
        <v>8.9429199999999986E-2</v>
      </c>
      <c r="T37" s="68">
        <f t="shared" si="11"/>
        <v>0</v>
      </c>
      <c r="U37" s="68">
        <f t="shared" si="11"/>
        <v>0</v>
      </c>
    </row>
    <row r="38" spans="1:21" s="51" customFormat="1" ht="13" x14ac:dyDescent="0.35">
      <c r="A38" s="10">
        <f>J8</f>
        <v>5928</v>
      </c>
      <c r="B38" s="12">
        <v>64</v>
      </c>
      <c r="C38" s="68">
        <f t="shared" si="6"/>
        <v>42.430080000000004</v>
      </c>
      <c r="D38" s="68">
        <f t="shared" si="7"/>
        <v>53.442981759999995</v>
      </c>
      <c r="E38" s="68">
        <f t="shared" si="8"/>
        <v>2.7666800000000001E-5</v>
      </c>
      <c r="F38" s="68">
        <f t="shared" si="9"/>
        <v>3.7154055679999995</v>
      </c>
      <c r="G38" s="68">
        <f t="shared" si="5"/>
        <v>3.1592960000000003E-2</v>
      </c>
      <c r="H38" s="68">
        <f t="shared" si="5"/>
        <v>0.73104639999999999</v>
      </c>
      <c r="I38" s="68">
        <f t="shared" si="5"/>
        <v>0.110208</v>
      </c>
      <c r="J38" s="68">
        <f t="shared" si="5"/>
        <v>8.44928E-4</v>
      </c>
      <c r="K38" s="68">
        <f t="shared" si="5"/>
        <v>2.5898879999999998E-3</v>
      </c>
      <c r="L38" s="68">
        <f t="shared" si="5"/>
        <v>5.8593919999999994E-2</v>
      </c>
      <c r="M38" s="68">
        <f t="shared" si="5"/>
        <v>3.0307200000000003E-2</v>
      </c>
      <c r="N38" s="68">
        <f t="shared" si="5"/>
        <v>16.861823999999999</v>
      </c>
      <c r="O38" s="68">
        <f t="shared" si="5"/>
        <v>876.15359999999998</v>
      </c>
      <c r="P38" s="68">
        <f t="shared" si="5"/>
        <v>0</v>
      </c>
      <c r="Q38" s="68">
        <f t="shared" si="10"/>
        <v>20.250720000000001</v>
      </c>
      <c r="R38" s="68">
        <f t="shared" si="11"/>
        <v>0</v>
      </c>
      <c r="S38" s="68">
        <f t="shared" si="11"/>
        <v>6.0247039999999995E-2</v>
      </c>
      <c r="T38" s="68">
        <f t="shared" si="11"/>
        <v>0</v>
      </c>
      <c r="U38" s="68">
        <f t="shared" si="11"/>
        <v>0</v>
      </c>
    </row>
    <row r="39" spans="1:21" s="51" customFormat="1" ht="13" x14ac:dyDescent="0.35">
      <c r="A39" s="10">
        <f>K8</f>
        <v>3370</v>
      </c>
      <c r="B39" s="12">
        <v>64</v>
      </c>
      <c r="C39" s="68">
        <f t="shared" si="6"/>
        <v>42.430080000000004</v>
      </c>
      <c r="D39" s="68">
        <f t="shared" si="7"/>
        <v>53.442981759999995</v>
      </c>
      <c r="E39" s="68">
        <f t="shared" si="8"/>
        <v>2.7666800000000001E-5</v>
      </c>
      <c r="F39" s="68">
        <f t="shared" si="9"/>
        <v>3.7154055679999995</v>
      </c>
      <c r="G39" s="68">
        <f t="shared" si="5"/>
        <v>3.1592960000000003E-2</v>
      </c>
      <c r="H39" s="68">
        <f t="shared" si="5"/>
        <v>0.73104639999999999</v>
      </c>
      <c r="I39" s="68">
        <f t="shared" si="5"/>
        <v>0.110208</v>
      </c>
      <c r="J39" s="68">
        <f t="shared" si="5"/>
        <v>8.44928E-4</v>
      </c>
      <c r="K39" s="68">
        <f t="shared" si="5"/>
        <v>2.5898879999999998E-3</v>
      </c>
      <c r="L39" s="68">
        <f t="shared" si="5"/>
        <v>5.8593919999999994E-2</v>
      </c>
      <c r="M39" s="68">
        <f t="shared" si="5"/>
        <v>3.0307200000000003E-2</v>
      </c>
      <c r="N39" s="68">
        <f t="shared" si="5"/>
        <v>16.861823999999999</v>
      </c>
      <c r="O39" s="68">
        <f t="shared" si="5"/>
        <v>876.15359999999998</v>
      </c>
      <c r="P39" s="68">
        <f t="shared" si="5"/>
        <v>0</v>
      </c>
      <c r="Q39" s="68">
        <f t="shared" si="10"/>
        <v>20.250720000000001</v>
      </c>
      <c r="R39" s="68">
        <f t="shared" si="11"/>
        <v>0</v>
      </c>
      <c r="S39" s="68">
        <f t="shared" si="11"/>
        <v>6.0247039999999995E-2</v>
      </c>
      <c r="T39" s="68">
        <f t="shared" si="11"/>
        <v>0</v>
      </c>
      <c r="U39" s="68">
        <f t="shared" si="11"/>
        <v>0</v>
      </c>
    </row>
    <row r="40" spans="1:21" s="51" customFormat="1" ht="13" x14ac:dyDescent="0.35">
      <c r="A40" s="10">
        <f>L8</f>
        <v>3234</v>
      </c>
      <c r="B40" s="12">
        <v>95</v>
      </c>
      <c r="C40" s="68">
        <f t="shared" si="6"/>
        <v>62.982150000000004</v>
      </c>
      <c r="D40" s="68">
        <f t="shared" si="7"/>
        <v>79.329426049999981</v>
      </c>
      <c r="E40" s="68">
        <f t="shared" si="8"/>
        <v>4.1067906250000002E-5</v>
      </c>
      <c r="F40" s="68">
        <f t="shared" si="9"/>
        <v>5.5150551399999994</v>
      </c>
      <c r="G40" s="68">
        <f t="shared" si="5"/>
        <v>4.6895800000000001E-2</v>
      </c>
      <c r="H40" s="68">
        <f t="shared" si="5"/>
        <v>1.0851470000000001</v>
      </c>
      <c r="I40" s="68">
        <f t="shared" si="5"/>
        <v>0.16359000000000001</v>
      </c>
      <c r="J40" s="68">
        <f t="shared" si="5"/>
        <v>1.2541900000000001E-3</v>
      </c>
      <c r="K40" s="68">
        <f t="shared" si="5"/>
        <v>3.8443649999999998E-3</v>
      </c>
      <c r="L40" s="68">
        <f t="shared" si="5"/>
        <v>8.6975349999999993E-2</v>
      </c>
      <c r="M40" s="68">
        <f t="shared" si="5"/>
        <v>4.4987250000000006E-2</v>
      </c>
      <c r="N40" s="68">
        <f t="shared" si="5"/>
        <v>25.029269999999997</v>
      </c>
      <c r="O40" s="68">
        <f t="shared" si="5"/>
        <v>1300.5405000000001</v>
      </c>
      <c r="P40" s="68">
        <f t="shared" si="5"/>
        <v>0</v>
      </c>
      <c r="Q40" s="68">
        <f t="shared" si="10"/>
        <v>30.059662500000002</v>
      </c>
      <c r="R40" s="68">
        <f t="shared" si="11"/>
        <v>0</v>
      </c>
      <c r="S40" s="68">
        <f t="shared" si="11"/>
        <v>8.9429199999999986E-2</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"&amp;(VLOOKUP(C14,Table24581114[],6,FALSE))</f>
        <v>0 I Arable</v>
      </c>
      <c r="C58" s="10" t="str">
        <f>D16&amp;" I "&amp;(VLOOKUP(D14,Table24581114[],6,FALSE))</f>
        <v>0 I Arable</v>
      </c>
      <c r="D58" s="10" t="str">
        <f>E16&amp;" I "&amp;(VLOOKUP(E14,Table24581114[],6,FALSE))</f>
        <v>0 I Grass</v>
      </c>
      <c r="E58" s="10" t="str">
        <f>F16&amp;" I "&amp;(VLOOKUP(F14,Table24581114[],6,FALSE))</f>
        <v>0 I Arable</v>
      </c>
      <c r="F58" s="10" t="str">
        <f>G16&amp;" I "&amp;(VLOOKUP(G14,Table24581114[],6,FALSE))</f>
        <v>0 I Grass</v>
      </c>
      <c r="G58" s="10" t="str">
        <f>H16&amp;" I "&amp;(VLOOKUP(H14,Table24581114[],6,FALSE))</f>
        <v>0 I Arable</v>
      </c>
      <c r="H58" s="10" t="str">
        <f>I16&amp;" I "&amp;(VLOOKUP(I14,Table24581114[],6,FALSE))</f>
        <v>0 I Arable</v>
      </c>
      <c r="I58" s="10" t="str">
        <f>J16&amp;" I "&amp;(VLOOKUP(J14,Table24581114[],6,FALSE))</f>
        <v>0 I Arable</v>
      </c>
      <c r="J58" s="10" t="str">
        <f>K16&amp;" I "&amp;(VLOOKUP(K14,Table24581114[],6,FALSE))</f>
        <v>0 I Arable</v>
      </c>
      <c r="K58" s="10" t="str">
        <f>L16&amp;" I "&amp;(VLOOKUP(L14,Table24581114[],6,FALSE))</f>
        <v>0 I Arable</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100" t="s">
        <v>132</v>
      </c>
      <c r="B59" s="67">
        <f>VLOOKUP(C$14,Table24581114[],5,FALSE)</f>
        <v>6.7</v>
      </c>
      <c r="C59" s="67">
        <f>VLOOKUP(D$14,Table24581114[],5,FALSE)</f>
        <v>6.7</v>
      </c>
      <c r="D59" s="67">
        <f>VLOOKUP(E$14,Table24581114[],5,FALSE)</f>
        <v>6.2</v>
      </c>
      <c r="E59" s="67">
        <f>VLOOKUP(F$14,Table24581114[],5,FALSE)</f>
        <v>6.7</v>
      </c>
      <c r="F59" s="67">
        <f>VLOOKUP(G$14,Table24581114[],5,FALSE)</f>
        <v>6.2</v>
      </c>
      <c r="G59" s="67">
        <f>VLOOKUP(H$14,Table24581114[],5,FALSE)</f>
        <v>6.7</v>
      </c>
      <c r="H59" s="67">
        <f>VLOOKUP(I$14,Table24581114[],5,FALSE)</f>
        <v>6.7</v>
      </c>
      <c r="I59" s="67">
        <f>VLOOKUP(J$14,Table24581114[],5,FALSE)</f>
        <v>6.7</v>
      </c>
      <c r="J59" s="67">
        <f>VLOOKUP(K$14,Table24581114[],5,FALSE)</f>
        <v>6.7</v>
      </c>
      <c r="K59" s="67">
        <f>VLOOKUP(L$14,Table24581114[],5,FALSE)</f>
        <v>6.7</v>
      </c>
      <c r="L59" s="67" t="e">
        <f>VLOOKUP(M$14,Table24581114[],5,FALSE)</f>
        <v>#N/A</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64</v>
      </c>
      <c r="C62" s="68">
        <f>B32</f>
        <v>64</v>
      </c>
      <c r="D62" s="68">
        <f>B33</f>
        <v>95</v>
      </c>
      <c r="E62" s="68">
        <f>B34</f>
        <v>64</v>
      </c>
      <c r="F62" s="68">
        <f>B35</f>
        <v>95</v>
      </c>
      <c r="G62" s="68">
        <f>B36</f>
        <v>64</v>
      </c>
      <c r="H62" s="68">
        <f>B37</f>
        <v>95</v>
      </c>
      <c r="I62" s="68">
        <f>B38</f>
        <v>64</v>
      </c>
      <c r="J62" s="68">
        <f>B39</f>
        <v>64</v>
      </c>
      <c r="K62" s="68">
        <f>B40</f>
        <v>95</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7.5</v>
      </c>
      <c r="J1" s="114" t="s">
        <v>153</v>
      </c>
      <c r="K1" s="114"/>
      <c r="L1" s="86">
        <v>234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0.72699999999999998</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3.2187070151306743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171</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2.5472712599999996</v>
      </c>
      <c r="D18" s="13">
        <f>$D32</f>
        <v>2.5472712599999996</v>
      </c>
      <c r="E18" s="13">
        <f>$D33</f>
        <v>6.3681781499999994</v>
      </c>
      <c r="F18" s="13">
        <f>$D34</f>
        <v>2.5472712599999996</v>
      </c>
      <c r="G18" s="13">
        <f>$D35</f>
        <v>6.3681781499999994</v>
      </c>
      <c r="H18" s="13">
        <f>$D36</f>
        <v>2.5472712599999996</v>
      </c>
      <c r="I18" s="13">
        <f>$D37</f>
        <v>2.5472712599999996</v>
      </c>
      <c r="J18" s="13">
        <f>$D38</f>
        <v>2.5472712599999996</v>
      </c>
      <c r="K18" s="13">
        <f>$D39</f>
        <v>2.5472712599999996</v>
      </c>
      <c r="L18" s="13">
        <f>$D40</f>
        <v>2.5472712599999996</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-252.45272874</v>
      </c>
      <c r="D19" s="13">
        <f t="shared" ref="D19:V19" si="1">D18-D17</f>
        <v>-252.45272874</v>
      </c>
      <c r="E19" s="13">
        <f t="shared" si="1"/>
        <v>-73.531821849999986</v>
      </c>
      <c r="F19" s="13">
        <f t="shared" si="1"/>
        <v>-252.45272874</v>
      </c>
      <c r="G19" s="13">
        <f t="shared" si="1"/>
        <v>-73.531821849999986</v>
      </c>
      <c r="H19" s="13">
        <f t="shared" si="1"/>
        <v>-252.45272874</v>
      </c>
      <c r="I19" s="13">
        <f t="shared" si="1"/>
        <v>-252.45272874</v>
      </c>
      <c r="J19" s="13">
        <f t="shared" si="1"/>
        <v>-60.452728739999991</v>
      </c>
      <c r="K19" s="13">
        <f t="shared" si="1"/>
        <v>-60.452728739999991</v>
      </c>
      <c r="L19" s="13">
        <f t="shared" si="1"/>
        <v>-252.45272874</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2.7361934999999999E-5</v>
      </c>
      <c r="D22" s="13">
        <f>$E32</f>
        <v>2.7361934999999999E-5</v>
      </c>
      <c r="E22" s="13">
        <f>$E33</f>
        <v>6.8404837499999992E-5</v>
      </c>
      <c r="F22" s="13">
        <f>$E34</f>
        <v>2.7361934999999999E-5</v>
      </c>
      <c r="G22" s="13">
        <f>$E35</f>
        <v>6.8404837499999992E-5</v>
      </c>
      <c r="H22" s="13">
        <f>$E36</f>
        <v>2.7361934999999999E-5</v>
      </c>
      <c r="I22" s="13">
        <f>$E37</f>
        <v>2.7361934999999999E-5</v>
      </c>
      <c r="J22" s="13">
        <f>$E38</f>
        <v>2.7361934999999999E-5</v>
      </c>
      <c r="K22" s="13">
        <f>$E39</f>
        <v>2.7361934999999999E-5</v>
      </c>
      <c r="L22" s="13">
        <f>$E40</f>
        <v>2.7361934999999999E-5</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-359.999972638065</v>
      </c>
      <c r="D23" s="13">
        <f t="shared" ref="D23:V23" si="3">D22-D21</f>
        <v>-359.999972638065</v>
      </c>
      <c r="E23" s="13">
        <f t="shared" si="3"/>
        <v>-281.99993159516248</v>
      </c>
      <c r="F23" s="13">
        <f t="shared" si="3"/>
        <v>-359.999972638065</v>
      </c>
      <c r="G23" s="13">
        <f t="shared" si="3"/>
        <v>-281.99993159516248</v>
      </c>
      <c r="H23" s="13">
        <f t="shared" si="3"/>
        <v>-359.999972638065</v>
      </c>
      <c r="I23" s="13">
        <f t="shared" si="3"/>
        <v>-359.999972638065</v>
      </c>
      <c r="J23" s="13">
        <f t="shared" si="3"/>
        <v>-197.99997263806503</v>
      </c>
      <c r="K23" s="13">
        <f t="shared" si="3"/>
        <v>-197.99997263806503</v>
      </c>
      <c r="L23" s="13">
        <f t="shared" si="3"/>
        <v>-359.999972638065</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2.61</v>
      </c>
      <c r="C28" s="12">
        <v>0.72699999999999998</v>
      </c>
      <c r="D28" s="12">
        <v>4.2599999999999999E-2</v>
      </c>
      <c r="E28" s="12">
        <v>8.6999999999999994E-3</v>
      </c>
      <c r="F28" s="12">
        <v>658</v>
      </c>
      <c r="G28" s="12">
        <v>11.9</v>
      </c>
      <c r="H28" s="12">
        <v>83.6</v>
      </c>
      <c r="I28" s="12">
        <v>6.2</v>
      </c>
      <c r="J28" s="12">
        <v>0.11</v>
      </c>
      <c r="K28" s="16">
        <v>1.53</v>
      </c>
      <c r="L28" s="12">
        <v>11</v>
      </c>
      <c r="M28" s="12">
        <v>5.05</v>
      </c>
      <c r="N28" s="12">
        <v>1780</v>
      </c>
      <c r="O28" s="12">
        <v>350000</v>
      </c>
      <c r="P28" s="12"/>
      <c r="Q28" s="12">
        <v>1800</v>
      </c>
      <c r="R28" s="12"/>
      <c r="S28" s="12">
        <v>39.1</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100</v>
      </c>
      <c r="C31" s="68">
        <f>IF(C$27="%w/w SAR",((C$28*10)*$B31),IF(C$27="%w/w DM",(((C$28*10)*($B$28/100))*$B31),IF(C$27="kg/t SAR",(C$28*$B31),IF(C$27="kg/t DM",((C$28*($B$28/100))*$B31),IF(C$27="mg/kg SAR",((C$28*0.001)*$B31),IF(C$27="mg/kg DM",(((C$28*0.001)*($B$28/100))*$B31),0))))))</f>
        <v>18.974699999999999</v>
      </c>
      <c r="D31" s="68">
        <f>(IF(D$27="%w/w SAR",((D$28*10)*$B31),IF(D$27="%w/w DM",(((D$28*10)*($B$28/100))*$B31),IF(D$27="kg/t SAR",(D$28*$B31),IF(D$27="kg/t DM",((D$28*($B$28/100))*$B31),IF(D$27="mg/kg SAR",((D$28*0.001)*$B31),IF(D$27="mg/kg DM",(((D$28*0.001)*($B$28/100))*$B31),"0")))))))*2.291</f>
        <v>2.5472712599999996</v>
      </c>
      <c r="E31" s="68">
        <f>(IF(E$27="%w/w SAR",((E$28*10)*$B31),IF(E$27="%w/w DM",(((E$28*10)*($B$28/100))*$B31),IF(E$27="kg/t SAR",(E$28*$B31),IF(E$27="kg/t DM",((E$28*($B$28/100))*$B31),IF(E$27="mg/kg SAR",((E$28*0.001)*$B31),IF(E$27="mg/kg DM",(((E$28*0.001)*($B$28/100))*$B31),"0")))))))*1.205</f>
        <v>2.7361934999999999E-5</v>
      </c>
      <c r="F31" s="68">
        <f>(IF(F$27="%w/w SAR",((F$28*10)*$B31),IF(F$27="%w/w DM",(((F$28*10)*($B$28/100))*$B31),IF(F$27="kg/t SAR",(F$28*$B31),IF(F$27="kg/t DM",((F$28*($B$28/100))*$B31),IF(F$27="mg/kg SAR",((F$28*0.001)*$B31),IF(F$27="mg/kg DM",(((F$28*0.001)*($B$28/100))*$B31),"0")))))))*1.658</f>
        <v>2.8474160399999997</v>
      </c>
      <c r="G31" s="68">
        <f t="shared" ref="G31:P46" si="5">IF(G$27="%w/w SAR",((G$28*10)*$B31),IF(G$27="%w/w DM",(((G$28*10)*($B$28/100))*$B31),IF(G$27="kg/t SAR",(G$28*$B31),IF(G$27="kg/t DM",((G$28*($B$28/100))*$B31),IF(G$27="mg/kg SAR",((G$28*0.001)*$B31),IF(G$27="mg/kg DM",(((G$28*0.001)*($B$28/100))*$B31),0))))))</f>
        <v>3.1059000000000003E-2</v>
      </c>
      <c r="H31" s="68">
        <f t="shared" si="5"/>
        <v>0.21819599999999997</v>
      </c>
      <c r="I31" s="68">
        <f t="shared" si="5"/>
        <v>1.6181999999999998E-2</v>
      </c>
      <c r="J31" s="68">
        <f t="shared" si="5"/>
        <v>2.8709999999999999E-4</v>
      </c>
      <c r="K31" s="68">
        <f t="shared" si="5"/>
        <v>3.9933E-3</v>
      </c>
      <c r="L31" s="68">
        <f t="shared" si="5"/>
        <v>2.8709999999999999E-2</v>
      </c>
      <c r="M31" s="68">
        <f t="shared" si="5"/>
        <v>1.3180499999999998E-2</v>
      </c>
      <c r="N31" s="68">
        <f t="shared" si="5"/>
        <v>4.6457999999999995</v>
      </c>
      <c r="O31" s="68">
        <f t="shared" si="5"/>
        <v>913.5</v>
      </c>
      <c r="P31" s="68">
        <f t="shared" si="5"/>
        <v>0</v>
      </c>
      <c r="Q31" s="68">
        <f>(IF(Q$27="%w/w SAR",((Q$28*10)*$B31),IF(Q$27="%w/w DM",(((Q$28*10)*($B$28/100))*$B31),IF(Q$27="kg/t SAR",(Q$28*$B31),IF(Q$27="kg/t DM",((Q$28*($B$28/100))*$B31),IF(Q$27="mg/kg SAR",((Q$28*0.001)*$B31),IF(Q$27="mg/kg DM",(((Q$28*0.001)*($B$28/100))*$B31),0)))))))*2.5</f>
        <v>11.745000000000001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0.102051</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100</v>
      </c>
      <c r="C32" s="68">
        <f t="shared" ref="C32:C50" si="6">IF(C$27="%w/w SAR",((C$28*10)*$B32),IF(C$27="%w/w DM",(((C$28*10)*($B$28/100))*$B32),IF(C$27="kg/t SAR",(C$28*$B32),IF(C$27="kg/t DM",((C$28*($B$28/100))*$B32),IF(C$27="mg/kg SAR",((C$28*0.001)*$B32),IF(C$27="mg/kg DM",(((C$28*0.001)*($B$28/100))*$B32),0))))))</f>
        <v>18.974699999999999</v>
      </c>
      <c r="D32" s="68">
        <f t="shared" ref="D32:D50" si="7">(IF(D$27="%w/w SAR",((D$28*10)*$B32),IF(D$27="%w/w DM",(((D$28*10)*($B$28/100))*$B32),IF(D$27="kg/t SAR",(D$28*$B32),IF(D$27="kg/t DM",((D$28*($B$28/100))*$B32),IF(D$27="mg/kg SAR",((D$28*0.001)*$B32),IF(D$27="mg/kg DM",(((D$28*0.001)*($B$28/100))*$B32),"0")))))))*2.291</f>
        <v>2.5472712599999996</v>
      </c>
      <c r="E32" s="68">
        <f t="shared" ref="E32:E50" si="8">(IF(E$27="%w/w SAR",((E$28*10)*$B32),IF(E$27="%w/w DM",(((E$28*10)*($B$28/100))*$B32),IF(E$27="kg/t SAR",(E$28*$B32),IF(E$27="kg/t DM",((E$28*($B$28/100))*$B32),IF(E$27="mg/kg SAR",((E$28*0.001)*$B32),IF(E$27="mg/kg DM",(((E$28*0.001)*($B$28/100))*$B32),"0")))))))*1.205</f>
        <v>2.7361934999999999E-5</v>
      </c>
      <c r="F32" s="68">
        <f t="shared" ref="F32:F50" si="9">(IF(F$27="%w/w SAR",((F$28*10)*$B32),IF(F$27="%w/w DM",(((F$28*10)*($B$28/100))*$B32),IF(F$27="kg/t SAR",(F$28*$B32),IF(F$27="kg/t DM",((F$28*($B$28/100))*$B32),IF(F$27="mg/kg SAR",((F$28*0.001)*$B32),IF(F$27="mg/kg DM",(((F$28*0.001)*($B$28/100))*$B32),"0")))))))*1.658</f>
        <v>2.8474160399999997</v>
      </c>
      <c r="G32" s="68">
        <f t="shared" si="5"/>
        <v>3.1059000000000003E-2</v>
      </c>
      <c r="H32" s="68">
        <f t="shared" si="5"/>
        <v>0.21819599999999997</v>
      </c>
      <c r="I32" s="68">
        <f t="shared" si="5"/>
        <v>1.6181999999999998E-2</v>
      </c>
      <c r="J32" s="68">
        <f t="shared" si="5"/>
        <v>2.8709999999999999E-4</v>
      </c>
      <c r="K32" s="68">
        <f t="shared" si="5"/>
        <v>3.9933E-3</v>
      </c>
      <c r="L32" s="68">
        <f t="shared" si="5"/>
        <v>2.8709999999999999E-2</v>
      </c>
      <c r="M32" s="68">
        <f t="shared" si="5"/>
        <v>1.3180499999999998E-2</v>
      </c>
      <c r="N32" s="68">
        <f t="shared" si="5"/>
        <v>4.6457999999999995</v>
      </c>
      <c r="O32" s="68">
        <f t="shared" si="5"/>
        <v>913.5</v>
      </c>
      <c r="P32" s="68">
        <f t="shared" si="5"/>
        <v>0</v>
      </c>
      <c r="Q32" s="68">
        <f t="shared" ref="Q32:Q50" si="10">(IF(Q$27="%w/w SAR",((Q$28*10)*$B32),IF(Q$27="%w/w DM",(((Q$28*10)*($B$28/100))*$B32),IF(Q$27="kg/t SAR",(Q$28*$B32),IF(Q$27="kg/t DM",((Q$28*($B$28/100))*$B32),IF(Q$27="mg/kg SAR",((Q$28*0.001)*$B32),IF(Q$27="mg/kg DM",(((Q$28*0.001)*($B$28/100))*$B32),0)))))))*2.5</f>
        <v>11.745000000000001</v>
      </c>
      <c r="R32" s="68">
        <f t="shared" ref="R32:U50" si="11">IF(R$27="%w/w SAR",((R$28*10)*$B32),IF(R$27="%w/w DM",(((R$28*10)*($B$28/100))*$B32),IF(R$27="kg/t SAR",(R$28*$B32),IF(R$27="kg/t DM",((R$28*($B$28/100))*$B32),IF(R$27="mg/kg SAR",((R$28*0.001)*$B32),IF(R$27="mg/kg DM",(((R$28*0.001)*($B$28/100))*$B32),0))))))</f>
        <v>0</v>
      </c>
      <c r="S32" s="68">
        <f t="shared" si="11"/>
        <v>0.102051</v>
      </c>
      <c r="T32" s="68">
        <f t="shared" si="11"/>
        <v>0</v>
      </c>
      <c r="U32" s="68">
        <f t="shared" si="11"/>
        <v>0</v>
      </c>
    </row>
    <row r="33" spans="1:21" s="51" customFormat="1" ht="13" x14ac:dyDescent="0.35">
      <c r="A33" s="10">
        <f>E8</f>
        <v>2056</v>
      </c>
      <c r="B33" s="12">
        <v>250</v>
      </c>
      <c r="C33" s="68">
        <f t="shared" si="6"/>
        <v>47.436749999999989</v>
      </c>
      <c r="D33" s="68">
        <f t="shared" si="7"/>
        <v>6.3681781499999994</v>
      </c>
      <c r="E33" s="68">
        <f t="shared" si="8"/>
        <v>6.8404837499999992E-5</v>
      </c>
      <c r="F33" s="68">
        <f t="shared" si="9"/>
        <v>7.1185400999999997</v>
      </c>
      <c r="G33" s="68">
        <f t="shared" si="5"/>
        <v>7.7647500000000008E-2</v>
      </c>
      <c r="H33" s="68">
        <f t="shared" si="5"/>
        <v>0.54548999999999992</v>
      </c>
      <c r="I33" s="68">
        <f t="shared" si="5"/>
        <v>4.0454999999999998E-2</v>
      </c>
      <c r="J33" s="68">
        <f t="shared" si="5"/>
        <v>7.1774999999999996E-4</v>
      </c>
      <c r="K33" s="68">
        <f t="shared" si="5"/>
        <v>9.9832499999999991E-3</v>
      </c>
      <c r="L33" s="68">
        <f t="shared" si="5"/>
        <v>7.1774999999999992E-2</v>
      </c>
      <c r="M33" s="68">
        <f t="shared" si="5"/>
        <v>3.2951249999999994E-2</v>
      </c>
      <c r="N33" s="68">
        <f t="shared" si="5"/>
        <v>11.6145</v>
      </c>
      <c r="O33" s="68">
        <f t="shared" si="5"/>
        <v>2283.75</v>
      </c>
      <c r="P33" s="68">
        <f t="shared" si="5"/>
        <v>0</v>
      </c>
      <c r="Q33" s="68">
        <f t="shared" si="10"/>
        <v>29.362500000000004</v>
      </c>
      <c r="R33" s="68">
        <f t="shared" si="11"/>
        <v>0</v>
      </c>
      <c r="S33" s="68">
        <f t="shared" si="11"/>
        <v>0.25512750000000001</v>
      </c>
      <c r="T33" s="68">
        <f t="shared" si="11"/>
        <v>0</v>
      </c>
      <c r="U33" s="68">
        <f t="shared" si="11"/>
        <v>0</v>
      </c>
    </row>
    <row r="34" spans="1:21" s="51" customFormat="1" ht="13" x14ac:dyDescent="0.35">
      <c r="A34" s="10">
        <f>F8</f>
        <v>2</v>
      </c>
      <c r="B34" s="12">
        <v>100</v>
      </c>
      <c r="C34" s="68">
        <f t="shared" si="6"/>
        <v>18.974699999999999</v>
      </c>
      <c r="D34" s="68">
        <f t="shared" si="7"/>
        <v>2.5472712599999996</v>
      </c>
      <c r="E34" s="68">
        <f t="shared" si="8"/>
        <v>2.7361934999999999E-5</v>
      </c>
      <c r="F34" s="68">
        <f t="shared" si="9"/>
        <v>2.8474160399999997</v>
      </c>
      <c r="G34" s="68">
        <f t="shared" si="5"/>
        <v>3.1059000000000003E-2</v>
      </c>
      <c r="H34" s="68">
        <f t="shared" si="5"/>
        <v>0.21819599999999997</v>
      </c>
      <c r="I34" s="68">
        <f t="shared" si="5"/>
        <v>1.6181999999999998E-2</v>
      </c>
      <c r="J34" s="68">
        <f t="shared" si="5"/>
        <v>2.8709999999999999E-4</v>
      </c>
      <c r="K34" s="68">
        <f t="shared" si="5"/>
        <v>3.9933E-3</v>
      </c>
      <c r="L34" s="68">
        <f t="shared" si="5"/>
        <v>2.8709999999999999E-2</v>
      </c>
      <c r="M34" s="68">
        <f t="shared" si="5"/>
        <v>1.3180499999999998E-2</v>
      </c>
      <c r="N34" s="68">
        <f t="shared" si="5"/>
        <v>4.6457999999999995</v>
      </c>
      <c r="O34" s="68">
        <f t="shared" si="5"/>
        <v>913.5</v>
      </c>
      <c r="P34" s="68">
        <f t="shared" si="5"/>
        <v>0</v>
      </c>
      <c r="Q34" s="68">
        <f t="shared" si="10"/>
        <v>11.745000000000001</v>
      </c>
      <c r="R34" s="68">
        <f t="shared" si="11"/>
        <v>0</v>
      </c>
      <c r="S34" s="68">
        <f t="shared" si="11"/>
        <v>0.102051</v>
      </c>
      <c r="T34" s="68">
        <f t="shared" si="11"/>
        <v>0</v>
      </c>
      <c r="U34" s="68">
        <f t="shared" si="11"/>
        <v>0</v>
      </c>
    </row>
    <row r="35" spans="1:21" s="51" customFormat="1" ht="13" x14ac:dyDescent="0.35">
      <c r="A35" s="10">
        <f>G8</f>
        <v>9155</v>
      </c>
      <c r="B35" s="12">
        <v>250</v>
      </c>
      <c r="C35" s="68">
        <f t="shared" si="6"/>
        <v>47.436749999999989</v>
      </c>
      <c r="D35" s="68">
        <f t="shared" si="7"/>
        <v>6.3681781499999994</v>
      </c>
      <c r="E35" s="68">
        <f t="shared" si="8"/>
        <v>6.8404837499999992E-5</v>
      </c>
      <c r="F35" s="68">
        <f t="shared" si="9"/>
        <v>7.1185400999999997</v>
      </c>
      <c r="G35" s="68">
        <f t="shared" si="5"/>
        <v>7.7647500000000008E-2</v>
      </c>
      <c r="H35" s="68">
        <f t="shared" si="5"/>
        <v>0.54548999999999992</v>
      </c>
      <c r="I35" s="68">
        <f t="shared" si="5"/>
        <v>4.0454999999999998E-2</v>
      </c>
      <c r="J35" s="68">
        <f t="shared" si="5"/>
        <v>7.1774999999999996E-4</v>
      </c>
      <c r="K35" s="68">
        <f t="shared" si="5"/>
        <v>9.9832499999999991E-3</v>
      </c>
      <c r="L35" s="68">
        <f t="shared" si="5"/>
        <v>7.1774999999999992E-2</v>
      </c>
      <c r="M35" s="68">
        <f t="shared" si="5"/>
        <v>3.2951249999999994E-2</v>
      </c>
      <c r="N35" s="68">
        <f t="shared" si="5"/>
        <v>11.6145</v>
      </c>
      <c r="O35" s="68">
        <f t="shared" si="5"/>
        <v>2283.75</v>
      </c>
      <c r="P35" s="68">
        <f t="shared" si="5"/>
        <v>0</v>
      </c>
      <c r="Q35" s="68">
        <f t="shared" si="10"/>
        <v>29.362500000000004</v>
      </c>
      <c r="R35" s="68">
        <f t="shared" si="11"/>
        <v>0</v>
      </c>
      <c r="S35" s="68">
        <f t="shared" si="11"/>
        <v>0.25512750000000001</v>
      </c>
      <c r="T35" s="68">
        <f t="shared" si="11"/>
        <v>0</v>
      </c>
      <c r="U35" s="68">
        <f t="shared" si="11"/>
        <v>0</v>
      </c>
    </row>
    <row r="36" spans="1:21" s="51" customFormat="1" ht="13" x14ac:dyDescent="0.35">
      <c r="A36" s="10">
        <f>H8</f>
        <v>2062</v>
      </c>
      <c r="B36" s="12">
        <v>100</v>
      </c>
      <c r="C36" s="68">
        <f t="shared" si="6"/>
        <v>18.974699999999999</v>
      </c>
      <c r="D36" s="68">
        <f t="shared" si="7"/>
        <v>2.5472712599999996</v>
      </c>
      <c r="E36" s="68">
        <f t="shared" si="8"/>
        <v>2.7361934999999999E-5</v>
      </c>
      <c r="F36" s="68">
        <f t="shared" si="9"/>
        <v>2.8474160399999997</v>
      </c>
      <c r="G36" s="68">
        <f t="shared" si="5"/>
        <v>3.1059000000000003E-2</v>
      </c>
      <c r="H36" s="68">
        <f t="shared" si="5"/>
        <v>0.21819599999999997</v>
      </c>
      <c r="I36" s="68">
        <f t="shared" si="5"/>
        <v>1.6181999999999998E-2</v>
      </c>
      <c r="J36" s="68">
        <f t="shared" si="5"/>
        <v>2.8709999999999999E-4</v>
      </c>
      <c r="K36" s="68">
        <f t="shared" si="5"/>
        <v>3.9933E-3</v>
      </c>
      <c r="L36" s="68">
        <f t="shared" si="5"/>
        <v>2.8709999999999999E-2</v>
      </c>
      <c r="M36" s="68">
        <f t="shared" si="5"/>
        <v>1.3180499999999998E-2</v>
      </c>
      <c r="N36" s="68">
        <f t="shared" si="5"/>
        <v>4.6457999999999995</v>
      </c>
      <c r="O36" s="68">
        <f t="shared" si="5"/>
        <v>913.5</v>
      </c>
      <c r="P36" s="68">
        <f t="shared" si="5"/>
        <v>0</v>
      </c>
      <c r="Q36" s="68">
        <f t="shared" si="10"/>
        <v>11.745000000000001</v>
      </c>
      <c r="R36" s="68">
        <f t="shared" si="11"/>
        <v>0</v>
      </c>
      <c r="S36" s="68">
        <f t="shared" si="11"/>
        <v>0.102051</v>
      </c>
      <c r="T36" s="68">
        <f t="shared" si="11"/>
        <v>0</v>
      </c>
      <c r="U36" s="68">
        <f t="shared" si="11"/>
        <v>0</v>
      </c>
    </row>
    <row r="37" spans="1:21" s="51" customFormat="1" ht="13" x14ac:dyDescent="0.35">
      <c r="A37" s="10">
        <f>I8</f>
        <v>834</v>
      </c>
      <c r="B37" s="12">
        <v>100</v>
      </c>
      <c r="C37" s="68">
        <f t="shared" si="6"/>
        <v>18.974699999999999</v>
      </c>
      <c r="D37" s="68">
        <f t="shared" si="7"/>
        <v>2.5472712599999996</v>
      </c>
      <c r="E37" s="68">
        <f t="shared" si="8"/>
        <v>2.7361934999999999E-5</v>
      </c>
      <c r="F37" s="68">
        <f t="shared" si="9"/>
        <v>2.8474160399999997</v>
      </c>
      <c r="G37" s="68">
        <f t="shared" si="5"/>
        <v>3.1059000000000003E-2</v>
      </c>
      <c r="H37" s="68">
        <f t="shared" si="5"/>
        <v>0.21819599999999997</v>
      </c>
      <c r="I37" s="68">
        <f t="shared" si="5"/>
        <v>1.6181999999999998E-2</v>
      </c>
      <c r="J37" s="68">
        <f t="shared" si="5"/>
        <v>2.8709999999999999E-4</v>
      </c>
      <c r="K37" s="68">
        <f t="shared" si="5"/>
        <v>3.9933E-3</v>
      </c>
      <c r="L37" s="68">
        <f t="shared" si="5"/>
        <v>2.8709999999999999E-2</v>
      </c>
      <c r="M37" s="68">
        <f t="shared" si="5"/>
        <v>1.3180499999999998E-2</v>
      </c>
      <c r="N37" s="68">
        <f t="shared" si="5"/>
        <v>4.6457999999999995</v>
      </c>
      <c r="O37" s="68">
        <f t="shared" si="5"/>
        <v>913.5</v>
      </c>
      <c r="P37" s="68">
        <f t="shared" si="5"/>
        <v>0</v>
      </c>
      <c r="Q37" s="68">
        <f t="shared" si="10"/>
        <v>11.745000000000001</v>
      </c>
      <c r="R37" s="68">
        <f t="shared" si="11"/>
        <v>0</v>
      </c>
      <c r="S37" s="68">
        <f t="shared" si="11"/>
        <v>0.102051</v>
      </c>
      <c r="T37" s="68">
        <f t="shared" si="11"/>
        <v>0</v>
      </c>
      <c r="U37" s="68">
        <f t="shared" si="11"/>
        <v>0</v>
      </c>
    </row>
    <row r="38" spans="1:21" s="51" customFormat="1" ht="13" x14ac:dyDescent="0.35">
      <c r="A38" s="10">
        <f>J8</f>
        <v>5928</v>
      </c>
      <c r="B38" s="12">
        <v>100</v>
      </c>
      <c r="C38" s="68">
        <f t="shared" si="6"/>
        <v>18.974699999999999</v>
      </c>
      <c r="D38" s="68">
        <f t="shared" si="7"/>
        <v>2.5472712599999996</v>
      </c>
      <c r="E38" s="68">
        <f t="shared" si="8"/>
        <v>2.7361934999999999E-5</v>
      </c>
      <c r="F38" s="68">
        <f t="shared" si="9"/>
        <v>2.8474160399999997</v>
      </c>
      <c r="G38" s="68">
        <f t="shared" si="5"/>
        <v>3.1059000000000003E-2</v>
      </c>
      <c r="H38" s="68">
        <f t="shared" si="5"/>
        <v>0.21819599999999997</v>
      </c>
      <c r="I38" s="68">
        <f t="shared" si="5"/>
        <v>1.6181999999999998E-2</v>
      </c>
      <c r="J38" s="68">
        <f t="shared" si="5"/>
        <v>2.8709999999999999E-4</v>
      </c>
      <c r="K38" s="68">
        <f t="shared" si="5"/>
        <v>3.9933E-3</v>
      </c>
      <c r="L38" s="68">
        <f t="shared" si="5"/>
        <v>2.8709999999999999E-2</v>
      </c>
      <c r="M38" s="68">
        <f t="shared" si="5"/>
        <v>1.3180499999999998E-2</v>
      </c>
      <c r="N38" s="68">
        <f t="shared" si="5"/>
        <v>4.6457999999999995</v>
      </c>
      <c r="O38" s="68">
        <f t="shared" si="5"/>
        <v>913.5</v>
      </c>
      <c r="P38" s="68">
        <f t="shared" si="5"/>
        <v>0</v>
      </c>
      <c r="Q38" s="68">
        <f t="shared" si="10"/>
        <v>11.745000000000001</v>
      </c>
      <c r="R38" s="68">
        <f t="shared" si="11"/>
        <v>0</v>
      </c>
      <c r="S38" s="68">
        <f t="shared" si="11"/>
        <v>0.102051</v>
      </c>
      <c r="T38" s="68">
        <f t="shared" si="11"/>
        <v>0</v>
      </c>
      <c r="U38" s="68">
        <f t="shared" si="11"/>
        <v>0</v>
      </c>
    </row>
    <row r="39" spans="1:21" s="51" customFormat="1" ht="13" x14ac:dyDescent="0.35">
      <c r="A39" s="10">
        <f>K8</f>
        <v>3370</v>
      </c>
      <c r="B39" s="12">
        <v>100</v>
      </c>
      <c r="C39" s="68">
        <f t="shared" si="6"/>
        <v>18.974699999999999</v>
      </c>
      <c r="D39" s="68">
        <f t="shared" si="7"/>
        <v>2.5472712599999996</v>
      </c>
      <c r="E39" s="68">
        <f t="shared" si="8"/>
        <v>2.7361934999999999E-5</v>
      </c>
      <c r="F39" s="68">
        <f t="shared" si="9"/>
        <v>2.8474160399999997</v>
      </c>
      <c r="G39" s="68">
        <f t="shared" si="5"/>
        <v>3.1059000000000003E-2</v>
      </c>
      <c r="H39" s="68">
        <f t="shared" si="5"/>
        <v>0.21819599999999997</v>
      </c>
      <c r="I39" s="68">
        <f t="shared" si="5"/>
        <v>1.6181999999999998E-2</v>
      </c>
      <c r="J39" s="68">
        <f t="shared" si="5"/>
        <v>2.8709999999999999E-4</v>
      </c>
      <c r="K39" s="68">
        <f t="shared" si="5"/>
        <v>3.9933E-3</v>
      </c>
      <c r="L39" s="68">
        <f t="shared" si="5"/>
        <v>2.8709999999999999E-2</v>
      </c>
      <c r="M39" s="68">
        <f t="shared" si="5"/>
        <v>1.3180499999999998E-2</v>
      </c>
      <c r="N39" s="68">
        <f t="shared" si="5"/>
        <v>4.6457999999999995</v>
      </c>
      <c r="O39" s="68">
        <f t="shared" si="5"/>
        <v>913.5</v>
      </c>
      <c r="P39" s="68">
        <f t="shared" si="5"/>
        <v>0</v>
      </c>
      <c r="Q39" s="68">
        <f t="shared" si="10"/>
        <v>11.745000000000001</v>
      </c>
      <c r="R39" s="68">
        <f t="shared" si="11"/>
        <v>0</v>
      </c>
      <c r="S39" s="68">
        <f t="shared" si="11"/>
        <v>0.102051</v>
      </c>
      <c r="T39" s="68">
        <f t="shared" si="11"/>
        <v>0</v>
      </c>
      <c r="U39" s="68">
        <f t="shared" si="11"/>
        <v>0</v>
      </c>
    </row>
    <row r="40" spans="1:21" s="51" customFormat="1" ht="13" x14ac:dyDescent="0.35">
      <c r="A40" s="10">
        <f>L8</f>
        <v>3234</v>
      </c>
      <c r="B40" s="12">
        <v>100</v>
      </c>
      <c r="C40" s="68">
        <f t="shared" si="6"/>
        <v>18.974699999999999</v>
      </c>
      <c r="D40" s="68">
        <f t="shared" si="7"/>
        <v>2.5472712599999996</v>
      </c>
      <c r="E40" s="68">
        <f t="shared" si="8"/>
        <v>2.7361934999999999E-5</v>
      </c>
      <c r="F40" s="68">
        <f t="shared" si="9"/>
        <v>2.8474160399999997</v>
      </c>
      <c r="G40" s="68">
        <f t="shared" si="5"/>
        <v>3.1059000000000003E-2</v>
      </c>
      <c r="H40" s="68">
        <f t="shared" si="5"/>
        <v>0.21819599999999997</v>
      </c>
      <c r="I40" s="68">
        <f t="shared" si="5"/>
        <v>1.6181999999999998E-2</v>
      </c>
      <c r="J40" s="68">
        <f t="shared" si="5"/>
        <v>2.8709999999999999E-4</v>
      </c>
      <c r="K40" s="68">
        <f t="shared" si="5"/>
        <v>3.9933E-3</v>
      </c>
      <c r="L40" s="68">
        <f t="shared" si="5"/>
        <v>2.8709999999999999E-2</v>
      </c>
      <c r="M40" s="68">
        <f t="shared" si="5"/>
        <v>1.3180499999999998E-2</v>
      </c>
      <c r="N40" s="68">
        <f t="shared" si="5"/>
        <v>4.6457999999999995</v>
      </c>
      <c r="O40" s="68">
        <f t="shared" si="5"/>
        <v>913.5</v>
      </c>
      <c r="P40" s="68">
        <f t="shared" si="5"/>
        <v>0</v>
      </c>
      <c r="Q40" s="68">
        <f t="shared" si="10"/>
        <v>11.745000000000001</v>
      </c>
      <c r="R40" s="68">
        <f t="shared" si="11"/>
        <v>0</v>
      </c>
      <c r="S40" s="68">
        <f t="shared" si="11"/>
        <v>0.102051</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"&amp;(VLOOKUP(C14,Table245810[],6,FALSE))</f>
        <v>0 I Arable</v>
      </c>
      <c r="C58" s="10" t="str">
        <f>D16&amp;" I "&amp;(VLOOKUP(D14,Table245810[],6,FALSE))</f>
        <v>0 I Arable</v>
      </c>
      <c r="D58" s="10" t="str">
        <f>E16&amp;" I "&amp;(VLOOKUP(E14,Table245810[],6,FALSE))</f>
        <v>0 I Grass</v>
      </c>
      <c r="E58" s="10" t="str">
        <f>F16&amp;" I "&amp;(VLOOKUP(F14,Table245810[],6,FALSE))</f>
        <v>0 I Arable</v>
      </c>
      <c r="F58" s="10" t="str">
        <f>G16&amp;" I "&amp;(VLOOKUP(G14,Table245810[],6,FALSE))</f>
        <v>0 I Grass</v>
      </c>
      <c r="G58" s="10" t="str">
        <f>H16&amp;" I "&amp;(VLOOKUP(H14,Table245810[],6,FALSE))</f>
        <v>0 I Arable</v>
      </c>
      <c r="H58" s="10" t="str">
        <f>I16&amp;" I "&amp;(VLOOKUP(I14,Table245810[],6,FALSE))</f>
        <v>0 I Arable</v>
      </c>
      <c r="I58" s="10" t="str">
        <f>J16&amp;" I "&amp;(VLOOKUP(J14,Table245810[],6,FALSE))</f>
        <v>0 I Arable</v>
      </c>
      <c r="J58" s="10" t="str">
        <f>K16&amp;" I "&amp;(VLOOKUP(K14,Table245810[],6,FALSE))</f>
        <v>0 I Arable</v>
      </c>
      <c r="K58" s="10" t="str">
        <f>L16&amp;" I "&amp;(VLOOKUP(L14,Table245810[],6,FALSE))</f>
        <v>0 I Arable</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100" t="s">
        <v>132</v>
      </c>
      <c r="B59" s="67">
        <f>VLOOKUP(C$14,Table245810[],5,FALSE)</f>
        <v>6.7</v>
      </c>
      <c r="C59" s="67">
        <f>VLOOKUP(D$14,Table245810[],5,FALSE)</f>
        <v>6.7</v>
      </c>
      <c r="D59" s="67">
        <f>VLOOKUP(E$14,Table245810[],5,FALSE)</f>
        <v>6.2</v>
      </c>
      <c r="E59" s="67">
        <f>VLOOKUP(F$14,Table245810[],5,FALSE)</f>
        <v>6.7</v>
      </c>
      <c r="F59" s="67">
        <f>VLOOKUP(G$14,Table245810[],5,FALSE)</f>
        <v>6.2</v>
      </c>
      <c r="G59" s="67">
        <f>VLOOKUP(H$14,Table245810[],5,FALSE)</f>
        <v>6.7</v>
      </c>
      <c r="H59" s="67">
        <f>VLOOKUP(I$14,Table245810[],5,FALSE)</f>
        <v>6.7</v>
      </c>
      <c r="I59" s="67">
        <f>VLOOKUP(J$14,Table245810[],5,FALSE)</f>
        <v>6.7</v>
      </c>
      <c r="J59" s="67">
        <f>VLOOKUP(K$14,Table245810[],5,FALSE)</f>
        <v>6.7</v>
      </c>
      <c r="K59" s="67">
        <f>VLOOKUP(L$14,Table245810[],5,FALSE)</f>
        <v>6.7</v>
      </c>
      <c r="L59" s="67" t="e">
        <f>VLOOKUP(M$14,Table245810[],5,FALSE)</f>
        <v>#N/A</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100</v>
      </c>
      <c r="D62" s="68">
        <f>B33</f>
        <v>250</v>
      </c>
      <c r="E62" s="68">
        <f>B34</f>
        <v>100</v>
      </c>
      <c r="F62" s="68">
        <f>B35</f>
        <v>250</v>
      </c>
      <c r="G62" s="68">
        <f>B36</f>
        <v>100</v>
      </c>
      <c r="H62" s="68">
        <f>B37</f>
        <v>100</v>
      </c>
      <c r="I62" s="68">
        <f>B38</f>
        <v>100</v>
      </c>
      <c r="J62" s="68">
        <f>B39</f>
        <v>100</v>
      </c>
      <c r="K62" s="68">
        <f>B40</f>
        <v>100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L4"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6.3</v>
      </c>
      <c r="J1" s="114" t="s">
        <v>153</v>
      </c>
      <c r="K1" s="114"/>
      <c r="L1" s="86">
        <v>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1.53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3.9215686274509803E-2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172</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50.295651780000007</v>
      </c>
      <c r="D18" s="13">
        <f>$D32</f>
        <v>50.295651780000007</v>
      </c>
      <c r="E18" s="13">
        <f>$D33</f>
        <v>77.729643660000008</v>
      </c>
      <c r="F18" s="13">
        <f>$D34</f>
        <v>50.295651780000007</v>
      </c>
      <c r="G18" s="13">
        <f>$D35</f>
        <v>77.729643660000008</v>
      </c>
      <c r="H18" s="13">
        <f>$D36</f>
        <v>50.295651780000007</v>
      </c>
      <c r="I18" s="13">
        <f>$D37</f>
        <v>228.61659900000001</v>
      </c>
      <c r="J18" s="13">
        <f>$D38</f>
        <v>59.440315740000003</v>
      </c>
      <c r="K18" s="13">
        <f>$D39</f>
        <v>59.440315740000003</v>
      </c>
      <c r="L18" s="13">
        <f>$D40</f>
        <v>228.61659900000001</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-204.70434821999999</v>
      </c>
      <c r="D19" s="13">
        <f t="shared" ref="D19:V19" si="1">D18-D17</f>
        <v>-204.70434821999999</v>
      </c>
      <c r="E19" s="13">
        <f t="shared" si="1"/>
        <v>-2.1703563399999837</v>
      </c>
      <c r="F19" s="13">
        <f t="shared" si="1"/>
        <v>-204.70434821999999</v>
      </c>
      <c r="G19" s="13">
        <f t="shared" si="1"/>
        <v>-2.1703563399999837</v>
      </c>
      <c r="H19" s="13">
        <f t="shared" si="1"/>
        <v>-204.70434821999999</v>
      </c>
      <c r="I19" s="13">
        <f t="shared" si="1"/>
        <v>-26.383400999999992</v>
      </c>
      <c r="J19" s="13">
        <f t="shared" si="1"/>
        <v>-3.5596842599999903</v>
      </c>
      <c r="K19" s="13">
        <f t="shared" si="1"/>
        <v>-3.5596842599999903</v>
      </c>
      <c r="L19" s="13">
        <f t="shared" si="1"/>
        <v>-26.383400999999992</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2.5600707E-5</v>
      </c>
      <c r="D22" s="13">
        <f>$E32</f>
        <v>2.5600707E-5</v>
      </c>
      <c r="E22" s="13">
        <f>$E33</f>
        <v>3.9564728999999997E-5</v>
      </c>
      <c r="F22" s="13">
        <f>$E34</f>
        <v>2.5600707E-5</v>
      </c>
      <c r="G22" s="13">
        <f>$E35</f>
        <v>3.9564728999999997E-5</v>
      </c>
      <c r="H22" s="13">
        <f>$E36</f>
        <v>2.5600707E-5</v>
      </c>
      <c r="I22" s="13">
        <f>$E37</f>
        <v>1.1636685E-4</v>
      </c>
      <c r="J22" s="13">
        <f>$E38</f>
        <v>3.0255381E-5</v>
      </c>
      <c r="K22" s="13">
        <f>$E39</f>
        <v>3.0255381E-5</v>
      </c>
      <c r="L22" s="13">
        <f>$E40</f>
        <v>1.1636685E-4</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-359.99997439929302</v>
      </c>
      <c r="D23" s="13">
        <f t="shared" ref="D23:V23" si="3">D22-D21</f>
        <v>-359.99997439929302</v>
      </c>
      <c r="E23" s="13">
        <f t="shared" si="3"/>
        <v>-281.99996043527102</v>
      </c>
      <c r="F23" s="13">
        <f t="shared" si="3"/>
        <v>-359.99997439929302</v>
      </c>
      <c r="G23" s="13">
        <f t="shared" si="3"/>
        <v>-281.99996043527102</v>
      </c>
      <c r="H23" s="13">
        <f t="shared" si="3"/>
        <v>-359.99997439929302</v>
      </c>
      <c r="I23" s="13">
        <f t="shared" si="3"/>
        <v>-359.99988363314998</v>
      </c>
      <c r="J23" s="13">
        <f t="shared" si="3"/>
        <v>-197.99996974461902</v>
      </c>
      <c r="K23" s="13">
        <f t="shared" si="3"/>
        <v>-197.99996974461902</v>
      </c>
      <c r="L23" s="13">
        <f t="shared" si="3"/>
        <v>-359.99988363314998</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22.2</v>
      </c>
      <c r="C28" s="12">
        <v>1.53</v>
      </c>
      <c r="D28" s="12">
        <v>0.89900000000000002</v>
      </c>
      <c r="E28" s="12">
        <v>8.6999999999999994E-3</v>
      </c>
      <c r="F28" s="12">
        <v>800</v>
      </c>
      <c r="G28" s="12">
        <v>10.9</v>
      </c>
      <c r="H28" s="12">
        <v>282</v>
      </c>
      <c r="I28" s="12">
        <v>46.1</v>
      </c>
      <c r="J28" s="12">
        <v>0.31</v>
      </c>
      <c r="K28" s="16">
        <v>0.46</v>
      </c>
      <c r="L28" s="12">
        <v>25.1</v>
      </c>
      <c r="M28" s="12">
        <v>14.2</v>
      </c>
      <c r="N28" s="12">
        <v>6720</v>
      </c>
      <c r="O28" s="12">
        <v>347000</v>
      </c>
      <c r="P28" s="12"/>
      <c r="Q28" s="12">
        <v>2750</v>
      </c>
      <c r="R28" s="12"/>
      <c r="S28" s="12">
        <v>25.4</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11</v>
      </c>
      <c r="C31" s="68">
        <f>IF(C$27="%w/w SAR",((C$28*10)*$B31),IF(C$27="%w/w DM",(((C$28*10)*($B$28/100))*$B31),IF(C$27="kg/t SAR",(C$28*$B31),IF(C$27="kg/t DM",((C$28*($B$28/100))*$B31),IF(C$27="mg/kg SAR",((C$28*0.001)*$B31),IF(C$27="mg/kg DM",(((C$28*0.001)*($B$28/100))*$B31),0))))))</f>
        <v>37.3626</v>
      </c>
      <c r="D31" s="68">
        <f>(IF(D$27="%w/w SAR",((D$28*10)*$B31),IF(D$27="%w/w DM",(((D$28*10)*($B$28/100))*$B31),IF(D$27="kg/t SAR",(D$28*$B31),IF(D$27="kg/t DM",((D$28*($B$28/100))*$B31),IF(D$27="mg/kg SAR",((D$28*0.001)*$B31),IF(D$27="mg/kg DM",(((D$28*0.001)*($B$28/100))*$B31),"0")))))))*2.291</f>
        <v>50.295651780000007</v>
      </c>
      <c r="E31" s="68">
        <f>(IF(E$27="%w/w SAR",((E$28*10)*$B31),IF(E$27="%w/w DM",(((E$28*10)*($B$28/100))*$B31),IF(E$27="kg/t SAR",(E$28*$B31),IF(E$27="kg/t DM",((E$28*($B$28/100))*$B31),IF(E$27="mg/kg SAR",((E$28*0.001)*$B31),IF(E$27="mg/kg DM",(((E$28*0.001)*($B$28/100))*$B31),"0")))))))*1.205</f>
        <v>2.5600707E-5</v>
      </c>
      <c r="F31" s="68">
        <f>(IF(F$27="%w/w SAR",((F$28*10)*$B31),IF(F$27="%w/w DM",(((F$28*10)*($B$28/100))*$B31),IF(F$27="kg/t SAR",(F$28*$B31),IF(F$27="kg/t DM",((F$28*($B$28/100))*$B31),IF(F$27="mg/kg SAR",((F$28*0.001)*$B31),IF(F$27="mg/kg DM",(((F$28*0.001)*($B$28/100))*$B31),"0")))))))*1.658</f>
        <v>3.2390687999999996</v>
      </c>
      <c r="G31" s="68">
        <f t="shared" ref="G31:P46" si="5">IF(G$27="%w/w SAR",((G$28*10)*$B31),IF(G$27="%w/w DM",(((G$28*10)*($B$28/100))*$B31),IF(G$27="kg/t SAR",(G$28*$B31),IF(G$27="kg/t DM",((G$28*($B$28/100))*$B31),IF(G$27="mg/kg SAR",((G$28*0.001)*$B31),IF(G$27="mg/kg DM",(((G$28*0.001)*($B$28/100))*$B31),0))))))</f>
        <v>2.66178E-2</v>
      </c>
      <c r="H31" s="68">
        <f t="shared" si="5"/>
        <v>0.68864400000000003</v>
      </c>
      <c r="I31" s="68">
        <f t="shared" si="5"/>
        <v>0.1125762</v>
      </c>
      <c r="J31" s="68">
        <f t="shared" si="5"/>
        <v>7.5701999999999996E-4</v>
      </c>
      <c r="K31" s="68">
        <f t="shared" si="5"/>
        <v>1.1233200000000001E-3</v>
      </c>
      <c r="L31" s="68">
        <f t="shared" si="5"/>
        <v>6.12942E-2</v>
      </c>
      <c r="M31" s="68">
        <f t="shared" si="5"/>
        <v>3.4676399999999996E-2</v>
      </c>
      <c r="N31" s="68">
        <f t="shared" si="5"/>
        <v>16.410240000000002</v>
      </c>
      <c r="O31" s="68">
        <f t="shared" si="5"/>
        <v>847.37400000000002</v>
      </c>
      <c r="P31" s="68">
        <f t="shared" si="5"/>
        <v>0</v>
      </c>
      <c r="Q31" s="68">
        <f>(IF(Q$27="%w/w SAR",((Q$28*10)*$B31),IF(Q$27="%w/w DM",(((Q$28*10)*($B$28/100))*$B31),IF(Q$27="kg/t SAR",(Q$28*$B31),IF(Q$27="kg/t DM",((Q$28*($B$28/100))*$B31),IF(Q$27="mg/kg SAR",((Q$28*0.001)*$B31),IF(Q$27="mg/kg DM",(((Q$28*0.001)*($B$28/100))*$B31),0)))))))*2.5</f>
        <v>16.78875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6.20268E-2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11</v>
      </c>
      <c r="C32" s="68">
        <f t="shared" ref="C32:C50" si="6">IF(C$27="%w/w SAR",((C$28*10)*$B32),IF(C$27="%w/w DM",(((C$28*10)*($B$28/100))*$B32),IF(C$27="kg/t SAR",(C$28*$B32),IF(C$27="kg/t DM",((C$28*($B$28/100))*$B32),IF(C$27="mg/kg SAR",((C$28*0.001)*$B32),IF(C$27="mg/kg DM",(((C$28*0.001)*($B$28/100))*$B32),0))))))</f>
        <v>37.3626</v>
      </c>
      <c r="D32" s="68">
        <f t="shared" ref="D32:D50" si="7">(IF(D$27="%w/w SAR",((D$28*10)*$B32),IF(D$27="%w/w DM",(((D$28*10)*($B$28/100))*$B32),IF(D$27="kg/t SAR",(D$28*$B32),IF(D$27="kg/t DM",((D$28*($B$28/100))*$B32),IF(D$27="mg/kg SAR",((D$28*0.001)*$B32),IF(D$27="mg/kg DM",(((D$28*0.001)*($B$28/100))*$B32),"0")))))))*2.291</f>
        <v>50.295651780000007</v>
      </c>
      <c r="E32" s="68">
        <f t="shared" ref="E32:E50" si="8">(IF(E$27="%w/w SAR",((E$28*10)*$B32),IF(E$27="%w/w DM",(((E$28*10)*($B$28/100))*$B32),IF(E$27="kg/t SAR",(E$28*$B32),IF(E$27="kg/t DM",((E$28*($B$28/100))*$B32),IF(E$27="mg/kg SAR",((E$28*0.001)*$B32),IF(E$27="mg/kg DM",(((E$28*0.001)*($B$28/100))*$B32),"0")))))))*1.205</f>
        <v>2.5600707E-5</v>
      </c>
      <c r="F32" s="68">
        <f t="shared" ref="F32:F50" si="9">(IF(F$27="%w/w SAR",((F$28*10)*$B32),IF(F$27="%w/w DM",(((F$28*10)*($B$28/100))*$B32),IF(F$27="kg/t SAR",(F$28*$B32),IF(F$27="kg/t DM",((F$28*($B$28/100))*$B32),IF(F$27="mg/kg SAR",((F$28*0.001)*$B32),IF(F$27="mg/kg DM",(((F$28*0.001)*($B$28/100))*$B32),"0")))))))*1.658</f>
        <v>3.2390687999999996</v>
      </c>
      <c r="G32" s="68">
        <f t="shared" si="5"/>
        <v>2.66178E-2</v>
      </c>
      <c r="H32" s="68">
        <f t="shared" si="5"/>
        <v>0.68864400000000003</v>
      </c>
      <c r="I32" s="68">
        <f t="shared" si="5"/>
        <v>0.1125762</v>
      </c>
      <c r="J32" s="68">
        <f t="shared" si="5"/>
        <v>7.5701999999999996E-4</v>
      </c>
      <c r="K32" s="68">
        <f t="shared" si="5"/>
        <v>1.1233200000000001E-3</v>
      </c>
      <c r="L32" s="68">
        <f t="shared" si="5"/>
        <v>6.12942E-2</v>
      </c>
      <c r="M32" s="68">
        <f t="shared" si="5"/>
        <v>3.4676399999999996E-2</v>
      </c>
      <c r="N32" s="68">
        <f t="shared" si="5"/>
        <v>16.410240000000002</v>
      </c>
      <c r="O32" s="68">
        <f t="shared" si="5"/>
        <v>847.37400000000002</v>
      </c>
      <c r="P32" s="68">
        <f t="shared" si="5"/>
        <v>0</v>
      </c>
      <c r="Q32" s="68">
        <f t="shared" ref="Q32:Q50" si="10">(IF(Q$27="%w/w SAR",((Q$28*10)*$B32),IF(Q$27="%w/w DM",(((Q$28*10)*($B$28/100))*$B32),IF(Q$27="kg/t SAR",(Q$28*$B32),IF(Q$27="kg/t DM",((Q$28*($B$28/100))*$B32),IF(Q$27="mg/kg SAR",((Q$28*0.001)*$B32),IF(Q$27="mg/kg DM",(((Q$28*0.001)*($B$28/100))*$B32),0)))))))*2.5</f>
        <v>16.78875</v>
      </c>
      <c r="R32" s="68">
        <f t="shared" ref="R32:U50" si="11">IF(R$27="%w/w SAR",((R$28*10)*$B32),IF(R$27="%w/w DM",(((R$28*10)*($B$28/100))*$B32),IF(R$27="kg/t SAR",(R$28*$B32),IF(R$27="kg/t DM",((R$28*($B$28/100))*$B32),IF(R$27="mg/kg SAR",((R$28*0.001)*$B32),IF(R$27="mg/kg DM",(((R$28*0.001)*($B$28/100))*$B32),0))))))</f>
        <v>0</v>
      </c>
      <c r="S32" s="68">
        <f t="shared" si="11"/>
        <v>6.20268E-2</v>
      </c>
      <c r="T32" s="68">
        <f t="shared" si="11"/>
        <v>0</v>
      </c>
      <c r="U32" s="68">
        <f t="shared" si="11"/>
        <v>0</v>
      </c>
    </row>
    <row r="33" spans="1:21" s="51" customFormat="1" ht="13" x14ac:dyDescent="0.35">
      <c r="A33" s="10">
        <f>E8</f>
        <v>2056</v>
      </c>
      <c r="B33" s="12">
        <v>17</v>
      </c>
      <c r="C33" s="68">
        <f t="shared" si="6"/>
        <v>57.742200000000004</v>
      </c>
      <c r="D33" s="68">
        <f t="shared" si="7"/>
        <v>77.729643660000008</v>
      </c>
      <c r="E33" s="68">
        <f t="shared" si="8"/>
        <v>3.9564728999999997E-5</v>
      </c>
      <c r="F33" s="68">
        <f t="shared" si="9"/>
        <v>5.0058335999999999</v>
      </c>
      <c r="G33" s="68">
        <f t="shared" si="5"/>
        <v>4.1136600000000002E-2</v>
      </c>
      <c r="H33" s="68">
        <f t="shared" si="5"/>
        <v>1.0642680000000002</v>
      </c>
      <c r="I33" s="68">
        <f t="shared" si="5"/>
        <v>0.17398140000000001</v>
      </c>
      <c r="J33" s="68">
        <f t="shared" si="5"/>
        <v>1.16994E-3</v>
      </c>
      <c r="K33" s="68">
        <f t="shared" si="5"/>
        <v>1.7360400000000001E-3</v>
      </c>
      <c r="L33" s="68">
        <f t="shared" si="5"/>
        <v>9.4727400000000003E-2</v>
      </c>
      <c r="M33" s="68">
        <f t="shared" si="5"/>
        <v>5.3590799999999994E-2</v>
      </c>
      <c r="N33" s="68">
        <f t="shared" si="5"/>
        <v>25.361280000000001</v>
      </c>
      <c r="O33" s="68">
        <f t="shared" si="5"/>
        <v>1309.5780000000002</v>
      </c>
      <c r="P33" s="68">
        <f t="shared" si="5"/>
        <v>0</v>
      </c>
      <c r="Q33" s="68">
        <f t="shared" si="10"/>
        <v>25.946250000000003</v>
      </c>
      <c r="R33" s="68">
        <f t="shared" si="11"/>
        <v>0</v>
      </c>
      <c r="S33" s="68">
        <f t="shared" si="11"/>
        <v>9.5859600000000003E-2</v>
      </c>
      <c r="T33" s="68">
        <f t="shared" si="11"/>
        <v>0</v>
      </c>
      <c r="U33" s="68">
        <f t="shared" si="11"/>
        <v>0</v>
      </c>
    </row>
    <row r="34" spans="1:21" s="51" customFormat="1" ht="13" x14ac:dyDescent="0.35">
      <c r="A34" s="10">
        <f>F8</f>
        <v>2</v>
      </c>
      <c r="B34" s="12">
        <v>11</v>
      </c>
      <c r="C34" s="68">
        <f t="shared" si="6"/>
        <v>37.3626</v>
      </c>
      <c r="D34" s="68">
        <f t="shared" si="7"/>
        <v>50.295651780000007</v>
      </c>
      <c r="E34" s="68">
        <f t="shared" si="8"/>
        <v>2.5600707E-5</v>
      </c>
      <c r="F34" s="68">
        <f t="shared" si="9"/>
        <v>3.2390687999999996</v>
      </c>
      <c r="G34" s="68">
        <f t="shared" si="5"/>
        <v>2.66178E-2</v>
      </c>
      <c r="H34" s="68">
        <f t="shared" si="5"/>
        <v>0.68864400000000003</v>
      </c>
      <c r="I34" s="68">
        <f t="shared" si="5"/>
        <v>0.1125762</v>
      </c>
      <c r="J34" s="68">
        <f t="shared" si="5"/>
        <v>7.5701999999999996E-4</v>
      </c>
      <c r="K34" s="68">
        <f t="shared" si="5"/>
        <v>1.1233200000000001E-3</v>
      </c>
      <c r="L34" s="68">
        <f t="shared" si="5"/>
        <v>6.12942E-2</v>
      </c>
      <c r="M34" s="68">
        <f t="shared" si="5"/>
        <v>3.4676399999999996E-2</v>
      </c>
      <c r="N34" s="68">
        <f t="shared" si="5"/>
        <v>16.410240000000002</v>
      </c>
      <c r="O34" s="68">
        <f t="shared" si="5"/>
        <v>847.37400000000002</v>
      </c>
      <c r="P34" s="68">
        <f t="shared" si="5"/>
        <v>0</v>
      </c>
      <c r="Q34" s="68">
        <f t="shared" si="10"/>
        <v>16.78875</v>
      </c>
      <c r="R34" s="68">
        <f t="shared" si="11"/>
        <v>0</v>
      </c>
      <c r="S34" s="68">
        <f t="shared" si="11"/>
        <v>6.20268E-2</v>
      </c>
      <c r="T34" s="68">
        <f t="shared" si="11"/>
        <v>0</v>
      </c>
      <c r="U34" s="68">
        <f t="shared" si="11"/>
        <v>0</v>
      </c>
    </row>
    <row r="35" spans="1:21" s="51" customFormat="1" ht="13" x14ac:dyDescent="0.35">
      <c r="A35" s="10">
        <f>G8</f>
        <v>9155</v>
      </c>
      <c r="B35" s="12">
        <v>17</v>
      </c>
      <c r="C35" s="68">
        <f t="shared" si="6"/>
        <v>57.742200000000004</v>
      </c>
      <c r="D35" s="68">
        <f t="shared" si="7"/>
        <v>77.729643660000008</v>
      </c>
      <c r="E35" s="68">
        <f t="shared" si="8"/>
        <v>3.9564728999999997E-5</v>
      </c>
      <c r="F35" s="68">
        <f t="shared" si="9"/>
        <v>5.0058335999999999</v>
      </c>
      <c r="G35" s="68">
        <f t="shared" si="5"/>
        <v>4.1136600000000002E-2</v>
      </c>
      <c r="H35" s="68">
        <f t="shared" si="5"/>
        <v>1.0642680000000002</v>
      </c>
      <c r="I35" s="68">
        <f t="shared" si="5"/>
        <v>0.17398140000000001</v>
      </c>
      <c r="J35" s="68">
        <f t="shared" si="5"/>
        <v>1.16994E-3</v>
      </c>
      <c r="K35" s="68">
        <f t="shared" si="5"/>
        <v>1.7360400000000001E-3</v>
      </c>
      <c r="L35" s="68">
        <f t="shared" si="5"/>
        <v>9.4727400000000003E-2</v>
      </c>
      <c r="M35" s="68">
        <f t="shared" si="5"/>
        <v>5.3590799999999994E-2</v>
      </c>
      <c r="N35" s="68">
        <f t="shared" si="5"/>
        <v>25.361280000000001</v>
      </c>
      <c r="O35" s="68">
        <f t="shared" si="5"/>
        <v>1309.5780000000002</v>
      </c>
      <c r="P35" s="68">
        <f t="shared" si="5"/>
        <v>0</v>
      </c>
      <c r="Q35" s="68">
        <f t="shared" si="10"/>
        <v>25.946250000000003</v>
      </c>
      <c r="R35" s="68">
        <f t="shared" si="11"/>
        <v>0</v>
      </c>
      <c r="S35" s="68">
        <f t="shared" si="11"/>
        <v>9.5859600000000003E-2</v>
      </c>
      <c r="T35" s="68">
        <f t="shared" si="11"/>
        <v>0</v>
      </c>
      <c r="U35" s="68">
        <f t="shared" si="11"/>
        <v>0</v>
      </c>
    </row>
    <row r="36" spans="1:21" s="51" customFormat="1" ht="13" x14ac:dyDescent="0.35">
      <c r="A36" s="10">
        <f>H8</f>
        <v>2062</v>
      </c>
      <c r="B36" s="12">
        <v>11</v>
      </c>
      <c r="C36" s="68">
        <f t="shared" si="6"/>
        <v>37.3626</v>
      </c>
      <c r="D36" s="68">
        <f t="shared" si="7"/>
        <v>50.295651780000007</v>
      </c>
      <c r="E36" s="68">
        <f t="shared" si="8"/>
        <v>2.5600707E-5</v>
      </c>
      <c r="F36" s="68">
        <f t="shared" si="9"/>
        <v>3.2390687999999996</v>
      </c>
      <c r="G36" s="68">
        <f t="shared" si="5"/>
        <v>2.66178E-2</v>
      </c>
      <c r="H36" s="68">
        <f t="shared" si="5"/>
        <v>0.68864400000000003</v>
      </c>
      <c r="I36" s="68">
        <f t="shared" si="5"/>
        <v>0.1125762</v>
      </c>
      <c r="J36" s="68">
        <f t="shared" si="5"/>
        <v>7.5701999999999996E-4</v>
      </c>
      <c r="K36" s="68">
        <f t="shared" si="5"/>
        <v>1.1233200000000001E-3</v>
      </c>
      <c r="L36" s="68">
        <f t="shared" si="5"/>
        <v>6.12942E-2</v>
      </c>
      <c r="M36" s="68">
        <f t="shared" si="5"/>
        <v>3.4676399999999996E-2</v>
      </c>
      <c r="N36" s="68">
        <f t="shared" si="5"/>
        <v>16.410240000000002</v>
      </c>
      <c r="O36" s="68">
        <f t="shared" si="5"/>
        <v>847.37400000000002</v>
      </c>
      <c r="P36" s="68">
        <f t="shared" si="5"/>
        <v>0</v>
      </c>
      <c r="Q36" s="68">
        <f t="shared" si="10"/>
        <v>16.78875</v>
      </c>
      <c r="R36" s="68">
        <f t="shared" si="11"/>
        <v>0</v>
      </c>
      <c r="S36" s="68">
        <f t="shared" si="11"/>
        <v>6.20268E-2</v>
      </c>
      <c r="T36" s="68">
        <f t="shared" si="11"/>
        <v>0</v>
      </c>
      <c r="U36" s="68">
        <f t="shared" si="11"/>
        <v>0</v>
      </c>
    </row>
    <row r="37" spans="1:21" s="51" customFormat="1" ht="13" x14ac:dyDescent="0.35">
      <c r="A37" s="10">
        <f>I8</f>
        <v>834</v>
      </c>
      <c r="B37" s="12">
        <v>50</v>
      </c>
      <c r="C37" s="68">
        <f t="shared" si="6"/>
        <v>169.83</v>
      </c>
      <c r="D37" s="68">
        <f t="shared" si="7"/>
        <v>228.61659900000001</v>
      </c>
      <c r="E37" s="68">
        <f t="shared" si="8"/>
        <v>1.1636685E-4</v>
      </c>
      <c r="F37" s="68">
        <f t="shared" si="9"/>
        <v>14.723040000000001</v>
      </c>
      <c r="G37" s="68">
        <f t="shared" si="5"/>
        <v>0.12099000000000001</v>
      </c>
      <c r="H37" s="68">
        <f t="shared" si="5"/>
        <v>3.1302000000000003</v>
      </c>
      <c r="I37" s="68">
        <f t="shared" si="5"/>
        <v>0.51171</v>
      </c>
      <c r="J37" s="68">
        <f t="shared" si="5"/>
        <v>3.4409999999999996E-3</v>
      </c>
      <c r="K37" s="68">
        <f t="shared" si="5"/>
        <v>5.1060000000000003E-3</v>
      </c>
      <c r="L37" s="68">
        <f t="shared" si="5"/>
        <v>0.27861000000000002</v>
      </c>
      <c r="M37" s="68">
        <f t="shared" si="5"/>
        <v>0.15761999999999998</v>
      </c>
      <c r="N37" s="68">
        <f t="shared" si="5"/>
        <v>74.591999999999999</v>
      </c>
      <c r="O37" s="68">
        <f t="shared" si="5"/>
        <v>3851.7000000000003</v>
      </c>
      <c r="P37" s="68">
        <f t="shared" si="5"/>
        <v>0</v>
      </c>
      <c r="Q37" s="68">
        <f t="shared" si="10"/>
        <v>76.3125</v>
      </c>
      <c r="R37" s="68">
        <f t="shared" si="11"/>
        <v>0</v>
      </c>
      <c r="S37" s="68">
        <f t="shared" si="11"/>
        <v>0.28194000000000002</v>
      </c>
      <c r="T37" s="68">
        <f t="shared" si="11"/>
        <v>0</v>
      </c>
      <c r="U37" s="68">
        <f t="shared" si="11"/>
        <v>0</v>
      </c>
    </row>
    <row r="38" spans="1:21" s="51" customFormat="1" ht="13" x14ac:dyDescent="0.35">
      <c r="A38" s="10">
        <f>J8</f>
        <v>5928</v>
      </c>
      <c r="B38" s="12">
        <v>13</v>
      </c>
      <c r="C38" s="68">
        <f t="shared" si="6"/>
        <v>44.155800000000006</v>
      </c>
      <c r="D38" s="68">
        <f t="shared" si="7"/>
        <v>59.440315740000003</v>
      </c>
      <c r="E38" s="68">
        <f t="shared" si="8"/>
        <v>3.0255381E-5</v>
      </c>
      <c r="F38" s="68">
        <f t="shared" si="9"/>
        <v>3.8279904</v>
      </c>
      <c r="G38" s="68">
        <f t="shared" si="5"/>
        <v>3.1457400000000003E-2</v>
      </c>
      <c r="H38" s="68">
        <f t="shared" si="5"/>
        <v>0.81385200000000013</v>
      </c>
      <c r="I38" s="68">
        <f t="shared" si="5"/>
        <v>0.13304460000000001</v>
      </c>
      <c r="J38" s="68">
        <f t="shared" si="5"/>
        <v>8.9465999999999992E-4</v>
      </c>
      <c r="K38" s="68">
        <f t="shared" si="5"/>
        <v>1.32756E-3</v>
      </c>
      <c r="L38" s="68">
        <f t="shared" si="5"/>
        <v>7.2438600000000006E-2</v>
      </c>
      <c r="M38" s="68">
        <f t="shared" si="5"/>
        <v>4.0981199999999995E-2</v>
      </c>
      <c r="N38" s="68">
        <f t="shared" si="5"/>
        <v>19.393920000000001</v>
      </c>
      <c r="O38" s="68">
        <f t="shared" si="5"/>
        <v>1001.4420000000001</v>
      </c>
      <c r="P38" s="68">
        <f t="shared" si="5"/>
        <v>0</v>
      </c>
      <c r="Q38" s="68">
        <f t="shared" si="10"/>
        <v>19.841250000000002</v>
      </c>
      <c r="R38" s="68">
        <f t="shared" si="11"/>
        <v>0</v>
      </c>
      <c r="S38" s="68">
        <f t="shared" si="11"/>
        <v>7.3304400000000006E-2</v>
      </c>
      <c r="T38" s="68">
        <f t="shared" si="11"/>
        <v>0</v>
      </c>
      <c r="U38" s="68">
        <f t="shared" si="11"/>
        <v>0</v>
      </c>
    </row>
    <row r="39" spans="1:21" s="51" customFormat="1" ht="13" x14ac:dyDescent="0.35">
      <c r="A39" s="10">
        <f>K8</f>
        <v>3370</v>
      </c>
      <c r="B39" s="12">
        <v>13</v>
      </c>
      <c r="C39" s="68">
        <f t="shared" si="6"/>
        <v>44.155800000000006</v>
      </c>
      <c r="D39" s="68">
        <f t="shared" si="7"/>
        <v>59.440315740000003</v>
      </c>
      <c r="E39" s="68">
        <f t="shared" si="8"/>
        <v>3.0255381E-5</v>
      </c>
      <c r="F39" s="68">
        <f t="shared" si="9"/>
        <v>3.8279904</v>
      </c>
      <c r="G39" s="68">
        <f t="shared" si="5"/>
        <v>3.1457400000000003E-2</v>
      </c>
      <c r="H39" s="68">
        <f t="shared" si="5"/>
        <v>0.81385200000000013</v>
      </c>
      <c r="I39" s="68">
        <f t="shared" si="5"/>
        <v>0.13304460000000001</v>
      </c>
      <c r="J39" s="68">
        <f t="shared" si="5"/>
        <v>8.9465999999999992E-4</v>
      </c>
      <c r="K39" s="68">
        <f t="shared" si="5"/>
        <v>1.32756E-3</v>
      </c>
      <c r="L39" s="68">
        <f t="shared" si="5"/>
        <v>7.2438600000000006E-2</v>
      </c>
      <c r="M39" s="68">
        <f t="shared" si="5"/>
        <v>4.0981199999999995E-2</v>
      </c>
      <c r="N39" s="68">
        <f t="shared" si="5"/>
        <v>19.393920000000001</v>
      </c>
      <c r="O39" s="68">
        <f t="shared" si="5"/>
        <v>1001.4420000000001</v>
      </c>
      <c r="P39" s="68">
        <f t="shared" si="5"/>
        <v>0</v>
      </c>
      <c r="Q39" s="68">
        <f t="shared" si="10"/>
        <v>19.841250000000002</v>
      </c>
      <c r="R39" s="68">
        <f t="shared" si="11"/>
        <v>0</v>
      </c>
      <c r="S39" s="68">
        <f t="shared" si="11"/>
        <v>7.3304400000000006E-2</v>
      </c>
      <c r="T39" s="68">
        <f t="shared" si="11"/>
        <v>0</v>
      </c>
      <c r="U39" s="68">
        <f t="shared" si="11"/>
        <v>0</v>
      </c>
    </row>
    <row r="40" spans="1:21" s="51" customFormat="1" ht="13" x14ac:dyDescent="0.35">
      <c r="A40" s="10">
        <f>L8</f>
        <v>3234</v>
      </c>
      <c r="B40" s="12">
        <v>50</v>
      </c>
      <c r="C40" s="68">
        <f t="shared" si="6"/>
        <v>169.83</v>
      </c>
      <c r="D40" s="68">
        <f t="shared" si="7"/>
        <v>228.61659900000001</v>
      </c>
      <c r="E40" s="68">
        <f t="shared" si="8"/>
        <v>1.1636685E-4</v>
      </c>
      <c r="F40" s="68">
        <f t="shared" si="9"/>
        <v>14.723040000000001</v>
      </c>
      <c r="G40" s="68">
        <f t="shared" si="5"/>
        <v>0.12099000000000001</v>
      </c>
      <c r="H40" s="68">
        <f t="shared" si="5"/>
        <v>3.1302000000000003</v>
      </c>
      <c r="I40" s="68">
        <f t="shared" si="5"/>
        <v>0.51171</v>
      </c>
      <c r="J40" s="68">
        <f t="shared" si="5"/>
        <v>3.4409999999999996E-3</v>
      </c>
      <c r="K40" s="68">
        <f t="shared" si="5"/>
        <v>5.1060000000000003E-3</v>
      </c>
      <c r="L40" s="68">
        <f t="shared" si="5"/>
        <v>0.27861000000000002</v>
      </c>
      <c r="M40" s="68">
        <f t="shared" si="5"/>
        <v>0.15761999999999998</v>
      </c>
      <c r="N40" s="68">
        <f t="shared" si="5"/>
        <v>74.591999999999999</v>
      </c>
      <c r="O40" s="68">
        <f t="shared" si="5"/>
        <v>3851.7000000000003</v>
      </c>
      <c r="P40" s="68">
        <f t="shared" si="5"/>
        <v>0</v>
      </c>
      <c r="Q40" s="68">
        <f t="shared" si="10"/>
        <v>76.3125</v>
      </c>
      <c r="R40" s="68">
        <f t="shared" si="11"/>
        <v>0</v>
      </c>
      <c r="S40" s="68">
        <f t="shared" si="11"/>
        <v>0.28194000000000002</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"&amp;(VLOOKUP(C14,Table2458[],6,FALSE))</f>
        <v>0 I Arable</v>
      </c>
      <c r="C58" s="10" t="str">
        <f>D16&amp;" I "&amp;(VLOOKUP(D14,Table2458[],6,FALSE))</f>
        <v>0 I Arable</v>
      </c>
      <c r="D58" s="10" t="str">
        <f>E16&amp;" I "&amp;(VLOOKUP(E14,Table2458[],6,FALSE))</f>
        <v>0 I Grass</v>
      </c>
      <c r="E58" s="10" t="str">
        <f>F16&amp;" I "&amp;(VLOOKUP(F14,Table2458[],6,FALSE))</f>
        <v>0 I Arable</v>
      </c>
      <c r="F58" s="10" t="str">
        <f>G16&amp;" I "&amp;(VLOOKUP(G14,Table2458[],6,FALSE))</f>
        <v>0 I Grass</v>
      </c>
      <c r="G58" s="10" t="str">
        <f>H16&amp;" I "&amp;(VLOOKUP(H14,Table2458[],6,FALSE))</f>
        <v>0 I Arable</v>
      </c>
      <c r="H58" s="10" t="str">
        <f>I16&amp;" I "&amp;(VLOOKUP(I14,Table2458[],6,FALSE))</f>
        <v>0 I Arable</v>
      </c>
      <c r="I58" s="10" t="str">
        <f>J16&amp;" I "&amp;(VLOOKUP(J14,Table2458[],6,FALSE))</f>
        <v>0 I Arable</v>
      </c>
      <c r="J58" s="10" t="str">
        <f>K16&amp;" I "&amp;(VLOOKUP(K14,Table2458[],6,FALSE))</f>
        <v>0 I Arable</v>
      </c>
      <c r="K58" s="10" t="str">
        <f>L16&amp;" I "&amp;(VLOOKUP(L14,Table2458[],6,FALSE))</f>
        <v>0 I Arable</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100" t="s">
        <v>132</v>
      </c>
      <c r="B59" s="67">
        <f>VLOOKUP(C$14,Table2458[],5,FALSE)</f>
        <v>6.7</v>
      </c>
      <c r="C59" s="67">
        <f>VLOOKUP(D$14,Table2458[],5,FALSE)</f>
        <v>6.7</v>
      </c>
      <c r="D59" s="67">
        <f>VLOOKUP(E$14,Table2458[],5,FALSE)</f>
        <v>6.2</v>
      </c>
      <c r="E59" s="67">
        <f>VLOOKUP(F$14,Table2458[],5,FALSE)</f>
        <v>6.7</v>
      </c>
      <c r="F59" s="67">
        <f>VLOOKUP(G$14,Table2458[],5,FALSE)</f>
        <v>6.2</v>
      </c>
      <c r="G59" s="67">
        <f>VLOOKUP(H$14,Table2458[],5,FALSE)</f>
        <v>6.7</v>
      </c>
      <c r="H59" s="67">
        <f>VLOOKUP(I$14,Table2458[],5,FALSE)</f>
        <v>6.7</v>
      </c>
      <c r="I59" s="67">
        <f>VLOOKUP(J$14,Table2458[],5,FALSE)</f>
        <v>6.7</v>
      </c>
      <c r="J59" s="67">
        <f>VLOOKUP(K$14,Table2458[],5,FALSE)</f>
        <v>6.7</v>
      </c>
      <c r="K59" s="67">
        <f>VLOOKUP(L$14,Table2458[],5,FALSE)</f>
        <v>6.7</v>
      </c>
      <c r="L59" s="67" t="e">
        <f>VLOOKUP(M$14,Table2458[],5,FALSE)</f>
        <v>#N/A</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11</v>
      </c>
      <c r="C62" s="68">
        <f>B32</f>
        <v>11</v>
      </c>
      <c r="D62" s="68">
        <f>B33</f>
        <v>17</v>
      </c>
      <c r="E62" s="68">
        <f>B34</f>
        <v>11</v>
      </c>
      <c r="F62" s="68">
        <f>B35</f>
        <v>17</v>
      </c>
      <c r="G62" s="68">
        <f>B36</f>
        <v>11</v>
      </c>
      <c r="H62" s="68">
        <f>B37</f>
        <v>50</v>
      </c>
      <c r="I62" s="68">
        <f>B38</f>
        <v>13</v>
      </c>
      <c r="J62" s="68">
        <f>B39</f>
        <v>13</v>
      </c>
      <c r="K62" s="68">
        <f>B40</f>
        <v>50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6.5</v>
      </c>
      <c r="J1" s="114" t="s">
        <v>153</v>
      </c>
      <c r="K1" s="114"/>
      <c r="L1" s="86">
        <v>56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0.879</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0.63708759954493743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173</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53.004576000000007</v>
      </c>
      <c r="D18" s="13">
        <f>$D32</f>
        <v>53.004576000000007</v>
      </c>
      <c r="E18" s="13">
        <f>$D33</f>
        <v>79.506864000000022</v>
      </c>
      <c r="F18" s="13">
        <f>$D34</f>
        <v>53.004576000000007</v>
      </c>
      <c r="G18" s="13">
        <f>$D35</f>
        <v>79.506864000000022</v>
      </c>
      <c r="H18" s="13">
        <f>$D36</f>
        <v>53.004576000000007</v>
      </c>
      <c r="I18" s="13">
        <f>$D37</f>
        <v>118.37688640000002</v>
      </c>
      <c r="J18" s="13">
        <f>$D38</f>
        <v>61.83867200000001</v>
      </c>
      <c r="K18" s="13">
        <f>$D39</f>
        <v>61.83867200000001</v>
      </c>
      <c r="L18" s="13">
        <f>$D40</f>
        <v>118.37688640000002</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-201.99542399999999</v>
      </c>
      <c r="D19" s="13">
        <f t="shared" ref="D19:V19" si="1">D18-D17</f>
        <v>-201.99542399999999</v>
      </c>
      <c r="E19" s="13">
        <f t="shared" si="1"/>
        <v>-0.39313599999996995</v>
      </c>
      <c r="F19" s="13">
        <f t="shared" si="1"/>
        <v>-201.99542399999999</v>
      </c>
      <c r="G19" s="13">
        <f t="shared" si="1"/>
        <v>-0.39313599999996995</v>
      </c>
      <c r="H19" s="13">
        <f t="shared" si="1"/>
        <v>-201.99542399999999</v>
      </c>
      <c r="I19" s="13">
        <f t="shared" si="1"/>
        <v>-136.62311359999998</v>
      </c>
      <c r="J19" s="13">
        <f t="shared" si="1"/>
        <v>-1.1613279999999833</v>
      </c>
      <c r="K19" s="13">
        <f t="shared" si="1"/>
        <v>-1.1613279999999833</v>
      </c>
      <c r="L19" s="13">
        <f t="shared" si="1"/>
        <v>-136.62311359999998</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1.9776580500000006E-4</v>
      </c>
      <c r="D22" s="13">
        <f>$E32</f>
        <v>1.9776580500000006E-4</v>
      </c>
      <c r="E22" s="13">
        <f>$E33</f>
        <v>2.966487075000001E-4</v>
      </c>
      <c r="F22" s="13">
        <f>$E34</f>
        <v>1.9776580500000006E-4</v>
      </c>
      <c r="G22" s="13">
        <f>$E35</f>
        <v>2.966487075000001E-4</v>
      </c>
      <c r="H22" s="13">
        <f>$E36</f>
        <v>1.9776580500000006E-4</v>
      </c>
      <c r="I22" s="13">
        <f>$E37</f>
        <v>4.4167696450000011E-4</v>
      </c>
      <c r="J22" s="13">
        <f>$E38</f>
        <v>2.3072677250000006E-4</v>
      </c>
      <c r="K22" s="13">
        <f>$E39</f>
        <v>2.3072677250000006E-4</v>
      </c>
      <c r="L22" s="13">
        <f>$E40</f>
        <v>4.4167696450000011E-4</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-359.99980223419499</v>
      </c>
      <c r="D23" s="13">
        <f t="shared" ref="D23:V23" si="3">D22-D21</f>
        <v>-359.99980223419499</v>
      </c>
      <c r="E23" s="13">
        <f t="shared" si="3"/>
        <v>-281.99970335129251</v>
      </c>
      <c r="F23" s="13">
        <f t="shared" si="3"/>
        <v>-359.99980223419499</v>
      </c>
      <c r="G23" s="13">
        <f t="shared" si="3"/>
        <v>-281.99970335129251</v>
      </c>
      <c r="H23" s="13">
        <f t="shared" si="3"/>
        <v>-359.99980223419499</v>
      </c>
      <c r="I23" s="13">
        <f t="shared" si="3"/>
        <v>-359.9995583230355</v>
      </c>
      <c r="J23" s="13">
        <f t="shared" si="3"/>
        <v>-197.99976927322754</v>
      </c>
      <c r="K23" s="13">
        <f t="shared" si="3"/>
        <v>-197.99976927322754</v>
      </c>
      <c r="L23" s="13">
        <f t="shared" si="3"/>
        <v>-359.9995583230355</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24.1</v>
      </c>
      <c r="C28" s="12">
        <v>0.879</v>
      </c>
      <c r="D28" s="12">
        <v>0.32</v>
      </c>
      <c r="E28" s="12">
        <v>2.2700000000000001E-2</v>
      </c>
      <c r="F28" s="12">
        <v>696</v>
      </c>
      <c r="G28" s="12">
        <v>26.5</v>
      </c>
      <c r="H28" s="12">
        <v>153</v>
      </c>
      <c r="I28" s="12">
        <v>26.3</v>
      </c>
      <c r="J28" s="12">
        <v>0.11</v>
      </c>
      <c r="K28" s="16">
        <v>0.42</v>
      </c>
      <c r="L28" s="12">
        <v>22</v>
      </c>
      <c r="M28" s="12">
        <v>9.2899999999999991</v>
      </c>
      <c r="N28" s="12">
        <v>3150</v>
      </c>
      <c r="O28" s="12">
        <v>246000</v>
      </c>
      <c r="P28" s="12"/>
      <c r="Q28" s="12">
        <v>2730</v>
      </c>
      <c r="R28" s="12"/>
      <c r="S28" s="12">
        <v>24.1</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30</v>
      </c>
      <c r="C31" s="68">
        <f>IF(C$27="%w/w SAR",((C$28*10)*$B31),IF(C$27="%w/w DM",(((C$28*10)*($B$28/100))*$B31),IF(C$27="kg/t SAR",(C$28*$B31),IF(C$27="kg/t DM",((C$28*($B$28/100))*$B31),IF(C$27="mg/kg SAR",((C$28*0.001)*$B31),IF(C$27="mg/kg DM",(((C$28*0.001)*($B$28/100))*$B31),0))))))</f>
        <v>63.551699999999997</v>
      </c>
      <c r="D31" s="68">
        <f>(IF(D$27="%w/w SAR",((D$28*10)*$B31),IF(D$27="%w/w DM",(((D$28*10)*($B$28/100))*$B31),IF(D$27="kg/t SAR",(D$28*$B31),IF(D$27="kg/t DM",((D$28*($B$28/100))*$B31),IF(D$27="mg/kg SAR",((D$28*0.001)*$B31),IF(D$27="mg/kg DM",(((D$28*0.001)*($B$28/100))*$B31),"0")))))))*2.291</f>
        <v>53.004576000000007</v>
      </c>
      <c r="E31" s="68">
        <f>(IF(E$27="%w/w SAR",((E$28*10)*$B31),IF(E$27="%w/w DM",(((E$28*10)*($B$28/100))*$B31),IF(E$27="kg/t SAR",(E$28*$B31),IF(E$27="kg/t DM",((E$28*($B$28/100))*$B31),IF(E$27="mg/kg SAR",((E$28*0.001)*$B31),IF(E$27="mg/kg DM",(((E$28*0.001)*($B$28/100))*$B31),"0")))))))*1.205</f>
        <v>1.9776580500000006E-4</v>
      </c>
      <c r="F31" s="68">
        <f>(IF(F$27="%w/w SAR",((F$28*10)*$B31),IF(F$27="%w/w DM",(((F$28*10)*($B$28/100))*$B31),IF(F$27="kg/t SAR",(F$28*$B31),IF(F$27="kg/t DM",((F$28*($B$28/100))*$B31),IF(F$27="mg/kg SAR",((F$28*0.001)*$B31),IF(F$27="mg/kg DM",(((F$28*0.001)*($B$28/100))*$B31),"0")))))))*1.658</f>
        <v>8.343188640000001</v>
      </c>
      <c r="G31" s="68">
        <f t="shared" ref="G31:P46" si="5">IF(G$27="%w/w SAR",((G$28*10)*$B31),IF(G$27="%w/w DM",(((G$28*10)*($B$28/100))*$B31),IF(G$27="kg/t SAR",(G$28*$B31),IF(G$27="kg/t DM",((G$28*($B$28/100))*$B31),IF(G$27="mg/kg SAR",((G$28*0.001)*$B31),IF(G$27="mg/kg DM",(((G$28*0.001)*($B$28/100))*$B31),0))))))</f>
        <v>0.19159500000000002</v>
      </c>
      <c r="H31" s="68">
        <f t="shared" si="5"/>
        <v>1.10619</v>
      </c>
      <c r="I31" s="68">
        <f t="shared" si="5"/>
        <v>0.19014900000000001</v>
      </c>
      <c r="J31" s="68">
        <f t="shared" si="5"/>
        <v>7.9530000000000009E-4</v>
      </c>
      <c r="K31" s="68">
        <f t="shared" si="5"/>
        <v>3.0366000000000004E-3</v>
      </c>
      <c r="L31" s="68">
        <f t="shared" si="5"/>
        <v>0.15906000000000001</v>
      </c>
      <c r="M31" s="68">
        <f t="shared" si="5"/>
        <v>6.7166699999999996E-2</v>
      </c>
      <c r="N31" s="68">
        <f t="shared" si="5"/>
        <v>22.7745</v>
      </c>
      <c r="O31" s="68">
        <f t="shared" si="5"/>
        <v>1778.58</v>
      </c>
      <c r="P31" s="68">
        <f t="shared" si="5"/>
        <v>0</v>
      </c>
      <c r="Q31" s="68">
        <f>(IF(Q$27="%w/w SAR",((Q$28*10)*$B31),IF(Q$27="%w/w DM",(((Q$28*10)*($B$28/100))*$B31),IF(Q$27="kg/t SAR",(Q$28*$B31),IF(Q$27="kg/t DM",((Q$28*($B$28/100))*$B31),IF(Q$27="mg/kg SAR",((Q$28*0.001)*$B31),IF(Q$27="mg/kg DM",(((Q$28*0.001)*($B$28/100))*$B31),0)))))))*2.5</f>
        <v>49.344749999999998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0.17424300000000004</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30</v>
      </c>
      <c r="C32" s="68">
        <f t="shared" ref="C32:C50" si="6">IF(C$27="%w/w SAR",((C$28*10)*$B32),IF(C$27="%w/w DM",(((C$28*10)*($B$28/100))*$B32),IF(C$27="kg/t SAR",(C$28*$B32),IF(C$27="kg/t DM",((C$28*($B$28/100))*$B32),IF(C$27="mg/kg SAR",((C$28*0.001)*$B32),IF(C$27="mg/kg DM",(((C$28*0.001)*($B$28/100))*$B32),0))))))</f>
        <v>63.551699999999997</v>
      </c>
      <c r="D32" s="68">
        <f t="shared" ref="D32:D50" si="7">(IF(D$27="%w/w SAR",((D$28*10)*$B32),IF(D$27="%w/w DM",(((D$28*10)*($B$28/100))*$B32),IF(D$27="kg/t SAR",(D$28*$B32),IF(D$27="kg/t DM",((D$28*($B$28/100))*$B32),IF(D$27="mg/kg SAR",((D$28*0.001)*$B32),IF(D$27="mg/kg DM",(((D$28*0.001)*($B$28/100))*$B32),"0")))))))*2.291</f>
        <v>53.004576000000007</v>
      </c>
      <c r="E32" s="68">
        <f t="shared" ref="E32:E50" si="8">(IF(E$27="%w/w SAR",((E$28*10)*$B32),IF(E$27="%w/w DM",(((E$28*10)*($B$28/100))*$B32),IF(E$27="kg/t SAR",(E$28*$B32),IF(E$27="kg/t DM",((E$28*($B$28/100))*$B32),IF(E$27="mg/kg SAR",((E$28*0.001)*$B32),IF(E$27="mg/kg DM",(((E$28*0.001)*($B$28/100))*$B32),"0")))))))*1.205</f>
        <v>1.9776580500000006E-4</v>
      </c>
      <c r="F32" s="68">
        <f t="shared" ref="F32:F50" si="9">(IF(F$27="%w/w SAR",((F$28*10)*$B32),IF(F$27="%w/w DM",(((F$28*10)*($B$28/100))*$B32),IF(F$27="kg/t SAR",(F$28*$B32),IF(F$27="kg/t DM",((F$28*($B$28/100))*$B32),IF(F$27="mg/kg SAR",((F$28*0.001)*$B32),IF(F$27="mg/kg DM",(((F$28*0.001)*($B$28/100))*$B32),"0")))))))*1.658</f>
        <v>8.343188640000001</v>
      </c>
      <c r="G32" s="68">
        <f t="shared" si="5"/>
        <v>0.19159500000000002</v>
      </c>
      <c r="H32" s="68">
        <f t="shared" si="5"/>
        <v>1.10619</v>
      </c>
      <c r="I32" s="68">
        <f t="shared" si="5"/>
        <v>0.19014900000000001</v>
      </c>
      <c r="J32" s="68">
        <f t="shared" si="5"/>
        <v>7.9530000000000009E-4</v>
      </c>
      <c r="K32" s="68">
        <f t="shared" si="5"/>
        <v>3.0366000000000004E-3</v>
      </c>
      <c r="L32" s="68">
        <f t="shared" si="5"/>
        <v>0.15906000000000001</v>
      </c>
      <c r="M32" s="68">
        <f t="shared" si="5"/>
        <v>6.7166699999999996E-2</v>
      </c>
      <c r="N32" s="68">
        <f t="shared" si="5"/>
        <v>22.7745</v>
      </c>
      <c r="O32" s="68">
        <f t="shared" si="5"/>
        <v>1778.58</v>
      </c>
      <c r="P32" s="68">
        <f t="shared" si="5"/>
        <v>0</v>
      </c>
      <c r="Q32" s="68">
        <f t="shared" ref="Q32:Q50" si="10">(IF(Q$27="%w/w SAR",((Q$28*10)*$B32),IF(Q$27="%w/w DM",(((Q$28*10)*($B$28/100))*$B32),IF(Q$27="kg/t SAR",(Q$28*$B32),IF(Q$27="kg/t DM",((Q$28*($B$28/100))*$B32),IF(Q$27="mg/kg SAR",((Q$28*0.001)*$B32),IF(Q$27="mg/kg DM",(((Q$28*0.001)*($B$28/100))*$B32),0)))))))*2.5</f>
        <v>49.344749999999998</v>
      </c>
      <c r="R32" s="68">
        <f t="shared" ref="R32:U50" si="11">IF(R$27="%w/w SAR",((R$28*10)*$B32),IF(R$27="%w/w DM",(((R$28*10)*($B$28/100))*$B32),IF(R$27="kg/t SAR",(R$28*$B32),IF(R$27="kg/t DM",((R$28*($B$28/100))*$B32),IF(R$27="mg/kg SAR",((R$28*0.001)*$B32),IF(R$27="mg/kg DM",(((R$28*0.001)*($B$28/100))*$B32),0))))))</f>
        <v>0</v>
      </c>
      <c r="S32" s="68">
        <f t="shared" si="11"/>
        <v>0.17424300000000004</v>
      </c>
      <c r="T32" s="68">
        <f t="shared" si="11"/>
        <v>0</v>
      </c>
      <c r="U32" s="68">
        <f t="shared" si="11"/>
        <v>0</v>
      </c>
    </row>
    <row r="33" spans="1:21" s="51" customFormat="1" ht="13" x14ac:dyDescent="0.35">
      <c r="A33" s="10">
        <f>E8</f>
        <v>2056</v>
      </c>
      <c r="B33" s="12">
        <v>45</v>
      </c>
      <c r="C33" s="68">
        <f t="shared" si="6"/>
        <v>95.327549999999988</v>
      </c>
      <c r="D33" s="68">
        <f t="shared" si="7"/>
        <v>79.506864000000022</v>
      </c>
      <c r="E33" s="68">
        <f t="shared" si="8"/>
        <v>2.966487075000001E-4</v>
      </c>
      <c r="F33" s="68">
        <f t="shared" si="9"/>
        <v>12.514782960000002</v>
      </c>
      <c r="G33" s="68">
        <f t="shared" si="5"/>
        <v>0.28739250000000005</v>
      </c>
      <c r="H33" s="68">
        <f t="shared" si="5"/>
        <v>1.6592850000000001</v>
      </c>
      <c r="I33" s="68">
        <f t="shared" si="5"/>
        <v>0.28522350000000002</v>
      </c>
      <c r="J33" s="68">
        <f t="shared" si="5"/>
        <v>1.1929500000000001E-3</v>
      </c>
      <c r="K33" s="68">
        <f t="shared" si="5"/>
        <v>4.5549000000000006E-3</v>
      </c>
      <c r="L33" s="68">
        <f t="shared" si="5"/>
        <v>0.23859000000000002</v>
      </c>
      <c r="M33" s="68">
        <f t="shared" si="5"/>
        <v>0.10075004999999999</v>
      </c>
      <c r="N33" s="68">
        <f t="shared" si="5"/>
        <v>34.161749999999998</v>
      </c>
      <c r="O33" s="68">
        <f t="shared" si="5"/>
        <v>2667.87</v>
      </c>
      <c r="P33" s="68">
        <f t="shared" si="5"/>
        <v>0</v>
      </c>
      <c r="Q33" s="68">
        <f t="shared" si="10"/>
        <v>74.017125000000007</v>
      </c>
      <c r="R33" s="68">
        <f t="shared" si="11"/>
        <v>0</v>
      </c>
      <c r="S33" s="68">
        <f t="shared" si="11"/>
        <v>0.26136450000000006</v>
      </c>
      <c r="T33" s="68">
        <f t="shared" si="11"/>
        <v>0</v>
      </c>
      <c r="U33" s="68">
        <f t="shared" si="11"/>
        <v>0</v>
      </c>
    </row>
    <row r="34" spans="1:21" s="51" customFormat="1" ht="13" x14ac:dyDescent="0.35">
      <c r="A34" s="10">
        <f>F8</f>
        <v>2</v>
      </c>
      <c r="B34" s="12">
        <v>30</v>
      </c>
      <c r="C34" s="68">
        <f t="shared" si="6"/>
        <v>63.551699999999997</v>
      </c>
      <c r="D34" s="68">
        <f t="shared" si="7"/>
        <v>53.004576000000007</v>
      </c>
      <c r="E34" s="68">
        <f t="shared" si="8"/>
        <v>1.9776580500000006E-4</v>
      </c>
      <c r="F34" s="68">
        <f t="shared" si="9"/>
        <v>8.343188640000001</v>
      </c>
      <c r="G34" s="68">
        <f t="shared" si="5"/>
        <v>0.19159500000000002</v>
      </c>
      <c r="H34" s="68">
        <f t="shared" si="5"/>
        <v>1.10619</v>
      </c>
      <c r="I34" s="68">
        <f t="shared" si="5"/>
        <v>0.19014900000000001</v>
      </c>
      <c r="J34" s="68">
        <f t="shared" si="5"/>
        <v>7.9530000000000009E-4</v>
      </c>
      <c r="K34" s="68">
        <f t="shared" si="5"/>
        <v>3.0366000000000004E-3</v>
      </c>
      <c r="L34" s="68">
        <f t="shared" si="5"/>
        <v>0.15906000000000001</v>
      </c>
      <c r="M34" s="68">
        <f t="shared" si="5"/>
        <v>6.7166699999999996E-2</v>
      </c>
      <c r="N34" s="68">
        <f t="shared" si="5"/>
        <v>22.7745</v>
      </c>
      <c r="O34" s="68">
        <f t="shared" si="5"/>
        <v>1778.58</v>
      </c>
      <c r="P34" s="68">
        <f t="shared" si="5"/>
        <v>0</v>
      </c>
      <c r="Q34" s="68">
        <f t="shared" si="10"/>
        <v>49.344749999999998</v>
      </c>
      <c r="R34" s="68">
        <f t="shared" si="11"/>
        <v>0</v>
      </c>
      <c r="S34" s="68">
        <f t="shared" si="11"/>
        <v>0.17424300000000004</v>
      </c>
      <c r="T34" s="68">
        <f t="shared" si="11"/>
        <v>0</v>
      </c>
      <c r="U34" s="68">
        <f t="shared" si="11"/>
        <v>0</v>
      </c>
    </row>
    <row r="35" spans="1:21" s="51" customFormat="1" ht="13" x14ac:dyDescent="0.35">
      <c r="A35" s="10">
        <f>G8</f>
        <v>9155</v>
      </c>
      <c r="B35" s="12">
        <v>45</v>
      </c>
      <c r="C35" s="68">
        <f t="shared" si="6"/>
        <v>95.327549999999988</v>
      </c>
      <c r="D35" s="68">
        <f t="shared" si="7"/>
        <v>79.506864000000022</v>
      </c>
      <c r="E35" s="68">
        <f t="shared" si="8"/>
        <v>2.966487075000001E-4</v>
      </c>
      <c r="F35" s="68">
        <f t="shared" si="9"/>
        <v>12.514782960000002</v>
      </c>
      <c r="G35" s="68">
        <f t="shared" si="5"/>
        <v>0.28739250000000005</v>
      </c>
      <c r="H35" s="68">
        <f t="shared" si="5"/>
        <v>1.6592850000000001</v>
      </c>
      <c r="I35" s="68">
        <f t="shared" si="5"/>
        <v>0.28522350000000002</v>
      </c>
      <c r="J35" s="68">
        <f t="shared" si="5"/>
        <v>1.1929500000000001E-3</v>
      </c>
      <c r="K35" s="68">
        <f t="shared" si="5"/>
        <v>4.5549000000000006E-3</v>
      </c>
      <c r="L35" s="68">
        <f t="shared" si="5"/>
        <v>0.23859000000000002</v>
      </c>
      <c r="M35" s="68">
        <f t="shared" si="5"/>
        <v>0.10075004999999999</v>
      </c>
      <c r="N35" s="68">
        <f t="shared" si="5"/>
        <v>34.161749999999998</v>
      </c>
      <c r="O35" s="68">
        <f t="shared" si="5"/>
        <v>2667.87</v>
      </c>
      <c r="P35" s="68">
        <f t="shared" si="5"/>
        <v>0</v>
      </c>
      <c r="Q35" s="68">
        <f t="shared" si="10"/>
        <v>74.017125000000007</v>
      </c>
      <c r="R35" s="68">
        <f t="shared" si="11"/>
        <v>0</v>
      </c>
      <c r="S35" s="68">
        <f t="shared" si="11"/>
        <v>0.26136450000000006</v>
      </c>
      <c r="T35" s="68">
        <f t="shared" si="11"/>
        <v>0</v>
      </c>
      <c r="U35" s="68">
        <f t="shared" si="11"/>
        <v>0</v>
      </c>
    </row>
    <row r="36" spans="1:21" s="51" customFormat="1" ht="13" x14ac:dyDescent="0.35">
      <c r="A36" s="10">
        <f>H8</f>
        <v>2062</v>
      </c>
      <c r="B36" s="12">
        <v>30</v>
      </c>
      <c r="C36" s="68">
        <f t="shared" si="6"/>
        <v>63.551699999999997</v>
      </c>
      <c r="D36" s="68">
        <f t="shared" si="7"/>
        <v>53.004576000000007</v>
      </c>
      <c r="E36" s="68">
        <f t="shared" si="8"/>
        <v>1.9776580500000006E-4</v>
      </c>
      <c r="F36" s="68">
        <f t="shared" si="9"/>
        <v>8.343188640000001</v>
      </c>
      <c r="G36" s="68">
        <f t="shared" si="5"/>
        <v>0.19159500000000002</v>
      </c>
      <c r="H36" s="68">
        <f t="shared" si="5"/>
        <v>1.10619</v>
      </c>
      <c r="I36" s="68">
        <f t="shared" si="5"/>
        <v>0.19014900000000001</v>
      </c>
      <c r="J36" s="68">
        <f t="shared" si="5"/>
        <v>7.9530000000000009E-4</v>
      </c>
      <c r="K36" s="68">
        <f t="shared" si="5"/>
        <v>3.0366000000000004E-3</v>
      </c>
      <c r="L36" s="68">
        <f t="shared" si="5"/>
        <v>0.15906000000000001</v>
      </c>
      <c r="M36" s="68">
        <f t="shared" si="5"/>
        <v>6.7166699999999996E-2</v>
      </c>
      <c r="N36" s="68">
        <f t="shared" si="5"/>
        <v>22.7745</v>
      </c>
      <c r="O36" s="68">
        <f t="shared" si="5"/>
        <v>1778.58</v>
      </c>
      <c r="P36" s="68">
        <f t="shared" si="5"/>
        <v>0</v>
      </c>
      <c r="Q36" s="68">
        <f t="shared" si="10"/>
        <v>49.344749999999998</v>
      </c>
      <c r="R36" s="68">
        <f t="shared" si="11"/>
        <v>0</v>
      </c>
      <c r="S36" s="68">
        <f t="shared" si="11"/>
        <v>0.17424300000000004</v>
      </c>
      <c r="T36" s="68">
        <f t="shared" si="11"/>
        <v>0</v>
      </c>
      <c r="U36" s="68">
        <f t="shared" si="11"/>
        <v>0</v>
      </c>
    </row>
    <row r="37" spans="1:21" s="51" customFormat="1" ht="13" x14ac:dyDescent="0.35">
      <c r="A37" s="10">
        <f>I8</f>
        <v>834</v>
      </c>
      <c r="B37" s="12">
        <v>67</v>
      </c>
      <c r="C37" s="68">
        <f t="shared" si="6"/>
        <v>141.93212999999997</v>
      </c>
      <c r="D37" s="68">
        <f t="shared" si="7"/>
        <v>118.37688640000002</v>
      </c>
      <c r="E37" s="68">
        <f t="shared" si="8"/>
        <v>4.4167696450000011E-4</v>
      </c>
      <c r="F37" s="68">
        <f t="shared" si="9"/>
        <v>18.633121296000002</v>
      </c>
      <c r="G37" s="68">
        <f t="shared" si="5"/>
        <v>0.42789550000000004</v>
      </c>
      <c r="H37" s="68">
        <f t="shared" si="5"/>
        <v>2.470491</v>
      </c>
      <c r="I37" s="68">
        <f t="shared" si="5"/>
        <v>0.42466610000000005</v>
      </c>
      <c r="J37" s="68">
        <f t="shared" si="5"/>
        <v>1.7761700000000001E-3</v>
      </c>
      <c r="K37" s="68">
        <f t="shared" si="5"/>
        <v>6.7817400000000005E-3</v>
      </c>
      <c r="L37" s="68">
        <f t="shared" si="5"/>
        <v>0.35523399999999999</v>
      </c>
      <c r="M37" s="68">
        <f t="shared" si="5"/>
        <v>0.15000563</v>
      </c>
      <c r="N37" s="68">
        <f t="shared" si="5"/>
        <v>50.863050000000001</v>
      </c>
      <c r="O37" s="68">
        <f t="shared" si="5"/>
        <v>3972.1620000000003</v>
      </c>
      <c r="P37" s="68">
        <f t="shared" si="5"/>
        <v>0</v>
      </c>
      <c r="Q37" s="68">
        <f t="shared" si="10"/>
        <v>110.203275</v>
      </c>
      <c r="R37" s="68">
        <f t="shared" si="11"/>
        <v>0</v>
      </c>
      <c r="S37" s="68">
        <f t="shared" si="11"/>
        <v>0.38914270000000006</v>
      </c>
      <c r="T37" s="68">
        <f t="shared" si="11"/>
        <v>0</v>
      </c>
      <c r="U37" s="68">
        <f t="shared" si="11"/>
        <v>0</v>
      </c>
    </row>
    <row r="38" spans="1:21" s="51" customFormat="1" ht="13" x14ac:dyDescent="0.35">
      <c r="A38" s="10">
        <f>J8</f>
        <v>5928</v>
      </c>
      <c r="B38" s="12">
        <v>35</v>
      </c>
      <c r="C38" s="68">
        <f t="shared" si="6"/>
        <v>74.143649999999994</v>
      </c>
      <c r="D38" s="68">
        <f t="shared" si="7"/>
        <v>61.83867200000001</v>
      </c>
      <c r="E38" s="68">
        <f t="shared" si="8"/>
        <v>2.3072677250000006E-4</v>
      </c>
      <c r="F38" s="68">
        <f t="shared" si="9"/>
        <v>9.7337200800000012</v>
      </c>
      <c r="G38" s="68">
        <f t="shared" si="5"/>
        <v>0.22352750000000002</v>
      </c>
      <c r="H38" s="68">
        <f t="shared" si="5"/>
        <v>1.2905550000000001</v>
      </c>
      <c r="I38" s="68">
        <f t="shared" si="5"/>
        <v>0.22184050000000002</v>
      </c>
      <c r="J38" s="68">
        <f t="shared" si="5"/>
        <v>9.2785000000000003E-4</v>
      </c>
      <c r="K38" s="68">
        <f t="shared" si="5"/>
        <v>3.5427000000000002E-3</v>
      </c>
      <c r="L38" s="68">
        <f t="shared" si="5"/>
        <v>0.18557000000000001</v>
      </c>
      <c r="M38" s="68">
        <f t="shared" si="5"/>
        <v>7.8361149999999991E-2</v>
      </c>
      <c r="N38" s="68">
        <f t="shared" si="5"/>
        <v>26.570250000000001</v>
      </c>
      <c r="O38" s="68">
        <f t="shared" si="5"/>
        <v>2075.0100000000002</v>
      </c>
      <c r="P38" s="68">
        <f t="shared" si="5"/>
        <v>0</v>
      </c>
      <c r="Q38" s="68">
        <f t="shared" si="10"/>
        <v>57.568875000000006</v>
      </c>
      <c r="R38" s="68">
        <f t="shared" si="11"/>
        <v>0</v>
      </c>
      <c r="S38" s="68">
        <f t="shared" si="11"/>
        <v>0.20328350000000003</v>
      </c>
      <c r="T38" s="68">
        <f t="shared" si="11"/>
        <v>0</v>
      </c>
      <c r="U38" s="68">
        <f t="shared" si="11"/>
        <v>0</v>
      </c>
    </row>
    <row r="39" spans="1:21" s="51" customFormat="1" ht="13" x14ac:dyDescent="0.35">
      <c r="A39" s="10">
        <f>K8</f>
        <v>3370</v>
      </c>
      <c r="B39" s="12">
        <v>35</v>
      </c>
      <c r="C39" s="68">
        <f t="shared" si="6"/>
        <v>74.143649999999994</v>
      </c>
      <c r="D39" s="68">
        <f t="shared" si="7"/>
        <v>61.83867200000001</v>
      </c>
      <c r="E39" s="68">
        <f t="shared" si="8"/>
        <v>2.3072677250000006E-4</v>
      </c>
      <c r="F39" s="68">
        <f t="shared" si="9"/>
        <v>9.7337200800000012</v>
      </c>
      <c r="G39" s="68">
        <f t="shared" si="5"/>
        <v>0.22352750000000002</v>
      </c>
      <c r="H39" s="68">
        <f t="shared" si="5"/>
        <v>1.2905550000000001</v>
      </c>
      <c r="I39" s="68">
        <f t="shared" si="5"/>
        <v>0.22184050000000002</v>
      </c>
      <c r="J39" s="68">
        <f t="shared" si="5"/>
        <v>9.2785000000000003E-4</v>
      </c>
      <c r="K39" s="68">
        <f t="shared" si="5"/>
        <v>3.5427000000000002E-3</v>
      </c>
      <c r="L39" s="68">
        <f t="shared" si="5"/>
        <v>0.18557000000000001</v>
      </c>
      <c r="M39" s="68">
        <f t="shared" si="5"/>
        <v>7.8361149999999991E-2</v>
      </c>
      <c r="N39" s="68">
        <f t="shared" si="5"/>
        <v>26.570250000000001</v>
      </c>
      <c r="O39" s="68">
        <f t="shared" si="5"/>
        <v>2075.0100000000002</v>
      </c>
      <c r="P39" s="68">
        <f t="shared" si="5"/>
        <v>0</v>
      </c>
      <c r="Q39" s="68">
        <f t="shared" si="10"/>
        <v>57.568875000000006</v>
      </c>
      <c r="R39" s="68">
        <f t="shared" si="11"/>
        <v>0</v>
      </c>
      <c r="S39" s="68">
        <f t="shared" si="11"/>
        <v>0.20328350000000003</v>
      </c>
      <c r="T39" s="68">
        <f t="shared" si="11"/>
        <v>0</v>
      </c>
      <c r="U39" s="68">
        <f t="shared" si="11"/>
        <v>0</v>
      </c>
    </row>
    <row r="40" spans="1:21" s="51" customFormat="1" ht="13" x14ac:dyDescent="0.35">
      <c r="A40" s="10">
        <f>L8</f>
        <v>3234</v>
      </c>
      <c r="B40" s="12">
        <v>67</v>
      </c>
      <c r="C40" s="68">
        <f t="shared" si="6"/>
        <v>141.93212999999997</v>
      </c>
      <c r="D40" s="68">
        <f t="shared" si="7"/>
        <v>118.37688640000002</v>
      </c>
      <c r="E40" s="68">
        <f t="shared" si="8"/>
        <v>4.4167696450000011E-4</v>
      </c>
      <c r="F40" s="68">
        <f t="shared" si="9"/>
        <v>18.633121296000002</v>
      </c>
      <c r="G40" s="68">
        <f t="shared" si="5"/>
        <v>0.42789550000000004</v>
      </c>
      <c r="H40" s="68">
        <f t="shared" si="5"/>
        <v>2.470491</v>
      </c>
      <c r="I40" s="68">
        <f t="shared" si="5"/>
        <v>0.42466610000000005</v>
      </c>
      <c r="J40" s="68">
        <f t="shared" si="5"/>
        <v>1.7761700000000001E-3</v>
      </c>
      <c r="K40" s="68">
        <f t="shared" si="5"/>
        <v>6.7817400000000005E-3</v>
      </c>
      <c r="L40" s="68">
        <f t="shared" si="5"/>
        <v>0.35523399999999999</v>
      </c>
      <c r="M40" s="68">
        <f t="shared" si="5"/>
        <v>0.15000563</v>
      </c>
      <c r="N40" s="68">
        <f t="shared" si="5"/>
        <v>50.863050000000001</v>
      </c>
      <c r="O40" s="68">
        <f t="shared" si="5"/>
        <v>3972.1620000000003</v>
      </c>
      <c r="P40" s="68">
        <f t="shared" si="5"/>
        <v>0</v>
      </c>
      <c r="Q40" s="68">
        <f t="shared" si="10"/>
        <v>110.203275</v>
      </c>
      <c r="R40" s="68">
        <f t="shared" si="11"/>
        <v>0</v>
      </c>
      <c r="S40" s="68">
        <f t="shared" si="11"/>
        <v>0.38914270000000006</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"&amp;(VLOOKUP(C14,Table24581113[],6,FALSE))</f>
        <v>0 I Arable</v>
      </c>
      <c r="C58" s="10" t="str">
        <f>D16&amp;" I "&amp;(VLOOKUP(D14,Table24581113[],6,FALSE))</f>
        <v>0 I Arable</v>
      </c>
      <c r="D58" s="10" t="str">
        <f>E16&amp;" I "&amp;(VLOOKUP(E14,Table24581113[],6,FALSE))</f>
        <v>0 I Grass</v>
      </c>
      <c r="E58" s="10" t="str">
        <f>F16&amp;" I "&amp;(VLOOKUP(F14,Table24581113[],6,FALSE))</f>
        <v>0 I Arable</v>
      </c>
      <c r="F58" s="10" t="str">
        <f>G16&amp;" I "&amp;(VLOOKUP(G14,Table24581113[],6,FALSE))</f>
        <v>0 I Grass</v>
      </c>
      <c r="G58" s="10" t="str">
        <f>H16&amp;" I "&amp;(VLOOKUP(H14,Table24581113[],6,FALSE))</f>
        <v>0 I Arable</v>
      </c>
      <c r="H58" s="10" t="str">
        <f>I16&amp;" I "&amp;(VLOOKUP(I14,Table24581113[],6,FALSE))</f>
        <v>0 I Arable</v>
      </c>
      <c r="I58" s="10" t="str">
        <f>J16&amp;" I "&amp;(VLOOKUP(J14,Table24581113[],6,FALSE))</f>
        <v>0 I Arable</v>
      </c>
      <c r="J58" s="10" t="str">
        <f>K16&amp;" I "&amp;(VLOOKUP(K14,Table24581113[],6,FALSE))</f>
        <v>0 I Arable</v>
      </c>
      <c r="K58" s="10" t="str">
        <f>L16&amp;" I "&amp;(VLOOKUP(L14,Table24581113[],6,FALSE))</f>
        <v>0 I Arable</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100" t="s">
        <v>132</v>
      </c>
      <c r="B59" s="67">
        <f>VLOOKUP(C$14,Table24581113[],5,FALSE)</f>
        <v>6.7</v>
      </c>
      <c r="C59" s="67">
        <f>VLOOKUP(D$14,Table24581113[],5,FALSE)</f>
        <v>6.7</v>
      </c>
      <c r="D59" s="67">
        <f>VLOOKUP(E$14,Table24581113[],5,FALSE)</f>
        <v>6.2</v>
      </c>
      <c r="E59" s="67">
        <f>VLOOKUP(F$14,Table24581113[],5,FALSE)</f>
        <v>6.7</v>
      </c>
      <c r="F59" s="67">
        <f>VLOOKUP(G$14,Table24581113[],5,FALSE)</f>
        <v>6.2</v>
      </c>
      <c r="G59" s="67">
        <f>VLOOKUP(H$14,Table24581113[],5,FALSE)</f>
        <v>6.7</v>
      </c>
      <c r="H59" s="67">
        <f>VLOOKUP(I$14,Table24581113[],5,FALSE)</f>
        <v>6.7</v>
      </c>
      <c r="I59" s="67">
        <f>VLOOKUP(J$14,Table24581113[],5,FALSE)</f>
        <v>6.7</v>
      </c>
      <c r="J59" s="67">
        <f>VLOOKUP(K$14,Table24581113[],5,FALSE)</f>
        <v>6.7</v>
      </c>
      <c r="K59" s="67">
        <f>VLOOKUP(L$14,Table24581113[],5,FALSE)</f>
        <v>6.7</v>
      </c>
      <c r="L59" s="67" t="e">
        <f>VLOOKUP(M$14,Table24581113[],5,FALSE)</f>
        <v>#N/A</v>
      </c>
      <c r="M59" s="67" t="e">
        <f>VLOOKUP(N$14,Table24581113[],5,FALSE)</f>
        <v>#N/A</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30</v>
      </c>
      <c r="C62" s="68">
        <f>B32</f>
        <v>30</v>
      </c>
      <c r="D62" s="68">
        <f>B33</f>
        <v>45</v>
      </c>
      <c r="E62" s="68">
        <f>B34</f>
        <v>30</v>
      </c>
      <c r="F62" s="68">
        <f>B35</f>
        <v>45</v>
      </c>
      <c r="G62" s="68">
        <f>B36</f>
        <v>30</v>
      </c>
      <c r="H62" s="68">
        <f>B37</f>
        <v>67</v>
      </c>
      <c r="I62" s="68">
        <f>B38</f>
        <v>35</v>
      </c>
      <c r="J62" s="68">
        <f>B39</f>
        <v>35</v>
      </c>
      <c r="K62" s="68">
        <f>B40</f>
        <v>67</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6.5</v>
      </c>
      <c r="J1" s="114" t="s">
        <v>153</v>
      </c>
      <c r="K1" s="114"/>
      <c r="L1" s="86">
        <v>77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1.21</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0.63636363636363635</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174</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53.633134760000011</v>
      </c>
      <c r="D18" s="13">
        <f>$D32</f>
        <v>53.633134760000011</v>
      </c>
      <c r="E18" s="13">
        <f>$D33</f>
        <v>39.436128500000009</v>
      </c>
      <c r="F18" s="13">
        <f>$D34</f>
        <v>53.633134760000011</v>
      </c>
      <c r="G18" s="13">
        <f>$D35</f>
        <v>0</v>
      </c>
      <c r="H18" s="13">
        <f>$D36</f>
        <v>53.633134760000011</v>
      </c>
      <c r="I18" s="13">
        <f>$D37</f>
        <v>62.309083030000011</v>
      </c>
      <c r="J18" s="13">
        <f>$D38</f>
        <v>62.309083030000011</v>
      </c>
      <c r="K18" s="13">
        <f>$D39</f>
        <v>62.309083030000011</v>
      </c>
      <c r="L18" s="13">
        <f>$D40</f>
        <v>62.309083030000011</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-201.36686523999998</v>
      </c>
      <c r="D19" s="13">
        <f t="shared" ref="D19:V19" si="1">D18-D17</f>
        <v>-201.36686523999998</v>
      </c>
      <c r="E19" s="13">
        <f t="shared" si="1"/>
        <v>-40.463871499999982</v>
      </c>
      <c r="F19" s="13">
        <f t="shared" si="1"/>
        <v>-201.36686523999998</v>
      </c>
      <c r="G19" s="13">
        <f t="shared" si="1"/>
        <v>-79.899999999999991</v>
      </c>
      <c r="H19" s="13">
        <f t="shared" si="1"/>
        <v>-201.36686523999998</v>
      </c>
      <c r="I19" s="13">
        <f t="shared" si="1"/>
        <v>-192.69091696999999</v>
      </c>
      <c r="J19" s="13">
        <f t="shared" si="1"/>
        <v>-0.6909169699999822</v>
      </c>
      <c r="K19" s="13">
        <f t="shared" si="1"/>
        <v>-0.6909169699999822</v>
      </c>
      <c r="L19" s="13">
        <f t="shared" si="1"/>
        <v>-192.69091696999999</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2.2539235800000002E-4</v>
      </c>
      <c r="D22" s="13">
        <f>$E32</f>
        <v>2.2539235800000002E-4</v>
      </c>
      <c r="E22" s="13">
        <f>$E33</f>
        <v>1.6572967500000003E-4</v>
      </c>
      <c r="F22" s="13">
        <f>$E34</f>
        <v>2.2539235800000002E-4</v>
      </c>
      <c r="G22" s="13">
        <f>$E35</f>
        <v>0</v>
      </c>
      <c r="H22" s="13">
        <f>$E36</f>
        <v>2.2539235800000002E-4</v>
      </c>
      <c r="I22" s="13">
        <f>$E37</f>
        <v>2.6185288650000001E-4</v>
      </c>
      <c r="J22" s="13">
        <f>$E38</f>
        <v>2.6185288650000001E-4</v>
      </c>
      <c r="K22" s="13">
        <f>$E39</f>
        <v>2.6185288650000001E-4</v>
      </c>
      <c r="L22" s="13">
        <f>$E40</f>
        <v>2.6185288650000001E-4</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-359.999774607642</v>
      </c>
      <c r="D23" s="13">
        <f t="shared" ref="D23:V23" si="3">D22-D21</f>
        <v>-359.999774607642</v>
      </c>
      <c r="E23" s="13">
        <f t="shared" si="3"/>
        <v>-281.99983427032498</v>
      </c>
      <c r="F23" s="13">
        <f t="shared" si="3"/>
        <v>-359.999774607642</v>
      </c>
      <c r="G23" s="13">
        <f t="shared" si="3"/>
        <v>-282</v>
      </c>
      <c r="H23" s="13">
        <f t="shared" si="3"/>
        <v>-359.999774607642</v>
      </c>
      <c r="I23" s="13">
        <f t="shared" si="3"/>
        <v>-359.99973814711348</v>
      </c>
      <c r="J23" s="13">
        <f t="shared" si="3"/>
        <v>-197.99973814711353</v>
      </c>
      <c r="K23" s="13">
        <f t="shared" si="3"/>
        <v>-197.99973814711353</v>
      </c>
      <c r="L23" s="13">
        <f t="shared" si="3"/>
        <v>-359.99973814711348</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17.3</v>
      </c>
      <c r="C28" s="12">
        <v>1.21</v>
      </c>
      <c r="D28" s="12">
        <v>0.19900000000000001</v>
      </c>
      <c r="E28" s="12">
        <v>1.5900000000000001E-2</v>
      </c>
      <c r="F28" s="12">
        <v>272</v>
      </c>
      <c r="G28" s="12">
        <v>21.1</v>
      </c>
      <c r="H28" s="12">
        <v>64.2</v>
      </c>
      <c r="I28" s="12">
        <v>7.2</v>
      </c>
      <c r="J28" s="12">
        <v>0.31</v>
      </c>
      <c r="K28" s="16">
        <v>0.56999999999999995</v>
      </c>
      <c r="L28" s="12">
        <v>6.8</v>
      </c>
      <c r="M28" s="12">
        <v>4.3</v>
      </c>
      <c r="N28" s="12">
        <v>125000</v>
      </c>
      <c r="O28" s="12">
        <v>18200</v>
      </c>
      <c r="P28" s="12"/>
      <c r="Q28" s="12">
        <v>4770</v>
      </c>
      <c r="R28" s="12"/>
      <c r="S28" s="12">
        <v>42.4</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68</v>
      </c>
      <c r="C31" s="68">
        <f>IF(C$27="%w/w SAR",((C$28*10)*$B31),IF(C$27="%w/w DM",(((C$28*10)*($B$28/100))*$B31),IF(C$27="kg/t SAR",(C$28*$B31),IF(C$27="kg/t DM",((C$28*($B$28/100))*$B31),IF(C$27="mg/kg SAR",((C$28*0.001)*$B31),IF(C$27="mg/kg DM",(((C$28*0.001)*($B$28/100))*$B31),0))))))</f>
        <v>142.34440000000001</v>
      </c>
      <c r="D31" s="68">
        <f>(IF(D$27="%w/w SAR",((D$28*10)*$B31),IF(D$27="%w/w DM",(((D$28*10)*($B$28/100))*$B31),IF(D$27="kg/t SAR",(D$28*$B31),IF(D$27="kg/t DM",((D$28*($B$28/100))*$B31),IF(D$27="mg/kg SAR",((D$28*0.001)*$B31),IF(D$27="mg/kg DM",(((D$28*0.001)*($B$28/100))*$B31),"0")))))))*2.291</f>
        <v>53.633134760000011</v>
      </c>
      <c r="E31" s="68">
        <f>(IF(E$27="%w/w SAR",((E$28*10)*$B31),IF(E$27="%w/w DM",(((E$28*10)*($B$28/100))*$B31),IF(E$27="kg/t SAR",(E$28*$B31),IF(E$27="kg/t DM",((E$28*($B$28/100))*$B31),IF(E$27="mg/kg SAR",((E$28*0.001)*$B31),IF(E$27="mg/kg DM",(((E$28*0.001)*($B$28/100))*$B31),"0")))))))*1.205</f>
        <v>2.2539235800000002E-4</v>
      </c>
      <c r="F31" s="68">
        <f>(IF(F$27="%w/w SAR",((F$28*10)*$B31),IF(F$27="%w/w DM",(((F$28*10)*($B$28/100))*$B31),IF(F$27="kg/t SAR",(F$28*$B31),IF(F$27="kg/t DM",((F$28*($B$28/100))*$B31),IF(F$27="mg/kg SAR",((F$28*0.001)*$B31),IF(F$27="mg/kg DM",(((F$28*0.001)*($B$28/100))*$B31),"0")))))))*1.658</f>
        <v>5.3052816640000007</v>
      </c>
      <c r="G31" s="68">
        <f t="shared" ref="G31:P46" si="5">IF(G$27="%w/w SAR",((G$28*10)*$B31),IF(G$27="%w/w DM",(((G$28*10)*($B$28/100))*$B31),IF(G$27="kg/t SAR",(G$28*$B31),IF(G$27="kg/t DM",((G$28*($B$28/100))*$B31),IF(G$27="mg/kg SAR",((G$28*0.001)*$B31),IF(G$27="mg/kg DM",(((G$28*0.001)*($B$28/100))*$B31),0))))))</f>
        <v>0.24822040000000004</v>
      </c>
      <c r="H31" s="68">
        <f t="shared" si="5"/>
        <v>0.75524880000000016</v>
      </c>
      <c r="I31" s="68">
        <f t="shared" si="5"/>
        <v>8.4700800000000007E-2</v>
      </c>
      <c r="J31" s="68">
        <f t="shared" si="5"/>
        <v>3.6468400000000006E-3</v>
      </c>
      <c r="K31" s="68">
        <f t="shared" si="5"/>
        <v>6.7054800000000006E-3</v>
      </c>
      <c r="L31" s="68">
        <f t="shared" si="5"/>
        <v>7.9995200000000002E-2</v>
      </c>
      <c r="M31" s="68">
        <f t="shared" si="5"/>
        <v>5.0585200000000004E-2</v>
      </c>
      <c r="N31" s="68">
        <f t="shared" si="5"/>
        <v>1470.5000000000002</v>
      </c>
      <c r="O31" s="68">
        <f t="shared" si="5"/>
        <v>214.10480000000001</v>
      </c>
      <c r="P31" s="68">
        <f t="shared" si="5"/>
        <v>0</v>
      </c>
      <c r="Q31" s="68">
        <f>(IF(Q$27="%w/w SAR",((Q$28*10)*$B31),IF(Q$27="%w/w DM",(((Q$28*10)*($B$28/100))*$B31),IF(Q$27="kg/t SAR",(Q$28*$B31),IF(Q$27="kg/t DM",((Q$28*($B$28/100))*$B31),IF(Q$27="mg/kg SAR",((Q$28*0.001)*$B31),IF(Q$27="mg/kg DM",(((Q$28*0.001)*($B$28/100))*$B31),0)))))))*2.5</f>
        <v>140.28570000000002</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0.49879360000000006</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68</v>
      </c>
      <c r="C32" s="68">
        <f t="shared" ref="C32:C50" si="6">IF(C$27="%w/w SAR",((C$28*10)*$B32),IF(C$27="%w/w DM",(((C$28*10)*($B$28/100))*$B32),IF(C$27="kg/t SAR",(C$28*$B32),IF(C$27="kg/t DM",((C$28*($B$28/100))*$B32),IF(C$27="mg/kg SAR",((C$28*0.001)*$B32),IF(C$27="mg/kg DM",(((C$28*0.001)*($B$28/100))*$B32),0))))))</f>
        <v>142.34440000000001</v>
      </c>
      <c r="D32" s="68">
        <f t="shared" ref="D32:D50" si="7">(IF(D$27="%w/w SAR",((D$28*10)*$B32),IF(D$27="%w/w DM",(((D$28*10)*($B$28/100))*$B32),IF(D$27="kg/t SAR",(D$28*$B32),IF(D$27="kg/t DM",((D$28*($B$28/100))*$B32),IF(D$27="mg/kg SAR",((D$28*0.001)*$B32),IF(D$27="mg/kg DM",(((D$28*0.001)*($B$28/100))*$B32),"0")))))))*2.291</f>
        <v>53.633134760000011</v>
      </c>
      <c r="E32" s="68">
        <f t="shared" ref="E32:E50" si="8">(IF(E$27="%w/w SAR",((E$28*10)*$B32),IF(E$27="%w/w DM",(((E$28*10)*($B$28/100))*$B32),IF(E$27="kg/t SAR",(E$28*$B32),IF(E$27="kg/t DM",((E$28*($B$28/100))*$B32),IF(E$27="mg/kg SAR",((E$28*0.001)*$B32),IF(E$27="mg/kg DM",(((E$28*0.001)*($B$28/100))*$B32),"0")))))))*1.205</f>
        <v>2.2539235800000002E-4</v>
      </c>
      <c r="F32" s="68">
        <f t="shared" ref="F32:F50" si="9">(IF(F$27="%w/w SAR",((F$28*10)*$B32),IF(F$27="%w/w DM",(((F$28*10)*($B$28/100))*$B32),IF(F$27="kg/t SAR",(F$28*$B32),IF(F$27="kg/t DM",((F$28*($B$28/100))*$B32),IF(F$27="mg/kg SAR",((F$28*0.001)*$B32),IF(F$27="mg/kg DM",(((F$28*0.001)*($B$28/100))*$B32),"0")))))))*1.658</f>
        <v>5.3052816640000007</v>
      </c>
      <c r="G32" s="68">
        <f t="shared" si="5"/>
        <v>0.24822040000000004</v>
      </c>
      <c r="H32" s="68">
        <f t="shared" si="5"/>
        <v>0.75524880000000016</v>
      </c>
      <c r="I32" s="68">
        <f t="shared" si="5"/>
        <v>8.4700800000000007E-2</v>
      </c>
      <c r="J32" s="68">
        <f t="shared" si="5"/>
        <v>3.6468400000000006E-3</v>
      </c>
      <c r="K32" s="68">
        <f t="shared" si="5"/>
        <v>6.7054800000000006E-3</v>
      </c>
      <c r="L32" s="68">
        <f t="shared" si="5"/>
        <v>7.9995200000000002E-2</v>
      </c>
      <c r="M32" s="68">
        <f t="shared" si="5"/>
        <v>5.0585200000000004E-2</v>
      </c>
      <c r="N32" s="68">
        <f t="shared" si="5"/>
        <v>1470.5000000000002</v>
      </c>
      <c r="O32" s="68">
        <f t="shared" si="5"/>
        <v>214.10480000000001</v>
      </c>
      <c r="P32" s="68">
        <f t="shared" si="5"/>
        <v>0</v>
      </c>
      <c r="Q32" s="68">
        <f t="shared" ref="Q32:Q50" si="10">(IF(Q$27="%w/w SAR",((Q$28*10)*$B32),IF(Q$27="%w/w DM",(((Q$28*10)*($B$28/100))*$B32),IF(Q$27="kg/t SAR",(Q$28*$B32),IF(Q$27="kg/t DM",((Q$28*($B$28/100))*$B32),IF(Q$27="mg/kg SAR",((Q$28*0.001)*$B32),IF(Q$27="mg/kg DM",(((Q$28*0.001)*($B$28/100))*$B32),0)))))))*2.5</f>
        <v>140.28570000000002</v>
      </c>
      <c r="R32" s="68">
        <f t="shared" ref="R32:U50" si="11">IF(R$27="%w/w SAR",((R$28*10)*$B32),IF(R$27="%w/w DM",(((R$28*10)*($B$28/100))*$B32),IF(R$27="kg/t SAR",(R$28*$B32),IF(R$27="kg/t DM",((R$28*($B$28/100))*$B32),IF(R$27="mg/kg SAR",((R$28*0.001)*$B32),IF(R$27="mg/kg DM",(((R$28*0.001)*($B$28/100))*$B32),0))))))</f>
        <v>0</v>
      </c>
      <c r="S32" s="68">
        <f t="shared" si="11"/>
        <v>0.49879360000000006</v>
      </c>
      <c r="T32" s="68">
        <f t="shared" si="11"/>
        <v>0</v>
      </c>
      <c r="U32" s="68">
        <f t="shared" si="11"/>
        <v>0</v>
      </c>
    </row>
    <row r="33" spans="1:21" s="51" customFormat="1" ht="13" x14ac:dyDescent="0.35">
      <c r="A33" s="10">
        <f>E8</f>
        <v>2056</v>
      </c>
      <c r="B33" s="12">
        <v>50</v>
      </c>
      <c r="C33" s="68">
        <f t="shared" si="6"/>
        <v>104.66500000000001</v>
      </c>
      <c r="D33" s="68">
        <f t="shared" si="7"/>
        <v>39.436128500000009</v>
      </c>
      <c r="E33" s="68">
        <f t="shared" si="8"/>
        <v>1.6572967500000003E-4</v>
      </c>
      <c r="F33" s="68">
        <f t="shared" si="9"/>
        <v>3.9009424000000004</v>
      </c>
      <c r="G33" s="68">
        <f t="shared" si="5"/>
        <v>0.18251500000000001</v>
      </c>
      <c r="H33" s="68">
        <f t="shared" si="5"/>
        <v>0.5553300000000001</v>
      </c>
      <c r="I33" s="68">
        <f t="shared" si="5"/>
        <v>6.2280000000000009E-2</v>
      </c>
      <c r="J33" s="68">
        <f t="shared" si="5"/>
        <v>2.6815000000000003E-3</v>
      </c>
      <c r="K33" s="68">
        <f t="shared" si="5"/>
        <v>4.9305E-3</v>
      </c>
      <c r="L33" s="68">
        <f t="shared" si="5"/>
        <v>5.8819999999999997E-2</v>
      </c>
      <c r="M33" s="68">
        <f t="shared" si="5"/>
        <v>3.7194999999999999E-2</v>
      </c>
      <c r="N33" s="68">
        <f t="shared" si="5"/>
        <v>1081.2500000000002</v>
      </c>
      <c r="O33" s="68">
        <f t="shared" si="5"/>
        <v>157.43</v>
      </c>
      <c r="P33" s="68">
        <f t="shared" si="5"/>
        <v>0</v>
      </c>
      <c r="Q33" s="68">
        <f t="shared" si="10"/>
        <v>103.15125000000002</v>
      </c>
      <c r="R33" s="68">
        <f t="shared" si="11"/>
        <v>0</v>
      </c>
      <c r="S33" s="68">
        <f t="shared" si="11"/>
        <v>0.36676000000000003</v>
      </c>
      <c r="T33" s="68">
        <f t="shared" si="11"/>
        <v>0</v>
      </c>
      <c r="U33" s="68">
        <f t="shared" si="11"/>
        <v>0</v>
      </c>
    </row>
    <row r="34" spans="1:21" s="51" customFormat="1" ht="13" x14ac:dyDescent="0.35">
      <c r="A34" s="10">
        <f>F8</f>
        <v>2</v>
      </c>
      <c r="B34" s="12">
        <v>68</v>
      </c>
      <c r="C34" s="68">
        <f t="shared" si="6"/>
        <v>142.34440000000001</v>
      </c>
      <c r="D34" s="68">
        <f t="shared" si="7"/>
        <v>53.633134760000011</v>
      </c>
      <c r="E34" s="68">
        <f t="shared" si="8"/>
        <v>2.2539235800000002E-4</v>
      </c>
      <c r="F34" s="68">
        <f t="shared" si="9"/>
        <v>5.3052816640000007</v>
      </c>
      <c r="G34" s="68">
        <f t="shared" si="5"/>
        <v>0.24822040000000004</v>
      </c>
      <c r="H34" s="68">
        <f t="shared" si="5"/>
        <v>0.75524880000000016</v>
      </c>
      <c r="I34" s="68">
        <f t="shared" si="5"/>
        <v>8.4700800000000007E-2</v>
      </c>
      <c r="J34" s="68">
        <f t="shared" si="5"/>
        <v>3.6468400000000006E-3</v>
      </c>
      <c r="K34" s="68">
        <f t="shared" si="5"/>
        <v>6.7054800000000006E-3</v>
      </c>
      <c r="L34" s="68">
        <f t="shared" si="5"/>
        <v>7.9995200000000002E-2</v>
      </c>
      <c r="M34" s="68">
        <f t="shared" si="5"/>
        <v>5.0585200000000004E-2</v>
      </c>
      <c r="N34" s="68">
        <f t="shared" si="5"/>
        <v>1470.5000000000002</v>
      </c>
      <c r="O34" s="68">
        <f t="shared" si="5"/>
        <v>214.10480000000001</v>
      </c>
      <c r="P34" s="68">
        <f t="shared" si="5"/>
        <v>0</v>
      </c>
      <c r="Q34" s="68">
        <f t="shared" si="10"/>
        <v>140.28570000000002</v>
      </c>
      <c r="R34" s="68">
        <f t="shared" si="11"/>
        <v>0</v>
      </c>
      <c r="S34" s="68">
        <f t="shared" si="11"/>
        <v>0.49879360000000006</v>
      </c>
      <c r="T34" s="68">
        <f t="shared" si="11"/>
        <v>0</v>
      </c>
      <c r="U34" s="68">
        <f t="shared" si="11"/>
        <v>0</v>
      </c>
    </row>
    <row r="35" spans="1:21" s="51" customFormat="1" ht="13" x14ac:dyDescent="0.35">
      <c r="A35" s="10">
        <f>G8</f>
        <v>9155</v>
      </c>
      <c r="B35" s="12">
        <v>0</v>
      </c>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ht="13" x14ac:dyDescent="0.35">
      <c r="A36" s="10">
        <f>H8</f>
        <v>2062</v>
      </c>
      <c r="B36" s="12">
        <v>68</v>
      </c>
      <c r="C36" s="68">
        <f t="shared" si="6"/>
        <v>142.34440000000001</v>
      </c>
      <c r="D36" s="68">
        <f t="shared" si="7"/>
        <v>53.633134760000011</v>
      </c>
      <c r="E36" s="68">
        <f t="shared" si="8"/>
        <v>2.2539235800000002E-4</v>
      </c>
      <c r="F36" s="68">
        <f t="shared" si="9"/>
        <v>5.3052816640000007</v>
      </c>
      <c r="G36" s="68">
        <f t="shared" si="5"/>
        <v>0.24822040000000004</v>
      </c>
      <c r="H36" s="68">
        <f t="shared" si="5"/>
        <v>0.75524880000000016</v>
      </c>
      <c r="I36" s="68">
        <f t="shared" si="5"/>
        <v>8.4700800000000007E-2</v>
      </c>
      <c r="J36" s="68">
        <f t="shared" si="5"/>
        <v>3.6468400000000006E-3</v>
      </c>
      <c r="K36" s="68">
        <f t="shared" si="5"/>
        <v>6.7054800000000006E-3</v>
      </c>
      <c r="L36" s="68">
        <f t="shared" si="5"/>
        <v>7.9995200000000002E-2</v>
      </c>
      <c r="M36" s="68">
        <f t="shared" si="5"/>
        <v>5.0585200000000004E-2</v>
      </c>
      <c r="N36" s="68">
        <f t="shared" si="5"/>
        <v>1470.5000000000002</v>
      </c>
      <c r="O36" s="68">
        <f t="shared" si="5"/>
        <v>214.10480000000001</v>
      </c>
      <c r="P36" s="68">
        <f t="shared" si="5"/>
        <v>0</v>
      </c>
      <c r="Q36" s="68">
        <f t="shared" si="10"/>
        <v>140.28570000000002</v>
      </c>
      <c r="R36" s="68">
        <f t="shared" si="11"/>
        <v>0</v>
      </c>
      <c r="S36" s="68">
        <f t="shared" si="11"/>
        <v>0.49879360000000006</v>
      </c>
      <c r="T36" s="68">
        <f t="shared" si="11"/>
        <v>0</v>
      </c>
      <c r="U36" s="68">
        <f t="shared" si="11"/>
        <v>0</v>
      </c>
    </row>
    <row r="37" spans="1:21" s="51" customFormat="1" ht="13" x14ac:dyDescent="0.35">
      <c r="A37" s="10">
        <f>I8</f>
        <v>834</v>
      </c>
      <c r="B37" s="12">
        <v>79</v>
      </c>
      <c r="C37" s="68">
        <f t="shared" si="6"/>
        <v>165.3707</v>
      </c>
      <c r="D37" s="68">
        <f t="shared" si="7"/>
        <v>62.309083030000011</v>
      </c>
      <c r="E37" s="68">
        <f t="shared" si="8"/>
        <v>2.6185288650000001E-4</v>
      </c>
      <c r="F37" s="68">
        <f t="shared" si="9"/>
        <v>6.1634889920000013</v>
      </c>
      <c r="G37" s="68">
        <f t="shared" si="5"/>
        <v>0.28837370000000001</v>
      </c>
      <c r="H37" s="68">
        <f t="shared" si="5"/>
        <v>0.87742140000000024</v>
      </c>
      <c r="I37" s="68">
        <f t="shared" si="5"/>
        <v>9.8402400000000015E-2</v>
      </c>
      <c r="J37" s="68">
        <f t="shared" si="5"/>
        <v>4.2367700000000008E-3</v>
      </c>
      <c r="K37" s="68">
        <f t="shared" si="5"/>
        <v>7.7901900000000007E-3</v>
      </c>
      <c r="L37" s="68">
        <f t="shared" si="5"/>
        <v>9.2935599999999993E-2</v>
      </c>
      <c r="M37" s="68">
        <f t="shared" si="5"/>
        <v>5.8768100000000004E-2</v>
      </c>
      <c r="N37" s="68">
        <f t="shared" si="5"/>
        <v>1708.3750000000002</v>
      </c>
      <c r="O37" s="68">
        <f t="shared" si="5"/>
        <v>248.73940000000002</v>
      </c>
      <c r="P37" s="68">
        <f t="shared" si="5"/>
        <v>0</v>
      </c>
      <c r="Q37" s="68">
        <f t="shared" si="10"/>
        <v>162.97897500000002</v>
      </c>
      <c r="R37" s="68">
        <f t="shared" si="11"/>
        <v>0</v>
      </c>
      <c r="S37" s="68">
        <f t="shared" si="11"/>
        <v>0.57948080000000002</v>
      </c>
      <c r="T37" s="68">
        <f t="shared" si="11"/>
        <v>0</v>
      </c>
      <c r="U37" s="68">
        <f t="shared" si="11"/>
        <v>0</v>
      </c>
    </row>
    <row r="38" spans="1:21" s="51" customFormat="1" ht="13" x14ac:dyDescent="0.35">
      <c r="A38" s="10">
        <f>J8</f>
        <v>5928</v>
      </c>
      <c r="B38" s="12">
        <v>79</v>
      </c>
      <c r="C38" s="68">
        <f t="shared" si="6"/>
        <v>165.3707</v>
      </c>
      <c r="D38" s="68">
        <f t="shared" si="7"/>
        <v>62.309083030000011</v>
      </c>
      <c r="E38" s="68">
        <f t="shared" si="8"/>
        <v>2.6185288650000001E-4</v>
      </c>
      <c r="F38" s="68">
        <f t="shared" si="9"/>
        <v>6.1634889920000013</v>
      </c>
      <c r="G38" s="68">
        <f t="shared" si="5"/>
        <v>0.28837370000000001</v>
      </c>
      <c r="H38" s="68">
        <f t="shared" si="5"/>
        <v>0.87742140000000024</v>
      </c>
      <c r="I38" s="68">
        <f t="shared" si="5"/>
        <v>9.8402400000000015E-2</v>
      </c>
      <c r="J38" s="68">
        <f t="shared" si="5"/>
        <v>4.2367700000000008E-3</v>
      </c>
      <c r="K38" s="68">
        <f t="shared" si="5"/>
        <v>7.7901900000000007E-3</v>
      </c>
      <c r="L38" s="68">
        <f t="shared" si="5"/>
        <v>9.2935599999999993E-2</v>
      </c>
      <c r="M38" s="68">
        <f t="shared" si="5"/>
        <v>5.8768100000000004E-2</v>
      </c>
      <c r="N38" s="68">
        <f t="shared" si="5"/>
        <v>1708.3750000000002</v>
      </c>
      <c r="O38" s="68">
        <f t="shared" si="5"/>
        <v>248.73940000000002</v>
      </c>
      <c r="P38" s="68">
        <f t="shared" si="5"/>
        <v>0</v>
      </c>
      <c r="Q38" s="68">
        <f t="shared" si="10"/>
        <v>162.97897500000002</v>
      </c>
      <c r="R38" s="68">
        <f t="shared" si="11"/>
        <v>0</v>
      </c>
      <c r="S38" s="68">
        <f t="shared" si="11"/>
        <v>0.57948080000000002</v>
      </c>
      <c r="T38" s="68">
        <f t="shared" si="11"/>
        <v>0</v>
      </c>
      <c r="U38" s="68">
        <f t="shared" si="11"/>
        <v>0</v>
      </c>
    </row>
    <row r="39" spans="1:21" s="51" customFormat="1" ht="13" x14ac:dyDescent="0.35">
      <c r="A39" s="10">
        <f>K8</f>
        <v>3370</v>
      </c>
      <c r="B39" s="12">
        <v>79</v>
      </c>
      <c r="C39" s="68">
        <f t="shared" si="6"/>
        <v>165.3707</v>
      </c>
      <c r="D39" s="68">
        <f t="shared" si="7"/>
        <v>62.309083030000011</v>
      </c>
      <c r="E39" s="68">
        <f t="shared" si="8"/>
        <v>2.6185288650000001E-4</v>
      </c>
      <c r="F39" s="68">
        <f t="shared" si="9"/>
        <v>6.1634889920000013</v>
      </c>
      <c r="G39" s="68">
        <f t="shared" si="5"/>
        <v>0.28837370000000001</v>
      </c>
      <c r="H39" s="68">
        <f t="shared" si="5"/>
        <v>0.87742140000000024</v>
      </c>
      <c r="I39" s="68">
        <f t="shared" si="5"/>
        <v>9.8402400000000015E-2</v>
      </c>
      <c r="J39" s="68">
        <f t="shared" si="5"/>
        <v>4.2367700000000008E-3</v>
      </c>
      <c r="K39" s="68">
        <f t="shared" si="5"/>
        <v>7.7901900000000007E-3</v>
      </c>
      <c r="L39" s="68">
        <f t="shared" si="5"/>
        <v>9.2935599999999993E-2</v>
      </c>
      <c r="M39" s="68">
        <f t="shared" si="5"/>
        <v>5.8768100000000004E-2</v>
      </c>
      <c r="N39" s="68">
        <f t="shared" si="5"/>
        <v>1708.3750000000002</v>
      </c>
      <c r="O39" s="68">
        <f t="shared" si="5"/>
        <v>248.73940000000002</v>
      </c>
      <c r="P39" s="68">
        <f t="shared" si="5"/>
        <v>0</v>
      </c>
      <c r="Q39" s="68">
        <f t="shared" si="10"/>
        <v>162.97897500000002</v>
      </c>
      <c r="R39" s="68">
        <f t="shared" si="11"/>
        <v>0</v>
      </c>
      <c r="S39" s="68">
        <f t="shared" si="11"/>
        <v>0.57948080000000002</v>
      </c>
      <c r="T39" s="68">
        <f t="shared" si="11"/>
        <v>0</v>
      </c>
      <c r="U39" s="68">
        <f t="shared" si="11"/>
        <v>0</v>
      </c>
    </row>
    <row r="40" spans="1:21" s="51" customFormat="1" ht="13" x14ac:dyDescent="0.35">
      <c r="A40" s="10">
        <f>L8</f>
        <v>3234</v>
      </c>
      <c r="B40" s="12">
        <v>79</v>
      </c>
      <c r="C40" s="68">
        <f t="shared" si="6"/>
        <v>165.3707</v>
      </c>
      <c r="D40" s="68">
        <f t="shared" si="7"/>
        <v>62.309083030000011</v>
      </c>
      <c r="E40" s="68">
        <f t="shared" si="8"/>
        <v>2.6185288650000001E-4</v>
      </c>
      <c r="F40" s="68">
        <f t="shared" si="9"/>
        <v>6.1634889920000013</v>
      </c>
      <c r="G40" s="68">
        <f t="shared" si="5"/>
        <v>0.28837370000000001</v>
      </c>
      <c r="H40" s="68">
        <f t="shared" si="5"/>
        <v>0.87742140000000024</v>
      </c>
      <c r="I40" s="68">
        <f t="shared" si="5"/>
        <v>9.8402400000000015E-2</v>
      </c>
      <c r="J40" s="68">
        <f t="shared" si="5"/>
        <v>4.2367700000000008E-3</v>
      </c>
      <c r="K40" s="68">
        <f t="shared" si="5"/>
        <v>7.7901900000000007E-3</v>
      </c>
      <c r="L40" s="68">
        <f t="shared" si="5"/>
        <v>9.2935599999999993E-2</v>
      </c>
      <c r="M40" s="68">
        <f t="shared" si="5"/>
        <v>5.8768100000000004E-2</v>
      </c>
      <c r="N40" s="68">
        <f t="shared" si="5"/>
        <v>1708.3750000000002</v>
      </c>
      <c r="O40" s="68">
        <f t="shared" si="5"/>
        <v>248.73940000000002</v>
      </c>
      <c r="P40" s="68">
        <f t="shared" si="5"/>
        <v>0</v>
      </c>
      <c r="Q40" s="68">
        <f t="shared" si="10"/>
        <v>162.97897500000002</v>
      </c>
      <c r="R40" s="68">
        <f t="shared" si="11"/>
        <v>0</v>
      </c>
      <c r="S40" s="68">
        <f t="shared" si="11"/>
        <v>0.57948080000000002</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"&amp;(VLOOKUP(C14,Table24567[],6,FALSE))</f>
        <v>0 I Arable</v>
      </c>
      <c r="C58" s="10" t="str">
        <f>D16&amp;" I "&amp;(VLOOKUP(D14,Table24567[],6,FALSE))</f>
        <v>0 I Arable</v>
      </c>
      <c r="D58" s="10" t="str">
        <f>E16&amp;" I "&amp;(VLOOKUP(E14,Table24567[],6,FALSE))</f>
        <v>0 I Grass</v>
      </c>
      <c r="E58" s="10" t="str">
        <f>F16&amp;" I "&amp;(VLOOKUP(F14,Table24567[],6,FALSE))</f>
        <v>0 I Arable</v>
      </c>
      <c r="F58" s="10" t="str">
        <f>G16&amp;" I "&amp;(VLOOKUP(G14,Table24567[],6,FALSE))</f>
        <v>0 I Grass</v>
      </c>
      <c r="G58" s="10" t="str">
        <f>H16&amp;" I "&amp;(VLOOKUP(H14,Table24567[],6,FALSE))</f>
        <v>0 I Arable</v>
      </c>
      <c r="H58" s="10" t="str">
        <f>I16&amp;" I "&amp;(VLOOKUP(I14,Table24567[],6,FALSE))</f>
        <v>0 I Arable</v>
      </c>
      <c r="I58" s="10" t="str">
        <f>J16&amp;" I "&amp;(VLOOKUP(J14,Table24567[],6,FALSE))</f>
        <v>0 I Arable</v>
      </c>
      <c r="J58" s="10" t="str">
        <f>K16&amp;" I "&amp;(VLOOKUP(K14,Table24567[],6,FALSE))</f>
        <v>0 I Arable</v>
      </c>
      <c r="K58" s="10" t="str">
        <f>L16&amp;" I "&amp;(VLOOKUP(L14,Table24567[],6,FALSE))</f>
        <v>0 I Arable</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100" t="s">
        <v>132</v>
      </c>
      <c r="B59" s="67">
        <f>VLOOKUP(C$14,Table24567[],5,FALSE)</f>
        <v>6.7</v>
      </c>
      <c r="C59" s="67">
        <f>VLOOKUP(D$14,Table24567[],5,FALSE)</f>
        <v>6.7</v>
      </c>
      <c r="D59" s="67">
        <f>VLOOKUP(E$14,Table24567[],5,FALSE)</f>
        <v>6.2</v>
      </c>
      <c r="E59" s="67">
        <f>VLOOKUP(F$14,Table24567[],5,FALSE)</f>
        <v>6.7</v>
      </c>
      <c r="F59" s="67">
        <f>VLOOKUP(G$14,Table24567[],5,FALSE)</f>
        <v>6.2</v>
      </c>
      <c r="G59" s="67">
        <f>VLOOKUP(H$14,Table24567[],5,FALSE)</f>
        <v>6.7</v>
      </c>
      <c r="H59" s="67">
        <f>VLOOKUP(I$14,Table24567[],5,FALSE)</f>
        <v>6.7</v>
      </c>
      <c r="I59" s="67">
        <f>VLOOKUP(J$14,Table24567[],5,FALSE)</f>
        <v>6.7</v>
      </c>
      <c r="J59" s="67">
        <f>VLOOKUP(K$14,Table24567[],5,FALSE)</f>
        <v>6.7</v>
      </c>
      <c r="K59" s="67">
        <f>VLOOKUP(L$14,Table24567[],5,FALSE)</f>
        <v>6.7</v>
      </c>
      <c r="L59" s="67" t="e">
        <f>VLOOKUP(M$14,Table24567[],5,FALSE)</f>
        <v>#N/A</v>
      </c>
      <c r="M59" s="67" t="e">
        <f>VLOOKUP(N$14,Table24567[],5,FALSE)</f>
        <v>#N/A</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68</v>
      </c>
      <c r="C62" s="68">
        <f>B32</f>
        <v>68</v>
      </c>
      <c r="D62" s="68">
        <f>B33</f>
        <v>50</v>
      </c>
      <c r="E62" s="68">
        <f>B34</f>
        <v>68</v>
      </c>
      <c r="F62" s="68">
        <f>B35</f>
        <v>0</v>
      </c>
      <c r="G62" s="68">
        <f>B36</f>
        <v>68</v>
      </c>
      <c r="H62" s="68">
        <f>B37</f>
        <v>79</v>
      </c>
      <c r="I62" s="68">
        <f>B38</f>
        <v>79</v>
      </c>
      <c r="J62" s="68">
        <f>B39</f>
        <v>79</v>
      </c>
      <c r="K62" s="68">
        <f>B40</f>
        <v>79</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Q26" sqref="Q2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'Bolton Hill'!C1:D1</f>
        <v>PAN-028991</v>
      </c>
      <c r="D1" s="128"/>
      <c r="E1" s="83" t="s">
        <v>45</v>
      </c>
      <c r="F1" s="32">
        <f>'Bolton Hill'!F1</f>
        <v>49.4</v>
      </c>
      <c r="G1" s="110" t="s">
        <v>43</v>
      </c>
      <c r="H1" s="111"/>
      <c r="I1" s="86">
        <v>7.5</v>
      </c>
      <c r="J1" s="114" t="s">
        <v>153</v>
      </c>
      <c r="K1" s="114"/>
      <c r="L1" s="86">
        <v>251</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'Bolton Hill'!C2:D2</f>
        <v>EPR/AB3891CX</v>
      </c>
      <c r="D2" s="130"/>
      <c r="E2" s="83" t="s">
        <v>109</v>
      </c>
      <c r="F2" s="86" t="s">
        <v>166</v>
      </c>
      <c r="G2" s="112" t="s">
        <v>110</v>
      </c>
      <c r="H2" s="113"/>
      <c r="I2" s="86"/>
      <c r="J2" s="114" t="s">
        <v>158</v>
      </c>
      <c r="K2" s="114"/>
      <c r="L2" s="86">
        <v>0.72499999999999998</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'Bolton Hill'!C3:D3</f>
        <v>Mr Daniel James and Mrs Carys James</v>
      </c>
      <c r="D3" s="130"/>
      <c r="E3" s="83" t="s">
        <v>108</v>
      </c>
      <c r="F3" s="24" t="s">
        <v>78</v>
      </c>
      <c r="G3" s="114" t="s">
        <v>159</v>
      </c>
      <c r="H3" s="114"/>
      <c r="I3" s="86"/>
      <c r="J3" s="110" t="s">
        <v>154</v>
      </c>
      <c r="K3" s="111"/>
      <c r="L3" s="86">
        <f>(L1/(L2*10000))*100</f>
        <v>3.4620689655172412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'Bolton Hill'!C4:D4</f>
        <v>Clyn yr Ynys, cwbert, Cardigan, Ceredigion, SA43 1PR</v>
      </c>
      <c r="D4" s="128"/>
      <c r="E4" s="84" t="s">
        <v>1</v>
      </c>
      <c r="F4" s="86" t="s">
        <v>175</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'Bolton Hill'!C5:D5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'Bolton Hill'!C8</f>
        <v>5505</v>
      </c>
      <c r="D8" s="52">
        <f>'Bolton Hill'!D8</f>
        <v>4885</v>
      </c>
      <c r="E8" s="52">
        <f>'Bolton Hill'!E8</f>
        <v>2056</v>
      </c>
      <c r="F8" s="52">
        <f>'Bolton Hill'!F8</f>
        <v>2</v>
      </c>
      <c r="G8" s="52">
        <f>'Bolton Hill'!G8</f>
        <v>9155</v>
      </c>
      <c r="H8" s="52">
        <f>'Bolton Hill'!H8</f>
        <v>2062</v>
      </c>
      <c r="I8" s="52">
        <f>'Bolton Hill'!I8</f>
        <v>834</v>
      </c>
      <c r="J8" s="52">
        <f>'Bolton Hill'!J8</f>
        <v>5928</v>
      </c>
      <c r="K8" s="52">
        <f>'Bolton Hill'!K8</f>
        <v>3370</v>
      </c>
      <c r="L8" s="52">
        <f>'Bolton Hill'!L8</f>
        <v>3234</v>
      </c>
      <c r="M8" s="52">
        <f>'Bolton Hill'!M8</f>
        <v>0</v>
      </c>
      <c r="N8" s="52">
        <f>'Bolton Hill'!N8</f>
        <v>0</v>
      </c>
      <c r="O8" s="52">
        <f>'Bolton Hill'!O8</f>
        <v>0</v>
      </c>
      <c r="P8" s="52">
        <f>'Bolton Hill'!P8</f>
        <v>0</v>
      </c>
      <c r="Q8" s="52">
        <f>'Bolton Hill'!Q8</f>
        <v>0</v>
      </c>
      <c r="R8" s="52">
        <f>'Bolton Hill'!R8</f>
        <v>0</v>
      </c>
      <c r="S8" s="52">
        <f>'Bolton Hill'!S8</f>
        <v>0</v>
      </c>
      <c r="T8" s="52">
        <f>'Bolton Hill'!T8</f>
        <v>0</v>
      </c>
      <c r="U8" s="52">
        <f>'Bolton Hill'!U8</f>
        <v>0</v>
      </c>
      <c r="V8" s="52">
        <f>'Bolton Hill'!V8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'Bolton Hill'!C9</f>
        <v>0</v>
      </c>
      <c r="D9" s="52">
        <f>'Bolton Hill'!D9</f>
        <v>0</v>
      </c>
      <c r="E9" s="52">
        <f>'Bolton Hill'!E9</f>
        <v>0</v>
      </c>
      <c r="F9" s="52">
        <f>'Bolton Hill'!F9</f>
        <v>0</v>
      </c>
      <c r="G9" s="52">
        <f>'Bolton Hill'!G9</f>
        <v>0</v>
      </c>
      <c r="H9" s="52">
        <f>'Bolton Hill'!H9</f>
        <v>0</v>
      </c>
      <c r="I9" s="52">
        <f>'Bolton Hill'!I9</f>
        <v>0</v>
      </c>
      <c r="J9" s="52">
        <f>'Bolton Hill'!J9</f>
        <v>0</v>
      </c>
      <c r="K9" s="52">
        <f>'Bolton Hill'!K9</f>
        <v>0</v>
      </c>
      <c r="L9" s="52">
        <f>'Bolton Hill'!L9</f>
        <v>0</v>
      </c>
      <c r="M9" s="52">
        <f>'Bolton Hill'!M9</f>
        <v>0</v>
      </c>
      <c r="N9" s="52">
        <f>'Bolton Hill'!N9</f>
        <v>0</v>
      </c>
      <c r="O9" s="52">
        <f>'Bolton Hill'!O9</f>
        <v>0</v>
      </c>
      <c r="P9" s="52">
        <f>'Bolton Hill'!P9</f>
        <v>0</v>
      </c>
      <c r="Q9" s="52">
        <f>'Bolton Hill'!Q9</f>
        <v>0</v>
      </c>
      <c r="R9" s="52">
        <f>'Bolton Hill'!R9</f>
        <v>0</v>
      </c>
      <c r="S9" s="52">
        <f>'Bolton Hill'!S9</f>
        <v>0</v>
      </c>
      <c r="T9" s="52">
        <f>'Bolton Hill'!T9</f>
        <v>0</v>
      </c>
      <c r="U9" s="52">
        <f>'Bolton Hill'!U9</f>
        <v>0</v>
      </c>
      <c r="V9" s="52">
        <f>'Bolton Hill'!V9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'Bolton Hill'!C10</f>
        <v>6.2</v>
      </c>
      <c r="D10" s="52">
        <f>'Bolton Hill'!D10</f>
        <v>6.1</v>
      </c>
      <c r="E10" s="52">
        <f>'Bolton Hill'!E10</f>
        <v>6</v>
      </c>
      <c r="F10" s="52">
        <f>'Bolton Hill'!F10</f>
        <v>6.3</v>
      </c>
      <c r="G10" s="52">
        <f>'Bolton Hill'!G10</f>
        <v>5.9</v>
      </c>
      <c r="H10" s="52">
        <f>'Bolton Hill'!H10</f>
        <v>6.3</v>
      </c>
      <c r="I10" s="52">
        <f>'Bolton Hill'!I10</f>
        <v>6.4</v>
      </c>
      <c r="J10" s="52">
        <f>'Bolton Hill'!J10</f>
        <v>6.4</v>
      </c>
      <c r="K10" s="52">
        <f>'Bolton Hill'!K10</f>
        <v>6.1</v>
      </c>
      <c r="L10" s="52">
        <f>'Bolton Hill'!L10</f>
        <v>6.1</v>
      </c>
      <c r="M10" s="52">
        <f>'Bolton Hill'!M10</f>
        <v>0</v>
      </c>
      <c r="N10" s="52">
        <f>'Bolton Hill'!N10</f>
        <v>0</v>
      </c>
      <c r="O10" s="52">
        <f>'Bolton Hill'!O10</f>
        <v>0</v>
      </c>
      <c r="P10" s="52">
        <f>'Bolton Hill'!P10</f>
        <v>0</v>
      </c>
      <c r="Q10" s="52">
        <f>'Bolton Hill'!Q10</f>
        <v>0</v>
      </c>
      <c r="R10" s="52">
        <f>'Bolton Hill'!R10</f>
        <v>0</v>
      </c>
      <c r="S10" s="52">
        <f>'Bolton Hill'!S10</f>
        <v>0</v>
      </c>
      <c r="T10" s="52">
        <f>'Bolton Hill'!T10</f>
        <v>0</v>
      </c>
      <c r="U10" s="52">
        <f>'Bolton Hill'!U10</f>
        <v>0</v>
      </c>
      <c r="V10" s="52">
        <f>'Bolton Hill'!V10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'Bolton Hill'!C11</f>
        <v>3</v>
      </c>
      <c r="D11" s="52">
        <f>'Bolton Hill'!D11</f>
        <v>3</v>
      </c>
      <c r="E11" s="52">
        <f>'Bolton Hill'!E11</f>
        <v>3</v>
      </c>
      <c r="F11" s="52">
        <f>'Bolton Hill'!F11</f>
        <v>3</v>
      </c>
      <c r="G11" s="52">
        <f>'Bolton Hill'!G11</f>
        <v>2</v>
      </c>
      <c r="H11" s="52">
        <f>'Bolton Hill'!H11</f>
        <v>2</v>
      </c>
      <c r="I11" s="52">
        <f>'Bolton Hill'!I11</f>
        <v>1</v>
      </c>
      <c r="J11" s="52">
        <f>'Bolton Hill'!J11</f>
        <v>2</v>
      </c>
      <c r="K11" s="52">
        <f>'Bolton Hill'!K11</f>
        <v>2</v>
      </c>
      <c r="L11" s="52">
        <f>'Bolton Hill'!L11</f>
        <v>1</v>
      </c>
      <c r="M11" s="52">
        <f>'Bolton Hill'!M11</f>
        <v>0</v>
      </c>
      <c r="N11" s="52">
        <f>'Bolton Hill'!N11</f>
        <v>0</v>
      </c>
      <c r="O11" s="52">
        <f>'Bolton Hill'!O11</f>
        <v>0</v>
      </c>
      <c r="P11" s="52">
        <f>'Bolton Hill'!P11</f>
        <v>0</v>
      </c>
      <c r="Q11" s="52">
        <f>'Bolton Hill'!Q11</f>
        <v>0</v>
      </c>
      <c r="R11" s="52">
        <f>'Bolton Hill'!R11</f>
        <v>0</v>
      </c>
      <c r="S11" s="52">
        <f>'Bolton Hill'!S11</f>
        <v>0</v>
      </c>
      <c r="T11" s="52">
        <f>'Bolton Hill'!T11</f>
        <v>0</v>
      </c>
      <c r="U11" s="52">
        <f>'Bolton Hill'!U11</f>
        <v>0</v>
      </c>
      <c r="V11" s="52">
        <f>'Bolton Hill'!V11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'Bolton Hill'!C12</f>
        <v>3</v>
      </c>
      <c r="D12" s="52">
        <f>'Bolton Hill'!D12</f>
        <v>3</v>
      </c>
      <c r="E12" s="52">
        <f>'Bolton Hill'!E12</f>
        <v>2</v>
      </c>
      <c r="F12" s="52">
        <f>'Bolton Hill'!F12</f>
        <v>3</v>
      </c>
      <c r="G12" s="52">
        <f>'Bolton Hill'!G12</f>
        <v>2</v>
      </c>
      <c r="H12" s="52">
        <f>'Bolton Hill'!H12</f>
        <v>2</v>
      </c>
      <c r="I12" s="52">
        <f>'Bolton Hill'!I12</f>
        <v>2</v>
      </c>
      <c r="J12" s="52">
        <f>'Bolton Hill'!J12</f>
        <v>2</v>
      </c>
      <c r="K12" s="52">
        <f>'Bolton Hill'!K12</f>
        <v>1</v>
      </c>
      <c r="L12" s="52">
        <f>'Bolton Hill'!L12</f>
        <v>2</v>
      </c>
      <c r="M12" s="52">
        <f>'Bolton Hill'!M12</f>
        <v>0</v>
      </c>
      <c r="N12" s="52">
        <f>'Bolton Hill'!N12</f>
        <v>0</v>
      </c>
      <c r="O12" s="52">
        <f>'Bolton Hill'!O12</f>
        <v>0</v>
      </c>
      <c r="P12" s="52">
        <f>'Bolton Hill'!P12</f>
        <v>0</v>
      </c>
      <c r="Q12" s="52">
        <f>'Bolton Hill'!Q12</f>
        <v>0</v>
      </c>
      <c r="R12" s="52">
        <f>'Bolton Hill'!R12</f>
        <v>0</v>
      </c>
      <c r="S12" s="52">
        <f>'Bolton Hill'!S12</f>
        <v>0</v>
      </c>
      <c r="T12" s="52">
        <f>'Bolton Hill'!T12</f>
        <v>0</v>
      </c>
      <c r="U12" s="52">
        <f>'Bolton Hill'!U12</f>
        <v>0</v>
      </c>
      <c r="V12" s="52">
        <f>'Bolton Hill'!V12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'Bolton Hill'!C13</f>
        <v>3</v>
      </c>
      <c r="D13" s="52">
        <f>'Bolton Hill'!D13</f>
        <v>3</v>
      </c>
      <c r="E13" s="52">
        <f>'Bolton Hill'!E13</f>
        <v>3</v>
      </c>
      <c r="F13" s="52">
        <f>'Bolton Hill'!F13</f>
        <v>2</v>
      </c>
      <c r="G13" s="52">
        <f>'Bolton Hill'!G13</f>
        <v>3</v>
      </c>
      <c r="H13" s="52">
        <f>'Bolton Hill'!H13</f>
        <v>5</v>
      </c>
      <c r="I13" s="52">
        <f>'Bolton Hill'!I13</f>
        <v>3</v>
      </c>
      <c r="J13" s="52">
        <f>'Bolton Hill'!J13</f>
        <v>2</v>
      </c>
      <c r="K13" s="52">
        <f>'Bolton Hill'!K13</f>
        <v>2</v>
      </c>
      <c r="L13" s="52">
        <f>'Bolton Hill'!L13</f>
        <v>3</v>
      </c>
      <c r="M13" s="52">
        <f>'Bolton Hill'!M13</f>
        <v>0</v>
      </c>
      <c r="N13" s="52">
        <f>'Bolton Hill'!N13</f>
        <v>0</v>
      </c>
      <c r="O13" s="52">
        <f>'Bolton Hill'!O13</f>
        <v>0</v>
      </c>
      <c r="P13" s="52">
        <f>'Bolton Hill'!P13</f>
        <v>0</v>
      </c>
      <c r="Q13" s="52">
        <f>'Bolton Hill'!Q13</f>
        <v>0</v>
      </c>
      <c r="R13" s="52">
        <f>'Bolton Hill'!R13</f>
        <v>0</v>
      </c>
      <c r="S13" s="52">
        <f>'Bolton Hill'!S13</f>
        <v>0</v>
      </c>
      <c r="T13" s="52">
        <f>'Bolton Hill'!T13</f>
        <v>0</v>
      </c>
      <c r="U13" s="52">
        <f>'Bolton Hill'!U13</f>
        <v>0</v>
      </c>
      <c r="V13" s="52">
        <f>'Bolton Hill'!V13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'Bolton Hill'!C14</f>
        <v>Spring wheat/barley</v>
      </c>
      <c r="D14" s="91" t="str">
        <f>'Bolton Hill'!D14</f>
        <v>Spring wheat/barley</v>
      </c>
      <c r="E14" s="91" t="str">
        <f>'Bolton Hill'!E14</f>
        <v xml:space="preserve">Grass Silage (25% DM) </v>
      </c>
      <c r="F14" s="91" t="str">
        <f>'Bolton Hill'!F14</f>
        <v>Spring wheat/barley</v>
      </c>
      <c r="G14" s="91" t="str">
        <f>'Bolton Hill'!G14</f>
        <v xml:space="preserve">Grass Silage (25% DM) </v>
      </c>
      <c r="H14" s="91" t="str">
        <f>'Bolton Hill'!H14</f>
        <v>Spring wheat/barley</v>
      </c>
      <c r="I14" s="91" t="str">
        <f>'Bolton Hill'!I14</f>
        <v>Spring wheat/barley</v>
      </c>
      <c r="J14" s="91" t="str">
        <f>'Bolton Hill'!J14</f>
        <v>Maize- Silage (30% DM)</v>
      </c>
      <c r="K14" s="91" t="str">
        <f>'Bolton Hill'!K14</f>
        <v>Maize- Silage (30% DM)</v>
      </c>
      <c r="L14" s="91" t="str">
        <f>'Bolton Hill'!L14</f>
        <v>Spring wheat/barley</v>
      </c>
      <c r="M14" s="91">
        <f>'Bolton Hill'!M14</f>
        <v>0</v>
      </c>
      <c r="N14" s="91">
        <f>'Bolton Hill'!N14</f>
        <v>0</v>
      </c>
      <c r="O14" s="91">
        <f>'Bolton Hill'!O14</f>
        <v>0</v>
      </c>
      <c r="P14" s="91">
        <f>'Bolton Hill'!P14</f>
        <v>0</v>
      </c>
      <c r="Q14" s="91">
        <f>'Bolton Hill'!Q14</f>
        <v>0</v>
      </c>
      <c r="R14" s="91">
        <f>'Bolton Hill'!R14</f>
        <v>0</v>
      </c>
      <c r="S14" s="91">
        <f>'Bolton Hill'!S14</f>
        <v>0</v>
      </c>
      <c r="T14" s="91">
        <f>'Bolton Hill'!T14</f>
        <v>0</v>
      </c>
      <c r="U14" s="91">
        <f>'Bolton Hill'!U14</f>
        <v>0</v>
      </c>
      <c r="V14" s="91">
        <f>'Bolton Hill'!V14</f>
        <v>0</v>
      </c>
      <c r="AD14" s="23" t="s">
        <v>138</v>
      </c>
      <c r="AE14" s="23">
        <v>6</v>
      </c>
      <c r="AI14" s="46" t="s">
        <v>119</v>
      </c>
      <c r="AJ14" s="47">
        <v>0.8</v>
      </c>
      <c r="AK14" s="48">
        <v>1.7</v>
      </c>
      <c r="AL14" s="9">
        <v>12</v>
      </c>
      <c r="AM14" s="9">
        <v>6.7</v>
      </c>
      <c r="AN14" s="9" t="s">
        <v>135</v>
      </c>
    </row>
    <row r="15" spans="1:41" ht="13" x14ac:dyDescent="0.25">
      <c r="A15" s="122" t="s">
        <v>9</v>
      </c>
      <c r="B15" s="122"/>
      <c r="C15" s="52">
        <f>'Bolton Hill'!C15</f>
        <v>30</v>
      </c>
      <c r="D15" s="52">
        <f>'Bolton Hill'!D15</f>
        <v>30</v>
      </c>
      <c r="E15" s="52">
        <f>'Bolton Hill'!E15</f>
        <v>47</v>
      </c>
      <c r="F15" s="52">
        <f>'Bolton Hill'!F15</f>
        <v>30</v>
      </c>
      <c r="G15" s="52">
        <f>'Bolton Hill'!G15</f>
        <v>47</v>
      </c>
      <c r="H15" s="52">
        <f>'Bolton Hill'!H15</f>
        <v>30</v>
      </c>
      <c r="I15" s="52">
        <f>'Bolton Hill'!I15</f>
        <v>30</v>
      </c>
      <c r="J15" s="52">
        <f>'Bolton Hill'!J15</f>
        <v>45</v>
      </c>
      <c r="K15" s="52">
        <f>'Bolton Hill'!K15</f>
        <v>45</v>
      </c>
      <c r="L15" s="52">
        <f>'Bolton Hill'!L15</f>
        <v>30</v>
      </c>
      <c r="M15" s="52">
        <f>'Bolton Hill'!M15</f>
        <v>0</v>
      </c>
      <c r="N15" s="52">
        <f>'Bolton Hill'!N15</f>
        <v>0</v>
      </c>
      <c r="O15" s="52">
        <f>'Bolton Hill'!O15</f>
        <v>0</v>
      </c>
      <c r="P15" s="52">
        <f>'Bolton Hill'!P15</f>
        <v>0</v>
      </c>
      <c r="Q15" s="52">
        <f>'Bolton Hill'!Q15</f>
        <v>0</v>
      </c>
      <c r="R15" s="52">
        <f>'Bolton Hill'!R15</f>
        <v>0</v>
      </c>
      <c r="S15" s="52">
        <f>'Bolton Hill'!S15</f>
        <v>0</v>
      </c>
      <c r="T15" s="52">
        <f>'Bolton Hill'!T15</f>
        <v>0</v>
      </c>
      <c r="U15" s="52">
        <f>'Bolton Hill'!U15</f>
        <v>0</v>
      </c>
      <c r="V15" s="52">
        <f>'Bolton Hill'!V15</f>
        <v>0</v>
      </c>
      <c r="AD15" s="23" t="s">
        <v>144</v>
      </c>
      <c r="AE15" s="23">
        <v>7</v>
      </c>
      <c r="AI15" s="46" t="s">
        <v>101</v>
      </c>
      <c r="AJ15" s="54">
        <v>1.8</v>
      </c>
      <c r="AK15" s="48">
        <v>5.4</v>
      </c>
      <c r="AL15" s="9">
        <v>13</v>
      </c>
      <c r="AM15" s="9">
        <v>6.7</v>
      </c>
      <c r="AN15" s="9" t="s">
        <v>135</v>
      </c>
    </row>
    <row r="16" spans="1:41" ht="13.5" thickBot="1" x14ac:dyDescent="0.3">
      <c r="A16" s="124" t="s">
        <v>44</v>
      </c>
      <c r="B16" s="124"/>
      <c r="C16" s="92">
        <f>'Bolton Hill'!C16</f>
        <v>0</v>
      </c>
      <c r="D16" s="92">
        <f>'Bolton Hill'!D16</f>
        <v>0</v>
      </c>
      <c r="E16" s="92">
        <f>'Bolton Hill'!E16</f>
        <v>0</v>
      </c>
      <c r="F16" s="92">
        <f>'Bolton Hill'!F16</f>
        <v>0</v>
      </c>
      <c r="G16" s="92">
        <f>'Bolton Hill'!G16</f>
        <v>0</v>
      </c>
      <c r="H16" s="92">
        <f>'Bolton Hill'!H16</f>
        <v>0</v>
      </c>
      <c r="I16" s="92">
        <f>'Bolton Hill'!I16</f>
        <v>0</v>
      </c>
      <c r="J16" s="92">
        <f>'Bolton Hill'!J16</f>
        <v>0</v>
      </c>
      <c r="K16" s="92">
        <f>'Bolton Hill'!K16</f>
        <v>0</v>
      </c>
      <c r="L16" s="92">
        <f>'Bolton Hill'!L16</f>
        <v>0</v>
      </c>
      <c r="M16" s="92">
        <f>'Bolton Hill'!M16</f>
        <v>0</v>
      </c>
      <c r="N16" s="92">
        <f>'Bolton Hill'!N16</f>
        <v>0</v>
      </c>
      <c r="O16" s="92">
        <f>'Bolton Hill'!O16</f>
        <v>0</v>
      </c>
      <c r="P16" s="92">
        <f>'Bolton Hill'!P16</f>
        <v>0</v>
      </c>
      <c r="Q16" s="92">
        <f>'Bolton Hill'!Q16</f>
        <v>0</v>
      </c>
      <c r="R16" s="92">
        <f>'Bolton Hill'!R16</f>
        <v>0</v>
      </c>
      <c r="S16" s="92">
        <f>'Bolton Hill'!S16</f>
        <v>0</v>
      </c>
      <c r="T16" s="92">
        <f>'Bolton Hill'!T16</f>
        <v>0</v>
      </c>
      <c r="U16" s="92">
        <f>'Bolton Hill'!U16</f>
        <v>0</v>
      </c>
      <c r="V16" s="92">
        <f>'Bolton Hill'!V16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255</v>
      </c>
      <c r="D17" s="21">
        <f t="shared" ref="D17:V17" si="0">(VLOOKUP(D$14,$AI2:$AK26,2,FALSE))*D$15</f>
        <v>255</v>
      </c>
      <c r="E17" s="21">
        <f t="shared" si="0"/>
        <v>79.899999999999991</v>
      </c>
      <c r="F17" s="21">
        <f t="shared" si="0"/>
        <v>255</v>
      </c>
      <c r="G17" s="21">
        <f t="shared" si="0"/>
        <v>79.899999999999991</v>
      </c>
      <c r="H17" s="21">
        <f t="shared" si="0"/>
        <v>255</v>
      </c>
      <c r="I17" s="21">
        <f t="shared" si="0"/>
        <v>255</v>
      </c>
      <c r="J17" s="21">
        <f t="shared" si="0"/>
        <v>62.999999999999993</v>
      </c>
      <c r="K17" s="21">
        <f t="shared" si="0"/>
        <v>62.999999999999993</v>
      </c>
      <c r="L17" s="21">
        <f t="shared" si="0"/>
        <v>255</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2.2527861199999997</v>
      </c>
      <c r="D18" s="13">
        <f>$D32</f>
        <v>2.2527861199999997</v>
      </c>
      <c r="E18" s="13">
        <f>$D33</f>
        <v>5.6319653000000001</v>
      </c>
      <c r="F18" s="13">
        <f>$D34</f>
        <v>2.2527861199999997</v>
      </c>
      <c r="G18" s="13">
        <f>$D35</f>
        <v>5.6319653000000001</v>
      </c>
      <c r="H18" s="13">
        <f>$D36</f>
        <v>2.2527861199999997</v>
      </c>
      <c r="I18" s="13">
        <f>$D37</f>
        <v>2.2527861199999997</v>
      </c>
      <c r="J18" s="13">
        <f>$D38</f>
        <v>2.2527861199999997</v>
      </c>
      <c r="K18" s="13">
        <f>$D39</f>
        <v>2.2527861199999997</v>
      </c>
      <c r="L18" s="13">
        <f>$D40</f>
        <v>2.2527861199999997</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-252.74721388</v>
      </c>
      <c r="D19" s="13">
        <f t="shared" ref="D19:V19" si="1">D18-D17</f>
        <v>-252.74721388</v>
      </c>
      <c r="E19" s="13">
        <f t="shared" si="1"/>
        <v>-74.268034699999987</v>
      </c>
      <c r="F19" s="13">
        <f t="shared" si="1"/>
        <v>-252.74721388</v>
      </c>
      <c r="G19" s="13">
        <f t="shared" si="1"/>
        <v>-74.268034699999987</v>
      </c>
      <c r="H19" s="13">
        <f t="shared" si="1"/>
        <v>-252.74721388</v>
      </c>
      <c r="I19" s="13">
        <f t="shared" si="1"/>
        <v>-252.74721388</v>
      </c>
      <c r="J19" s="13">
        <f t="shared" si="1"/>
        <v>-60.74721387999999</v>
      </c>
      <c r="K19" s="13">
        <f t="shared" si="1"/>
        <v>-60.74721387999999</v>
      </c>
      <c r="L19" s="13">
        <f t="shared" si="1"/>
        <v>-252.74721388</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360</v>
      </c>
      <c r="D21" s="21">
        <f t="shared" ref="D21:V21" si="2">(VLOOKUP(D$14,$AI2:$AK26,3,FALSE))*D$15</f>
        <v>360</v>
      </c>
      <c r="E21" s="21">
        <f t="shared" si="2"/>
        <v>282</v>
      </c>
      <c r="F21" s="21">
        <f t="shared" si="2"/>
        <v>360</v>
      </c>
      <c r="G21" s="21">
        <f t="shared" si="2"/>
        <v>282</v>
      </c>
      <c r="H21" s="21">
        <f t="shared" si="2"/>
        <v>360</v>
      </c>
      <c r="I21" s="21">
        <f t="shared" si="2"/>
        <v>360</v>
      </c>
      <c r="J21" s="21">
        <f t="shared" si="2"/>
        <v>198.00000000000003</v>
      </c>
      <c r="K21" s="21">
        <f t="shared" si="2"/>
        <v>198.00000000000003</v>
      </c>
      <c r="L21" s="21">
        <f t="shared" si="2"/>
        <v>360</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3.2048180000000001E-5</v>
      </c>
      <c r="D22" s="13">
        <f>$E32</f>
        <v>3.2048180000000001E-5</v>
      </c>
      <c r="E22" s="13">
        <f>$E33</f>
        <v>8.0120450000000003E-5</v>
      </c>
      <c r="F22" s="13">
        <f>$E34</f>
        <v>3.2048180000000001E-5</v>
      </c>
      <c r="G22" s="13">
        <f>$E35</f>
        <v>8.0120450000000003E-5</v>
      </c>
      <c r="H22" s="13">
        <f>$E36</f>
        <v>3.2048180000000001E-5</v>
      </c>
      <c r="I22" s="13">
        <f>$E37</f>
        <v>3.2048180000000001E-5</v>
      </c>
      <c r="J22" s="13">
        <f>$E38</f>
        <v>3.2048180000000001E-5</v>
      </c>
      <c r="K22" s="13">
        <f>$E39</f>
        <v>3.2048180000000001E-5</v>
      </c>
      <c r="L22" s="13">
        <f>$E40</f>
        <v>3.2048180000000001E-5</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-359.99996795182</v>
      </c>
      <c r="D23" s="13">
        <f t="shared" ref="D23:V23" si="3">D22-D21</f>
        <v>-359.99996795182</v>
      </c>
      <c r="E23" s="13">
        <f t="shared" si="3"/>
        <v>-281.99991987955002</v>
      </c>
      <c r="F23" s="13">
        <f t="shared" si="3"/>
        <v>-359.99996795182</v>
      </c>
      <c r="G23" s="13">
        <f t="shared" si="3"/>
        <v>-281.99991987955002</v>
      </c>
      <c r="H23" s="13">
        <f t="shared" si="3"/>
        <v>-359.99996795182</v>
      </c>
      <c r="I23" s="13">
        <f t="shared" si="3"/>
        <v>-359.99996795182</v>
      </c>
      <c r="J23" s="13">
        <f t="shared" si="3"/>
        <v>-197.99996795182003</v>
      </c>
      <c r="K23" s="13">
        <f t="shared" si="3"/>
        <v>-197.99996795182003</v>
      </c>
      <c r="L23" s="13">
        <f t="shared" si="3"/>
        <v>-359.99996795182</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2.44</v>
      </c>
      <c r="C28" s="12">
        <v>0.72499999999999998</v>
      </c>
      <c r="D28" s="12">
        <v>4.0300000000000002E-2</v>
      </c>
      <c r="E28" s="12">
        <v>1.09E-2</v>
      </c>
      <c r="F28" s="12">
        <v>660</v>
      </c>
      <c r="G28" s="12">
        <v>9.52</v>
      </c>
      <c r="H28" s="12">
        <v>79.400000000000006</v>
      </c>
      <c r="I28" s="12">
        <v>6.2</v>
      </c>
      <c r="J28" s="12">
        <v>0.17</v>
      </c>
      <c r="K28" s="16">
        <v>1.65</v>
      </c>
      <c r="L28" s="12">
        <v>21.8</v>
      </c>
      <c r="M28" s="12">
        <v>18.2</v>
      </c>
      <c r="N28" s="12">
        <v>1720</v>
      </c>
      <c r="O28" s="12">
        <v>337000</v>
      </c>
      <c r="P28" s="12"/>
      <c r="Q28" s="12">
        <v>1750</v>
      </c>
      <c r="R28" s="12"/>
      <c r="S28" s="12">
        <v>37.4</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5505</v>
      </c>
      <c r="B31" s="12">
        <v>100</v>
      </c>
      <c r="C31" s="68">
        <f>IF(C$27="%w/w SAR",((C$28*10)*$B31),IF(C$27="%w/w DM",(((C$28*10)*($B$28/100))*$B31),IF(C$27="kg/t SAR",(C$28*$B31),IF(C$27="kg/t DM",((C$28*($B$28/100))*$B31),IF(C$27="mg/kg SAR",((C$28*0.001)*$B31),IF(C$27="mg/kg DM",(((C$28*0.001)*($B$28/100))*$B31),0))))))</f>
        <v>17.689999999999998</v>
      </c>
      <c r="D31" s="68">
        <f>(IF(D$27="%w/w SAR",((D$28*10)*$B31),IF(D$27="%w/w DM",(((D$28*10)*($B$28/100))*$B31),IF(D$27="kg/t SAR",(D$28*$B31),IF(D$27="kg/t DM",((D$28*($B$28/100))*$B31),IF(D$27="mg/kg SAR",((D$28*0.001)*$B31),IF(D$27="mg/kg DM",(((D$28*0.001)*($B$28/100))*$B31),"0")))))))*2.291</f>
        <v>2.2527861199999997</v>
      </c>
      <c r="E31" s="68">
        <f>(IF(E$27="%w/w SAR",((E$28*10)*$B31),IF(E$27="%w/w DM",(((E$28*10)*($B$28/100))*$B31),IF(E$27="kg/t SAR",(E$28*$B31),IF(E$27="kg/t DM",((E$28*($B$28/100))*$B31),IF(E$27="mg/kg SAR",((E$28*0.001)*$B31),IF(E$27="mg/kg DM",(((E$28*0.001)*($B$28/100))*$B31),"0")))))))*1.205</f>
        <v>3.2048180000000001E-5</v>
      </c>
      <c r="F31" s="68">
        <f>(IF(F$27="%w/w SAR",((F$28*10)*$B31),IF(F$27="%w/w DM",(((F$28*10)*($B$28/100))*$B31),IF(F$27="kg/t SAR",(F$28*$B31),IF(F$27="kg/t DM",((F$28*($B$28/100))*$B31),IF(F$27="mg/kg SAR",((F$28*0.001)*$B31),IF(F$27="mg/kg DM",(((F$28*0.001)*($B$28/100))*$B31),"0")))))))*1.658</f>
        <v>2.6700431999999998</v>
      </c>
      <c r="G31" s="68">
        <f t="shared" ref="G31:P46" si="5">IF(G$27="%w/w SAR",((G$28*10)*$B31),IF(G$27="%w/w DM",(((G$28*10)*($B$28/100))*$B31),IF(G$27="kg/t SAR",(G$28*$B31),IF(G$27="kg/t DM",((G$28*($B$28/100))*$B31),IF(G$27="mg/kg SAR",((G$28*0.001)*$B31),IF(G$27="mg/kg DM",(((G$28*0.001)*($B$28/100))*$B31),0))))))</f>
        <v>2.3228799999999994E-2</v>
      </c>
      <c r="H31" s="68">
        <f t="shared" si="5"/>
        <v>0.19373600000000002</v>
      </c>
      <c r="I31" s="68">
        <f t="shared" si="5"/>
        <v>1.5128000000000001E-2</v>
      </c>
      <c r="J31" s="68">
        <f t="shared" si="5"/>
        <v>4.148E-4</v>
      </c>
      <c r="K31" s="68">
        <f t="shared" si="5"/>
        <v>4.0260000000000001E-3</v>
      </c>
      <c r="L31" s="68">
        <f t="shared" si="5"/>
        <v>5.3191999999999996E-2</v>
      </c>
      <c r="M31" s="68">
        <f t="shared" si="5"/>
        <v>4.4407999999999996E-2</v>
      </c>
      <c r="N31" s="68">
        <f t="shared" si="5"/>
        <v>4.1967999999999996</v>
      </c>
      <c r="O31" s="68">
        <f t="shared" si="5"/>
        <v>822.28</v>
      </c>
      <c r="P31" s="68">
        <f t="shared" si="5"/>
        <v>0</v>
      </c>
      <c r="Q31" s="68">
        <f>(IF(Q$27="%w/w SAR",((Q$28*10)*$B31),IF(Q$27="%w/w DM",(((Q$28*10)*($B$28/100))*$B31),IF(Q$27="kg/t SAR",(Q$28*$B31),IF(Q$27="kg/t DM",((Q$28*($B$28/100))*$B31),IF(Q$27="mg/kg SAR",((Q$28*0.001)*$B31),IF(Q$27="mg/kg DM",(((Q$28*0.001)*($B$28/100))*$B31),0)))))))*2.5</f>
        <v>10.674999999999999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9.1256000000000004E-2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4885</v>
      </c>
      <c r="B32" s="12">
        <v>100</v>
      </c>
      <c r="C32" s="68">
        <f t="shared" ref="C32:C50" si="6">IF(C$27="%w/w SAR",((C$28*10)*$B32),IF(C$27="%w/w DM",(((C$28*10)*($B$28/100))*$B32),IF(C$27="kg/t SAR",(C$28*$B32),IF(C$27="kg/t DM",((C$28*($B$28/100))*$B32),IF(C$27="mg/kg SAR",((C$28*0.001)*$B32),IF(C$27="mg/kg DM",(((C$28*0.001)*($B$28/100))*$B32),0))))))</f>
        <v>17.689999999999998</v>
      </c>
      <c r="D32" s="68">
        <f t="shared" ref="D32:D50" si="7">(IF(D$27="%w/w SAR",((D$28*10)*$B32),IF(D$27="%w/w DM",(((D$28*10)*($B$28/100))*$B32),IF(D$27="kg/t SAR",(D$28*$B32),IF(D$27="kg/t DM",((D$28*($B$28/100))*$B32),IF(D$27="mg/kg SAR",((D$28*0.001)*$B32),IF(D$27="mg/kg DM",(((D$28*0.001)*($B$28/100))*$B32),"0")))))))*2.291</f>
        <v>2.2527861199999997</v>
      </c>
      <c r="E32" s="68">
        <f t="shared" ref="E32:E50" si="8">(IF(E$27="%w/w SAR",((E$28*10)*$B32),IF(E$27="%w/w DM",(((E$28*10)*($B$28/100))*$B32),IF(E$27="kg/t SAR",(E$28*$B32),IF(E$27="kg/t DM",((E$28*($B$28/100))*$B32),IF(E$27="mg/kg SAR",((E$28*0.001)*$B32),IF(E$27="mg/kg DM",(((E$28*0.001)*($B$28/100))*$B32),"0")))))))*1.205</f>
        <v>3.2048180000000001E-5</v>
      </c>
      <c r="F32" s="68">
        <f t="shared" ref="F32:F50" si="9">(IF(F$27="%w/w SAR",((F$28*10)*$B32),IF(F$27="%w/w DM",(((F$28*10)*($B$28/100))*$B32),IF(F$27="kg/t SAR",(F$28*$B32),IF(F$27="kg/t DM",((F$28*($B$28/100))*$B32),IF(F$27="mg/kg SAR",((F$28*0.001)*$B32),IF(F$27="mg/kg DM",(((F$28*0.001)*($B$28/100))*$B32),"0")))))))*1.658</f>
        <v>2.6700431999999998</v>
      </c>
      <c r="G32" s="68">
        <f t="shared" si="5"/>
        <v>2.3228799999999994E-2</v>
      </c>
      <c r="H32" s="68">
        <f t="shared" si="5"/>
        <v>0.19373600000000002</v>
      </c>
      <c r="I32" s="68">
        <f t="shared" si="5"/>
        <v>1.5128000000000001E-2</v>
      </c>
      <c r="J32" s="68">
        <f t="shared" si="5"/>
        <v>4.148E-4</v>
      </c>
      <c r="K32" s="68">
        <f t="shared" si="5"/>
        <v>4.0260000000000001E-3</v>
      </c>
      <c r="L32" s="68">
        <f t="shared" si="5"/>
        <v>5.3191999999999996E-2</v>
      </c>
      <c r="M32" s="68">
        <f t="shared" si="5"/>
        <v>4.4407999999999996E-2</v>
      </c>
      <c r="N32" s="68">
        <f t="shared" si="5"/>
        <v>4.1967999999999996</v>
      </c>
      <c r="O32" s="68">
        <f t="shared" si="5"/>
        <v>822.28</v>
      </c>
      <c r="P32" s="68">
        <f t="shared" si="5"/>
        <v>0</v>
      </c>
      <c r="Q32" s="68">
        <f t="shared" ref="Q32:Q50" si="10">(IF(Q$27="%w/w SAR",((Q$28*10)*$B32),IF(Q$27="%w/w DM",(((Q$28*10)*($B$28/100))*$B32),IF(Q$27="kg/t SAR",(Q$28*$B32),IF(Q$27="kg/t DM",((Q$28*($B$28/100))*$B32),IF(Q$27="mg/kg SAR",((Q$28*0.001)*$B32),IF(Q$27="mg/kg DM",(((Q$28*0.001)*($B$28/100))*$B32),0)))))))*2.5</f>
        <v>10.674999999999999</v>
      </c>
      <c r="R32" s="68">
        <f t="shared" ref="R32:U50" si="11">IF(R$27="%w/w SAR",((R$28*10)*$B32),IF(R$27="%w/w DM",(((R$28*10)*($B$28/100))*$B32),IF(R$27="kg/t SAR",(R$28*$B32),IF(R$27="kg/t DM",((R$28*($B$28/100))*$B32),IF(R$27="mg/kg SAR",((R$28*0.001)*$B32),IF(R$27="mg/kg DM",(((R$28*0.001)*($B$28/100))*$B32),0))))))</f>
        <v>0</v>
      </c>
      <c r="S32" s="68">
        <f t="shared" si="11"/>
        <v>9.1256000000000004E-2</v>
      </c>
      <c r="T32" s="68">
        <f t="shared" si="11"/>
        <v>0</v>
      </c>
      <c r="U32" s="68">
        <f t="shared" si="11"/>
        <v>0</v>
      </c>
    </row>
    <row r="33" spans="1:21" s="51" customFormat="1" ht="13" x14ac:dyDescent="0.35">
      <c r="A33" s="10">
        <f>E8</f>
        <v>2056</v>
      </c>
      <c r="B33" s="12">
        <v>250</v>
      </c>
      <c r="C33" s="68">
        <f t="shared" si="6"/>
        <v>44.224999999999994</v>
      </c>
      <c r="D33" s="68">
        <f t="shared" si="7"/>
        <v>5.6319653000000001</v>
      </c>
      <c r="E33" s="68">
        <f t="shared" si="8"/>
        <v>8.0120450000000003E-5</v>
      </c>
      <c r="F33" s="68">
        <f t="shared" si="9"/>
        <v>6.6751079999999989</v>
      </c>
      <c r="G33" s="68">
        <f t="shared" si="5"/>
        <v>5.8071999999999992E-2</v>
      </c>
      <c r="H33" s="68">
        <f t="shared" si="5"/>
        <v>0.48434000000000005</v>
      </c>
      <c r="I33" s="68">
        <f t="shared" si="5"/>
        <v>3.7819999999999999E-2</v>
      </c>
      <c r="J33" s="68">
        <f t="shared" si="5"/>
        <v>1.0369999999999999E-3</v>
      </c>
      <c r="K33" s="68">
        <f t="shared" si="5"/>
        <v>1.0064999999999999E-2</v>
      </c>
      <c r="L33" s="68">
        <f t="shared" si="5"/>
        <v>0.13297999999999999</v>
      </c>
      <c r="M33" s="68">
        <f t="shared" si="5"/>
        <v>0.11101999999999999</v>
      </c>
      <c r="N33" s="68">
        <f t="shared" si="5"/>
        <v>10.491999999999999</v>
      </c>
      <c r="O33" s="68">
        <f t="shared" si="5"/>
        <v>2055.6999999999998</v>
      </c>
      <c r="P33" s="68">
        <f t="shared" si="5"/>
        <v>0</v>
      </c>
      <c r="Q33" s="68">
        <f t="shared" si="10"/>
        <v>26.687499999999996</v>
      </c>
      <c r="R33" s="68">
        <f t="shared" si="11"/>
        <v>0</v>
      </c>
      <c r="S33" s="68">
        <f t="shared" si="11"/>
        <v>0.22813999999999998</v>
      </c>
      <c r="T33" s="68">
        <f t="shared" si="11"/>
        <v>0</v>
      </c>
      <c r="U33" s="68">
        <f t="shared" si="11"/>
        <v>0</v>
      </c>
    </row>
    <row r="34" spans="1:21" s="51" customFormat="1" ht="13" x14ac:dyDescent="0.35">
      <c r="A34" s="10">
        <f>F8</f>
        <v>2</v>
      </c>
      <c r="B34" s="12">
        <v>100</v>
      </c>
      <c r="C34" s="68">
        <f t="shared" si="6"/>
        <v>17.689999999999998</v>
      </c>
      <c r="D34" s="68">
        <f t="shared" si="7"/>
        <v>2.2527861199999997</v>
      </c>
      <c r="E34" s="68">
        <f t="shared" si="8"/>
        <v>3.2048180000000001E-5</v>
      </c>
      <c r="F34" s="68">
        <f t="shared" si="9"/>
        <v>2.6700431999999998</v>
      </c>
      <c r="G34" s="68">
        <f t="shared" si="5"/>
        <v>2.3228799999999994E-2</v>
      </c>
      <c r="H34" s="68">
        <f t="shared" si="5"/>
        <v>0.19373600000000002</v>
      </c>
      <c r="I34" s="68">
        <f t="shared" si="5"/>
        <v>1.5128000000000001E-2</v>
      </c>
      <c r="J34" s="68">
        <f t="shared" si="5"/>
        <v>4.148E-4</v>
      </c>
      <c r="K34" s="68">
        <f t="shared" si="5"/>
        <v>4.0260000000000001E-3</v>
      </c>
      <c r="L34" s="68">
        <f t="shared" si="5"/>
        <v>5.3191999999999996E-2</v>
      </c>
      <c r="M34" s="68">
        <f t="shared" si="5"/>
        <v>4.4407999999999996E-2</v>
      </c>
      <c r="N34" s="68">
        <f t="shared" si="5"/>
        <v>4.1967999999999996</v>
      </c>
      <c r="O34" s="68">
        <f t="shared" si="5"/>
        <v>822.28</v>
      </c>
      <c r="P34" s="68">
        <f t="shared" si="5"/>
        <v>0</v>
      </c>
      <c r="Q34" s="68">
        <f t="shared" si="10"/>
        <v>10.674999999999999</v>
      </c>
      <c r="R34" s="68">
        <f t="shared" si="11"/>
        <v>0</v>
      </c>
      <c r="S34" s="68">
        <f t="shared" si="11"/>
        <v>9.1256000000000004E-2</v>
      </c>
      <c r="T34" s="68">
        <f t="shared" si="11"/>
        <v>0</v>
      </c>
      <c r="U34" s="68">
        <f t="shared" si="11"/>
        <v>0</v>
      </c>
    </row>
    <row r="35" spans="1:21" s="51" customFormat="1" ht="13" x14ac:dyDescent="0.35">
      <c r="A35" s="10">
        <f>G8</f>
        <v>9155</v>
      </c>
      <c r="B35" s="12">
        <v>250</v>
      </c>
      <c r="C35" s="68">
        <f t="shared" si="6"/>
        <v>44.224999999999994</v>
      </c>
      <c r="D35" s="68">
        <f t="shared" si="7"/>
        <v>5.6319653000000001</v>
      </c>
      <c r="E35" s="68">
        <f t="shared" si="8"/>
        <v>8.0120450000000003E-5</v>
      </c>
      <c r="F35" s="68">
        <f t="shared" si="9"/>
        <v>6.6751079999999989</v>
      </c>
      <c r="G35" s="68">
        <f t="shared" si="5"/>
        <v>5.8071999999999992E-2</v>
      </c>
      <c r="H35" s="68">
        <f t="shared" si="5"/>
        <v>0.48434000000000005</v>
      </c>
      <c r="I35" s="68">
        <f t="shared" si="5"/>
        <v>3.7819999999999999E-2</v>
      </c>
      <c r="J35" s="68">
        <f t="shared" si="5"/>
        <v>1.0369999999999999E-3</v>
      </c>
      <c r="K35" s="68">
        <f t="shared" si="5"/>
        <v>1.0064999999999999E-2</v>
      </c>
      <c r="L35" s="68">
        <f t="shared" si="5"/>
        <v>0.13297999999999999</v>
      </c>
      <c r="M35" s="68">
        <f t="shared" si="5"/>
        <v>0.11101999999999999</v>
      </c>
      <c r="N35" s="68">
        <f t="shared" si="5"/>
        <v>10.491999999999999</v>
      </c>
      <c r="O35" s="68">
        <f t="shared" si="5"/>
        <v>2055.6999999999998</v>
      </c>
      <c r="P35" s="68">
        <f t="shared" si="5"/>
        <v>0</v>
      </c>
      <c r="Q35" s="68">
        <f t="shared" si="10"/>
        <v>26.687499999999996</v>
      </c>
      <c r="R35" s="68">
        <f t="shared" si="11"/>
        <v>0</v>
      </c>
      <c r="S35" s="68">
        <f t="shared" si="11"/>
        <v>0.22813999999999998</v>
      </c>
      <c r="T35" s="68">
        <f t="shared" si="11"/>
        <v>0</v>
      </c>
      <c r="U35" s="68">
        <f t="shared" si="11"/>
        <v>0</v>
      </c>
    </row>
    <row r="36" spans="1:21" s="51" customFormat="1" ht="13" x14ac:dyDescent="0.35">
      <c r="A36" s="10">
        <f>H8</f>
        <v>2062</v>
      </c>
      <c r="B36" s="12">
        <v>100</v>
      </c>
      <c r="C36" s="68">
        <f t="shared" si="6"/>
        <v>17.689999999999998</v>
      </c>
      <c r="D36" s="68">
        <f t="shared" si="7"/>
        <v>2.2527861199999997</v>
      </c>
      <c r="E36" s="68">
        <f t="shared" si="8"/>
        <v>3.2048180000000001E-5</v>
      </c>
      <c r="F36" s="68">
        <f t="shared" si="9"/>
        <v>2.6700431999999998</v>
      </c>
      <c r="G36" s="68">
        <f t="shared" si="5"/>
        <v>2.3228799999999994E-2</v>
      </c>
      <c r="H36" s="68">
        <f t="shared" si="5"/>
        <v>0.19373600000000002</v>
      </c>
      <c r="I36" s="68">
        <f t="shared" si="5"/>
        <v>1.5128000000000001E-2</v>
      </c>
      <c r="J36" s="68">
        <f t="shared" si="5"/>
        <v>4.148E-4</v>
      </c>
      <c r="K36" s="68">
        <f t="shared" si="5"/>
        <v>4.0260000000000001E-3</v>
      </c>
      <c r="L36" s="68">
        <f t="shared" si="5"/>
        <v>5.3191999999999996E-2</v>
      </c>
      <c r="M36" s="68">
        <f t="shared" si="5"/>
        <v>4.4407999999999996E-2</v>
      </c>
      <c r="N36" s="68">
        <f t="shared" si="5"/>
        <v>4.1967999999999996</v>
      </c>
      <c r="O36" s="68">
        <f t="shared" si="5"/>
        <v>822.28</v>
      </c>
      <c r="P36" s="68">
        <f t="shared" si="5"/>
        <v>0</v>
      </c>
      <c r="Q36" s="68">
        <f t="shared" si="10"/>
        <v>10.674999999999999</v>
      </c>
      <c r="R36" s="68">
        <f t="shared" si="11"/>
        <v>0</v>
      </c>
      <c r="S36" s="68">
        <f t="shared" si="11"/>
        <v>9.1256000000000004E-2</v>
      </c>
      <c r="T36" s="68">
        <f t="shared" si="11"/>
        <v>0</v>
      </c>
      <c r="U36" s="68">
        <f t="shared" si="11"/>
        <v>0</v>
      </c>
    </row>
    <row r="37" spans="1:21" s="51" customFormat="1" ht="13" x14ac:dyDescent="0.35">
      <c r="A37" s="10">
        <f>I8</f>
        <v>834</v>
      </c>
      <c r="B37" s="12">
        <v>100</v>
      </c>
      <c r="C37" s="68">
        <f t="shared" si="6"/>
        <v>17.689999999999998</v>
      </c>
      <c r="D37" s="68">
        <f t="shared" si="7"/>
        <v>2.2527861199999997</v>
      </c>
      <c r="E37" s="68">
        <f t="shared" si="8"/>
        <v>3.2048180000000001E-5</v>
      </c>
      <c r="F37" s="68">
        <f t="shared" si="9"/>
        <v>2.6700431999999998</v>
      </c>
      <c r="G37" s="68">
        <f t="shared" si="5"/>
        <v>2.3228799999999994E-2</v>
      </c>
      <c r="H37" s="68">
        <f t="shared" si="5"/>
        <v>0.19373600000000002</v>
      </c>
      <c r="I37" s="68">
        <f t="shared" si="5"/>
        <v>1.5128000000000001E-2</v>
      </c>
      <c r="J37" s="68">
        <f t="shared" si="5"/>
        <v>4.148E-4</v>
      </c>
      <c r="K37" s="68">
        <f t="shared" si="5"/>
        <v>4.0260000000000001E-3</v>
      </c>
      <c r="L37" s="68">
        <f t="shared" si="5"/>
        <v>5.3191999999999996E-2</v>
      </c>
      <c r="M37" s="68">
        <f t="shared" si="5"/>
        <v>4.4407999999999996E-2</v>
      </c>
      <c r="N37" s="68">
        <f t="shared" si="5"/>
        <v>4.1967999999999996</v>
      </c>
      <c r="O37" s="68">
        <f t="shared" si="5"/>
        <v>822.28</v>
      </c>
      <c r="P37" s="68">
        <f t="shared" si="5"/>
        <v>0</v>
      </c>
      <c r="Q37" s="68">
        <f t="shared" si="10"/>
        <v>10.674999999999999</v>
      </c>
      <c r="R37" s="68">
        <f t="shared" si="11"/>
        <v>0</v>
      </c>
      <c r="S37" s="68">
        <f t="shared" si="11"/>
        <v>9.1256000000000004E-2</v>
      </c>
      <c r="T37" s="68">
        <f t="shared" si="11"/>
        <v>0</v>
      </c>
      <c r="U37" s="68">
        <f t="shared" si="11"/>
        <v>0</v>
      </c>
    </row>
    <row r="38" spans="1:21" s="51" customFormat="1" ht="13" x14ac:dyDescent="0.35">
      <c r="A38" s="10">
        <f>J8</f>
        <v>5928</v>
      </c>
      <c r="B38" s="12">
        <v>100</v>
      </c>
      <c r="C38" s="68">
        <f t="shared" si="6"/>
        <v>17.689999999999998</v>
      </c>
      <c r="D38" s="68">
        <f t="shared" si="7"/>
        <v>2.2527861199999997</v>
      </c>
      <c r="E38" s="68">
        <f t="shared" si="8"/>
        <v>3.2048180000000001E-5</v>
      </c>
      <c r="F38" s="68">
        <f t="shared" si="9"/>
        <v>2.6700431999999998</v>
      </c>
      <c r="G38" s="68">
        <f t="shared" si="5"/>
        <v>2.3228799999999994E-2</v>
      </c>
      <c r="H38" s="68">
        <f t="shared" si="5"/>
        <v>0.19373600000000002</v>
      </c>
      <c r="I38" s="68">
        <f t="shared" si="5"/>
        <v>1.5128000000000001E-2</v>
      </c>
      <c r="J38" s="68">
        <f t="shared" si="5"/>
        <v>4.148E-4</v>
      </c>
      <c r="K38" s="68">
        <f t="shared" si="5"/>
        <v>4.0260000000000001E-3</v>
      </c>
      <c r="L38" s="68">
        <f t="shared" si="5"/>
        <v>5.3191999999999996E-2</v>
      </c>
      <c r="M38" s="68">
        <f t="shared" si="5"/>
        <v>4.4407999999999996E-2</v>
      </c>
      <c r="N38" s="68">
        <f t="shared" si="5"/>
        <v>4.1967999999999996</v>
      </c>
      <c r="O38" s="68">
        <f t="shared" si="5"/>
        <v>822.28</v>
      </c>
      <c r="P38" s="68">
        <f t="shared" si="5"/>
        <v>0</v>
      </c>
      <c r="Q38" s="68">
        <f t="shared" si="10"/>
        <v>10.674999999999999</v>
      </c>
      <c r="R38" s="68">
        <f t="shared" si="11"/>
        <v>0</v>
      </c>
      <c r="S38" s="68">
        <f t="shared" si="11"/>
        <v>9.1256000000000004E-2</v>
      </c>
      <c r="T38" s="68">
        <f t="shared" si="11"/>
        <v>0</v>
      </c>
      <c r="U38" s="68">
        <f t="shared" si="11"/>
        <v>0</v>
      </c>
    </row>
    <row r="39" spans="1:21" s="51" customFormat="1" ht="13" x14ac:dyDescent="0.35">
      <c r="A39" s="10">
        <f>K8</f>
        <v>3370</v>
      </c>
      <c r="B39" s="12">
        <v>100</v>
      </c>
      <c r="C39" s="68">
        <f t="shared" si="6"/>
        <v>17.689999999999998</v>
      </c>
      <c r="D39" s="68">
        <f t="shared" si="7"/>
        <v>2.2527861199999997</v>
      </c>
      <c r="E39" s="68">
        <f t="shared" si="8"/>
        <v>3.2048180000000001E-5</v>
      </c>
      <c r="F39" s="68">
        <f t="shared" si="9"/>
        <v>2.6700431999999998</v>
      </c>
      <c r="G39" s="68">
        <f t="shared" si="5"/>
        <v>2.3228799999999994E-2</v>
      </c>
      <c r="H39" s="68">
        <f t="shared" si="5"/>
        <v>0.19373600000000002</v>
      </c>
      <c r="I39" s="68">
        <f t="shared" si="5"/>
        <v>1.5128000000000001E-2</v>
      </c>
      <c r="J39" s="68">
        <f t="shared" si="5"/>
        <v>4.148E-4</v>
      </c>
      <c r="K39" s="68">
        <f t="shared" si="5"/>
        <v>4.0260000000000001E-3</v>
      </c>
      <c r="L39" s="68">
        <f t="shared" si="5"/>
        <v>5.3191999999999996E-2</v>
      </c>
      <c r="M39" s="68">
        <f t="shared" si="5"/>
        <v>4.4407999999999996E-2</v>
      </c>
      <c r="N39" s="68">
        <f t="shared" si="5"/>
        <v>4.1967999999999996</v>
      </c>
      <c r="O39" s="68">
        <f t="shared" si="5"/>
        <v>822.28</v>
      </c>
      <c r="P39" s="68">
        <f t="shared" si="5"/>
        <v>0</v>
      </c>
      <c r="Q39" s="68">
        <f t="shared" si="10"/>
        <v>10.674999999999999</v>
      </c>
      <c r="R39" s="68">
        <f t="shared" si="11"/>
        <v>0</v>
      </c>
      <c r="S39" s="68">
        <f t="shared" si="11"/>
        <v>9.1256000000000004E-2</v>
      </c>
      <c r="T39" s="68">
        <f t="shared" si="11"/>
        <v>0</v>
      </c>
      <c r="U39" s="68">
        <f t="shared" si="11"/>
        <v>0</v>
      </c>
    </row>
    <row r="40" spans="1:21" s="51" customFormat="1" ht="13" x14ac:dyDescent="0.35">
      <c r="A40" s="10">
        <f>L8</f>
        <v>3234</v>
      </c>
      <c r="B40" s="12">
        <v>100</v>
      </c>
      <c r="C40" s="68">
        <f t="shared" si="6"/>
        <v>17.689999999999998</v>
      </c>
      <c r="D40" s="68">
        <f t="shared" si="7"/>
        <v>2.2527861199999997</v>
      </c>
      <c r="E40" s="68">
        <f t="shared" si="8"/>
        <v>3.2048180000000001E-5</v>
      </c>
      <c r="F40" s="68">
        <f t="shared" si="9"/>
        <v>2.6700431999999998</v>
      </c>
      <c r="G40" s="68">
        <f t="shared" si="5"/>
        <v>2.3228799999999994E-2</v>
      </c>
      <c r="H40" s="68">
        <f t="shared" si="5"/>
        <v>0.19373600000000002</v>
      </c>
      <c r="I40" s="68">
        <f t="shared" si="5"/>
        <v>1.5128000000000001E-2</v>
      </c>
      <c r="J40" s="68">
        <f t="shared" si="5"/>
        <v>4.148E-4</v>
      </c>
      <c r="K40" s="68">
        <f t="shared" si="5"/>
        <v>4.0260000000000001E-3</v>
      </c>
      <c r="L40" s="68">
        <f t="shared" si="5"/>
        <v>5.3191999999999996E-2</v>
      </c>
      <c r="M40" s="68">
        <f t="shared" si="5"/>
        <v>4.4407999999999996E-2</v>
      </c>
      <c r="N40" s="68">
        <f t="shared" si="5"/>
        <v>4.1967999999999996</v>
      </c>
      <c r="O40" s="68">
        <f t="shared" si="5"/>
        <v>822.28</v>
      </c>
      <c r="P40" s="68">
        <f t="shared" si="5"/>
        <v>0</v>
      </c>
      <c r="Q40" s="68">
        <f t="shared" si="10"/>
        <v>10.674999999999999</v>
      </c>
      <c r="R40" s="68">
        <f t="shared" si="11"/>
        <v>0</v>
      </c>
      <c r="S40" s="68">
        <f t="shared" si="11"/>
        <v>9.1256000000000004E-2</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5505</v>
      </c>
      <c r="C57" s="8">
        <f t="shared" ref="C57:U57" si="13">D8</f>
        <v>4885</v>
      </c>
      <c r="D57" s="8">
        <f t="shared" si="13"/>
        <v>2056</v>
      </c>
      <c r="E57" s="8">
        <f t="shared" si="13"/>
        <v>2</v>
      </c>
      <c r="F57" s="8">
        <f t="shared" si="13"/>
        <v>9155</v>
      </c>
      <c r="G57" s="8">
        <f t="shared" si="13"/>
        <v>2062</v>
      </c>
      <c r="H57" s="8">
        <f t="shared" si="13"/>
        <v>834</v>
      </c>
      <c r="I57" s="8">
        <f t="shared" si="13"/>
        <v>5928</v>
      </c>
      <c r="J57" s="8">
        <f t="shared" si="13"/>
        <v>3370</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"&amp;(VLOOKUP(C14,Table2456[],6,FALSE))</f>
        <v>0 I Arable</v>
      </c>
      <c r="C58" s="10" t="str">
        <f>D16&amp;" I "&amp;(VLOOKUP(D14,Table2456[],6,FALSE))</f>
        <v>0 I Arable</v>
      </c>
      <c r="D58" s="10" t="str">
        <f>E16&amp;" I "&amp;(VLOOKUP(E14,Table2456[],6,FALSE))</f>
        <v>0 I Grass</v>
      </c>
      <c r="E58" s="10" t="str">
        <f>F16&amp;" I "&amp;(VLOOKUP(F14,Table2456[],6,FALSE))</f>
        <v>0 I Arable</v>
      </c>
      <c r="F58" s="10" t="str">
        <f>G16&amp;" I "&amp;(VLOOKUP(G14,Table2456[],6,FALSE))</f>
        <v>0 I Grass</v>
      </c>
      <c r="G58" s="10" t="str">
        <f>H16&amp;" I "&amp;(VLOOKUP(H14,Table2456[],6,FALSE))</f>
        <v>0 I Arable</v>
      </c>
      <c r="H58" s="10" t="str">
        <f>I16&amp;" I "&amp;(VLOOKUP(I14,Table2456[],6,FALSE))</f>
        <v>0 I Arable</v>
      </c>
      <c r="I58" s="10" t="str">
        <f>J16&amp;" I "&amp;(VLOOKUP(J14,Table2456[],6,FALSE))</f>
        <v>0 I Arable</v>
      </c>
      <c r="J58" s="10" t="str">
        <f>K16&amp;" I "&amp;(VLOOKUP(K14,Table2456[],6,FALSE))</f>
        <v>0 I Arable</v>
      </c>
      <c r="K58" s="10" t="str">
        <f>L16&amp;" I "&amp;(VLOOKUP(L14,Table2456[],6,FALSE))</f>
        <v>0 I Arable</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100" t="s">
        <v>132</v>
      </c>
      <c r="B59" s="67">
        <f>VLOOKUP(C$14,Table2456[],5,FALSE)</f>
        <v>6.7</v>
      </c>
      <c r="C59" s="67">
        <f>VLOOKUP(D$14,Table2456[],5,FALSE)</f>
        <v>6.7</v>
      </c>
      <c r="D59" s="67">
        <f>VLOOKUP(E$14,Table2456[],5,FALSE)</f>
        <v>6.2</v>
      </c>
      <c r="E59" s="67">
        <f>VLOOKUP(F$14,Table2456[],5,FALSE)</f>
        <v>6.7</v>
      </c>
      <c r="F59" s="67">
        <f>VLOOKUP(G$14,Table2456[],5,FALSE)</f>
        <v>6.2</v>
      </c>
      <c r="G59" s="67">
        <f>VLOOKUP(H$14,Table2456[],5,FALSE)</f>
        <v>6.7</v>
      </c>
      <c r="H59" s="67">
        <f>VLOOKUP(I$14,Table2456[],5,FALSE)</f>
        <v>6.7</v>
      </c>
      <c r="I59" s="67">
        <f>VLOOKUP(J$14,Table2456[],5,FALSE)</f>
        <v>6.7</v>
      </c>
      <c r="J59" s="67">
        <f>VLOOKUP(K$14,Table2456[],5,FALSE)</f>
        <v>6.7</v>
      </c>
      <c r="K59" s="67">
        <f>VLOOKUP(L$14,Table2456[],5,FALSE)</f>
        <v>6.7</v>
      </c>
      <c r="L59" s="67" t="e">
        <f>VLOOKUP(M$14,Table2456[],5,FALSE)</f>
        <v>#N/A</v>
      </c>
      <c r="M59" s="67" t="e">
        <f>VLOOKUP(N$14,Table2456[],5,FALSE)</f>
        <v>#N/A</v>
      </c>
      <c r="N59" s="67" t="e">
        <f>VLOOKUP(O$14,Table2456[],5,FALSE)</f>
        <v>#N/A</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ht="13" x14ac:dyDescent="0.3">
      <c r="A60" s="100" t="s">
        <v>4</v>
      </c>
      <c r="B60" s="67">
        <f>C10</f>
        <v>6.2</v>
      </c>
      <c r="C60" s="67">
        <f t="shared" ref="C60:U60" si="14">D10</f>
        <v>6.1</v>
      </c>
      <c r="D60" s="67">
        <f t="shared" si="14"/>
        <v>6</v>
      </c>
      <c r="E60" s="67">
        <f t="shared" si="14"/>
        <v>6.3</v>
      </c>
      <c r="F60" s="67">
        <f t="shared" si="14"/>
        <v>5.9</v>
      </c>
      <c r="G60" s="67">
        <f t="shared" si="14"/>
        <v>6.3</v>
      </c>
      <c r="H60" s="67">
        <f t="shared" si="14"/>
        <v>6.4</v>
      </c>
      <c r="I60" s="67">
        <f t="shared" si="14"/>
        <v>6.4</v>
      </c>
      <c r="J60" s="67">
        <f t="shared" si="14"/>
        <v>6.1</v>
      </c>
      <c r="K60" s="67">
        <f t="shared" si="14"/>
        <v>6.1</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t="e">
        <f t="shared" ref="B61:U61" si="15">VLOOKUP(B58,$AD9:$AE18,2,FALSE)</f>
        <v>#N/A</v>
      </c>
      <c r="C61" s="67" t="e">
        <f t="shared" si="15"/>
        <v>#N/A</v>
      </c>
      <c r="D61" s="67" t="e">
        <f t="shared" si="15"/>
        <v>#N/A</v>
      </c>
      <c r="E61" s="67" t="e">
        <f t="shared" si="15"/>
        <v>#N/A</v>
      </c>
      <c r="F61" s="67" t="e">
        <f t="shared" si="15"/>
        <v>#N/A</v>
      </c>
      <c r="G61" s="67" t="e">
        <f t="shared" si="15"/>
        <v>#N/A</v>
      </c>
      <c r="H61" s="67" t="e">
        <f t="shared" si="15"/>
        <v>#N/A</v>
      </c>
      <c r="I61" s="67" t="e">
        <f t="shared" si="15"/>
        <v>#N/A</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100</v>
      </c>
      <c r="D62" s="68">
        <f>B33</f>
        <v>250</v>
      </c>
      <c r="E62" s="68">
        <f>B34</f>
        <v>100</v>
      </c>
      <c r="F62" s="68">
        <f>B35</f>
        <v>250</v>
      </c>
      <c r="G62" s="68">
        <f>B36</f>
        <v>100</v>
      </c>
      <c r="H62" s="68">
        <f>B37</f>
        <v>100</v>
      </c>
      <c r="I62" s="68">
        <f>B38</f>
        <v>100</v>
      </c>
      <c r="J62" s="68">
        <f>B39</f>
        <v>100</v>
      </c>
      <c r="K62" s="68">
        <f>B40</f>
        <v>100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t="e">
        <f>(B59-B60)*B61</f>
        <v>#N/A</v>
      </c>
      <c r="C64" s="68" t="e">
        <f t="shared" ref="C64:U64" si="17">(C59-C60)*C61</f>
        <v>#N/A</v>
      </c>
      <c r="D64" s="68" t="e">
        <f t="shared" si="17"/>
        <v>#N/A</v>
      </c>
      <c r="E64" s="68" t="e">
        <f t="shared" si="17"/>
        <v>#N/A</v>
      </c>
      <c r="F64" s="68" t="e">
        <f t="shared" si="17"/>
        <v>#N/A</v>
      </c>
      <c r="G64" s="68" t="e">
        <f t="shared" si="17"/>
        <v>#N/A</v>
      </c>
      <c r="H64" s="68" t="e">
        <f t="shared" si="17"/>
        <v>#N/A</v>
      </c>
      <c r="I64" s="68" t="e">
        <f t="shared" si="17"/>
        <v>#N/A</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t="e">
        <f>B63-B64</f>
        <v>#N/A</v>
      </c>
      <c r="C65" s="68" t="e">
        <f t="shared" ref="C65:U65" si="18">C63-C64</f>
        <v>#N/A</v>
      </c>
      <c r="D65" s="68" t="e">
        <f t="shared" si="18"/>
        <v>#N/A</v>
      </c>
      <c r="E65" s="68" t="e">
        <f t="shared" si="18"/>
        <v>#N/A</v>
      </c>
      <c r="F65" s="68" t="e">
        <f t="shared" si="18"/>
        <v>#N/A</v>
      </c>
      <c r="G65" s="68" t="e">
        <f t="shared" si="18"/>
        <v>#N/A</v>
      </c>
      <c r="H65" s="68" t="e">
        <f t="shared" si="18"/>
        <v>#N/A</v>
      </c>
      <c r="I65" s="68" t="e">
        <f t="shared" si="18"/>
        <v>#N/A</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e">
        <f>IF(B64&lt;=B63,"OVER","UNDER")</f>
        <v>#N/A</v>
      </c>
      <c r="C66" s="69" t="e">
        <f t="shared" ref="C66:U66" si="19">IF(C64&lt;=C63,"OVER","UNDER")</f>
        <v>#N/A</v>
      </c>
      <c r="D66" s="69" t="e">
        <f t="shared" si="19"/>
        <v>#N/A</v>
      </c>
      <c r="E66" s="69" t="e">
        <f t="shared" si="19"/>
        <v>#N/A</v>
      </c>
      <c r="F66" s="69" t="e">
        <f t="shared" si="19"/>
        <v>#N/A</v>
      </c>
      <c r="G66" s="69" t="e">
        <f t="shared" si="19"/>
        <v>#N/A</v>
      </c>
      <c r="H66" s="69" t="e">
        <f t="shared" si="19"/>
        <v>#N/A</v>
      </c>
      <c r="I66" s="69" t="e">
        <f t="shared" si="19"/>
        <v>#N/A</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'Bolton Hill'!B29</f>
        <v>Application Rate</v>
      </c>
      <c r="C1" s="31" t="str">
        <f>'Bolton Hill'!C29</f>
        <v>Nitrogen Addition</v>
      </c>
      <c r="D1" s="31" t="str">
        <f>'Bolton Hill'!D29</f>
        <v>Phosphate Addition</v>
      </c>
      <c r="E1" s="31" t="str">
        <f>'Bolton Hill'!E29</f>
        <v>Potash  Addition</v>
      </c>
      <c r="F1" s="31" t="str">
        <f>'Bolton Hill'!F29</f>
        <v>Mg Oxide Addition</v>
      </c>
      <c r="G1" s="31" t="str">
        <f>'Bolton Hill'!G29</f>
        <v>Copper Addition</v>
      </c>
      <c r="H1" s="31" t="str">
        <f>'Bolton Hill'!H29</f>
        <v>Zinc Addition</v>
      </c>
      <c r="I1" s="31" t="str">
        <f>'Bolton Hill'!I29</f>
        <v>Lead Addition</v>
      </c>
      <c r="J1" s="31" t="str">
        <f>'Bolton Hill'!J29</f>
        <v>Cadmium Addition</v>
      </c>
      <c r="K1" s="31" t="str">
        <f>'Bolton Hill'!K29</f>
        <v>Mercury Addition</v>
      </c>
      <c r="L1" s="31" t="str">
        <f>'Bolton Hill'!L29</f>
        <v>Nickel Addition</v>
      </c>
      <c r="M1" s="31" t="str">
        <f>'Bolton Hill'!M29</f>
        <v>Chromium Addition</v>
      </c>
      <c r="N1" s="31" t="str">
        <f>'Bolton Hill'!N29</f>
        <v>Aluminium Addition</v>
      </c>
      <c r="O1" s="31" t="str">
        <f>'Bolton Hill'!O29</f>
        <v>Iron Addition</v>
      </c>
      <c r="P1" s="31" t="str">
        <f>'Bolton Hill'!P29</f>
        <v xml:space="preserve">Sodium Addition                 </v>
      </c>
      <c r="Q1" s="31" t="str">
        <f>'Bolton Hill'!Q29</f>
        <v>SO3  Addition                             kg/ha</v>
      </c>
      <c r="R1" s="31" t="str">
        <f>'Bolton Hill'!R29</f>
        <v xml:space="preserve">Selenium Addition </v>
      </c>
      <c r="S1" s="31" t="str">
        <f>'Bolton Hill'!S29</f>
        <v xml:space="preserve">Arsenic  Addition  </v>
      </c>
      <c r="T1" s="31" t="str">
        <f>'Bolton Hill'!T29</f>
        <v xml:space="preserve">Molybdenum Addition  </v>
      </c>
      <c r="U1" s="31" t="str">
        <f>'Bolton Hill'!U29</f>
        <v xml:space="preserve">Fluoride Addition </v>
      </c>
    </row>
    <row r="2" spans="1:21" ht="25" x14ac:dyDescent="0.25">
      <c r="A2" s="131"/>
      <c r="B2" s="31" t="str">
        <f>'Bolton Hill'!B30</f>
        <v>tonnes/ha</v>
      </c>
      <c r="C2" s="31" t="str">
        <f>'Bolton Hill'!C30</f>
        <v>kg/ha</v>
      </c>
      <c r="D2" s="31" t="str">
        <f>'Bolton Hill'!D30</f>
        <v>P2O5 
kg/ha</v>
      </c>
      <c r="E2" s="31" t="str">
        <f>'Bolton Hill'!E30</f>
        <v>K2O 
kg/ha</v>
      </c>
      <c r="F2" s="31" t="str">
        <f>'Bolton Hill'!F30</f>
        <v>MgO 
kg/ha</v>
      </c>
      <c r="G2" s="31" t="str">
        <f>'Bolton Hill'!G30</f>
        <v>kg/ha</v>
      </c>
      <c r="H2" s="31" t="str">
        <f>'Bolton Hill'!H30</f>
        <v>kg/ha</v>
      </c>
      <c r="I2" s="31" t="str">
        <f>'Bolton Hill'!I30</f>
        <v>kg/ha</v>
      </c>
      <c r="J2" s="31" t="str">
        <f>'Bolton Hill'!J30</f>
        <v>kg/ha</v>
      </c>
      <c r="K2" s="31" t="str">
        <f>'Bolton Hill'!K30</f>
        <v>kg/ha</v>
      </c>
      <c r="L2" s="31" t="str">
        <f>'Bolton Hill'!L30</f>
        <v>kg/ha</v>
      </c>
      <c r="M2" s="31" t="str">
        <f>'Bolton Hill'!M30</f>
        <v>kg/ha</v>
      </c>
      <c r="N2" s="31" t="str">
        <f>'Bolton Hill'!N30</f>
        <v>kg/ha</v>
      </c>
      <c r="O2" s="31" t="str">
        <f>'Bolton Hill'!O30</f>
        <v>kg/ha</v>
      </c>
      <c r="P2" s="31" t="str">
        <f>'Bolton Hill'!P30</f>
        <v>kg/ha</v>
      </c>
      <c r="Q2" s="31" t="str">
        <f>'Bolton Hill'!Q30</f>
        <v>kg/ha</v>
      </c>
      <c r="R2" s="31" t="str">
        <f>'Bolton Hill'!R30</f>
        <v>kg/ha</v>
      </c>
      <c r="S2" s="31" t="str">
        <f>'Bolton Hill'!S30</f>
        <v>kg/ha</v>
      </c>
      <c r="T2" s="31" t="str">
        <f>'Bolton Hill'!T30</f>
        <v>kg/ha</v>
      </c>
      <c r="U2" s="31" t="str">
        <f>'Bolton Hill'!U30</f>
        <v>kg/ha</v>
      </c>
    </row>
    <row r="3" spans="1:21" x14ac:dyDescent="0.25">
      <c r="A3" s="29">
        <v>1</v>
      </c>
      <c r="B3" s="26">
        <f>'Bolton Hill'!B31</f>
        <v>100</v>
      </c>
      <c r="C3" s="26">
        <f>'Bolton Hill'!C31</f>
        <v>50</v>
      </c>
      <c r="D3" s="26">
        <f>'Bolton Hill'!D31</f>
        <v>21.970690000000005</v>
      </c>
      <c r="E3" s="26">
        <f>'Bolton Hill'!E31</f>
        <v>5.2778999999999998</v>
      </c>
      <c r="F3" s="26">
        <f>'Bolton Hill'!F31</f>
        <v>9.5998199999999994</v>
      </c>
      <c r="G3" s="26">
        <f>'Bolton Hill'!G31</f>
        <v>0.23400000000000001</v>
      </c>
      <c r="H3" s="26">
        <f>'Bolton Hill'!H31</f>
        <v>0.46800000000000003</v>
      </c>
      <c r="I3" s="26">
        <f>'Bolton Hill'!I31</f>
        <v>7.7000000000000013E-2</v>
      </c>
      <c r="J3" s="26">
        <f>'Bolton Hill'!J31</f>
        <v>2E-3</v>
      </c>
      <c r="K3" s="26">
        <f>'Bolton Hill'!K31</f>
        <v>5.0000000000000001E-3</v>
      </c>
      <c r="L3" s="26">
        <f>'Bolton Hill'!L31</f>
        <v>0.13300000000000001</v>
      </c>
      <c r="M3" s="26">
        <f>'Bolton Hill'!M31</f>
        <v>0.125</v>
      </c>
      <c r="N3" s="26">
        <f>'Bolton Hill'!N31</f>
        <v>535.4</v>
      </c>
      <c r="O3" s="26">
        <f>'Bolton Hill'!O31</f>
        <v>89.5</v>
      </c>
      <c r="P3" s="26">
        <f>'Bolton Hill'!P31</f>
        <v>1.67</v>
      </c>
      <c r="Q3" s="26">
        <f>'Bolton Hill'!Q31</f>
        <v>90.499999999999986</v>
      </c>
      <c r="R3" s="26">
        <f>'Bolton Hill'!R31</f>
        <v>1.4999999999999999E-2</v>
      </c>
      <c r="S3" s="26">
        <f>'Bolton Hill'!S31</f>
        <v>6.8000000000000005E-2</v>
      </c>
      <c r="T3" s="26">
        <f>'Bolton Hill'!T31</f>
        <v>0</v>
      </c>
      <c r="U3" s="26">
        <f>'Bolton Hill'!U31</f>
        <v>2.06</v>
      </c>
    </row>
    <row r="4" spans="1:21" x14ac:dyDescent="0.25">
      <c r="A4" s="29">
        <v>2</v>
      </c>
      <c r="B4" s="26">
        <f>Preseli!B31</f>
        <v>100</v>
      </c>
      <c r="C4" s="26">
        <f>Preseli!C31</f>
        <v>29.504999999999999</v>
      </c>
      <c r="D4" s="26">
        <f>Preseli!D31</f>
        <v>4.3068279900000004</v>
      </c>
      <c r="E4" s="26">
        <f>Preseli!E31</f>
        <v>3.9278179999999998E-5</v>
      </c>
      <c r="F4" s="26">
        <f>Preseli!F31</f>
        <v>1.6585968799999997</v>
      </c>
      <c r="G4" s="26">
        <f>Preseli!G31</f>
        <v>9.4697000000000003E-2</v>
      </c>
      <c r="H4" s="26">
        <f>Preseli!H31</f>
        <v>0.13319400000000001</v>
      </c>
      <c r="I4" s="26">
        <f>Preseli!I31</f>
        <v>1.3038399999999999E-2</v>
      </c>
      <c r="J4" s="26">
        <f>Preseli!J31</f>
        <v>1.124E-3</v>
      </c>
      <c r="K4" s="26">
        <f>Preseli!K31</f>
        <v>4.0183000000000007E-3</v>
      </c>
      <c r="L4" s="26">
        <f>Preseli!L31</f>
        <v>1.4330999999999998E-2</v>
      </c>
      <c r="M4" s="26">
        <f>Preseli!M31</f>
        <v>6.8283000000000007E-3</v>
      </c>
      <c r="N4" s="26">
        <f>Preseli!N31</f>
        <v>536.70999999999992</v>
      </c>
      <c r="O4" s="26">
        <f>Preseli!O31</f>
        <v>21.861800000000002</v>
      </c>
      <c r="P4" s="26">
        <f>Preseli!P31</f>
        <v>0</v>
      </c>
      <c r="Q4" s="26">
        <f>Preseli!Q31</f>
        <v>58.728999999999999</v>
      </c>
      <c r="R4" s="26">
        <f>Preseli!R31</f>
        <v>0</v>
      </c>
      <c r="S4" s="26">
        <f>Preseli!S31</f>
        <v>0.19669999999999999</v>
      </c>
      <c r="T4" s="26">
        <f>Preseli!T31</f>
        <v>0</v>
      </c>
      <c r="U4" s="26">
        <f>Preseli!U31</f>
        <v>0</v>
      </c>
    </row>
    <row r="5" spans="1:21" x14ac:dyDescent="0.25">
      <c r="A5" s="29">
        <v>3</v>
      </c>
      <c r="B5" s="26">
        <f>Llechryd!B31</f>
        <v>94</v>
      </c>
      <c r="C5" s="26">
        <f>Llechryd!C31</f>
        <v>61.083550000000017</v>
      </c>
      <c r="D5" s="26">
        <f>Llechryd!D31</f>
        <v>53.731899769999998</v>
      </c>
      <c r="E5" s="26">
        <f>Llechryd!E31</f>
        <v>2.2121064650000008E-4</v>
      </c>
      <c r="F5" s="26">
        <f>Llechryd!F31</f>
        <v>8.275429496000001</v>
      </c>
      <c r="G5" s="26">
        <f>Llechryd!G31</f>
        <v>0.18815040000000005</v>
      </c>
      <c r="H5" s="26">
        <f>Llechryd!H31</f>
        <v>1.1106100000000003</v>
      </c>
      <c r="I5" s="26">
        <f>Llechryd!I31</f>
        <v>0.18815040000000005</v>
      </c>
      <c r="J5" s="26">
        <f>Llechryd!J31</f>
        <v>7.1863000000000005E-4</v>
      </c>
      <c r="K5" s="26">
        <f>Llechryd!K31</f>
        <v>3.8544700000000005E-3</v>
      </c>
      <c r="L5" s="26">
        <f>Llechryd!L31</f>
        <v>0.15809860000000001</v>
      </c>
      <c r="M5" s="26">
        <f>Llechryd!M31</f>
        <v>6.5199340000000008E-2</v>
      </c>
      <c r="N5" s="26">
        <f>Llechryd!N31</f>
        <v>22.865500000000001</v>
      </c>
      <c r="O5" s="26">
        <f>Llechryd!O31</f>
        <v>17051.13</v>
      </c>
      <c r="P5" s="26">
        <f>Llechryd!P31</f>
        <v>0</v>
      </c>
      <c r="Q5" s="26">
        <f>Llechryd!Q31</f>
        <v>51.120725</v>
      </c>
      <c r="R5" s="26">
        <f>Llechryd!R31</f>
        <v>0</v>
      </c>
      <c r="S5" s="26">
        <f>Llechryd!S31</f>
        <v>0.17835090000000003</v>
      </c>
      <c r="T5" s="26">
        <f>Llechryd!T31</f>
        <v>0</v>
      </c>
      <c r="U5" s="26">
        <f>Llechryd!U31</f>
        <v>0</v>
      </c>
    </row>
    <row r="6" spans="1:21" x14ac:dyDescent="0.25">
      <c r="A6" s="29">
        <v>4</v>
      </c>
      <c r="B6" s="26">
        <f>'Starta Florida'!B31</f>
        <v>100</v>
      </c>
      <c r="C6" s="26">
        <f>'Starta Florida'!C31</f>
        <v>39.743999999999993</v>
      </c>
      <c r="D6" s="26">
        <f>'Starta Florida'!D31</f>
        <v>10.8208512</v>
      </c>
      <c r="E6" s="26">
        <f>'Starta Florida'!E31</f>
        <v>6.4549439999999985E-5</v>
      </c>
      <c r="F6" s="26">
        <f>'Starta Florida'!F31</f>
        <v>1.18898496</v>
      </c>
      <c r="G6" s="26">
        <f>'Starta Florida'!G31</f>
        <v>3.9456000000000005E-2</v>
      </c>
      <c r="H6" s="26">
        <f>'Starta Florida'!H31</f>
        <v>0.12816</v>
      </c>
      <c r="I6" s="26">
        <f>'Starta Florida'!I31</f>
        <v>1.30464E-2</v>
      </c>
      <c r="J6" s="26">
        <f>'Starta Florida'!J31</f>
        <v>9.503999999999999E-4</v>
      </c>
      <c r="K6" s="26">
        <f>'Starta Florida'!K31</f>
        <v>4.032E-3</v>
      </c>
      <c r="L6" s="26">
        <f>'Starta Florida'!L31</f>
        <v>8.6400000000000001E-3</v>
      </c>
      <c r="M6" s="26">
        <f>'Starta Florida'!M31</f>
        <v>6.8256000000000002E-3</v>
      </c>
      <c r="N6" s="26">
        <f>'Starta Florida'!N31</f>
        <v>302.39999999999998</v>
      </c>
      <c r="O6" s="26">
        <f>'Starta Florida'!O31</f>
        <v>46.08</v>
      </c>
      <c r="P6" s="26">
        <f>'Starta Florida'!P31</f>
        <v>0</v>
      </c>
      <c r="Q6" s="26">
        <f>'Starta Florida'!Q31</f>
        <v>31.32</v>
      </c>
      <c r="R6" s="26">
        <f>'Starta Florida'!R31</f>
        <v>0</v>
      </c>
      <c r="S6" s="26">
        <f>'Starta Florida'!S31</f>
        <v>9.5903999999999989E-2</v>
      </c>
      <c r="T6" s="26">
        <f>'Starta Florida'!T31</f>
        <v>0</v>
      </c>
      <c r="U6" s="26">
        <f>'Starta Florida'!U31</f>
        <v>0</v>
      </c>
    </row>
    <row r="7" spans="1:21" x14ac:dyDescent="0.25">
      <c r="A7" s="29">
        <v>5</v>
      </c>
      <c r="B7" s="26">
        <f>Bontogch!B31</f>
        <v>64</v>
      </c>
      <c r="C7" s="26">
        <f>Bontogch!C31</f>
        <v>42.430080000000004</v>
      </c>
      <c r="D7" s="26">
        <f>Bontogch!D31</f>
        <v>53.442981759999995</v>
      </c>
      <c r="E7" s="26">
        <f>Bontogch!E31</f>
        <v>2.7666800000000001E-5</v>
      </c>
      <c r="F7" s="26">
        <f>Bontogch!F31</f>
        <v>3.7154055679999995</v>
      </c>
      <c r="G7" s="26">
        <f>Bontogch!G31</f>
        <v>3.1592960000000003E-2</v>
      </c>
      <c r="H7" s="26">
        <f>Bontogch!H31</f>
        <v>0.73104639999999999</v>
      </c>
      <c r="I7" s="26">
        <f>Bontogch!I31</f>
        <v>0.110208</v>
      </c>
      <c r="J7" s="26">
        <f>Bontogch!J31</f>
        <v>8.44928E-4</v>
      </c>
      <c r="K7" s="26">
        <f>Bontogch!K31</f>
        <v>2.5898879999999998E-3</v>
      </c>
      <c r="L7" s="26">
        <f>Bontogch!L31</f>
        <v>5.8593919999999994E-2</v>
      </c>
      <c r="M7" s="26">
        <f>Bontogch!M31</f>
        <v>3.0307200000000003E-2</v>
      </c>
      <c r="N7" s="26">
        <f>Bontogch!N31</f>
        <v>16.861823999999999</v>
      </c>
      <c r="O7" s="26">
        <f>Bontogch!O31</f>
        <v>876.15359999999998</v>
      </c>
      <c r="P7" s="26">
        <f>Bontogch!P31</f>
        <v>0</v>
      </c>
      <c r="Q7" s="26">
        <f>Bontogch!Q31</f>
        <v>20.250720000000001</v>
      </c>
      <c r="R7" s="26">
        <f>Bontogch!R31</f>
        <v>0</v>
      </c>
      <c r="S7" s="26">
        <f>Bontogch!S31</f>
        <v>6.0247039999999995E-2</v>
      </c>
      <c r="T7" s="26">
        <f>Bontogch!T31</f>
        <v>0</v>
      </c>
      <c r="U7" s="26">
        <f>Bontogch!U31</f>
        <v>0</v>
      </c>
    </row>
    <row r="8" spans="1:21" x14ac:dyDescent="0.25">
      <c r="A8" s="29">
        <v>6</v>
      </c>
      <c r="B8" s="26">
        <f>Bryngwyn!B31</f>
        <v>100</v>
      </c>
      <c r="C8" s="26">
        <f>Bryngwyn!C31</f>
        <v>18.974699999999999</v>
      </c>
      <c r="D8" s="26">
        <f>Bryngwyn!D31</f>
        <v>2.5472712599999996</v>
      </c>
      <c r="E8" s="26">
        <f>Bryngwyn!E31</f>
        <v>2.7361934999999999E-5</v>
      </c>
      <c r="F8" s="26">
        <f>Bryngwyn!F31</f>
        <v>2.8474160399999997</v>
      </c>
      <c r="G8" s="26">
        <f>Bryngwyn!G31</f>
        <v>3.1059000000000003E-2</v>
      </c>
      <c r="H8" s="26">
        <f>Bryngwyn!H31</f>
        <v>0.21819599999999997</v>
      </c>
      <c r="I8" s="26">
        <f>Bryngwyn!I31</f>
        <v>1.6181999999999998E-2</v>
      </c>
      <c r="J8" s="26">
        <f>Bryngwyn!J31</f>
        <v>2.8709999999999999E-4</v>
      </c>
      <c r="K8" s="26">
        <f>Bryngwyn!K31</f>
        <v>3.9933E-3</v>
      </c>
      <c r="L8" s="26">
        <f>Bryngwyn!L31</f>
        <v>2.8709999999999999E-2</v>
      </c>
      <c r="M8" s="26">
        <f>Bryngwyn!M31</f>
        <v>1.3180499999999998E-2</v>
      </c>
      <c r="N8" s="26">
        <f>Bryngwyn!N31</f>
        <v>4.6457999999999995</v>
      </c>
      <c r="O8" s="26">
        <f>Bryngwyn!O31</f>
        <v>913.5</v>
      </c>
      <c r="P8" s="26">
        <f>Bryngwyn!P31</f>
        <v>0</v>
      </c>
      <c r="Q8" s="26">
        <f>Bryngwyn!Q31</f>
        <v>11.745000000000001</v>
      </c>
      <c r="R8" s="26">
        <f>Bryngwyn!R31</f>
        <v>0</v>
      </c>
      <c r="S8" s="26">
        <f>Bryngwyn!S31</f>
        <v>0.102051</v>
      </c>
      <c r="T8" s="26">
        <f>Bryngwyn!T31</f>
        <v>0</v>
      </c>
      <c r="U8" s="26">
        <f>Bryngwyn!U31</f>
        <v>0</v>
      </c>
    </row>
    <row r="9" spans="1:21" x14ac:dyDescent="0.25">
      <c r="A9" s="29">
        <v>7</v>
      </c>
      <c r="B9" s="26">
        <f>'Bontgoch 2'!B31</f>
        <v>11</v>
      </c>
      <c r="C9" s="26">
        <f>'Bontgoch 2'!C31</f>
        <v>37.3626</v>
      </c>
      <c r="D9" s="26">
        <f>'Bontgoch 2'!D31</f>
        <v>50.295651780000007</v>
      </c>
      <c r="E9" s="26">
        <f>'Bontgoch 2'!E31</f>
        <v>2.5600707E-5</v>
      </c>
      <c r="F9" s="26">
        <f>'Bontgoch 2'!F31</f>
        <v>3.2390687999999996</v>
      </c>
      <c r="G9" s="26">
        <f>'Bontgoch 2'!G31</f>
        <v>2.66178E-2</v>
      </c>
      <c r="H9" s="26">
        <f>'Bontgoch 2'!H31</f>
        <v>0.68864400000000003</v>
      </c>
      <c r="I9" s="26">
        <f>'Bontgoch 2'!I31</f>
        <v>0.1125762</v>
      </c>
      <c r="J9" s="26">
        <f>'Bontgoch 2'!J31</f>
        <v>7.5701999999999996E-4</v>
      </c>
      <c r="K9" s="26">
        <f>'Bontgoch 2'!K31</f>
        <v>1.1233200000000001E-3</v>
      </c>
      <c r="L9" s="26">
        <f>'Bontgoch 2'!L31</f>
        <v>6.12942E-2</v>
      </c>
      <c r="M9" s="26">
        <f>'Bontgoch 2'!M31</f>
        <v>3.4676399999999996E-2</v>
      </c>
      <c r="N9" s="26">
        <f>'Bontgoch 2'!N31</f>
        <v>16.410240000000002</v>
      </c>
      <c r="O9" s="26">
        <f>'Bontgoch 2'!O31</f>
        <v>847.37400000000002</v>
      </c>
      <c r="P9" s="26">
        <f>'Bontgoch 2'!P31</f>
        <v>0</v>
      </c>
      <c r="Q9" s="26">
        <f>'Bontgoch 2'!Q31</f>
        <v>16.78875</v>
      </c>
      <c r="R9" s="26">
        <f>'Bontgoch 2'!R31</f>
        <v>0</v>
      </c>
      <c r="S9" s="26">
        <f>'Bontgoch 2'!S31</f>
        <v>6.20268E-2</v>
      </c>
      <c r="T9" s="26">
        <f>'Bontgoch 2'!T31</f>
        <v>0</v>
      </c>
      <c r="U9" s="26">
        <f>'Bontgoch 2'!U31</f>
        <v>0</v>
      </c>
    </row>
    <row r="10" spans="1:21" x14ac:dyDescent="0.25">
      <c r="A10" s="29">
        <v>8</v>
      </c>
      <c r="B10" s="26">
        <f>'Llechryd 2'!B31</f>
        <v>30</v>
      </c>
      <c r="C10" s="26">
        <f>'Llechryd 2'!C31</f>
        <v>63.551699999999997</v>
      </c>
      <c r="D10" s="26">
        <f>'Llechryd 2'!D31</f>
        <v>53.004576000000007</v>
      </c>
      <c r="E10" s="26">
        <f>'Llechryd 2'!E31</f>
        <v>1.9776580500000006E-4</v>
      </c>
      <c r="F10" s="26">
        <f>'Llechryd 2'!F31</f>
        <v>8.343188640000001</v>
      </c>
      <c r="G10" s="26">
        <f>'Llechryd 2'!G31</f>
        <v>0.19159500000000002</v>
      </c>
      <c r="H10" s="26">
        <f>'Llechryd 2'!H31</f>
        <v>1.10619</v>
      </c>
      <c r="I10" s="26">
        <f>'Llechryd 2'!I31</f>
        <v>0.19014900000000001</v>
      </c>
      <c r="J10" s="26">
        <f>'Llechryd 2'!J31</f>
        <v>7.9530000000000009E-4</v>
      </c>
      <c r="K10" s="26">
        <f>'Llechryd 2'!K31</f>
        <v>3.0366000000000004E-3</v>
      </c>
      <c r="L10" s="26">
        <f>'Llechryd 2'!L31</f>
        <v>0.15906000000000001</v>
      </c>
      <c r="M10" s="26">
        <f>'Llechryd 2'!M31</f>
        <v>6.7166699999999996E-2</v>
      </c>
      <c r="N10" s="26">
        <f>'Llechryd 2'!N31</f>
        <v>22.7745</v>
      </c>
      <c r="O10" s="26">
        <f>'Llechryd 2'!O31</f>
        <v>1778.58</v>
      </c>
      <c r="P10" s="26">
        <f>'Llechryd 2'!P31</f>
        <v>0</v>
      </c>
      <c r="Q10" s="26">
        <f>'Llechryd 2'!Q31</f>
        <v>49.344749999999998</v>
      </c>
      <c r="R10" s="26">
        <f>'Llechryd 2'!R31</f>
        <v>0</v>
      </c>
      <c r="S10" s="26">
        <f>'Llechryd 2'!S31</f>
        <v>0.17424300000000004</v>
      </c>
      <c r="T10" s="26">
        <f>'Llechryd 2'!T31</f>
        <v>0</v>
      </c>
      <c r="U10" s="26">
        <f>'Llechryd 2'!U31</f>
        <v>0</v>
      </c>
    </row>
    <row r="11" spans="1:21" x14ac:dyDescent="0.25">
      <c r="A11" s="29">
        <v>9</v>
      </c>
      <c r="B11" s="26">
        <f>'Strata Florida 2'!B31</f>
        <v>68</v>
      </c>
      <c r="C11" s="26">
        <f>'Strata Florida 2'!C31</f>
        <v>142.34440000000001</v>
      </c>
      <c r="D11" s="26">
        <f>'Strata Florida 2'!D31</f>
        <v>53.633134760000011</v>
      </c>
      <c r="E11" s="26">
        <f>'Strata Florida 2'!E31</f>
        <v>2.2539235800000002E-4</v>
      </c>
      <c r="F11" s="26">
        <f>'Strata Florida 2'!F31</f>
        <v>5.3052816640000007</v>
      </c>
      <c r="G11" s="26">
        <f>'Strata Florida 2'!G31</f>
        <v>0.24822040000000004</v>
      </c>
      <c r="H11" s="26">
        <f>'Strata Florida 2'!H31</f>
        <v>0.75524880000000016</v>
      </c>
      <c r="I11" s="26">
        <f>'Strata Florida 2'!I31</f>
        <v>8.4700800000000007E-2</v>
      </c>
      <c r="J11" s="26">
        <f>'Strata Florida 2'!J31</f>
        <v>3.6468400000000006E-3</v>
      </c>
      <c r="K11" s="26">
        <f>'Strata Florida 2'!K31</f>
        <v>6.7054800000000006E-3</v>
      </c>
      <c r="L11" s="26">
        <f>'Strata Florida 2'!L31</f>
        <v>7.9995200000000002E-2</v>
      </c>
      <c r="M11" s="26">
        <f>'Strata Florida 2'!M31</f>
        <v>5.0585200000000004E-2</v>
      </c>
      <c r="N11" s="26">
        <f>'Strata Florida 2'!N31</f>
        <v>1470.5000000000002</v>
      </c>
      <c r="O11" s="26">
        <f>'Strata Florida 2'!O31</f>
        <v>214.10480000000001</v>
      </c>
      <c r="P11" s="26">
        <f>'Strata Florida 2'!P31</f>
        <v>0</v>
      </c>
      <c r="Q11" s="26">
        <f>'Strata Florida 2'!Q31</f>
        <v>140.28570000000002</v>
      </c>
      <c r="R11" s="26">
        <f>'Strata Florida 2'!R31</f>
        <v>0</v>
      </c>
      <c r="S11" s="26">
        <f>'Strata Florida 2'!S31</f>
        <v>0.49879360000000006</v>
      </c>
      <c r="T11" s="26">
        <f>'Strata Florida 2'!T31</f>
        <v>0</v>
      </c>
      <c r="U11" s="26">
        <f>'Strata Florida 2'!U31</f>
        <v>0</v>
      </c>
    </row>
    <row r="12" spans="1:21" x14ac:dyDescent="0.25">
      <c r="A12" s="29">
        <v>10</v>
      </c>
      <c r="B12" s="26">
        <f>Cray!B31</f>
        <v>100</v>
      </c>
      <c r="C12" s="26">
        <f>Cray!C31</f>
        <v>17.689999999999998</v>
      </c>
      <c r="D12" s="26">
        <f>Cray!D31</f>
        <v>2.2527861199999997</v>
      </c>
      <c r="E12" s="26">
        <f>Cray!E31</f>
        <v>3.2048180000000001E-5</v>
      </c>
      <c r="F12" s="26">
        <f>Cray!F31</f>
        <v>2.6700431999999998</v>
      </c>
      <c r="G12" s="26">
        <f>Cray!G31</f>
        <v>2.3228799999999994E-2</v>
      </c>
      <c r="H12" s="26">
        <f>Cray!H31</f>
        <v>0.19373600000000002</v>
      </c>
      <c r="I12" s="26">
        <f>Cray!I31</f>
        <v>1.5128000000000001E-2</v>
      </c>
      <c r="J12" s="26">
        <f>Cray!J31</f>
        <v>4.148E-4</v>
      </c>
      <c r="K12" s="26">
        <f>Cray!K31</f>
        <v>4.0260000000000001E-3</v>
      </c>
      <c r="L12" s="26">
        <f>Cray!L31</f>
        <v>5.3191999999999996E-2</v>
      </c>
      <c r="M12" s="26">
        <f>Cray!M31</f>
        <v>4.4407999999999996E-2</v>
      </c>
      <c r="N12" s="26">
        <f>Cray!N31</f>
        <v>4.1967999999999996</v>
      </c>
      <c r="O12" s="26">
        <f>Cray!O31</f>
        <v>822.28</v>
      </c>
      <c r="P12" s="26">
        <f>Cray!P31</f>
        <v>0</v>
      </c>
      <c r="Q12" s="26">
        <f>Cray!Q31</f>
        <v>10.674999999999999</v>
      </c>
      <c r="R12" s="26">
        <f>Cray!R31</f>
        <v>0</v>
      </c>
      <c r="S12" s="26">
        <f>Cray!S31</f>
        <v>9.1256000000000004E-2</v>
      </c>
      <c r="T12" s="26">
        <f>Cray!T31</f>
        <v>0</v>
      </c>
      <c r="U12" s="26">
        <f>Cray!U31</f>
        <v>0</v>
      </c>
    </row>
    <row r="13" spans="1:21" s="72" customFormat="1" ht="15.5" x14ac:dyDescent="0.35">
      <c r="A13" s="70" t="s">
        <v>85</v>
      </c>
      <c r="B13" s="71">
        <f>SUM(B3:B12)</f>
        <v>767</v>
      </c>
      <c r="C13" s="71">
        <f t="shared" ref="C13:U13" si="0">SUM(C3:C12)</f>
        <v>502.68602999999996</v>
      </c>
      <c r="D13" s="71">
        <f t="shared" si="0"/>
        <v>306.00667064000004</v>
      </c>
      <c r="E13" s="71">
        <f t="shared" si="0"/>
        <v>5.2787608740514997</v>
      </c>
      <c r="F13" s="71">
        <f t="shared" si="0"/>
        <v>46.843235247999999</v>
      </c>
      <c r="G13" s="71">
        <f t="shared" si="0"/>
        <v>1.1086173600000004</v>
      </c>
      <c r="H13" s="71">
        <f t="shared" si="0"/>
        <v>5.5330252000000009</v>
      </c>
      <c r="I13" s="71">
        <f t="shared" si="0"/>
        <v>0.82017920000000011</v>
      </c>
      <c r="J13" s="71">
        <f t="shared" si="0"/>
        <v>1.1539018E-2</v>
      </c>
      <c r="K13" s="71">
        <f t="shared" si="0"/>
        <v>3.8379358000000002E-2</v>
      </c>
      <c r="L13" s="71">
        <f t="shared" si="0"/>
        <v>0.75491492000000016</v>
      </c>
      <c r="M13" s="71">
        <f t="shared" si="0"/>
        <v>0.44417724000000003</v>
      </c>
      <c r="N13" s="71">
        <f t="shared" si="0"/>
        <v>2932.7646640000007</v>
      </c>
      <c r="O13" s="71">
        <f t="shared" si="0"/>
        <v>22660.564200000001</v>
      </c>
      <c r="P13" s="71">
        <f t="shared" si="0"/>
        <v>1.67</v>
      </c>
      <c r="Q13" s="71">
        <f t="shared" si="0"/>
        <v>480.75964499999998</v>
      </c>
      <c r="R13" s="71">
        <f t="shared" si="0"/>
        <v>1.4999999999999999E-2</v>
      </c>
      <c r="S13" s="71">
        <f t="shared" si="0"/>
        <v>1.5275723400000003</v>
      </c>
      <c r="T13" s="71">
        <f t="shared" si="0"/>
        <v>0</v>
      </c>
      <c r="U13" s="71">
        <f t="shared" si="0"/>
        <v>2.06</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'Bolton Hill'!B29</f>
        <v>Application Rate</v>
      </c>
      <c r="D1" s="28" t="str">
        <f>'Bolton Hill'!C29</f>
        <v>Nitrogen Addition</v>
      </c>
      <c r="E1" s="28" t="str">
        <f>'Bolton Hill'!D29</f>
        <v>Phosphate Addition</v>
      </c>
      <c r="F1" s="28" t="str">
        <f>'Bolton Hill'!E29</f>
        <v>Potash  Addition</v>
      </c>
      <c r="G1" s="28" t="str">
        <f>'Bolton Hill'!F29</f>
        <v>Mg Oxide Addition</v>
      </c>
      <c r="H1" s="28" t="str">
        <f>'Bolton Hill'!G29</f>
        <v>Copper Addition</v>
      </c>
      <c r="I1" s="28" t="str">
        <f>'Bolton Hill'!H29</f>
        <v>Zinc Addition</v>
      </c>
      <c r="J1" s="28" t="str">
        <f>'Bolton Hill'!I29</f>
        <v>Lead Addition</v>
      </c>
      <c r="K1" s="28" t="str">
        <f>'Bolton Hill'!J29</f>
        <v>Cadmium Addition</v>
      </c>
      <c r="L1" s="28" t="str">
        <f>'Bolton Hill'!K29</f>
        <v>Mercury Addition</v>
      </c>
      <c r="M1" s="28" t="str">
        <f>'Bolton Hill'!L29</f>
        <v>Nickel Addition</v>
      </c>
      <c r="N1" s="28" t="str">
        <f>'Bolton Hill'!M29</f>
        <v>Chromium Addition</v>
      </c>
      <c r="O1" s="28" t="str">
        <f>'Bolton Hill'!N29</f>
        <v>Aluminium Addition</v>
      </c>
      <c r="P1" s="28" t="str">
        <f>'Bolton Hill'!O29</f>
        <v>Iron Addition</v>
      </c>
      <c r="Q1" s="28" t="str">
        <f>'Bolton Hill'!P29</f>
        <v xml:space="preserve">Sodium Addition                 </v>
      </c>
      <c r="R1" s="28" t="str">
        <f>'Bolton Hill'!Q29</f>
        <v>SO3  Addition                             kg/ha</v>
      </c>
      <c r="S1" s="28" t="str">
        <f>'Bolton Hill'!R29</f>
        <v xml:space="preserve">Selenium Addition </v>
      </c>
      <c r="T1" s="28" t="str">
        <f>'Bolton Hill'!S29</f>
        <v xml:space="preserve">Arsenic  Addition  </v>
      </c>
      <c r="U1" s="28" t="str">
        <f>'Bolton Hill'!T29</f>
        <v xml:space="preserve">Molybdenum Addition  </v>
      </c>
      <c r="V1" s="28" t="str">
        <f>'Bolton Hill'!U29</f>
        <v xml:space="preserve">Fluoride Addition </v>
      </c>
    </row>
    <row r="2" spans="1:22" s="73" customFormat="1" ht="25" x14ac:dyDescent="0.35">
      <c r="A2" s="132"/>
      <c r="B2" s="25" t="s">
        <v>46</v>
      </c>
      <c r="C2" s="28" t="str">
        <f>'Bolton Hill'!B30</f>
        <v>tonnes/ha</v>
      </c>
      <c r="D2" s="28" t="str">
        <f>'Bolton Hill'!C30</f>
        <v>kg/ha</v>
      </c>
      <c r="E2" s="28" t="str">
        <f>'Bolton Hill'!D30</f>
        <v>P2O5 
kg/ha</v>
      </c>
      <c r="F2" s="28" t="str">
        <f>'Bolton Hill'!E30</f>
        <v>K2O 
kg/ha</v>
      </c>
      <c r="G2" s="28" t="str">
        <f>'Bolton Hill'!F30</f>
        <v>MgO 
kg/ha</v>
      </c>
      <c r="H2" s="28" t="str">
        <f>'Bolton Hill'!G30</f>
        <v>kg/ha</v>
      </c>
      <c r="I2" s="28" t="str">
        <f>'Bolton Hill'!H30</f>
        <v>kg/ha</v>
      </c>
      <c r="J2" s="28" t="str">
        <f>'Bolton Hill'!I30</f>
        <v>kg/ha</v>
      </c>
      <c r="K2" s="28" t="str">
        <f>'Bolton Hill'!J30</f>
        <v>kg/ha</v>
      </c>
      <c r="L2" s="28" t="str">
        <f>'Bolton Hill'!K30</f>
        <v>kg/ha</v>
      </c>
      <c r="M2" s="28" t="str">
        <f>'Bolton Hill'!L30</f>
        <v>kg/ha</v>
      </c>
      <c r="N2" s="28" t="str">
        <f>'Bolton Hill'!M30</f>
        <v>kg/ha</v>
      </c>
      <c r="O2" s="28" t="str">
        <f>'Bolton Hill'!N30</f>
        <v>kg/ha</v>
      </c>
      <c r="P2" s="28" t="str">
        <f>'Bolton Hill'!O30</f>
        <v>kg/ha</v>
      </c>
      <c r="Q2" s="28" t="str">
        <f>'Bolton Hill'!P30</f>
        <v>kg/ha</v>
      </c>
      <c r="R2" s="28" t="str">
        <f>'Bolton Hill'!Q30</f>
        <v>kg/ha</v>
      </c>
      <c r="S2" s="28" t="str">
        <f>'Bolton Hill'!R30</f>
        <v>kg/ha</v>
      </c>
      <c r="T2" s="28" t="str">
        <f>'Bolton Hill'!S30</f>
        <v>kg/ha</v>
      </c>
      <c r="U2" s="28" t="str">
        <f>'Bolton Hill'!T30</f>
        <v>kg/ha</v>
      </c>
      <c r="V2" s="28" t="str">
        <f>'Bolton Hill'!U30</f>
        <v>kg/ha</v>
      </c>
    </row>
    <row r="3" spans="1:22" x14ac:dyDescent="0.25">
      <c r="A3" s="29">
        <v>1</v>
      </c>
      <c r="B3" s="81"/>
      <c r="C3" s="26">
        <f>'Bolton Hill'!B31</f>
        <v>100</v>
      </c>
      <c r="D3" s="26">
        <f>'Bolton Hill'!C31</f>
        <v>50</v>
      </c>
      <c r="E3" s="26">
        <f>'Bolton Hill'!D31</f>
        <v>21.970690000000005</v>
      </c>
      <c r="F3" s="26">
        <f>'Bolton Hill'!E31</f>
        <v>5.2778999999999998</v>
      </c>
      <c r="G3" s="26">
        <f>'Bolton Hill'!F31</f>
        <v>9.5998199999999994</v>
      </c>
      <c r="H3" s="26">
        <f>'Bolton Hill'!G31</f>
        <v>0.23400000000000001</v>
      </c>
      <c r="I3" s="26">
        <f>'Bolton Hill'!H31</f>
        <v>0.46800000000000003</v>
      </c>
      <c r="J3" s="26">
        <f>'Bolton Hill'!I31</f>
        <v>7.7000000000000013E-2</v>
      </c>
      <c r="K3" s="26">
        <f>'Bolton Hill'!J31</f>
        <v>2E-3</v>
      </c>
      <c r="L3" s="26">
        <f>'Bolton Hill'!K31</f>
        <v>5.0000000000000001E-3</v>
      </c>
      <c r="M3" s="26">
        <f>'Bolton Hill'!L31</f>
        <v>0.13300000000000001</v>
      </c>
      <c r="N3" s="26">
        <f>'Bolton Hill'!M31</f>
        <v>0.125</v>
      </c>
      <c r="O3" s="26">
        <f>'Bolton Hill'!N31</f>
        <v>535.4</v>
      </c>
      <c r="P3" s="26">
        <f>'Bolton Hill'!O31</f>
        <v>89.5</v>
      </c>
      <c r="Q3" s="26">
        <f>'Bolton Hill'!P31</f>
        <v>1.67</v>
      </c>
      <c r="R3" s="26">
        <f>'Bolton Hill'!Q31</f>
        <v>90.499999999999986</v>
      </c>
      <c r="S3" s="26">
        <f>'Bolton Hill'!R31</f>
        <v>1.4999999999999999E-2</v>
      </c>
      <c r="T3" s="26">
        <f>'Bolton Hill'!S31</f>
        <v>6.8000000000000005E-2</v>
      </c>
      <c r="U3" s="26">
        <f>'Bolton Hill'!T31</f>
        <v>0</v>
      </c>
      <c r="V3" s="26">
        <f>'Bolton Hill'!U31</f>
        <v>2.06</v>
      </c>
    </row>
    <row r="4" spans="1:22" x14ac:dyDescent="0.25">
      <c r="A4" s="29">
        <v>2</v>
      </c>
      <c r="B4" s="81"/>
      <c r="C4" s="26">
        <f>Preseli!B31</f>
        <v>100</v>
      </c>
      <c r="D4" s="26">
        <f>Preseli!C31</f>
        <v>29.504999999999999</v>
      </c>
      <c r="E4" s="26">
        <f>Preseli!D31</f>
        <v>4.3068279900000004</v>
      </c>
      <c r="F4" s="26">
        <f>Preseli!E31</f>
        <v>3.9278179999999998E-5</v>
      </c>
      <c r="G4" s="26">
        <f>Preseli!F31</f>
        <v>1.6585968799999997</v>
      </c>
      <c r="H4" s="26">
        <f>Preseli!G31</f>
        <v>9.4697000000000003E-2</v>
      </c>
      <c r="I4" s="26">
        <f>Preseli!H31</f>
        <v>0.13319400000000001</v>
      </c>
      <c r="J4" s="26">
        <f>Preseli!I31</f>
        <v>1.3038399999999999E-2</v>
      </c>
      <c r="K4" s="26">
        <f>Preseli!J31</f>
        <v>1.124E-3</v>
      </c>
      <c r="L4" s="26">
        <f>Preseli!K31</f>
        <v>4.0183000000000007E-3</v>
      </c>
      <c r="M4" s="26">
        <f>Preseli!L31</f>
        <v>1.4330999999999998E-2</v>
      </c>
      <c r="N4" s="26">
        <f>Preseli!M31</f>
        <v>6.8283000000000007E-3</v>
      </c>
      <c r="O4" s="26">
        <f>Preseli!N31</f>
        <v>536.70999999999992</v>
      </c>
      <c r="P4" s="26">
        <f>Preseli!O31</f>
        <v>21.861800000000002</v>
      </c>
      <c r="Q4" s="26">
        <f>Preseli!P31</f>
        <v>0</v>
      </c>
      <c r="R4" s="26">
        <f>Preseli!Q31</f>
        <v>58.728999999999999</v>
      </c>
      <c r="S4" s="26">
        <f>Preseli!R31</f>
        <v>0</v>
      </c>
      <c r="T4" s="26">
        <f>Preseli!S31</f>
        <v>0.19669999999999999</v>
      </c>
      <c r="U4" s="26">
        <f>Preseli!T31</f>
        <v>0</v>
      </c>
      <c r="V4" s="26">
        <f>Preseli!U31</f>
        <v>0</v>
      </c>
    </row>
    <row r="5" spans="1:22" x14ac:dyDescent="0.25">
      <c r="A5" s="29">
        <v>3</v>
      </c>
      <c r="B5" s="81"/>
      <c r="C5" s="26">
        <f>Llechryd!B31</f>
        <v>94</v>
      </c>
      <c r="D5" s="26">
        <f>Llechryd!C31</f>
        <v>61.083550000000017</v>
      </c>
      <c r="E5" s="26">
        <f>Llechryd!D31</f>
        <v>53.731899769999998</v>
      </c>
      <c r="F5" s="26">
        <f>Llechryd!E31</f>
        <v>2.2121064650000008E-4</v>
      </c>
      <c r="G5" s="26">
        <f>Llechryd!F31</f>
        <v>8.275429496000001</v>
      </c>
      <c r="H5" s="26">
        <f>Llechryd!G31</f>
        <v>0.18815040000000005</v>
      </c>
      <c r="I5" s="26">
        <f>Llechryd!H31</f>
        <v>1.1106100000000003</v>
      </c>
      <c r="J5" s="26">
        <f>Llechryd!I31</f>
        <v>0.18815040000000005</v>
      </c>
      <c r="K5" s="26">
        <f>Llechryd!J31</f>
        <v>7.1863000000000005E-4</v>
      </c>
      <c r="L5" s="26">
        <f>Llechryd!K31</f>
        <v>3.8544700000000005E-3</v>
      </c>
      <c r="M5" s="26">
        <f>Llechryd!L31</f>
        <v>0.15809860000000001</v>
      </c>
      <c r="N5" s="26">
        <f>Llechryd!M31</f>
        <v>6.5199340000000008E-2</v>
      </c>
      <c r="O5" s="26">
        <f>Llechryd!N31</f>
        <v>22.865500000000001</v>
      </c>
      <c r="P5" s="26">
        <f>Llechryd!O31</f>
        <v>17051.13</v>
      </c>
      <c r="Q5" s="26">
        <f>Llechryd!P31</f>
        <v>0</v>
      </c>
      <c r="R5" s="26">
        <f>Llechryd!Q31</f>
        <v>51.120725</v>
      </c>
      <c r="S5" s="26">
        <f>Llechryd!R31</f>
        <v>0</v>
      </c>
      <c r="T5" s="26">
        <f>Llechryd!S31</f>
        <v>0.17835090000000003</v>
      </c>
      <c r="U5" s="26">
        <f>Llechryd!T31</f>
        <v>0</v>
      </c>
      <c r="V5" s="26">
        <f>Llechryd!U31</f>
        <v>0</v>
      </c>
    </row>
    <row r="6" spans="1:22" x14ac:dyDescent="0.25">
      <c r="A6" s="29">
        <v>4</v>
      </c>
      <c r="B6" s="81"/>
      <c r="C6" s="26">
        <f>'Starta Florida'!B31</f>
        <v>100</v>
      </c>
      <c r="D6" s="26">
        <f>'Starta Florida'!C31</f>
        <v>39.743999999999993</v>
      </c>
      <c r="E6" s="26">
        <f>'Starta Florida'!D31</f>
        <v>10.8208512</v>
      </c>
      <c r="F6" s="26">
        <f>'Starta Florida'!E31</f>
        <v>6.4549439999999985E-5</v>
      </c>
      <c r="G6" s="26">
        <f>'Starta Florida'!F31</f>
        <v>1.18898496</v>
      </c>
      <c r="H6" s="26">
        <f>'Starta Florida'!G31</f>
        <v>3.9456000000000005E-2</v>
      </c>
      <c r="I6" s="26">
        <f>'Starta Florida'!H31</f>
        <v>0.12816</v>
      </c>
      <c r="J6" s="26">
        <f>'Starta Florida'!I31</f>
        <v>1.30464E-2</v>
      </c>
      <c r="K6" s="26">
        <f>'Starta Florida'!J31</f>
        <v>9.503999999999999E-4</v>
      </c>
      <c r="L6" s="26">
        <f>'Starta Florida'!K31</f>
        <v>4.032E-3</v>
      </c>
      <c r="M6" s="26">
        <f>'Starta Florida'!L31</f>
        <v>8.6400000000000001E-3</v>
      </c>
      <c r="N6" s="26">
        <f>'Starta Florida'!M31</f>
        <v>6.8256000000000002E-3</v>
      </c>
      <c r="O6" s="26">
        <f>'Starta Florida'!N31</f>
        <v>302.39999999999998</v>
      </c>
      <c r="P6" s="26">
        <f>'Starta Florida'!O31</f>
        <v>46.08</v>
      </c>
      <c r="Q6" s="26">
        <f>'Starta Florida'!P31</f>
        <v>0</v>
      </c>
      <c r="R6" s="26">
        <f>'Starta Florida'!Q31</f>
        <v>31.32</v>
      </c>
      <c r="S6" s="26">
        <f>'Starta Florida'!R31</f>
        <v>0</v>
      </c>
      <c r="T6" s="26">
        <f>'Starta Florida'!S31</f>
        <v>9.5903999999999989E-2</v>
      </c>
      <c r="U6" s="26">
        <f>'Starta Florida'!T31</f>
        <v>0</v>
      </c>
      <c r="V6" s="26">
        <f>'Starta Florida'!U31</f>
        <v>0</v>
      </c>
    </row>
    <row r="7" spans="1:22" x14ac:dyDescent="0.25">
      <c r="A7" s="29">
        <v>5</v>
      </c>
      <c r="B7" s="81"/>
      <c r="C7" s="26">
        <f>Bontogch!B31</f>
        <v>64</v>
      </c>
      <c r="D7" s="26">
        <f>Bontogch!C31</f>
        <v>42.430080000000004</v>
      </c>
      <c r="E7" s="26">
        <f>Bontogch!D31</f>
        <v>53.442981759999995</v>
      </c>
      <c r="F7" s="26">
        <f>Bontogch!E31</f>
        <v>2.7666800000000001E-5</v>
      </c>
      <c r="G7" s="26">
        <f>Bontogch!F31</f>
        <v>3.7154055679999995</v>
      </c>
      <c r="H7" s="26">
        <f>Bontogch!G31</f>
        <v>3.1592960000000003E-2</v>
      </c>
      <c r="I7" s="26">
        <f>Bontogch!H31</f>
        <v>0.73104639999999999</v>
      </c>
      <c r="J7" s="26">
        <f>Bontogch!I31</f>
        <v>0.110208</v>
      </c>
      <c r="K7" s="26">
        <f>Bontogch!J31</f>
        <v>8.44928E-4</v>
      </c>
      <c r="L7" s="26">
        <f>Bontogch!K31</f>
        <v>2.5898879999999998E-3</v>
      </c>
      <c r="M7" s="26">
        <f>Bontogch!L31</f>
        <v>5.8593919999999994E-2</v>
      </c>
      <c r="N7" s="26">
        <f>Bontogch!M31</f>
        <v>3.0307200000000003E-2</v>
      </c>
      <c r="O7" s="26">
        <f>Bontogch!N31</f>
        <v>16.861823999999999</v>
      </c>
      <c r="P7" s="26">
        <f>Bontogch!O31</f>
        <v>876.15359999999998</v>
      </c>
      <c r="Q7" s="26">
        <f>Bontogch!P31</f>
        <v>0</v>
      </c>
      <c r="R7" s="26">
        <f>Bontogch!Q31</f>
        <v>20.250720000000001</v>
      </c>
      <c r="S7" s="26">
        <f>Bontogch!R31</f>
        <v>0</v>
      </c>
      <c r="T7" s="26">
        <f>Bontogch!S31</f>
        <v>6.0247039999999995E-2</v>
      </c>
      <c r="U7" s="26">
        <f>Bontogch!T31</f>
        <v>0</v>
      </c>
      <c r="V7" s="26">
        <f>Bontogch!U31</f>
        <v>0</v>
      </c>
    </row>
    <row r="8" spans="1:22" x14ac:dyDescent="0.25">
      <c r="A8" s="29">
        <v>6</v>
      </c>
      <c r="B8" s="81"/>
      <c r="C8" s="26">
        <f>Bryngwyn!B31</f>
        <v>100</v>
      </c>
      <c r="D8" s="26">
        <f>Bryngwyn!C31</f>
        <v>18.974699999999999</v>
      </c>
      <c r="E8" s="26">
        <f>Bryngwyn!D31</f>
        <v>2.5472712599999996</v>
      </c>
      <c r="F8" s="26">
        <f>Bryngwyn!E31</f>
        <v>2.7361934999999999E-5</v>
      </c>
      <c r="G8" s="26">
        <f>Bryngwyn!F31</f>
        <v>2.8474160399999997</v>
      </c>
      <c r="H8" s="26">
        <f>Bryngwyn!G31</f>
        <v>3.1059000000000003E-2</v>
      </c>
      <c r="I8" s="26">
        <f>Bryngwyn!H31</f>
        <v>0.21819599999999997</v>
      </c>
      <c r="J8" s="26">
        <f>Bryngwyn!I31</f>
        <v>1.6181999999999998E-2</v>
      </c>
      <c r="K8" s="26">
        <f>Bryngwyn!J31</f>
        <v>2.8709999999999999E-4</v>
      </c>
      <c r="L8" s="26">
        <f>Bryngwyn!K31</f>
        <v>3.9933E-3</v>
      </c>
      <c r="M8" s="26">
        <f>Bryngwyn!L31</f>
        <v>2.8709999999999999E-2</v>
      </c>
      <c r="N8" s="26">
        <f>Bryngwyn!M31</f>
        <v>1.3180499999999998E-2</v>
      </c>
      <c r="O8" s="26">
        <f>Bryngwyn!N31</f>
        <v>4.6457999999999995</v>
      </c>
      <c r="P8" s="26">
        <f>Bryngwyn!O31</f>
        <v>913.5</v>
      </c>
      <c r="Q8" s="26">
        <f>Bryngwyn!P31</f>
        <v>0</v>
      </c>
      <c r="R8" s="26">
        <f>Bryngwyn!Q31</f>
        <v>11.745000000000001</v>
      </c>
      <c r="S8" s="26">
        <f>Bryngwyn!R31</f>
        <v>0</v>
      </c>
      <c r="T8" s="26">
        <f>Bryngwyn!S31</f>
        <v>0.102051</v>
      </c>
      <c r="U8" s="26">
        <f>Bryngwyn!T31</f>
        <v>0</v>
      </c>
      <c r="V8" s="26">
        <f>Bryngwyn!U31</f>
        <v>0</v>
      </c>
    </row>
    <row r="9" spans="1:22" x14ac:dyDescent="0.25">
      <c r="A9" s="29">
        <v>7</v>
      </c>
      <c r="B9" s="81"/>
      <c r="C9" s="26">
        <f>'Bontgoch 2'!B31</f>
        <v>11</v>
      </c>
      <c r="D9" s="26">
        <f>'Bontgoch 2'!C31</f>
        <v>37.3626</v>
      </c>
      <c r="E9" s="26">
        <f>'Bontgoch 2'!D31</f>
        <v>50.295651780000007</v>
      </c>
      <c r="F9" s="26">
        <f>'Bontgoch 2'!E31</f>
        <v>2.5600707E-5</v>
      </c>
      <c r="G9" s="26">
        <f>'Bontgoch 2'!F31</f>
        <v>3.2390687999999996</v>
      </c>
      <c r="H9" s="26">
        <f>'Bontgoch 2'!G31</f>
        <v>2.66178E-2</v>
      </c>
      <c r="I9" s="26">
        <f>'Bontgoch 2'!H31</f>
        <v>0.68864400000000003</v>
      </c>
      <c r="J9" s="26">
        <f>'Bontgoch 2'!I31</f>
        <v>0.1125762</v>
      </c>
      <c r="K9" s="26">
        <f>'Bontgoch 2'!J31</f>
        <v>7.5701999999999996E-4</v>
      </c>
      <c r="L9" s="26">
        <f>'Bontgoch 2'!K31</f>
        <v>1.1233200000000001E-3</v>
      </c>
      <c r="M9" s="26">
        <f>'Bontgoch 2'!L31</f>
        <v>6.12942E-2</v>
      </c>
      <c r="N9" s="26">
        <f>'Bontgoch 2'!M31</f>
        <v>3.4676399999999996E-2</v>
      </c>
      <c r="O9" s="26">
        <f>'Bontgoch 2'!N31</f>
        <v>16.410240000000002</v>
      </c>
      <c r="P9" s="26">
        <f>'Bontgoch 2'!O31</f>
        <v>847.37400000000002</v>
      </c>
      <c r="Q9" s="26">
        <f>'Bontgoch 2'!P31</f>
        <v>0</v>
      </c>
      <c r="R9" s="26">
        <f>'Bontgoch 2'!Q31</f>
        <v>16.78875</v>
      </c>
      <c r="S9" s="26">
        <f>'Bontgoch 2'!R31</f>
        <v>0</v>
      </c>
      <c r="T9" s="26">
        <f>'Bontgoch 2'!S31</f>
        <v>6.20268E-2</v>
      </c>
      <c r="U9" s="26">
        <f>'Bontgoch 2'!T31</f>
        <v>0</v>
      </c>
      <c r="V9" s="26">
        <f>'Bontgoch 2'!U31</f>
        <v>0</v>
      </c>
    </row>
    <row r="10" spans="1:22" x14ac:dyDescent="0.25">
      <c r="A10" s="29">
        <v>8</v>
      </c>
      <c r="B10" s="81"/>
      <c r="C10" s="26">
        <f>'Llechryd 2'!B31</f>
        <v>30</v>
      </c>
      <c r="D10" s="26">
        <f>'Llechryd 2'!C31</f>
        <v>63.551699999999997</v>
      </c>
      <c r="E10" s="26">
        <f>'Llechryd 2'!D31</f>
        <v>53.004576000000007</v>
      </c>
      <c r="F10" s="26">
        <f>'Llechryd 2'!E31</f>
        <v>1.9776580500000006E-4</v>
      </c>
      <c r="G10" s="26">
        <f>'Llechryd 2'!F31</f>
        <v>8.343188640000001</v>
      </c>
      <c r="H10" s="26">
        <f>'Llechryd 2'!G31</f>
        <v>0.19159500000000002</v>
      </c>
      <c r="I10" s="26">
        <f>'Llechryd 2'!H31</f>
        <v>1.10619</v>
      </c>
      <c r="J10" s="26">
        <f>'Llechryd 2'!I31</f>
        <v>0.19014900000000001</v>
      </c>
      <c r="K10" s="26">
        <f>'Llechryd 2'!J31</f>
        <v>7.9530000000000009E-4</v>
      </c>
      <c r="L10" s="26">
        <f>'Llechryd 2'!K31</f>
        <v>3.0366000000000004E-3</v>
      </c>
      <c r="M10" s="26">
        <f>'Llechryd 2'!L31</f>
        <v>0.15906000000000001</v>
      </c>
      <c r="N10" s="26">
        <f>'Llechryd 2'!M31</f>
        <v>6.7166699999999996E-2</v>
      </c>
      <c r="O10" s="26">
        <f>'Llechryd 2'!N31</f>
        <v>22.7745</v>
      </c>
      <c r="P10" s="26">
        <f>'Llechryd 2'!O31</f>
        <v>1778.58</v>
      </c>
      <c r="Q10" s="26">
        <f>'Llechryd 2'!P31</f>
        <v>0</v>
      </c>
      <c r="R10" s="26">
        <f>'Llechryd 2'!Q31</f>
        <v>49.344749999999998</v>
      </c>
      <c r="S10" s="26">
        <f>'Llechryd 2'!R31</f>
        <v>0</v>
      </c>
      <c r="T10" s="26">
        <f>'Llechryd 2'!S31</f>
        <v>0.17424300000000004</v>
      </c>
      <c r="U10" s="26">
        <f>'Llechryd 2'!T31</f>
        <v>0</v>
      </c>
      <c r="V10" s="26">
        <f>'Llechryd 2'!U31</f>
        <v>0</v>
      </c>
    </row>
    <row r="11" spans="1:22" x14ac:dyDescent="0.25">
      <c r="A11" s="29">
        <v>9</v>
      </c>
      <c r="B11" s="81"/>
      <c r="C11" s="26">
        <f>'Strata Florida 2'!B31</f>
        <v>68</v>
      </c>
      <c r="D11" s="26">
        <f>'Strata Florida 2'!C31</f>
        <v>142.34440000000001</v>
      </c>
      <c r="E11" s="26">
        <f>'Strata Florida 2'!D31</f>
        <v>53.633134760000011</v>
      </c>
      <c r="F11" s="26">
        <f>'Strata Florida 2'!E31</f>
        <v>2.2539235800000002E-4</v>
      </c>
      <c r="G11" s="26">
        <f>'Strata Florida 2'!F31</f>
        <v>5.3052816640000007</v>
      </c>
      <c r="H11" s="26">
        <f>'Strata Florida 2'!G31</f>
        <v>0.24822040000000004</v>
      </c>
      <c r="I11" s="26">
        <f>'Strata Florida 2'!H31</f>
        <v>0.75524880000000016</v>
      </c>
      <c r="J11" s="26">
        <f>'Strata Florida 2'!I31</f>
        <v>8.4700800000000007E-2</v>
      </c>
      <c r="K11" s="26">
        <f>'Strata Florida 2'!J31</f>
        <v>3.6468400000000006E-3</v>
      </c>
      <c r="L11" s="26">
        <f>'Strata Florida 2'!K31</f>
        <v>6.7054800000000006E-3</v>
      </c>
      <c r="M11" s="26">
        <f>'Strata Florida 2'!L31</f>
        <v>7.9995200000000002E-2</v>
      </c>
      <c r="N11" s="26">
        <f>'Strata Florida 2'!M31</f>
        <v>5.0585200000000004E-2</v>
      </c>
      <c r="O11" s="26">
        <f>'Strata Florida 2'!N31</f>
        <v>1470.5000000000002</v>
      </c>
      <c r="P11" s="26">
        <f>'Strata Florida 2'!O31</f>
        <v>214.10480000000001</v>
      </c>
      <c r="Q11" s="26">
        <f>'Strata Florida 2'!P31</f>
        <v>0</v>
      </c>
      <c r="R11" s="26">
        <f>'Strata Florida 2'!Q31</f>
        <v>140.28570000000002</v>
      </c>
      <c r="S11" s="26">
        <f>'Strata Florida 2'!R31</f>
        <v>0</v>
      </c>
      <c r="T11" s="26">
        <f>'Strata Florida 2'!S31</f>
        <v>0.49879360000000006</v>
      </c>
      <c r="U11" s="26">
        <f>'Strata Florida 2'!T31</f>
        <v>0</v>
      </c>
      <c r="V11" s="26">
        <f>'Strata Florida 2'!U31</f>
        <v>0</v>
      </c>
    </row>
    <row r="12" spans="1:22" x14ac:dyDescent="0.25">
      <c r="A12" s="29">
        <v>10</v>
      </c>
      <c r="B12" s="81"/>
      <c r="C12" s="26">
        <f>Cray!B31</f>
        <v>100</v>
      </c>
      <c r="D12" s="26">
        <f>Cray!C31</f>
        <v>17.689999999999998</v>
      </c>
      <c r="E12" s="26">
        <f>Cray!D31</f>
        <v>2.2527861199999997</v>
      </c>
      <c r="F12" s="26">
        <f>Cray!E31</f>
        <v>3.2048180000000001E-5</v>
      </c>
      <c r="G12" s="26">
        <f>Cray!F31</f>
        <v>2.6700431999999998</v>
      </c>
      <c r="H12" s="26">
        <f>Cray!G31</f>
        <v>2.3228799999999994E-2</v>
      </c>
      <c r="I12" s="26">
        <f>Cray!H31</f>
        <v>0.19373600000000002</v>
      </c>
      <c r="J12" s="26">
        <f>Cray!I31</f>
        <v>1.5128000000000001E-2</v>
      </c>
      <c r="K12" s="26">
        <f>Cray!J31</f>
        <v>4.148E-4</v>
      </c>
      <c r="L12" s="26">
        <f>Cray!K31</f>
        <v>4.0260000000000001E-3</v>
      </c>
      <c r="M12" s="26">
        <f>Cray!L31</f>
        <v>5.3191999999999996E-2</v>
      </c>
      <c r="N12" s="26">
        <f>Cray!M31</f>
        <v>4.4407999999999996E-2</v>
      </c>
      <c r="O12" s="26">
        <f>Cray!N31</f>
        <v>4.1967999999999996</v>
      </c>
      <c r="P12" s="26">
        <f>Cray!O31</f>
        <v>822.28</v>
      </c>
      <c r="Q12" s="26">
        <f>Cray!P31</f>
        <v>0</v>
      </c>
      <c r="R12" s="26">
        <f>Cray!Q31</f>
        <v>10.674999999999999</v>
      </c>
      <c r="S12" s="26">
        <f>Cray!R31</f>
        <v>0</v>
      </c>
      <c r="T12" s="26">
        <f>Cray!S31</f>
        <v>9.1256000000000004E-2</v>
      </c>
      <c r="U12" s="26">
        <f>Cray!T31</f>
        <v>0</v>
      </c>
      <c r="V12" s="26">
        <f>Cray!U31</f>
        <v>0</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'Bolton Hill'!B43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'Bolton Hill'!B44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100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100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94</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100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f t="shared" si="9"/>
        <v>64</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5">
      <c r="A22" s="75">
        <v>6</v>
      </c>
      <c r="B22" s="76">
        <f t="shared" ref="B22:C22" si="11">B8</f>
        <v>0</v>
      </c>
      <c r="C22" s="77">
        <f t="shared" si="11"/>
        <v>100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5">
      <c r="A23" s="75">
        <v>7</v>
      </c>
      <c r="B23" s="76">
        <f t="shared" ref="B23:C23" si="13">B9</f>
        <v>0</v>
      </c>
      <c r="C23" s="77">
        <f t="shared" si="13"/>
        <v>11</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5">
      <c r="A24" s="75">
        <v>8</v>
      </c>
      <c r="B24" s="76">
        <f t="shared" ref="B24:C24" si="15">B10</f>
        <v>0</v>
      </c>
      <c r="C24" s="77">
        <f t="shared" si="15"/>
        <v>30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5">
      <c r="A25" s="75">
        <v>9</v>
      </c>
      <c r="B25" s="76">
        <f t="shared" ref="B25:C25" si="17">B11</f>
        <v>0</v>
      </c>
      <c r="C25" s="77">
        <f t="shared" si="17"/>
        <v>68</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5">
      <c r="A26" s="75">
        <v>10</v>
      </c>
      <c r="B26" s="76">
        <f t="shared" ref="B26:C26" si="19">B12</f>
        <v>0</v>
      </c>
      <c r="C26" s="77">
        <f t="shared" si="19"/>
        <v>100</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5" x14ac:dyDescent="0.35">
      <c r="A27" s="133" t="s">
        <v>85</v>
      </c>
      <c r="B27" s="133"/>
      <c r="C27" s="133"/>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652CD160364CE40993C0B93A5AB272F" ma:contentTypeVersion="787" ma:contentTypeDescription="Permitting &amp; Compliance Word Document" ma:contentTypeScope="" ma:versionID="42aebc44b4740a9fc9918fed9021734d">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4f0b7cd0a0815c3d1b5eae7144ee483c"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REGU-488-221</_dlc_DocId>
    <_dlc_DocIdUrl xmlns="9be56660-2c31-41ef-bc00-23e72f632f2a">
      <Url>https://cyfoethnaturiolcymru.sharepoint.com/teams/Regulatory/Permitting/_layouts/15/DocIdRedir.aspx?ID=REGU-488-221</Url>
      <Description>REGU-488-221</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2025-05-12T23:00:00+00:00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8946334-A3EA-4C88-A7E3-1BDCF3317833}"/>
</file>

<file path=customXml/itemProps2.xml><?xml version="1.0" encoding="utf-8"?>
<ds:datastoreItem xmlns:ds="http://schemas.openxmlformats.org/officeDocument/2006/customXml" ds:itemID="{92DE5D5C-3B1E-4D4B-A167-A02BEA8D2624}"/>
</file>

<file path=customXml/itemProps3.xml><?xml version="1.0" encoding="utf-8"?>
<ds:datastoreItem xmlns:ds="http://schemas.openxmlformats.org/officeDocument/2006/customXml" ds:itemID="{3EB88BFD-E29A-4849-A8E6-116EB74B98EA}">
  <ds:schemaRefs>
    <ds:schemaRef ds:uri="http://purl.org/dc/elements/1.1/"/>
    <ds:schemaRef ds:uri="http://schemas.microsoft.com/office/2006/documentManagement/types"/>
    <ds:schemaRef ds:uri="http://schemas.microsoft.com/office/infopath/2007/PartnerControls"/>
    <ds:schemaRef ds:uri="9be56660-2c31-41ef-bc00-23e72f632f2a"/>
    <ds:schemaRef ds:uri="http://purl.org/dc/dcmitype/"/>
    <ds:schemaRef ds:uri="http://schemas.microsoft.com/office/2006/metadata/properties"/>
    <ds:schemaRef ds:uri="http://schemas.openxmlformats.org/package/2006/metadata/core-properties"/>
    <ds:schemaRef ds:uri="http://www.w3.org/XML/1998/namespace"/>
    <ds:schemaRef ds:uri="http://purl.org/dc/te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Bolton Hill</vt:lpstr>
      <vt:lpstr>Preseli</vt:lpstr>
      <vt:lpstr>Llechryd</vt:lpstr>
      <vt:lpstr>Starta Florida</vt:lpstr>
      <vt:lpstr>Bontogch</vt:lpstr>
      <vt:lpstr>Bryngwyn</vt:lpstr>
      <vt:lpstr>Bontgoch 2</vt:lpstr>
      <vt:lpstr>Llechryd 2</vt:lpstr>
      <vt:lpstr>Strata Florida 2</vt:lpstr>
      <vt:lpstr>Cray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Louise Bailey</dc:creator>
  <cp:keywords>NRW Nutrient Calculator</cp:keywords>
  <cp:lastModifiedBy>Tucker, Megan</cp:lastModifiedBy>
  <dcterms:created xsi:type="dcterms:W3CDTF">2016-09-26T10:07:59Z</dcterms:created>
  <dcterms:modified xsi:type="dcterms:W3CDTF">2025-05-07T17:08:21Z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0x01010067EB80C5FE939D4A9B3D8BA62129B7F50102001652CD160364CE40993C0B93A5AB272F</vt:lpwstr>
  </property>
  <property fmtid="{D5CDD505-2E9C-101B-9397-08002B2CF9AE}" pid="3" name="_dlc_DocIdItemGuid">
    <vt:lpwstr>4b94df5b-69b4-44ba-80d6-aa804326e4fc</vt:lpwstr>
  </property>
  <property fmtid="{D5CDD505-2E9C-101B-9397-08002B2CF9AE}" pid="4" name="Order">
    <vt:r8>22100</vt:r8>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Process">
    <vt:lpwstr/>
  </property>
  <property fmtid="{D5CDD505-2E9C-101B-9397-08002B2CF9AE}" pid="13" name="Email Subject">
    <vt:lpwstr/>
  </property>
  <property fmtid="{D5CDD505-2E9C-101B-9397-08002B2CF9AE}" pid="14" name="Link to previous EPR Permit">
    <vt:lpwstr/>
  </property>
  <property fmtid="{D5CDD505-2E9C-101B-9397-08002B2CF9AE}" pid="15" name="CAR Language Preference">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