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cyfoethnaturiolcymru-my.sharepoint.com/personal/louise_bailey_cyfoethnaturiolcymru_gov_uk/Documents/Desktop/"/>
    </mc:Choice>
  </mc:AlternateContent>
  <xr:revisionPtr revIDLastSave="0" documentId="8_{3C734052-79A9-4BE2-8C08-3022A634170E}" xr6:coauthVersionLast="47" xr6:coauthVersionMax="47" xr10:uidLastSave="{00000000-0000-0000-0000-000000000000}"/>
  <bookViews>
    <workbookView xWindow="-120" yWindow="-120" windowWidth="29040" windowHeight="15720" tabRatio="736" activeTab="6" xr2:uid="{00000000-000D-0000-FFFF-FFFF00000000}"/>
  </bookViews>
  <sheets>
    <sheet name="Bala" sheetId="1" r:id="rId1"/>
    <sheet name="Bryn Cowlyd" sheetId="21" r:id="rId2"/>
    <sheet name="Cefni" sheetId="27" r:id="rId3"/>
    <sheet name="Cwellyn" sheetId="28" r:id="rId4"/>
    <sheet name="Dolbenmaen" sheetId="30" r:id="rId5"/>
    <sheet name="Gwastadgoed" sheetId="26" r:id="rId6"/>
    <sheet name="Llyn Conwy" sheetId="24" r:id="rId7"/>
    <sheet name="Mynydd Llannegaai" sheetId="29" r:id="rId8"/>
    <sheet name="Penybont" sheetId="23" r:id="rId9"/>
    <sheet name="Rhiw Goch"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Q65" i="1" l="1"/>
  <c r="R65" i="1"/>
  <c r="S65" i="1"/>
  <c r="T65" i="1"/>
  <c r="U65" i="1"/>
  <c r="Q65" i="21"/>
  <c r="R65" i="21"/>
  <c r="S65" i="21"/>
  <c r="T65" i="21"/>
  <c r="U65" i="21"/>
  <c r="Q65" i="27"/>
  <c r="R65" i="27"/>
  <c r="S65" i="27"/>
  <c r="T65" i="27"/>
  <c r="U65" i="27"/>
  <c r="Q65" i="28"/>
  <c r="R65" i="28"/>
  <c r="S65" i="28"/>
  <c r="T65" i="28"/>
  <c r="U65" i="28"/>
  <c r="Q65" i="30"/>
  <c r="R65" i="30"/>
  <c r="S65" i="30"/>
  <c r="T65" i="30"/>
  <c r="U65" i="30"/>
  <c r="Q65" i="26"/>
  <c r="R65" i="26"/>
  <c r="S65" i="26"/>
  <c r="T65" i="26"/>
  <c r="U65" i="26"/>
  <c r="Q65" i="24"/>
  <c r="R65" i="24"/>
  <c r="S65" i="24"/>
  <c r="T65" i="24"/>
  <c r="U65" i="24"/>
  <c r="Q65" i="29"/>
  <c r="R65" i="29"/>
  <c r="S65" i="29"/>
  <c r="T65" i="29"/>
  <c r="U65" i="29"/>
  <c r="Q65" i="23"/>
  <c r="R65" i="23"/>
  <c r="S65" i="23"/>
  <c r="T65" i="23"/>
  <c r="U65" i="23"/>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U22" i="30"/>
  <c r="M22" i="30"/>
  <c r="E22" i="30"/>
  <c r="V20" i="30"/>
  <c r="U20" i="30"/>
  <c r="T20" i="30"/>
  <c r="S20" i="30"/>
  <c r="R20" i="30"/>
  <c r="P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R22" i="29"/>
  <c r="Q22" i="29"/>
  <c r="J22" i="29"/>
  <c r="V20" i="29"/>
  <c r="U20" i="29"/>
  <c r="T20" i="29"/>
  <c r="S20" i="29"/>
  <c r="R20" i="29"/>
  <c r="T18" i="29"/>
  <c r="R18" i="29"/>
  <c r="L18" i="29"/>
  <c r="I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U18" i="28"/>
  <c r="R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V20" i="27"/>
  <c r="U20" i="27"/>
  <c r="T20" i="27"/>
  <c r="S20" i="27"/>
  <c r="R20" i="27"/>
  <c r="U18" i="27"/>
  <c r="R18" i="27"/>
  <c r="J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K22" i="26"/>
  <c r="I22" i="26"/>
  <c r="V20" i="26"/>
  <c r="U20" i="26"/>
  <c r="T20" i="26"/>
  <c r="S20" i="26"/>
  <c r="R20" i="26"/>
  <c r="V18" i="26"/>
  <c r="S18" i="26"/>
  <c r="O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M22" i="24"/>
  <c r="E22" i="24"/>
  <c r="V20" i="24"/>
  <c r="U20" i="24"/>
  <c r="T20" i="24"/>
  <c r="S20" i="24"/>
  <c r="R20" i="24"/>
  <c r="U18" i="24"/>
  <c r="P18" i="24"/>
  <c r="G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M22" i="23"/>
  <c r="V20" i="23"/>
  <c r="U20" i="23"/>
  <c r="T20" i="23"/>
  <c r="S20" i="23"/>
  <c r="R20" i="23"/>
  <c r="S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O22" i="22"/>
  <c r="M22" i="22"/>
  <c r="V20" i="22"/>
  <c r="U20" i="22"/>
  <c r="T20" i="22"/>
  <c r="S20" i="22"/>
  <c r="R20" i="22"/>
  <c r="V18" i="22"/>
  <c r="S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0" i="22" s="1"/>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23" i="23" s="1"/>
  <c r="N24" i="23" s="1"/>
  <c r="N17" i="23"/>
  <c r="N19" i="23" s="1"/>
  <c r="N20" i="23" s="1"/>
  <c r="U59" i="23"/>
  <c r="V21" i="23"/>
  <c r="V23" i="23" s="1"/>
  <c r="V24" i="23" s="1"/>
  <c r="V17" i="23"/>
  <c r="I17" i="24"/>
  <c r="I19" i="24" s="1"/>
  <c r="I20" i="24" s="1"/>
  <c r="I21" i="24"/>
  <c r="Q17" i="24"/>
  <c r="Q19" i="24" s="1"/>
  <c r="Q20"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L19" i="28" s="1"/>
  <c r="L20" i="28" s="1"/>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0" i="23" s="1"/>
  <c r="P21" i="23"/>
  <c r="J59" i="24"/>
  <c r="K21" i="24"/>
  <c r="K17" i="24"/>
  <c r="R59" i="24"/>
  <c r="S21" i="24"/>
  <c r="S23" i="24" s="1"/>
  <c r="S24" i="24" s="1"/>
  <c r="S17" i="24"/>
  <c r="G21" i="26"/>
  <c r="G17" i="26"/>
  <c r="O17" i="26"/>
  <c r="O21" i="26"/>
  <c r="O23" i="26" s="1"/>
  <c r="O24" i="26" s="1"/>
  <c r="E59" i="27"/>
  <c r="F17" i="27"/>
  <c r="F19" i="27" s="1"/>
  <c r="F20" i="27" s="1"/>
  <c r="M59" i="27"/>
  <c r="N17" i="27"/>
  <c r="U59" i="27"/>
  <c r="V17" i="27"/>
  <c r="E59" i="28"/>
  <c r="F17" i="28"/>
  <c r="F21" i="28"/>
  <c r="F23" i="28" s="1"/>
  <c r="F24" i="28" s="1"/>
  <c r="M59" i="28"/>
  <c r="N17" i="28"/>
  <c r="N19" i="28" s="1"/>
  <c r="N20" i="28" s="1"/>
  <c r="N21" i="28"/>
  <c r="U59" i="28"/>
  <c r="V17" i="28"/>
  <c r="V21" i="28"/>
  <c r="D59" i="29"/>
  <c r="E17" i="29"/>
  <c r="E21" i="29"/>
  <c r="E23" i="29" s="1"/>
  <c r="E24" i="29" s="1"/>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21" i="22"/>
  <c r="G23" i="22" s="1"/>
  <c r="G24" i="22" s="1"/>
  <c r="O17" i="22"/>
  <c r="O19" i="22" s="1"/>
  <c r="O20" i="22" s="1"/>
  <c r="O21" i="22"/>
  <c r="O23" i="22" s="1"/>
  <c r="O24" i="22" s="1"/>
  <c r="H59" i="23"/>
  <c r="I21" i="23"/>
  <c r="I23" i="23" s="1"/>
  <c r="I24" i="23" s="1"/>
  <c r="I17" i="23"/>
  <c r="P59" i="23"/>
  <c r="Q17" i="23"/>
  <c r="Q19" i="23" s="1"/>
  <c r="Q20" i="23" s="1"/>
  <c r="Q21" i="23"/>
  <c r="Q23" i="23" s="1"/>
  <c r="Q24" i="23" s="1"/>
  <c r="C59" i="24"/>
  <c r="D17" i="24"/>
  <c r="D19" i="24" s="1"/>
  <c r="D20" i="24" s="1"/>
  <c r="D21" i="24"/>
  <c r="D23" i="24" s="1"/>
  <c r="D24" i="24" s="1"/>
  <c r="K59" i="24"/>
  <c r="L21" i="24"/>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0" i="28" s="1"/>
  <c r="O21" i="28"/>
  <c r="E59" i="29"/>
  <c r="F17" i="29"/>
  <c r="F21" i="29"/>
  <c r="M59" i="29"/>
  <c r="N17" i="29"/>
  <c r="N19" i="29" s="1"/>
  <c r="N20" i="29" s="1"/>
  <c r="N21" i="29"/>
  <c r="N23" i="29" s="1"/>
  <c r="N24" i="29" s="1"/>
  <c r="U59" i="29"/>
  <c r="V17" i="29"/>
  <c r="V21" i="29"/>
  <c r="V23" i="29" s="1"/>
  <c r="V24" i="29" s="1"/>
  <c r="D59" i="30"/>
  <c r="E17" i="30"/>
  <c r="E21" i="30"/>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17" i="22"/>
  <c r="H19" i="22" s="1"/>
  <c r="H20" i="22" s="1"/>
  <c r="I59" i="23"/>
  <c r="J21" i="23"/>
  <c r="J23" i="23" s="1"/>
  <c r="J24" i="23" s="1"/>
  <c r="J17" i="23"/>
  <c r="J19" i="23" s="1"/>
  <c r="J20" i="23" s="1"/>
  <c r="Q59" i="23"/>
  <c r="R21" i="23"/>
  <c r="R17" i="23"/>
  <c r="D59" i="24"/>
  <c r="E17" i="24"/>
  <c r="E21" i="24"/>
  <c r="L59" i="24"/>
  <c r="M17" i="24"/>
  <c r="M19" i="24" s="1"/>
  <c r="M20" i="24" s="1"/>
  <c r="M21" i="24"/>
  <c r="M23" i="24" s="1"/>
  <c r="M24" i="24" s="1"/>
  <c r="T59" i="24"/>
  <c r="U21" i="24"/>
  <c r="U17" i="24"/>
  <c r="H59" i="26"/>
  <c r="I17" i="26"/>
  <c r="I21" i="26"/>
  <c r="I23" i="26" s="1"/>
  <c r="I24" i="26" s="1"/>
  <c r="P59" i="26"/>
  <c r="Q17" i="26"/>
  <c r="Q19" i="26" s="1"/>
  <c r="Q20" i="26" s="1"/>
  <c r="Q21" i="26"/>
  <c r="E63" i="26"/>
  <c r="H17" i="27"/>
  <c r="P17" i="27"/>
  <c r="P19" i="27" s="1"/>
  <c r="P20" i="27" s="1"/>
  <c r="H21" i="28"/>
  <c r="H23" i="28" s="1"/>
  <c r="H24" i="28" s="1"/>
  <c r="H17" i="28"/>
  <c r="P21" i="28"/>
  <c r="P17" i="28"/>
  <c r="P19" i="28" s="1"/>
  <c r="P20" i="28" s="1"/>
  <c r="G17" i="29"/>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0" i="22" s="1"/>
  <c r="Q21" i="22"/>
  <c r="J59" i="23"/>
  <c r="K17" i="23"/>
  <c r="K21" i="23"/>
  <c r="K23" i="23" s="1"/>
  <c r="K24" i="23" s="1"/>
  <c r="R59" i="23"/>
  <c r="S17" i="23"/>
  <c r="S19" i="23" s="1"/>
  <c r="S21" i="23"/>
  <c r="E59" i="24"/>
  <c r="F21" i="24"/>
  <c r="F17" i="24"/>
  <c r="M59" i="24"/>
  <c r="N21" i="24"/>
  <c r="N23" i="24" s="1"/>
  <c r="N24" i="24" s="1"/>
  <c r="N17" i="24"/>
  <c r="N19" i="24" s="1"/>
  <c r="N20"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Q20" i="28" s="1"/>
  <c r="H21" i="29"/>
  <c r="H23" i="29" s="1"/>
  <c r="H24" i="29" s="1"/>
  <c r="H17" i="29"/>
  <c r="P21" i="29"/>
  <c r="P23" i="29" s="1"/>
  <c r="P24" i="29" s="1"/>
  <c r="P17" i="29"/>
  <c r="G21" i="30"/>
  <c r="G17" i="30"/>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G17" i="24"/>
  <c r="G19" i="24" s="1"/>
  <c r="G20" i="24" s="1"/>
  <c r="G21" i="24"/>
  <c r="G23" i="24" s="1"/>
  <c r="G24" i="24" s="1"/>
  <c r="O17" i="24"/>
  <c r="O21" i="24"/>
  <c r="J59" i="26"/>
  <c r="K17" i="26"/>
  <c r="K19" i="26" s="1"/>
  <c r="K20" i="26" s="1"/>
  <c r="K21" i="26"/>
  <c r="R59" i="26"/>
  <c r="S17" i="26"/>
  <c r="S19" i="26" s="1"/>
  <c r="S21" i="26"/>
  <c r="S23" i="26" s="1"/>
  <c r="S24" i="26" s="1"/>
  <c r="M63" i="26"/>
  <c r="I59" i="27"/>
  <c r="J17" i="27"/>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Q20"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C65" i="21" s="1"/>
  <c r="K58" i="21"/>
  <c r="K61" i="21" s="1"/>
  <c r="K64" i="21" s="1"/>
  <c r="K65" i="21" s="1"/>
  <c r="R19" i="24"/>
  <c r="I21" i="27"/>
  <c r="I23" i="27" s="1"/>
  <c r="I24" i="27" s="1"/>
  <c r="Q21" i="27"/>
  <c r="R58" i="21"/>
  <c r="R61" i="21" s="1"/>
  <c r="R64" i="21" s="1"/>
  <c r="O57" i="21"/>
  <c r="A43" i="21"/>
  <c r="J58" i="21"/>
  <c r="J61" i="21" s="1"/>
  <c r="G23" i="26"/>
  <c r="G24" i="26" s="1"/>
  <c r="D58" i="29"/>
  <c r="D61" i="29" s="1"/>
  <c r="P23" i="26"/>
  <c r="P24" i="26" s="1"/>
  <c r="G21" i="27"/>
  <c r="G23" i="27" s="1"/>
  <c r="G24" i="27" s="1"/>
  <c r="O21" i="27"/>
  <c r="O23" i="27" s="1"/>
  <c r="O24" i="27" s="1"/>
  <c r="D58" i="30"/>
  <c r="D61" i="30" s="1"/>
  <c r="D64" i="30" s="1"/>
  <c r="L58" i="30"/>
  <c r="L61" i="30" s="1"/>
  <c r="L64" i="30" s="1"/>
  <c r="R58" i="23"/>
  <c r="R61" i="23" s="1"/>
  <c r="H21" i="27"/>
  <c r="H23" i="27" s="1"/>
  <c r="H24" i="27" s="1"/>
  <c r="P21" i="27"/>
  <c r="J58" i="22"/>
  <c r="J61" i="22" s="1"/>
  <c r="J58" i="26"/>
  <c r="J61" i="26" s="1"/>
  <c r="R19" i="23"/>
  <c r="J58" i="27"/>
  <c r="J61"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P58" i="22"/>
  <c r="P61" i="22" s="1"/>
  <c r="P64" i="22" s="1"/>
  <c r="F59" i="22"/>
  <c r="K58" i="29"/>
  <c r="K61" i="29" s="1"/>
  <c r="I58" i="23"/>
  <c r="I61" i="23" s="1"/>
  <c r="I64" i="23" s="1"/>
  <c r="Q58" i="23"/>
  <c r="Q61" i="23" s="1"/>
  <c r="L58" i="29"/>
  <c r="L61" i="29" s="1"/>
  <c r="T58" i="29"/>
  <c r="T61" i="29" s="1"/>
  <c r="T64" i="29" s="1"/>
  <c r="I23" i="30"/>
  <c r="I24" i="30" s="1"/>
  <c r="Q23" i="30"/>
  <c r="Q24" i="30" s="1"/>
  <c r="E23" i="30"/>
  <c r="E24" i="30" s="1"/>
  <c r="U23" i="30"/>
  <c r="U24" i="30" s="1"/>
  <c r="J58" i="28"/>
  <c r="J61" i="28" s="1"/>
  <c r="J64" i="28" s="1"/>
  <c r="J65"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Q23" i="22"/>
  <c r="Q24" i="22" s="1"/>
  <c r="J19" i="27"/>
  <c r="J20" i="27" s="1"/>
  <c r="R21" i="27"/>
  <c r="R23" i="27" s="1"/>
  <c r="R24" i="27" s="1"/>
  <c r="E58" i="27"/>
  <c r="E61" i="27" s="1"/>
  <c r="E64" i="27" s="1"/>
  <c r="E65"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H64" i="30" s="1"/>
  <c r="N59" i="30"/>
  <c r="K19" i="21"/>
  <c r="K20" i="21" s="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P58" i="26"/>
  <c r="P61" i="26" s="1"/>
  <c r="F59" i="26"/>
  <c r="O58" i="27"/>
  <c r="O61" i="27" s="1"/>
  <c r="A38" i="21"/>
  <c r="F57" i="22"/>
  <c r="N59" i="22"/>
  <c r="E58" i="23"/>
  <c r="E61" i="23" s="1"/>
  <c r="E64" i="23" s="1"/>
  <c r="E65" i="23" s="1"/>
  <c r="M58" i="23"/>
  <c r="M61" i="23" s="1"/>
  <c r="U58" i="23"/>
  <c r="U61" i="23" s="1"/>
  <c r="U64" i="23" s="1"/>
  <c r="V19" i="23"/>
  <c r="O23" i="24"/>
  <c r="O24" i="24" s="1"/>
  <c r="F58" i="24"/>
  <c r="F61" i="24" s="1"/>
  <c r="N58" i="24"/>
  <c r="N61" i="24" s="1"/>
  <c r="F59" i="24"/>
  <c r="I58" i="27"/>
  <c r="I61" i="27" s="1"/>
  <c r="I64" i="27" s="1"/>
  <c r="I65"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P20" i="21" s="1"/>
  <c r="H23" i="22"/>
  <c r="H24" i="22" s="1"/>
  <c r="P23" i="22"/>
  <c r="P24" i="22" s="1"/>
  <c r="C58" i="22"/>
  <c r="C61" i="22" s="1"/>
  <c r="C64" i="22" s="1"/>
  <c r="K58" i="22"/>
  <c r="K61" i="22" s="1"/>
  <c r="K64" i="22" s="1"/>
  <c r="S58" i="22"/>
  <c r="S61" i="22" s="1"/>
  <c r="S64" i="22" s="1"/>
  <c r="F57" i="23"/>
  <c r="L23" i="24"/>
  <c r="L24" i="24" s="1"/>
  <c r="T23" i="24"/>
  <c r="T24" i="24" s="1"/>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C65"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I57" i="30"/>
  <c r="M19" i="21"/>
  <c r="M20" i="21" s="1"/>
  <c r="G57" i="21"/>
  <c r="E58" i="22"/>
  <c r="E61" i="22" s="1"/>
  <c r="E64" i="22" s="1"/>
  <c r="E65" i="22" s="1"/>
  <c r="M58" i="22"/>
  <c r="M61" i="22" s="1"/>
  <c r="M64" i="22" s="1"/>
  <c r="U58" i="22"/>
  <c r="U61" i="22" s="1"/>
  <c r="A45" i="22"/>
  <c r="O57" i="22"/>
  <c r="H58" i="23"/>
  <c r="H61" i="23" s="1"/>
  <c r="H64" i="23" s="1"/>
  <c r="P58" i="23"/>
  <c r="P61" i="23" s="1"/>
  <c r="I58" i="24"/>
  <c r="I61" i="24" s="1"/>
  <c r="Q58" i="24"/>
  <c r="Q61" i="24" s="1"/>
  <c r="Q64"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G23" i="30"/>
  <c r="G24" i="30" s="1"/>
  <c r="R19" i="30"/>
  <c r="F63" i="30"/>
  <c r="N63" i="30"/>
  <c r="S19" i="30"/>
  <c r="S23" i="30"/>
  <c r="S24" i="30" s="1"/>
  <c r="A31" i="30"/>
  <c r="A33" i="30"/>
  <c r="A39" i="30"/>
  <c r="A41" i="30"/>
  <c r="A47" i="30"/>
  <c r="A49" i="30"/>
  <c r="G57" i="30"/>
  <c r="O57" i="30"/>
  <c r="G59" i="30"/>
  <c r="O59" i="30"/>
  <c r="G63" i="30"/>
  <c r="O63" i="30"/>
  <c r="P63" i="30"/>
  <c r="I63" i="30"/>
  <c r="Q63" i="30"/>
  <c r="T19" i="30"/>
  <c r="E19" i="30"/>
  <c r="E20" i="30" s="1"/>
  <c r="N19" i="30"/>
  <c r="N20" i="30" s="1"/>
  <c r="V19" i="30"/>
  <c r="N23" i="30"/>
  <c r="N24" i="30" s="1"/>
  <c r="B63" i="30"/>
  <c r="J63" i="30"/>
  <c r="R63" i="30"/>
  <c r="G19" i="30"/>
  <c r="G20" i="30" s="1"/>
  <c r="A32" i="30"/>
  <c r="A34" i="30"/>
  <c r="A40" i="30"/>
  <c r="A42" i="30"/>
  <c r="A48" i="30"/>
  <c r="A50" i="30"/>
  <c r="C63" i="30"/>
  <c r="K63" i="30"/>
  <c r="S63" i="30"/>
  <c r="P19" i="30"/>
  <c r="P20" i="30" s="1"/>
  <c r="D63" i="30"/>
  <c r="L63" i="30"/>
  <c r="T63" i="30"/>
  <c r="H63" i="30"/>
  <c r="Q19" i="30"/>
  <c r="Q20" i="30" s="1"/>
  <c r="E63" i="30"/>
  <c r="M63" i="30"/>
  <c r="Q23" i="29"/>
  <c r="Q24" i="29" s="1"/>
  <c r="O23" i="29"/>
  <c r="O24" i="29" s="1"/>
  <c r="T19" i="29"/>
  <c r="P63" i="29"/>
  <c r="J19" i="29"/>
  <c r="J20" i="29" s="1"/>
  <c r="R19" i="29"/>
  <c r="J23" i="29"/>
  <c r="J24" i="29" s="1"/>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E19" i="29"/>
  <c r="E20" i="29" s="1"/>
  <c r="M19" i="29"/>
  <c r="M20" i="29" s="1"/>
  <c r="U19" i="29"/>
  <c r="M23" i="29"/>
  <c r="M24" i="29" s="1"/>
  <c r="U23" i="29"/>
  <c r="U24" i="29" s="1"/>
  <c r="I57" i="29"/>
  <c r="Q57" i="29"/>
  <c r="I63" i="29"/>
  <c r="Q63" i="29"/>
  <c r="F19" i="29"/>
  <c r="F20" i="29" s="1"/>
  <c r="V19" i="29"/>
  <c r="F23" i="29"/>
  <c r="F24" i="29" s="1"/>
  <c r="B63" i="29"/>
  <c r="J63" i="29"/>
  <c r="R63" i="29"/>
  <c r="L19" i="29"/>
  <c r="L20" i="29" s="1"/>
  <c r="G19" i="29"/>
  <c r="G20" i="29" s="1"/>
  <c r="O19" i="29"/>
  <c r="O20" i="29" s="1"/>
  <c r="A32" i="29"/>
  <c r="A34" i="29"/>
  <c r="A40" i="29"/>
  <c r="A42" i="29"/>
  <c r="A48" i="29"/>
  <c r="A50" i="29"/>
  <c r="C63" i="29"/>
  <c r="K63" i="29"/>
  <c r="S63" i="29"/>
  <c r="H19" i="29"/>
  <c r="H20" i="29" s="1"/>
  <c r="P19" i="29"/>
  <c r="P20" i="29" s="1"/>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23" i="28"/>
  <c r="L24" i="28" s="1"/>
  <c r="T23" i="28"/>
  <c r="T24" i="28" s="1"/>
  <c r="H59" i="28"/>
  <c r="P59" i="28"/>
  <c r="H63" i="28"/>
  <c r="P63" i="28"/>
  <c r="E19" i="28"/>
  <c r="E20" i="28" s="1"/>
  <c r="M19" i="28"/>
  <c r="M20" i="28" s="1"/>
  <c r="U19" i="28"/>
  <c r="M23" i="28"/>
  <c r="M24" i="28" s="1"/>
  <c r="I57" i="28"/>
  <c r="Q57" i="28"/>
  <c r="I63" i="28"/>
  <c r="Q63" i="28"/>
  <c r="R19" i="28"/>
  <c r="F19" i="28"/>
  <c r="F20" i="28" s="1"/>
  <c r="V19" i="28"/>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A32" i="27"/>
  <c r="A34" i="27"/>
  <c r="A40" i="27"/>
  <c r="A42" i="27"/>
  <c r="A48" i="27"/>
  <c r="A50" i="27"/>
  <c r="C63" i="27"/>
  <c r="K63" i="27"/>
  <c r="S63" i="27"/>
  <c r="L19" i="27"/>
  <c r="L20" i="27" s="1"/>
  <c r="H19" i="27"/>
  <c r="H20" i="27" s="1"/>
  <c r="D63" i="27"/>
  <c r="L63" i="27"/>
  <c r="T63" i="27"/>
  <c r="H63" i="27"/>
  <c r="Q19" i="27"/>
  <c r="Q20" i="27" s="1"/>
  <c r="E63" i="27"/>
  <c r="M63" i="27"/>
  <c r="U64" i="26"/>
  <c r="U66" i="26" s="1"/>
  <c r="J23" i="26"/>
  <c r="J24" i="26" s="1"/>
  <c r="K23" i="26"/>
  <c r="K24" i="26" s="1"/>
  <c r="A31" i="26"/>
  <c r="A33" i="26"/>
  <c r="A37" i="26"/>
  <c r="A39" i="26"/>
  <c r="A41" i="26"/>
  <c r="A45" i="26"/>
  <c r="A47" i="26"/>
  <c r="A49" i="26"/>
  <c r="G57" i="26"/>
  <c r="O57" i="26"/>
  <c r="G59" i="26"/>
  <c r="O59" i="26"/>
  <c r="G63" i="26"/>
  <c r="O63" i="26"/>
  <c r="L19" i="26"/>
  <c r="L20" i="26" s="1"/>
  <c r="T19" i="26"/>
  <c r="L23" i="26"/>
  <c r="L24" i="26" s="1"/>
  <c r="T23" i="26"/>
  <c r="T24" i="26" s="1"/>
  <c r="H63" i="26"/>
  <c r="P63" i="26"/>
  <c r="M19" i="26"/>
  <c r="M20" i="26" s="1"/>
  <c r="E23" i="26"/>
  <c r="E24" i="26" s="1"/>
  <c r="M23" i="26"/>
  <c r="M24" i="26" s="1"/>
  <c r="I57" i="26"/>
  <c r="Q57" i="26"/>
  <c r="I59" i="26"/>
  <c r="I64" i="26" s="1"/>
  <c r="Q59" i="26"/>
  <c r="Q64" i="26" s="1"/>
  <c r="I63" i="26"/>
  <c r="Q63" i="26"/>
  <c r="N19" i="26"/>
  <c r="N20" i="26" s="1"/>
  <c r="N23" i="26"/>
  <c r="N24" i="26" s="1"/>
  <c r="V23" i="26"/>
  <c r="V24" i="26" s="1"/>
  <c r="B63" i="26"/>
  <c r="J63" i="26"/>
  <c r="R63" i="26"/>
  <c r="G19" i="26"/>
  <c r="G20" i="26" s="1"/>
  <c r="O19" i="26"/>
  <c r="O20" i="26" s="1"/>
  <c r="A32" i="26"/>
  <c r="A34" i="26"/>
  <c r="A40" i="26"/>
  <c r="A42" i="26"/>
  <c r="A48" i="26"/>
  <c r="A50" i="26"/>
  <c r="C63" i="26"/>
  <c r="K63" i="26"/>
  <c r="S63" i="26"/>
  <c r="H19" i="26"/>
  <c r="H20" i="26" s="1"/>
  <c r="P19" i="26"/>
  <c r="P20" i="26" s="1"/>
  <c r="D63" i="26"/>
  <c r="L63" i="26"/>
  <c r="I19" i="26"/>
  <c r="I20" i="26" s="1"/>
  <c r="H23" i="24"/>
  <c r="H24" i="24" s="1"/>
  <c r="P23" i="24"/>
  <c r="P24" i="24" s="1"/>
  <c r="K19" i="24"/>
  <c r="K20"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F23" i="24"/>
  <c r="F24" i="24" s="1"/>
  <c r="V23" i="24"/>
  <c r="V24" i="24" s="1"/>
  <c r="B63" i="24"/>
  <c r="J63" i="24"/>
  <c r="R63" i="24"/>
  <c r="O19" i="24"/>
  <c r="O20" i="24" s="1"/>
  <c r="A32" i="24"/>
  <c r="A34" i="24"/>
  <c r="A40" i="24"/>
  <c r="A42" i="24"/>
  <c r="A48" i="24"/>
  <c r="A50" i="24"/>
  <c r="C63" i="24"/>
  <c r="K63" i="24"/>
  <c r="S63" i="24"/>
  <c r="R23" i="24"/>
  <c r="R24" i="24" s="1"/>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L20" i="23" s="1"/>
  <c r="T19" i="23"/>
  <c r="L23" i="23"/>
  <c r="L24" i="23" s="1"/>
  <c r="T23" i="23"/>
  <c r="T24" i="23" s="1"/>
  <c r="E19" i="23"/>
  <c r="E20" i="23" s="1"/>
  <c r="M19" i="23"/>
  <c r="M20" i="23" s="1"/>
  <c r="E23" i="23"/>
  <c r="E24" i="23" s="1"/>
  <c r="M23" i="23"/>
  <c r="M24" i="23" s="1"/>
  <c r="I57" i="23"/>
  <c r="Q57" i="23"/>
  <c r="F23" i="23"/>
  <c r="F24" i="23" s="1"/>
  <c r="O19" i="23"/>
  <c r="O20" i="23" s="1"/>
  <c r="A32" i="23"/>
  <c r="A34" i="23"/>
  <c r="A40" i="23"/>
  <c r="A42" i="23"/>
  <c r="A48" i="23"/>
  <c r="A50" i="23"/>
  <c r="H19" i="23"/>
  <c r="H20" i="23" s="1"/>
  <c r="I19" i="23"/>
  <c r="I20" i="23" s="1"/>
  <c r="U63" i="22"/>
  <c r="M63" i="22"/>
  <c r="E63" i="22"/>
  <c r="F63" i="22"/>
  <c r="T63" i="22"/>
  <c r="L63" i="22"/>
  <c r="D63" i="22"/>
  <c r="S63" i="22"/>
  <c r="K63" i="22"/>
  <c r="C63" i="22"/>
  <c r="N63" i="22"/>
  <c r="R63" i="22"/>
  <c r="J63" i="22"/>
  <c r="B63" i="22"/>
  <c r="Q63" i="22"/>
  <c r="I63" i="22"/>
  <c r="P63" i="22"/>
  <c r="H63" i="22"/>
  <c r="O63" i="22"/>
  <c r="G63" i="22"/>
  <c r="S19" i="22"/>
  <c r="D19" i="22"/>
  <c r="D20" i="22" s="1"/>
  <c r="L19" i="22"/>
  <c r="L20" i="22" s="1"/>
  <c r="T19" i="22"/>
  <c r="L23" i="22"/>
  <c r="L24" i="22" s="1"/>
  <c r="T23" i="22"/>
  <c r="T24" i="22" s="1"/>
  <c r="K23" i="22"/>
  <c r="K24" i="22" s="1"/>
  <c r="A31" i="22"/>
  <c r="A33" i="22"/>
  <c r="A41" i="22"/>
  <c r="A47" i="22"/>
  <c r="E19" i="22"/>
  <c r="E20" i="22" s="1"/>
  <c r="M19" i="22"/>
  <c r="M20" i="22" s="1"/>
  <c r="E23" i="22"/>
  <c r="E24" i="22" s="1"/>
  <c r="U23" i="22"/>
  <c r="U24" i="22" s="1"/>
  <c r="I57" i="22"/>
  <c r="Q57" i="22"/>
  <c r="K19" i="22"/>
  <c r="K20" i="22" s="1"/>
  <c r="A39" i="22"/>
  <c r="A49" i="22"/>
  <c r="N19" i="22"/>
  <c r="N20" i="22" s="1"/>
  <c r="V19" i="22"/>
  <c r="V23" i="22"/>
  <c r="V24" i="22" s="1"/>
  <c r="G19" i="22"/>
  <c r="G20" i="22" s="1"/>
  <c r="A32" i="22"/>
  <c r="A34" i="22"/>
  <c r="A40" i="22"/>
  <c r="A42" i="22"/>
  <c r="A48" i="22"/>
  <c r="A50" i="22"/>
  <c r="P19" i="22"/>
  <c r="P20" i="22" s="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Q20" i="21" s="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2" l="1"/>
  <c r="C24" i="22" s="1"/>
  <c r="C23" i="21"/>
  <c r="C24" i="21" s="1"/>
  <c r="I65" i="22"/>
  <c r="P65" i="22"/>
  <c r="H65" i="22"/>
  <c r="K65" i="22"/>
  <c r="C65" i="22"/>
  <c r="M65" i="22"/>
  <c r="N65" i="22"/>
  <c r="O65" i="22"/>
  <c r="H65" i="23"/>
  <c r="L65" i="23"/>
  <c r="I65" i="23"/>
  <c r="J65" i="23"/>
  <c r="C65" i="23"/>
  <c r="I65" i="29"/>
  <c r="C65" i="29"/>
  <c r="J65" i="24"/>
  <c r="D65" i="24"/>
  <c r="B65" i="24"/>
  <c r="L65" i="26"/>
  <c r="I65" i="26"/>
  <c r="H65" i="26"/>
  <c r="L65" i="30"/>
  <c r="I65" i="30"/>
  <c r="D65" i="30"/>
  <c r="H65" i="30"/>
  <c r="B65" i="30"/>
  <c r="I65" i="28"/>
  <c r="D65" i="28"/>
  <c r="K65" i="28"/>
  <c r="D65" i="27"/>
  <c r="K65" i="27"/>
  <c r="L65" i="21"/>
  <c r="D65" i="21"/>
  <c r="P64" i="23"/>
  <c r="P65" i="23" s="1"/>
  <c r="P64" i="21"/>
  <c r="P65" i="21" s="1"/>
  <c r="L64" i="24"/>
  <c r="L65" i="24" s="1"/>
  <c r="J64" i="27"/>
  <c r="J65" i="27" s="1"/>
  <c r="G64" i="30"/>
  <c r="G65" i="30" s="1"/>
  <c r="L64" i="28"/>
  <c r="L65" i="28" s="1"/>
  <c r="F64" i="26"/>
  <c r="O64" i="21"/>
  <c r="O65" i="21" s="1"/>
  <c r="N66" i="21"/>
  <c r="N65" i="21"/>
  <c r="M66" i="26"/>
  <c r="M65" i="26"/>
  <c r="F66" i="26"/>
  <c r="F65"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M64" i="30"/>
  <c r="K64" i="26"/>
  <c r="C64" i="28"/>
  <c r="C64" i="24"/>
  <c r="L64" i="27"/>
  <c r="R64" i="24"/>
  <c r="R66" i="24" s="1"/>
  <c r="K64" i="29"/>
  <c r="J64" i="29"/>
  <c r="E64" i="29"/>
  <c r="M64" i="21"/>
  <c r="M65" i="21" s="1"/>
  <c r="P64" i="28"/>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C66" i="23"/>
  <c r="P66" i="23"/>
  <c r="E66" i="22"/>
  <c r="T66" i="23"/>
  <c r="Q66" i="21"/>
  <c r="P66" i="21"/>
  <c r="K66" i="27"/>
  <c r="G64" i="23"/>
  <c r="Q66" i="24"/>
  <c r="R66" i="27"/>
  <c r="C66" i="27"/>
  <c r="H66" i="23"/>
  <c r="J66" i="27"/>
  <c r="G64" i="27"/>
  <c r="G66" i="30"/>
  <c r="J66" i="30"/>
  <c r="F64" i="27"/>
  <c r="T66" i="27"/>
  <c r="L66" i="29"/>
  <c r="Q66" i="22"/>
  <c r="C66" i="22"/>
  <c r="T66" i="21"/>
  <c r="S66" i="23"/>
  <c r="H66" i="30"/>
  <c r="E66" i="30"/>
  <c r="S66" i="24"/>
  <c r="L66" i="21"/>
  <c r="S66" i="26"/>
  <c r="L66" i="28"/>
  <c r="L66" i="26"/>
  <c r="T66" i="30"/>
  <c r="C66" i="29"/>
  <c r="H66" i="22"/>
  <c r="R66" i="28"/>
  <c r="N64" i="26"/>
  <c r="O64" i="29"/>
  <c r="P64" i="29"/>
  <c r="S64" i="1"/>
  <c r="R66" i="26"/>
  <c r="D66" i="27"/>
  <c r="N64" i="29"/>
  <c r="R66" i="30"/>
  <c r="L66" i="23"/>
  <c r="O66" i="22"/>
  <c r="R64" i="1"/>
  <c r="J66" i="23"/>
  <c r="Q64" i="1"/>
  <c r="U64" i="1"/>
  <c r="P64" i="1"/>
  <c r="E66" i="27"/>
  <c r="J66" i="24"/>
  <c r="Q66" i="29"/>
  <c r="F64" i="29"/>
  <c r="O64" i="23"/>
  <c r="O64" i="30"/>
  <c r="N64" i="24"/>
  <c r="B66" i="30"/>
  <c r="B66" i="24"/>
  <c r="K66" i="30"/>
  <c r="C66" i="30"/>
  <c r="I66" i="30"/>
  <c r="R66" i="29"/>
  <c r="I66" i="29"/>
  <c r="S66" i="29"/>
  <c r="T66" i="28"/>
  <c r="D66" i="28"/>
  <c r="Q66" i="28"/>
  <c r="I66" i="28"/>
  <c r="S66" i="28"/>
  <c r="K66" i="28"/>
  <c r="Q66" i="27"/>
  <c r="I66" i="27"/>
  <c r="Q66" i="26"/>
  <c r="C66" i="26"/>
  <c r="I66" i="26"/>
  <c r="H66" i="26"/>
  <c r="I66" i="24"/>
  <c r="D66" i="24"/>
  <c r="K66" i="24"/>
  <c r="I66" i="23"/>
  <c r="E66" i="23"/>
  <c r="I66" i="22"/>
  <c r="M66" i="22"/>
  <c r="S66" i="22"/>
  <c r="K66" i="22"/>
  <c r="T66" i="22"/>
  <c r="K66" i="21"/>
  <c r="C66" i="21"/>
  <c r="D66" i="21"/>
  <c r="R66" i="21"/>
  <c r="N64" i="1"/>
  <c r="M64" i="1"/>
  <c r="T64" i="1"/>
  <c r="L64" i="1"/>
  <c r="J64" i="1"/>
  <c r="K64" i="1"/>
  <c r="O64" i="1"/>
  <c r="O65" i="1" s="1"/>
  <c r="C64" i="1"/>
  <c r="I64" i="1"/>
  <c r="I65" i="1" s="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D65" i="1" l="1"/>
  <c r="E65" i="1"/>
  <c r="G65" i="1"/>
  <c r="H65" i="1"/>
  <c r="K65" i="1"/>
  <c r="L65" i="1"/>
  <c r="P65" i="1"/>
  <c r="N65" i="1"/>
  <c r="M65" i="1"/>
  <c r="J65" i="1"/>
  <c r="F65" i="1"/>
  <c r="C65" i="1"/>
  <c r="B65" i="1"/>
  <c r="P66" i="27"/>
  <c r="O66" i="21"/>
  <c r="L66" i="24"/>
  <c r="L66" i="22"/>
  <c r="M66" i="24"/>
  <c r="P66" i="24"/>
  <c r="P66" i="30"/>
  <c r="P65" i="30"/>
  <c r="P66" i="28"/>
  <c r="P65" i="28"/>
  <c r="P66" i="29"/>
  <c r="P65" i="29"/>
  <c r="P66" i="26"/>
  <c r="O66" i="29"/>
  <c r="O65" i="29"/>
  <c r="O66" i="24"/>
  <c r="O65" i="24"/>
  <c r="O66" i="30"/>
  <c r="O65" i="30"/>
  <c r="O66" i="23"/>
  <c r="O65" i="23"/>
  <c r="O66" i="26"/>
  <c r="O65" i="26"/>
  <c r="O66" i="28"/>
  <c r="O65" i="28"/>
  <c r="O66" i="27"/>
  <c r="O65" i="27"/>
  <c r="N66" i="24"/>
  <c r="N65" i="24"/>
  <c r="N66" i="29"/>
  <c r="N65" i="29"/>
  <c r="N66" i="23"/>
  <c r="N66" i="28"/>
  <c r="N65" i="28"/>
  <c r="N66" i="26"/>
  <c r="N65" i="26"/>
  <c r="N66" i="30"/>
  <c r="N65" i="30"/>
  <c r="N66" i="27"/>
  <c r="N65" i="27"/>
  <c r="M66" i="30"/>
  <c r="M65" i="30"/>
  <c r="M66" i="23"/>
  <c r="M65" i="23"/>
  <c r="M66" i="27"/>
  <c r="M65" i="27"/>
  <c r="M66" i="28"/>
  <c r="M66" i="21"/>
  <c r="M66" i="29"/>
  <c r="L66" i="27"/>
  <c r="L65" i="27"/>
  <c r="K66" i="29"/>
  <c r="K65" i="29"/>
  <c r="K66" i="26"/>
  <c r="K65" i="26"/>
  <c r="K66" i="23"/>
  <c r="K65" i="23"/>
  <c r="J66" i="29"/>
  <c r="J65" i="29"/>
  <c r="J66" i="22"/>
  <c r="J65" i="22"/>
  <c r="J66" i="21"/>
  <c r="J65" i="21"/>
  <c r="J66" i="26"/>
  <c r="I66" i="21"/>
  <c r="I65" i="21"/>
  <c r="H66" i="28"/>
  <c r="H65" i="28"/>
  <c r="H66" i="29"/>
  <c r="H65" i="29"/>
  <c r="H66" i="27"/>
  <c r="H65" i="27"/>
  <c r="H66" i="21"/>
  <c r="H66" i="24"/>
  <c r="H65" i="24"/>
  <c r="G66" i="24"/>
  <c r="G65" i="24"/>
  <c r="G66" i="22"/>
  <c r="G65" i="22"/>
  <c r="G66" i="28"/>
  <c r="G65" i="28"/>
  <c r="G66" i="27"/>
  <c r="G65" i="27"/>
  <c r="G66" i="29"/>
  <c r="G65" i="29"/>
  <c r="G66" i="21"/>
  <c r="G65" i="21"/>
  <c r="G66" i="23"/>
  <c r="G65" i="23"/>
  <c r="G66" i="26"/>
  <c r="G65" i="26"/>
  <c r="F66" i="30"/>
  <c r="F65" i="30"/>
  <c r="F66" i="21"/>
  <c r="F65" i="21"/>
  <c r="F66" i="23"/>
  <c r="F65" i="23"/>
  <c r="F66" i="22"/>
  <c r="F65" i="22"/>
  <c r="F66" i="27"/>
  <c r="F65" i="27"/>
  <c r="F66" i="29"/>
  <c r="F65" i="29"/>
  <c r="F66" i="28"/>
  <c r="F65" i="28"/>
  <c r="F66" i="24"/>
  <c r="F65" i="24"/>
  <c r="E66" i="24"/>
  <c r="E65" i="24"/>
  <c r="E66" i="28"/>
  <c r="E65" i="28"/>
  <c r="E66" i="26"/>
  <c r="E65" i="26"/>
  <c r="E66" i="21"/>
  <c r="E65" i="21"/>
  <c r="E66" i="29"/>
  <c r="E65" i="29"/>
  <c r="D66" i="23"/>
  <c r="D66" i="22"/>
  <c r="D66" i="26"/>
  <c r="D66" i="29"/>
  <c r="C66" i="24"/>
  <c r="C65" i="24"/>
  <c r="C66" i="28"/>
  <c r="C65" i="28"/>
  <c r="B66" i="21"/>
  <c r="B65" i="21"/>
  <c r="B66" i="27"/>
  <c r="B65" i="27"/>
  <c r="B66" i="26"/>
  <c r="B65" i="26"/>
  <c r="B66" i="28"/>
  <c r="B65" i="28"/>
  <c r="B66" i="29"/>
  <c r="B65" i="29"/>
  <c r="B66" i="22"/>
  <c r="B65" i="22"/>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<sst xmlns="http://schemas.openxmlformats.org/spreadsheetml/2006/main" count="2245" uniqueCount="176">
  <si>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</si>
  <si>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</si>
  <si>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</si>
  <si>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</si>
  <si>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</si>
  <si>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</si>
  <si>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</si>
  <si>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</si>
  <si>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</si>
  <si>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</si>
  <si>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</si>
  <si>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</si>
  <si>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</si>
  <si>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</si>
  <si>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</si>
  <si>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</si>
  <si>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</si>
  <si>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</si>
  <si>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</si>
  <si>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</si>
  <si>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</si>
  <si>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</si>
  <si>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</si>
  <si>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</si>
  <si>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</si>
  <si>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</si>
  <si>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</si>
  <si>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</si>
  <si>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</si>
  <si>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</si>
  <si>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</si>
  <si>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</si>
  <si>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</si>
  <si>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</si>
  <si>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</si>
  <si>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</si>
  <si>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</si>
  <si>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</si>
  <si>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</si>
  <si>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</si>
  <si>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</si>
  <si>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</si>
  <si>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</si>
  <si>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</si>
  <si>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</si>
  <si>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</si>
  <si>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</si>
  <si>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</si>
  <si>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</si>
  <si>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</si>
  <si>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</si>
  <si>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</si>
  <si>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</si>
  <si>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</si>
  <si>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</si>
  <si>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</si>
  <si>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</si>
  <si>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</si>
  <si>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</si>
  <si>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</si>
  <si>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</si>
  <si>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</si>
  <si>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</si>
  <si>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</si>
  <si>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</si>
  <si>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</si>
  <si>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</si>
  <si>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</si>
  <si>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</si>
  <si>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</si>
  <si>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</si>
  <si>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</si>
  <si>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</si>
  <si>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</si>
  <si>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</si>
  <si>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</si>
  <si>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</si>
  <si>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</si>
  <si>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</si>
  <si>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</si>
  <si>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</si>
  <si>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</si>
  <si>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</si>
  <si>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</si>
  <si>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</si>
  <si>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</si>
  <si>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</si>
  <si>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</si>
  <si>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</si>
  <si>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</si>
  <si>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</si>
  <si>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</si>
  <si>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</si>
  <si>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</si>
  <si>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</si>
  <si>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</si>
  <si>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</si>
  <si>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</si>
  <si>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</si>
  <si>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</si>
  <si>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</si>
  <si>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</si>
  <si>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</si>
  <si>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</si>
  <si>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</si>
  <si>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</si>
  <si>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</si>
  <si>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</si>
  <si>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</si>
  <si>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</si>
  <si>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</si>
  <si>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</si>
  <si>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</si>
  <si>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</si>
  <si>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</si>
  <si>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</si>
  <si>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</si>
  <si>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</si>
  <si>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</si>
  <si>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</si>
  <si>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</si>
  <si>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</si>
  <si>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</si>
  <si>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</si>
  <si>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</si>
  <si>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</si>
  <si>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</si>
  <si>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</si>
  <si>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</si>
  <si>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</si>
  <si>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</si>
  <si>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</si>
  <si>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</si>
  <si>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</si>
  <si>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</si>
  <si>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</si>
  <si>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</si>
  <si>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</si>
  <si>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</si>
  <si>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</si>
  <si>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</si>
  <si>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</si>
  <si>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</si>
  <si>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</si>
  <si>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</si>
  <si>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</si>
  <si>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</si>
  <si>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</si>
  <si>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</si>
  <si>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</si>
  <si>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</si>
  <si>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</si>
  <si>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</si>
  <si>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</si>
  <si>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</si>
  <si>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</si>
  <si>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</si>
  <si>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</si>
  <si>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</si>
  <si>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</si>
  <si>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PAN-030515</t>
  </si>
  <si>
    <t>EPR/GP3792SK</t>
  </si>
  <si>
    <t>ByProduct Recovery Ltd</t>
  </si>
  <si>
    <t>Henllys, Llanfair TH, Abergele, Conwys, LL22 8TF</t>
  </si>
  <si>
    <t>Louise Bailey</t>
  </si>
  <si>
    <t>19 09 02</t>
  </si>
  <si>
    <t>Bala</t>
  </si>
  <si>
    <t>Bryn Cowlyd</t>
  </si>
  <si>
    <t>Cefni</t>
  </si>
  <si>
    <t>Cwellyn</t>
  </si>
  <si>
    <t>Dolbenmaen</t>
  </si>
  <si>
    <t>Gwastadgoed</t>
  </si>
  <si>
    <t>Mynydd Llannegaai</t>
  </si>
  <si>
    <t>Penybont</t>
  </si>
  <si>
    <t>Rhiw Goch</t>
  </si>
  <si>
    <t>Llyn Conwy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</si>
</sst>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E30" sqref="E3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30" t="s">
        <v>41</v>
      </c>
      <c r="B1" s="131"/>
      <c r="C1" s="160" t="s">
        <v>160</v>
      </c>
      <c r="D1" s="161"/>
      <c r="E1" s="106" t="s">
        <v>45</v>
      </c>
      <c r="F1" s="109">
        <v>50</v>
      </c>
      <c r="G1" s="162" t="s">
        <v>43</v>
      </c>
      <c r="H1" s="163"/>
      <c r="I1" s="109">
        <v>6.9</v>
      </c>
      <c r="J1" s="130" t="s">
        <v>153</v>
      </c>
      <c r="K1" s="131"/>
      <c r="L1" s="109">
        <v>256</v>
      </c>
      <c r="AB1" s="13"/>
      <c r="AC1" s="13"/>
      <c r="AD1" s="22" t="s">
        <v>126</v>
      </c>
      <c r="AE1" s="13"/>
      <c r="AF1" s="13"/>
      <c r="AG1" s="13"/>
      <c r="AH1" s="13"/>
      <c r="AI1" s="30" t="s">
        <v>79</v>
      </c>
      <c r="AJ1" s="31" t="s">
        <v>94</v>
      </c>
      <c r="AK1" s="32" t="s">
        <v>95</v>
      </c>
      <c r="AL1" s="33" t="s">
        <v>125</v>
      </c>
      <c r="AM1" s="33" t="s">
        <v>131</v>
      </c>
      <c r="AN1" s="33" t="s">
        <v>111</v>
      </c>
    </row>
    <row r="2" spans="1:40" x14ac:dyDescent="0.2">
      <c r="A2" s="132" t="s">
        <v>87</v>
      </c>
      <c r="B2" s="133"/>
      <c r="C2" s="154" t="s">
        <v>161</v>
      </c>
      <c r="D2" s="155"/>
      <c r="E2" s="96" t="s">
        <v>109</v>
      </c>
      <c r="F2" s="110" t="s">
        <v>165</v>
      </c>
      <c r="G2" s="164" t="s">
        <v>110</v>
      </c>
      <c r="H2" s="165"/>
      <c r="I2" s="110"/>
      <c r="J2" s="132" t="s">
        <v>158</v>
      </c>
      <c r="K2" s="133"/>
      <c r="L2" s="110">
        <v>1.17</v>
      </c>
      <c r="AB2" s="22" t="s">
        <v>56</v>
      </c>
      <c r="AC2" s="13"/>
      <c r="AD2" s="22" t="s">
        <v>70</v>
      </c>
      <c r="AE2" s="13"/>
      <c r="AF2" s="13"/>
      <c r="AG2" s="34" t="s">
        <v>76</v>
      </c>
      <c r="AH2" s="13"/>
      <c r="AI2" s="35" t="s">
        <v>126</v>
      </c>
      <c r="AJ2" s="36">
        <v>0</v>
      </c>
      <c r="AK2" s="37">
        <v>0</v>
      </c>
      <c r="AL2" s="7">
        <v>0</v>
      </c>
      <c r="AM2" s="9">
        <v>0</v>
      </c>
      <c r="AN2" s="9">
        <v>0</v>
      </c>
    </row>
    <row r="3" spans="1:40" x14ac:dyDescent="0.2">
      <c r="A3" s="134" t="s">
        <v>42</v>
      </c>
      <c r="B3" s="135"/>
      <c r="C3" s="154" t="s">
        <v>162</v>
      </c>
      <c r="D3" s="155"/>
      <c r="E3" s="96" t="s">
        <v>108</v>
      </c>
      <c r="F3" s="111" t="s">
        <v>78</v>
      </c>
      <c r="G3" s="132" t="s">
        <v>159</v>
      </c>
      <c r="H3" s="133"/>
      <c r="I3" s="110"/>
      <c r="J3" s="134" t="s">
        <v>154</v>
      </c>
      <c r="K3" s="135"/>
      <c r="L3" s="110">
        <f>(L1/(L2*10000))*100</f>
        <v>2.1880341880341883</v>
      </c>
      <c r="AB3" s="22" t="s">
        <v>57</v>
      </c>
      <c r="AC3" s="13"/>
      <c r="AD3" s="22" t="s">
        <v>71</v>
      </c>
      <c r="AE3" s="13"/>
      <c r="AF3" s="13"/>
      <c r="AG3" s="34" t="s">
        <v>77</v>
      </c>
      <c r="AH3" s="13"/>
      <c r="AI3" s="38" t="s">
        <v>113</v>
      </c>
      <c r="AJ3" s="39">
        <v>1.7</v>
      </c>
      <c r="AK3" s="40">
        <v>6</v>
      </c>
      <c r="AL3" s="41">
        <v>1</v>
      </c>
      <c r="AM3" s="9">
        <v>6.2</v>
      </c>
      <c r="AN3" s="9" t="s">
        <v>112</v>
      </c>
    </row>
    <row r="4" spans="1:40" x14ac:dyDescent="0.2">
      <c r="A4" s="132" t="s">
        <v>0</v>
      </c>
      <c r="B4" s="133"/>
      <c r="C4" s="156" t="s">
        <v>163</v>
      </c>
      <c r="D4" s="157"/>
      <c r="E4" s="99" t="s">
        <v>1</v>
      </c>
      <c r="F4" s="110" t="s">
        <v>166</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25">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x14ac:dyDescent="0.2">
      <c r="A8" s="132" t="s">
        <v>2</v>
      </c>
      <c r="B8" s="133"/>
      <c r="C8" s="11">
        <v>1</v>
      </c>
      <c r="D8" s="11">
        <v>2</v>
      </c>
      <c r="E8" s="11">
        <v>3</v>
      </c>
      <c r="F8" s="11">
        <v>5</v>
      </c>
      <c r="G8" s="11">
        <v>7</v>
      </c>
      <c r="H8" s="11">
        <v>11</v>
      </c>
      <c r="I8" s="11">
        <v>12</v>
      </c>
      <c r="J8" s="11">
        <v>13</v>
      </c>
      <c r="K8" s="11">
        <v>14</v>
      </c>
      <c r="L8" s="11">
        <v>15</v>
      </c>
      <c r="M8" s="11">
        <v>17</v>
      </c>
      <c r="N8" s="11">
        <v>18</v>
      </c>
      <c r="O8" s="11">
        <v>19</v>
      </c>
      <c r="P8" s="11">
        <v>20</v>
      </c>
      <c r="Q8" s="11">
        <v>21</v>
      </c>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x14ac:dyDescent="0.2">
      <c r="A9" s="132" t="s">
        <v>3</v>
      </c>
      <c r="B9" s="133"/>
      <c r="C9" s="11"/>
      <c r="D9" s="11"/>
      <c r="E9" s="11"/>
      <c r="F9" s="11"/>
      <c r="G9" s="11"/>
      <c r="H9" s="11"/>
      <c r="I9" s="11"/>
      <c r="J9" s="11"/>
      <c r="K9" s="11"/>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x14ac:dyDescent="0.2">
      <c r="A10" s="132" t="s">
        <v>4</v>
      </c>
      <c r="B10" s="133"/>
      <c r="C10" s="11">
        <v>6.2</v>
      </c>
      <c r="D10" s="11">
        <v>6.4</v>
      </c>
      <c r="E10" s="11">
        <v>5.6</v>
      </c>
      <c r="F10" s="11">
        <v>5.5</v>
      </c>
      <c r="G10" s="11">
        <v>6.3</v>
      </c>
      <c r="H10" s="11">
        <v>5.5</v>
      </c>
      <c r="I10" s="11">
        <v>5.6</v>
      </c>
      <c r="J10" s="11">
        <v>6.4</v>
      </c>
      <c r="K10" s="11">
        <v>6.3</v>
      </c>
      <c r="L10" s="11">
        <v>5.7</v>
      </c>
      <c r="M10" s="11">
        <v>5.9</v>
      </c>
      <c r="N10" s="11">
        <v>6</v>
      </c>
      <c r="O10" s="11">
        <v>6.2</v>
      </c>
      <c r="P10" s="11">
        <v>5.8</v>
      </c>
      <c r="Q10" s="11">
        <v>5.9</v>
      </c>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x14ac:dyDescent="0.2">
      <c r="A11" s="132" t="s">
        <v>5</v>
      </c>
      <c r="B11" s="133"/>
      <c r="C11" s="11">
        <v>2</v>
      </c>
      <c r="D11" s="11">
        <v>1</v>
      </c>
      <c r="E11" s="11">
        <v>2</v>
      </c>
      <c r="F11" s="11">
        <v>1</v>
      </c>
      <c r="G11" s="11">
        <v>0</v>
      </c>
      <c r="H11" s="11">
        <v>2</v>
      </c>
      <c r="I11" s="11">
        <v>2</v>
      </c>
      <c r="J11" s="11">
        <v>2</v>
      </c>
      <c r="K11" s="11">
        <v>2</v>
      </c>
      <c r="L11" s="11">
        <v>1</v>
      </c>
      <c r="M11" s="11">
        <v>2</v>
      </c>
      <c r="N11" s="11">
        <v>2</v>
      </c>
      <c r="O11" s="11">
        <v>1</v>
      </c>
      <c r="P11" s="11">
        <v>1</v>
      </c>
      <c r="Q11" s="11">
        <v>1</v>
      </c>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x14ac:dyDescent="0.2">
      <c r="A12" s="132" t="s">
        <v>6</v>
      </c>
      <c r="B12" s="133"/>
      <c r="C12" s="11">
        <v>0</v>
      </c>
      <c r="D12" s="11">
        <v>1</v>
      </c>
      <c r="E12" s="11">
        <v>2</v>
      </c>
      <c r="F12" s="11">
        <v>1</v>
      </c>
      <c r="G12" s="11">
        <v>1</v>
      </c>
      <c r="H12" s="11">
        <v>1</v>
      </c>
      <c r="I12" s="11">
        <v>2</v>
      </c>
      <c r="J12" s="11">
        <v>2</v>
      </c>
      <c r="K12" s="11">
        <v>1</v>
      </c>
      <c r="L12" s="11">
        <v>1</v>
      </c>
      <c r="M12" s="11">
        <v>2</v>
      </c>
      <c r="N12" s="11">
        <v>2</v>
      </c>
      <c r="O12" s="11">
        <v>1</v>
      </c>
      <c r="P12" s="11">
        <v>1</v>
      </c>
      <c r="Q12" s="11">
        <v>1</v>
      </c>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x14ac:dyDescent="0.2">
      <c r="A13" s="132" t="s">
        <v>7</v>
      </c>
      <c r="B13" s="133"/>
      <c r="C13" s="11">
        <v>2</v>
      </c>
      <c r="D13" s="11">
        <v>3</v>
      </c>
      <c r="E13" s="11">
        <v>2</v>
      </c>
      <c r="F13" s="11">
        <v>2</v>
      </c>
      <c r="G13" s="11">
        <v>2</v>
      </c>
      <c r="H13" s="11">
        <v>2</v>
      </c>
      <c r="I13" s="11">
        <v>2</v>
      </c>
      <c r="J13" s="11">
        <v>2</v>
      </c>
      <c r="K13" s="11">
        <v>2</v>
      </c>
      <c r="L13" s="11">
        <v>2</v>
      </c>
      <c r="M13" s="11">
        <v>2</v>
      </c>
      <c r="N13" s="11">
        <v>2</v>
      </c>
      <c r="O13" s="11">
        <v>2</v>
      </c>
      <c r="P13" s="11">
        <v>2</v>
      </c>
      <c r="Q13" s="11">
        <v>2</v>
      </c>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x14ac:dyDescent="0.2">
      <c r="A14" s="150" t="s">
        <v>8</v>
      </c>
      <c r="B14" s="151"/>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t="s">
        <v>113</v>
      </c>
      <c r="Q14" s="82" t="s">
        <v>113</v>
      </c>
      <c r="R14" s="82"/>
      <c r="S14" s="82"/>
      <c r="T14" s="82"/>
      <c r="U14" s="82"/>
      <c r="V14" s="98"/>
      <c r="AD14" s="22" t="s">
        <v>138</v>
      </c>
      <c r="AE14" s="22">
        <v>6</v>
      </c>
      <c r="AI14" s="43" t="s">
        <v>119</v>
      </c>
      <c r="AJ14" s="44">
        <v>0.8</v>
      </c>
      <c r="AK14" s="45">
        <v>1.7</v>
      </c>
      <c r="AL14" s="9">
        <v>12</v>
      </c>
      <c r="AM14" s="9">
        <v>6.7</v>
      </c>
      <c r="AN14" s="9" t="s">
        <v>135</v>
      </c>
    </row>
    <row r="15" spans="1:40" x14ac:dyDescent="0.2">
      <c r="A15" s="148" t="s">
        <v>9</v>
      </c>
      <c r="B15" s="149"/>
      <c r="C15" s="11">
        <v>38</v>
      </c>
      <c r="D15" s="11">
        <v>38</v>
      </c>
      <c r="E15" s="11">
        <v>38</v>
      </c>
      <c r="F15" s="11">
        <v>38</v>
      </c>
      <c r="G15" s="11">
        <v>38</v>
      </c>
      <c r="H15" s="11">
        <v>38</v>
      </c>
      <c r="I15" s="11">
        <v>38</v>
      </c>
      <c r="J15" s="11">
        <v>38</v>
      </c>
      <c r="K15" s="11">
        <v>38</v>
      </c>
      <c r="L15" s="11">
        <v>38</v>
      </c>
      <c r="M15" s="11">
        <v>38</v>
      </c>
      <c r="N15" s="11">
        <v>38</v>
      </c>
      <c r="O15" s="11">
        <v>38</v>
      </c>
      <c r="P15" s="11">
        <v>38</v>
      </c>
      <c r="Q15" s="11">
        <v>38</v>
      </c>
      <c r="R15" s="11"/>
      <c r="S15" s="11"/>
      <c r="T15" s="11"/>
      <c r="U15" s="11"/>
      <c r="V15" s="97"/>
      <c r="AD15" s="22" t="s">
        <v>144</v>
      </c>
      <c r="AE15" s="22">
        <v>7</v>
      </c>
      <c r="AI15" s="43" t="s">
        <v>101</v>
      </c>
      <c r="AJ15" s="51">
        <v>1.8</v>
      </c>
      <c r="AK15" s="45">
        <v>5.4</v>
      </c>
      <c r="AL15" s="9">
        <v>13</v>
      </c>
      <c r="AM15" s="9">
        <v>6.7</v>
      </c>
      <c r="AN15" s="9" t="s">
        <v>135</v>
      </c>
    </row>
    <row r="16" spans="1:40" ht="13.5" thickBot="1" x14ac:dyDescent="0.25">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c r="S16" s="100"/>
      <c r="T16" s="100"/>
      <c r="U16" s="100"/>
      <c r="V16" s="101"/>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6.7759188750000003</v>
      </c>
      <c r="D18" s="12">
        <f>$D32</f>
        <v>6.7759188750000003</v>
      </c>
      <c r="E18" s="12">
        <f>$D33</f>
        <v>0</v>
      </c>
      <c r="F18" s="12">
        <f>$D34</f>
        <v>0</v>
      </c>
      <c r="G18" s="12">
        <f>$D35</f>
        <v>6.7759188750000003</v>
      </c>
      <c r="H18" s="12">
        <f>$D36</f>
        <v>0</v>
      </c>
      <c r="I18" s="12">
        <f>$D37</f>
        <v>0</v>
      </c>
      <c r="J18" s="12">
        <f>$D38</f>
        <v>6.7759188750000003</v>
      </c>
      <c r="K18" s="12">
        <f>$D39</f>
        <v>6.7759188750000003</v>
      </c>
      <c r="L18" s="12">
        <f>$D40</f>
        <v>0</v>
      </c>
      <c r="M18" s="12">
        <f>$D41</f>
        <v>0</v>
      </c>
      <c r="N18" s="12">
        <f>$D42</f>
        <v>6.7759188750000003</v>
      </c>
      <c r="O18" s="12">
        <f>$D43</f>
        <v>6.7759188750000003</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-57.824081124999992</v>
      </c>
      <c r="D19" s="12">
        <f t="shared" ref="D19:V19" si="1">D18-D17</f>
        <v>-57.824081124999992</v>
      </c>
      <c r="E19" s="12">
        <f t="shared" si="1"/>
        <v>-64.599999999999994</v>
      </c>
      <c r="F19" s="12">
        <f t="shared" si="1"/>
        <v>-64.599999999999994</v>
      </c>
      <c r="G19" s="12">
        <f t="shared" si="1"/>
        <v>-57.824081124999992</v>
      </c>
      <c r="H19" s="12">
        <f t="shared" si="1"/>
        <v>-64.599999999999994</v>
      </c>
      <c r="I19" s="12">
        <f t="shared" si="1"/>
        <v>-64.599999999999994</v>
      </c>
      <c r="J19" s="12">
        <f t="shared" si="1"/>
        <v>-57.824081124999992</v>
      </c>
      <c r="K19" s="12">
        <f t="shared" si="1"/>
        <v>-57.824081124999992</v>
      </c>
      <c r="L19" s="12">
        <f t="shared" si="1"/>
        <v>-64.599999999999994</v>
      </c>
      <c r="M19" s="12">
        <f t="shared" si="1"/>
        <v>-64.599999999999994</v>
      </c>
      <c r="N19" s="12">
        <f t="shared" si="1"/>
        <v>-57.824081124999992</v>
      </c>
      <c r="O19" s="12">
        <f t="shared" si="1"/>
        <v>-57.824081124999992</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0.62638912499999999</v>
      </c>
      <c r="D22" s="12">
        <f>$E32</f>
        <v>0.62638912499999999</v>
      </c>
      <c r="E22" s="12">
        <f>$E33</f>
        <v>0</v>
      </c>
      <c r="F22" s="12">
        <f>$E34</f>
        <v>0</v>
      </c>
      <c r="G22" s="12">
        <f>$E35</f>
        <v>0.62638912499999999</v>
      </c>
      <c r="H22" s="12">
        <f>$E36</f>
        <v>0</v>
      </c>
      <c r="I22" s="12">
        <f>$E37</f>
        <v>0</v>
      </c>
      <c r="J22" s="12">
        <f>$E38</f>
        <v>0.62638912499999999</v>
      </c>
      <c r="K22" s="12">
        <f>$E39</f>
        <v>0.62638912499999999</v>
      </c>
      <c r="L22" s="12">
        <f>$E40</f>
        <v>0</v>
      </c>
      <c r="M22" s="12">
        <f>$E41</f>
        <v>0</v>
      </c>
      <c r="N22" s="12">
        <f>$E42</f>
        <v>0.62638912499999999</v>
      </c>
      <c r="O22" s="12">
        <f>$E43</f>
        <v>0.62638912499999999</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-227.373610875</v>
      </c>
      <c r="D23" s="12">
        <f t="shared" ref="D23:V23" si="3">D22-D21</f>
        <v>-227.373610875</v>
      </c>
      <c r="E23" s="12">
        <f t="shared" si="3"/>
        <v>-228</v>
      </c>
      <c r="F23" s="12">
        <f t="shared" si="3"/>
        <v>-228</v>
      </c>
      <c r="G23" s="12">
        <f t="shared" si="3"/>
        <v>-227.373610875</v>
      </c>
      <c r="H23" s="12">
        <f t="shared" si="3"/>
        <v>-228</v>
      </c>
      <c r="I23" s="12">
        <f t="shared" si="3"/>
        <v>-228</v>
      </c>
      <c r="J23" s="12">
        <f t="shared" si="3"/>
        <v>-227.373610875</v>
      </c>
      <c r="K23" s="12">
        <f t="shared" si="3"/>
        <v>-227.373610875</v>
      </c>
      <c r="L23" s="12">
        <f t="shared" si="3"/>
        <v>-228</v>
      </c>
      <c r="M23" s="12">
        <f t="shared" si="3"/>
        <v>-228</v>
      </c>
      <c r="N23" s="12">
        <f t="shared" si="3"/>
        <v>-227.373610875</v>
      </c>
      <c r="O23" s="12">
        <f t="shared" si="3"/>
        <v>-227.373610875</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2.39</v>
      </c>
      <c r="C28" s="11">
        <v>1.17</v>
      </c>
      <c r="D28" s="11">
        <v>4.9500000000000002E-2</v>
      </c>
      <c r="E28" s="11">
        <v>8.6999999999999994E-3</v>
      </c>
      <c r="F28" s="11">
        <v>1820</v>
      </c>
      <c r="G28" s="11">
        <v>26</v>
      </c>
      <c r="H28" s="11">
        <v>162</v>
      </c>
      <c r="I28" s="11">
        <v>5.41</v>
      </c>
      <c r="J28" s="11">
        <v>0.51</v>
      </c>
      <c r="K28" s="15">
        <v>1.67</v>
      </c>
      <c r="L28" s="11">
        <v>3.58</v>
      </c>
      <c r="M28" s="11">
        <v>2.83</v>
      </c>
      <c r="N28" s="11">
        <v>181000</v>
      </c>
      <c r="O28" s="11">
        <v>6200</v>
      </c>
      <c r="P28" s="11"/>
      <c r="Q28" s="11">
        <v>4670</v>
      </c>
      <c r="R28" s="11"/>
      <c r="S28" s="11">
        <v>12.5</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250</v>
      </c>
      <c r="C31" s="65">
        <f>IF(C$27="%w/w SAR",((C$28*10)*$B31),IF(C$27="%w/w DM",(((C$28*10)*($B$28/100))*$B31),IF(C$27="kg/t SAR",(C$28*$B31),IF(C$27="kg/t DM",((C$28*($B$28/100))*$B31),IF(C$27="mg/kg SAR",((C$28*0.001)*$B31),IF(C$27="mg/kg DM",(((C$28*0.001)*($B$28/100))*$B31),0))))))</f>
        <v>69.907499999999999</v>
      </c>
      <c r="D31" s="65">
        <f>(IF(D$27="%w/w SAR",((D$28*10)*$B31),IF(D$27="%w/w DM",(((D$28*10)*($B$28/100))*$B31),IF(D$27="kg/t SAR",(D$28*$B31),IF(D$27="kg/t DM",((D$28*($B$28/100))*$B31),IF(D$27="mg/kg SAR",((D$28*0.001)*$B31),IF(D$27="mg/kg DM",(((D$28*0.001)*($B$28/100))*$B31),"0")))))))*2.291</f>
        <v>6.7759188750000003</v>
      </c>
      <c r="E31" s="65">
        <f>(IF(E$27="%w/w SAR",((E$28*10)*$B31),IF(E$27="%w/w DM",(((E$28*10)*($B$28/100))*$B31),IF(E$27="kg/t SAR",(E$28*$B31),IF(E$27="kg/t DM",((E$28*($B$28/100))*$B31),IF(E$27="mg/kg SAR",((E$28*0.001)*$B31),IF(E$27="mg/kg DM",(((E$28*0.001)*($B$28/100))*$B31),"0")))))))*1.205</f>
        <v>0.62638912499999999</v>
      </c>
      <c r="F31" s="65">
        <f>(IF(F$27="%w/w SAR",((F$28*10)*$B31),IF(F$27="%w/w DM",(((F$28*10)*($B$28/100))*$B31),IF(F$27="kg/t SAR",(F$28*$B31),IF(F$27="kg/t DM",((F$28*($B$28/100))*$B31),IF(F$27="mg/kg SAR",((F$28*0.001)*$B31),IF(F$27="mg/kg DM",(((F$28*0.001)*($B$28/100))*$B31),"0")))))))*1.658</f>
        <v>18.029921000000002</v>
      </c>
      <c r="G31" s="65">
        <f t="shared" ref="G31:P31" si="5">IF(G$27="%w/w SAR",((G$28*10)*$B31),IF(G$27="%w/w DM",(((G$28*10)*($B$28/100))*$B31),IF(G$27="kg/t SAR",(G$28*$B31),IF(G$27="kg/t DM",((G$28*($B$28/100))*$B31),IF(G$27="mg/kg SAR",((G$28*0.001)*$B31),IF(G$27="mg/kg DM",(((G$28*0.001)*($B$28/100))*$B31),0))))))</f>
        <v>0.15535000000000002</v>
      </c>
      <c r="H31" s="65">
        <f t="shared" si="5"/>
        <v>0.96795000000000009</v>
      </c>
      <c r="I31" s="65">
        <f t="shared" si="5"/>
        <v>3.2324749999999999E-2</v>
      </c>
      <c r="J31" s="65">
        <f t="shared" si="5"/>
        <v>3.0472500000000005E-3</v>
      </c>
      <c r="K31" s="65">
        <f t="shared" si="5"/>
        <v>9.978250000000001E-3</v>
      </c>
      <c r="L31" s="65">
        <f t="shared" si="5"/>
        <v>2.13905E-2</v>
      </c>
      <c r="M31" s="65">
        <f t="shared" si="5"/>
        <v>1.6909250000000001E-2</v>
      </c>
      <c r="N31" s="65">
        <f t="shared" si="5"/>
        <v>1081.4749999999999</v>
      </c>
      <c r="O31" s="65">
        <f t="shared" si="5"/>
        <v>37.045000000000002</v>
      </c>
      <c r="P31" s="65">
        <f t="shared" si="5"/>
        <v>0</v>
      </c>
      <c r="Q31" s="65">
        <f>(IF(Q$27="%w/w SAR",((Q$28*10)*$B31),IF(Q$27="%w/w DM",(((Q$28*10)*($B$28/100))*$B31),IF(Q$27="kg/t SAR",(Q$28*$B31),IF(Q$27="kg/t DM",((Q$28*($B$28/100))*$B31),IF(Q$27="mg/kg SAR",((Q$28*0.001)*$B31),IF(Q$27="mg/kg DM",(((Q$28*0.001)*($B$28/100))*$B31),0)))))))*2.5</f>
        <v>69.758125000000007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7.4687500000000004E-2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250</v>
      </c>
      <c r="C32" s="65">
        <f t="shared" ref="C32:C50" si="6">IF(C$27="%w/w SAR",((C$28*10)*$B32),IF(C$27="%w/w DM",(((C$28*10)*($B$28/100))*$B32),IF(C$27="kg/t SAR",(C$28*$B32),IF(C$27="kg/t DM",((C$28*($B$28/100))*$B32),IF(C$27="mg/kg SAR",((C$28*0.001)*$B32),IF(C$27="mg/kg DM",(((C$28*0.001)*($B$28/100))*$B32),0))))))</f>
        <v>69.907499999999999</v>
      </c>
      <c r="D32" s="65">
        <f t="shared" ref="D32:D50" si="7">(IF(D$27="%w/w SAR",((D$28*10)*$B32),IF(D$27="%w/w DM",(((D$28*10)*($B$28/100))*$B32),IF(D$27="kg/t SAR",(D$28*$B32),IF(D$27="kg/t DM",((D$28*($B$28/100))*$B32),IF(D$27="mg/kg SAR",((D$28*0.001)*$B32),IF(D$27="mg/kg DM",(((D$28*0.001)*($B$28/100))*$B32),"0")))))))*2.291</f>
        <v>6.7759188750000003</v>
      </c>
      <c r="E32" s="65">
        <f t="shared" ref="E32:E50" si="8">(IF(E$27="%w/w SAR",((E$28*10)*$B32),IF(E$27="%w/w DM",(((E$28*10)*($B$28/100))*$B32),IF(E$27="kg/t SAR",(E$28*$B32),IF(E$27="kg/t DM",((E$28*($B$28/100))*$B32),IF(E$27="mg/kg SAR",((E$28*0.001)*$B32),IF(E$27="mg/kg DM",(((E$28*0.001)*($B$28/100))*$B32),"0")))))))*1.205</f>
        <v>0.62638912499999999</v>
      </c>
      <c r="F32" s="65">
        <f t="shared" ref="F32:F50" si="9">(IF(F$27="%w/w SAR",((F$28*10)*$B32),IF(F$27="%w/w DM",(((F$28*10)*($B$28/100))*$B32),IF(F$27="kg/t SAR",(F$28*$B32),IF(F$27="kg/t DM",((F$28*($B$28/100))*$B32),IF(F$27="mg/kg SAR",((F$28*0.001)*$B32),IF(F$27="mg/kg DM",(((F$28*0.001)*($B$28/100))*$B32),"0")))))))*1.658</f>
        <v>18.029921000000002</v>
      </c>
      <c r="G32" s="65">
        <f t="shared" ref="G32:P50" si="10">IF(G$27="%w/w SAR",((G$28*10)*$B32),IF(G$27="%w/w DM",(((G$28*10)*($B$28/100))*$B32),IF(G$27="kg/t SAR",(G$28*$B32),IF(G$27="kg/t DM",((G$28*($B$28/100))*$B32),IF(G$27="mg/kg SAR",((G$28*0.001)*$B32),IF(G$27="mg/kg DM",(((G$28*0.001)*($B$28/100))*$B32),0))))))</f>
        <v>0.15535000000000002</v>
      </c>
      <c r="H32" s="65">
        <f t="shared" si="10"/>
        <v>0.96795000000000009</v>
      </c>
      <c r="I32" s="65">
        <f t="shared" si="10"/>
        <v>3.2324749999999999E-2</v>
      </c>
      <c r="J32" s="65">
        <f t="shared" si="10"/>
        <v>3.0472500000000005E-3</v>
      </c>
      <c r="K32" s="65">
        <f t="shared" si="10"/>
        <v>9.978250000000001E-3</v>
      </c>
      <c r="L32" s="65">
        <f t="shared" si="10"/>
        <v>2.13905E-2</v>
      </c>
      <c r="M32" s="65">
        <f t="shared" si="10"/>
        <v>1.6909250000000001E-2</v>
      </c>
      <c r="N32" s="65">
        <f t="shared" si="10"/>
        <v>1081.4749999999999</v>
      </c>
      <c r="O32" s="65">
        <f t="shared" si="10"/>
        <v>37.045000000000002</v>
      </c>
      <c r="P32" s="65">
        <f t="shared" si="10"/>
        <v>0</v>
      </c>
      <c r="Q32" s="65">
        <f t="shared" ref="Q32:Q50" si="11">(IF(Q$27="%w/w SAR",((Q$28*10)*$B32),IF(Q$27="%w/w DM",(((Q$28*10)*($B$28/100))*$B32),IF(Q$27="kg/t SAR",(Q$28*$B32),IF(Q$27="kg/t DM",((Q$28*($B$28/100))*$B32),IF(Q$27="mg/kg SAR",((Q$28*0.001)*$B32),IF(Q$27="mg/kg DM",(((Q$28*0.001)*($B$28/100))*$B32),0)))))))*2.5</f>
        <v>69.758125000000007</v>
      </c>
      <c r="R32" s="65">
        <f t="shared" ref="R32:U50" si="12">IF(R$27="%w/w SAR",((R$28*10)*$B32),IF(R$27="%w/w DM",(((R$28*10)*($B$28/100))*$B32),IF(R$27="kg/t SAR",(R$28*$B32),IF(R$27="kg/t DM",((R$28*($B$28/100))*$B32),IF(R$27="mg/kg SAR",((R$28*0.001)*$B32),IF(R$27="mg/kg DM",(((R$28*0.001)*($B$28/100))*$B32),0))))))</f>
        <v>0</v>
      </c>
      <c r="S32" s="65">
        <f t="shared" si="12"/>
        <v>7.4687500000000004E-2</v>
      </c>
      <c r="T32" s="65">
        <f t="shared" si="12"/>
        <v>0</v>
      </c>
      <c r="U32" s="126">
        <f t="shared" si="12"/>
        <v>0</v>
      </c>
    </row>
    <row r="33" spans="1:21" s="48" customFormat="1" x14ac:dyDescent="0.25">
      <c r="A33" s="125">
        <f>E8</f>
        <v>3</v>
      </c>
      <c r="B33" s="11">
        <v>0</v>
      </c>
      <c r="C33" s="65">
        <f t="shared" si="6"/>
        <v>0</v>
      </c>
      <c r="D33" s="65">
        <f t="shared" si="7"/>
        <v>0</v>
      </c>
      <c r="E33" s="65">
        <f t="shared" si="8"/>
        <v>0</v>
      </c>
      <c r="F33" s="65">
        <f t="shared" si="9"/>
        <v>0</v>
      </c>
      <c r="G33" s="65">
        <f t="shared" si="10"/>
        <v>0</v>
      </c>
      <c r="H33" s="65">
        <f t="shared" si="10"/>
        <v>0</v>
      </c>
      <c r="I33" s="65">
        <f t="shared" si="10"/>
        <v>0</v>
      </c>
      <c r="J33" s="65">
        <f t="shared" si="10"/>
        <v>0</v>
      </c>
      <c r="K33" s="65">
        <f t="shared" si="10"/>
        <v>0</v>
      </c>
      <c r="L33" s="65">
        <f t="shared" si="10"/>
        <v>0</v>
      </c>
      <c r="M33" s="65">
        <f t="shared" si="10"/>
        <v>0</v>
      </c>
      <c r="N33" s="65">
        <f t="shared" si="10"/>
        <v>0</v>
      </c>
      <c r="O33" s="65">
        <f t="shared" si="10"/>
        <v>0</v>
      </c>
      <c r="P33" s="65">
        <f t="shared" si="10"/>
        <v>0</v>
      </c>
      <c r="Q33" s="65">
        <f t="shared" si="11"/>
        <v>0</v>
      </c>
      <c r="R33" s="65">
        <f t="shared" si="12"/>
        <v>0</v>
      </c>
      <c r="S33" s="65">
        <f t="shared" si="12"/>
        <v>0</v>
      </c>
      <c r="T33" s="65">
        <f t="shared" si="12"/>
        <v>0</v>
      </c>
      <c r="U33" s="126">
        <f t="shared" si="12"/>
        <v>0</v>
      </c>
    </row>
    <row r="34" spans="1:21" s="48" customFormat="1" x14ac:dyDescent="0.25">
      <c r="A34" s="125">
        <f>F8</f>
        <v>5</v>
      </c>
      <c r="B34" s="11">
        <v>0</v>
      </c>
      <c r="C34" s="65">
        <f t="shared" si="6"/>
        <v>0</v>
      </c>
      <c r="D34" s="65">
        <f t="shared" si="7"/>
        <v>0</v>
      </c>
      <c r="E34" s="65">
        <f t="shared" si="8"/>
        <v>0</v>
      </c>
      <c r="F34" s="65">
        <f t="shared" si="9"/>
        <v>0</v>
      </c>
      <c r="G34" s="65">
        <f t="shared" si="10"/>
        <v>0</v>
      </c>
      <c r="H34" s="65">
        <f t="shared" si="10"/>
        <v>0</v>
      </c>
      <c r="I34" s="65">
        <f t="shared" si="10"/>
        <v>0</v>
      </c>
      <c r="J34" s="65">
        <f t="shared" si="10"/>
        <v>0</v>
      </c>
      <c r="K34" s="65">
        <f t="shared" si="10"/>
        <v>0</v>
      </c>
      <c r="L34" s="65">
        <f t="shared" si="10"/>
        <v>0</v>
      </c>
      <c r="M34" s="65">
        <f t="shared" si="10"/>
        <v>0</v>
      </c>
      <c r="N34" s="65">
        <f t="shared" si="10"/>
        <v>0</v>
      </c>
      <c r="O34" s="65">
        <f t="shared" si="10"/>
        <v>0</v>
      </c>
      <c r="P34" s="65">
        <f t="shared" si="10"/>
        <v>0</v>
      </c>
      <c r="Q34" s="65">
        <f t="shared" si="11"/>
        <v>0</v>
      </c>
      <c r="R34" s="65">
        <f t="shared" si="12"/>
        <v>0</v>
      </c>
      <c r="S34" s="65">
        <f t="shared" si="12"/>
        <v>0</v>
      </c>
      <c r="T34" s="65">
        <f t="shared" si="12"/>
        <v>0</v>
      </c>
      <c r="U34" s="126">
        <f t="shared" si="12"/>
        <v>0</v>
      </c>
    </row>
    <row r="35" spans="1:21" s="48" customFormat="1" x14ac:dyDescent="0.25">
      <c r="A35" s="125">
        <f>G8</f>
        <v>7</v>
      </c>
      <c r="B35" s="11">
        <v>250</v>
      </c>
      <c r="C35" s="65">
        <f t="shared" si="6"/>
        <v>69.907499999999999</v>
      </c>
      <c r="D35" s="65">
        <f t="shared" si="7"/>
        <v>6.7759188750000003</v>
      </c>
      <c r="E35" s="65">
        <f t="shared" si="8"/>
        <v>0.62638912499999999</v>
      </c>
      <c r="F35" s="65">
        <f t="shared" si="9"/>
        <v>18.029921000000002</v>
      </c>
      <c r="G35" s="65">
        <f t="shared" si="10"/>
        <v>0.15535000000000002</v>
      </c>
      <c r="H35" s="65">
        <f t="shared" si="10"/>
        <v>0.96795000000000009</v>
      </c>
      <c r="I35" s="65">
        <f t="shared" si="10"/>
        <v>3.2324749999999999E-2</v>
      </c>
      <c r="J35" s="65">
        <f t="shared" si="10"/>
        <v>3.0472500000000005E-3</v>
      </c>
      <c r="K35" s="65">
        <f t="shared" si="10"/>
        <v>9.978250000000001E-3</v>
      </c>
      <c r="L35" s="65">
        <f t="shared" si="10"/>
        <v>2.13905E-2</v>
      </c>
      <c r="M35" s="65">
        <f t="shared" si="10"/>
        <v>1.6909250000000001E-2</v>
      </c>
      <c r="N35" s="65">
        <f t="shared" si="10"/>
        <v>1081.4749999999999</v>
      </c>
      <c r="O35" s="65">
        <f t="shared" si="10"/>
        <v>37.045000000000002</v>
      </c>
      <c r="P35" s="65">
        <f t="shared" si="10"/>
        <v>0</v>
      </c>
      <c r="Q35" s="65">
        <f t="shared" si="11"/>
        <v>69.758125000000007</v>
      </c>
      <c r="R35" s="65">
        <f t="shared" si="12"/>
        <v>0</v>
      </c>
      <c r="S35" s="65">
        <f t="shared" si="12"/>
        <v>7.4687500000000004E-2</v>
      </c>
      <c r="T35" s="65">
        <f t="shared" si="12"/>
        <v>0</v>
      </c>
      <c r="U35" s="126">
        <f t="shared" si="12"/>
        <v>0</v>
      </c>
    </row>
    <row r="36" spans="1:21" s="48" customFormat="1" x14ac:dyDescent="0.25">
      <c r="A36" s="125">
        <f>H8</f>
        <v>11</v>
      </c>
      <c r="B36" s="11">
        <v>0</v>
      </c>
      <c r="C36" s="65">
        <f t="shared" si="6"/>
        <v>0</v>
      </c>
      <c r="D36" s="65">
        <f t="shared" si="7"/>
        <v>0</v>
      </c>
      <c r="E36" s="65">
        <f t="shared" si="8"/>
        <v>0</v>
      </c>
      <c r="F36" s="65">
        <f t="shared" si="9"/>
        <v>0</v>
      </c>
      <c r="G36" s="65">
        <f t="shared" si="10"/>
        <v>0</v>
      </c>
      <c r="H36" s="65">
        <f t="shared" si="10"/>
        <v>0</v>
      </c>
      <c r="I36" s="65">
        <f t="shared" si="10"/>
        <v>0</v>
      </c>
      <c r="J36" s="65">
        <f t="shared" si="10"/>
        <v>0</v>
      </c>
      <c r="K36" s="65">
        <f t="shared" si="10"/>
        <v>0</v>
      </c>
      <c r="L36" s="65">
        <f t="shared" si="10"/>
        <v>0</v>
      </c>
      <c r="M36" s="65">
        <f t="shared" si="10"/>
        <v>0</v>
      </c>
      <c r="N36" s="65">
        <f t="shared" si="10"/>
        <v>0</v>
      </c>
      <c r="O36" s="65">
        <f t="shared" si="10"/>
        <v>0</v>
      </c>
      <c r="P36" s="65">
        <f t="shared" si="10"/>
        <v>0</v>
      </c>
      <c r="Q36" s="65">
        <f t="shared" si="11"/>
        <v>0</v>
      </c>
      <c r="R36" s="65">
        <f t="shared" si="12"/>
        <v>0</v>
      </c>
      <c r="S36" s="65">
        <f t="shared" si="12"/>
        <v>0</v>
      </c>
      <c r="T36" s="65">
        <f t="shared" si="12"/>
        <v>0</v>
      </c>
      <c r="U36" s="126">
        <f t="shared" si="12"/>
        <v>0</v>
      </c>
    </row>
    <row r="37" spans="1:21" s="48" customFormat="1" x14ac:dyDescent="0.25">
      <c r="A37" s="125">
        <f>I8</f>
        <v>12</v>
      </c>
      <c r="B37" s="11">
        <v>0</v>
      </c>
      <c r="C37" s="65">
        <f t="shared" si="6"/>
        <v>0</v>
      </c>
      <c r="D37" s="65">
        <f t="shared" si="7"/>
        <v>0</v>
      </c>
      <c r="E37" s="65">
        <f t="shared" si="8"/>
        <v>0</v>
      </c>
      <c r="F37" s="65">
        <f t="shared" si="9"/>
        <v>0</v>
      </c>
      <c r="G37" s="65">
        <f t="shared" si="10"/>
        <v>0</v>
      </c>
      <c r="H37" s="65">
        <f t="shared" si="10"/>
        <v>0</v>
      </c>
      <c r="I37" s="65">
        <f t="shared" si="10"/>
        <v>0</v>
      </c>
      <c r="J37" s="65">
        <f t="shared" si="10"/>
        <v>0</v>
      </c>
      <c r="K37" s="65">
        <f t="shared" si="10"/>
        <v>0</v>
      </c>
      <c r="L37" s="65">
        <f t="shared" si="10"/>
        <v>0</v>
      </c>
      <c r="M37" s="65">
        <f t="shared" si="10"/>
        <v>0</v>
      </c>
      <c r="N37" s="65">
        <f t="shared" si="10"/>
        <v>0</v>
      </c>
      <c r="O37" s="65">
        <f t="shared" si="10"/>
        <v>0</v>
      </c>
      <c r="P37" s="65">
        <f t="shared" si="10"/>
        <v>0</v>
      </c>
      <c r="Q37" s="65">
        <f t="shared" si="11"/>
        <v>0</v>
      </c>
      <c r="R37" s="65">
        <f t="shared" si="12"/>
        <v>0</v>
      </c>
      <c r="S37" s="65">
        <f t="shared" si="12"/>
        <v>0</v>
      </c>
      <c r="T37" s="65">
        <f t="shared" si="12"/>
        <v>0</v>
      </c>
      <c r="U37" s="126">
        <f t="shared" si="12"/>
        <v>0</v>
      </c>
    </row>
    <row r="38" spans="1:21" s="48" customFormat="1" x14ac:dyDescent="0.25">
      <c r="A38" s="125">
        <f>J8</f>
        <v>13</v>
      </c>
      <c r="B38" s="11">
        <v>250</v>
      </c>
      <c r="C38" s="65">
        <f t="shared" si="6"/>
        <v>69.907499999999999</v>
      </c>
      <c r="D38" s="65">
        <f t="shared" si="7"/>
        <v>6.7759188750000003</v>
      </c>
      <c r="E38" s="65">
        <f t="shared" si="8"/>
        <v>0.62638912499999999</v>
      </c>
      <c r="F38" s="65">
        <f t="shared" si="9"/>
        <v>18.029921000000002</v>
      </c>
      <c r="G38" s="65">
        <f t="shared" si="10"/>
        <v>0.15535000000000002</v>
      </c>
      <c r="H38" s="65">
        <f t="shared" si="10"/>
        <v>0.96795000000000009</v>
      </c>
      <c r="I38" s="65">
        <f t="shared" si="10"/>
        <v>3.2324749999999999E-2</v>
      </c>
      <c r="J38" s="65">
        <f t="shared" si="10"/>
        <v>3.0472500000000005E-3</v>
      </c>
      <c r="K38" s="65">
        <f t="shared" si="10"/>
        <v>9.978250000000001E-3</v>
      </c>
      <c r="L38" s="65">
        <f t="shared" si="10"/>
        <v>2.13905E-2</v>
      </c>
      <c r="M38" s="65">
        <f t="shared" si="10"/>
        <v>1.6909250000000001E-2</v>
      </c>
      <c r="N38" s="65">
        <f t="shared" si="10"/>
        <v>1081.4749999999999</v>
      </c>
      <c r="O38" s="65">
        <f t="shared" si="10"/>
        <v>37.045000000000002</v>
      </c>
      <c r="P38" s="65">
        <f t="shared" si="10"/>
        <v>0</v>
      </c>
      <c r="Q38" s="65">
        <f t="shared" si="11"/>
        <v>69.758125000000007</v>
      </c>
      <c r="R38" s="65">
        <f t="shared" si="12"/>
        <v>0</v>
      </c>
      <c r="S38" s="65">
        <f t="shared" si="12"/>
        <v>7.4687500000000004E-2</v>
      </c>
      <c r="T38" s="65">
        <f t="shared" si="12"/>
        <v>0</v>
      </c>
      <c r="U38" s="126">
        <f t="shared" si="12"/>
        <v>0</v>
      </c>
    </row>
    <row r="39" spans="1:21" s="48" customFormat="1" x14ac:dyDescent="0.25">
      <c r="A39" s="125">
        <f>K8</f>
        <v>14</v>
      </c>
      <c r="B39" s="11">
        <v>250</v>
      </c>
      <c r="C39" s="65">
        <f t="shared" si="6"/>
        <v>69.907499999999999</v>
      </c>
      <c r="D39" s="65">
        <f t="shared" si="7"/>
        <v>6.7759188750000003</v>
      </c>
      <c r="E39" s="65">
        <f t="shared" si="8"/>
        <v>0.62638912499999999</v>
      </c>
      <c r="F39" s="65">
        <f t="shared" si="9"/>
        <v>18.029921000000002</v>
      </c>
      <c r="G39" s="65">
        <f t="shared" si="10"/>
        <v>0.15535000000000002</v>
      </c>
      <c r="H39" s="65">
        <f t="shared" si="10"/>
        <v>0.96795000000000009</v>
      </c>
      <c r="I39" s="65">
        <f t="shared" si="10"/>
        <v>3.2324749999999999E-2</v>
      </c>
      <c r="J39" s="65">
        <f t="shared" si="10"/>
        <v>3.0472500000000005E-3</v>
      </c>
      <c r="K39" s="65">
        <f t="shared" si="10"/>
        <v>9.978250000000001E-3</v>
      </c>
      <c r="L39" s="65">
        <f t="shared" si="10"/>
        <v>2.13905E-2</v>
      </c>
      <c r="M39" s="65">
        <f t="shared" si="10"/>
        <v>1.6909250000000001E-2</v>
      </c>
      <c r="N39" s="65">
        <f t="shared" si="10"/>
        <v>1081.4749999999999</v>
      </c>
      <c r="O39" s="65">
        <f t="shared" si="10"/>
        <v>37.045000000000002</v>
      </c>
      <c r="P39" s="65">
        <f t="shared" si="10"/>
        <v>0</v>
      </c>
      <c r="Q39" s="65">
        <f t="shared" si="11"/>
        <v>69.758125000000007</v>
      </c>
      <c r="R39" s="65">
        <f t="shared" si="12"/>
        <v>0</v>
      </c>
      <c r="S39" s="65">
        <f t="shared" si="12"/>
        <v>7.4687500000000004E-2</v>
      </c>
      <c r="T39" s="65">
        <f t="shared" si="12"/>
        <v>0</v>
      </c>
      <c r="U39" s="126">
        <f t="shared" si="12"/>
        <v>0</v>
      </c>
    </row>
    <row r="40" spans="1:21" s="48" customFormat="1" x14ac:dyDescent="0.25">
      <c r="A40" s="125">
        <f>L8</f>
        <v>15</v>
      </c>
      <c r="B40" s="11">
        <v>0</v>
      </c>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x14ac:dyDescent="0.25">
      <c r="A41" s="125">
        <f>M8</f>
        <v>17</v>
      </c>
      <c r="B41" s="11">
        <v>0</v>
      </c>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x14ac:dyDescent="0.25">
      <c r="A42" s="125">
        <f>N8</f>
        <v>18</v>
      </c>
      <c r="B42" s="11">
        <v>250</v>
      </c>
      <c r="C42" s="65">
        <f t="shared" si="6"/>
        <v>69.907499999999999</v>
      </c>
      <c r="D42" s="65">
        <f t="shared" si="7"/>
        <v>6.7759188750000003</v>
      </c>
      <c r="E42" s="65">
        <f t="shared" si="8"/>
        <v>0.62638912499999999</v>
      </c>
      <c r="F42" s="65">
        <f t="shared" si="9"/>
        <v>18.029921000000002</v>
      </c>
      <c r="G42" s="65">
        <f t="shared" si="10"/>
        <v>0.15535000000000002</v>
      </c>
      <c r="H42" s="65">
        <f t="shared" si="10"/>
        <v>0.96795000000000009</v>
      </c>
      <c r="I42" s="65">
        <f t="shared" si="10"/>
        <v>3.2324749999999999E-2</v>
      </c>
      <c r="J42" s="65">
        <f t="shared" si="10"/>
        <v>3.0472500000000005E-3</v>
      </c>
      <c r="K42" s="65">
        <f t="shared" si="10"/>
        <v>9.978250000000001E-3</v>
      </c>
      <c r="L42" s="65">
        <f t="shared" si="10"/>
        <v>2.13905E-2</v>
      </c>
      <c r="M42" s="65">
        <f t="shared" si="10"/>
        <v>1.6909250000000001E-2</v>
      </c>
      <c r="N42" s="65">
        <f t="shared" si="10"/>
        <v>1081.4749999999999</v>
      </c>
      <c r="O42" s="65">
        <f t="shared" si="10"/>
        <v>37.045000000000002</v>
      </c>
      <c r="P42" s="65">
        <f t="shared" si="10"/>
        <v>0</v>
      </c>
      <c r="Q42" s="65">
        <f t="shared" si="11"/>
        <v>69.758125000000007</v>
      </c>
      <c r="R42" s="65">
        <f t="shared" si="12"/>
        <v>0</v>
      </c>
      <c r="S42" s="65">
        <f t="shared" si="12"/>
        <v>7.4687500000000004E-2</v>
      </c>
      <c r="T42" s="65">
        <f t="shared" si="12"/>
        <v>0</v>
      </c>
      <c r="U42" s="126">
        <f t="shared" si="12"/>
        <v>0</v>
      </c>
    </row>
    <row r="43" spans="1:21" s="48" customFormat="1" x14ac:dyDescent="0.25">
      <c r="A43" s="125">
        <f>O8</f>
        <v>19</v>
      </c>
      <c r="B43" s="11">
        <v>250</v>
      </c>
      <c r="C43" s="65">
        <f t="shared" si="6"/>
        <v>69.907499999999999</v>
      </c>
      <c r="D43" s="65">
        <f t="shared" si="7"/>
        <v>6.7759188750000003</v>
      </c>
      <c r="E43" s="65">
        <f t="shared" si="8"/>
        <v>0.62638912499999999</v>
      </c>
      <c r="F43" s="65">
        <f t="shared" si="9"/>
        <v>18.029921000000002</v>
      </c>
      <c r="G43" s="65">
        <f t="shared" si="10"/>
        <v>0.15535000000000002</v>
      </c>
      <c r="H43" s="65">
        <f t="shared" si="10"/>
        <v>0.96795000000000009</v>
      </c>
      <c r="I43" s="65">
        <f t="shared" si="10"/>
        <v>3.2324749999999999E-2</v>
      </c>
      <c r="J43" s="65">
        <f t="shared" si="10"/>
        <v>3.0472500000000005E-3</v>
      </c>
      <c r="K43" s="65">
        <f t="shared" si="10"/>
        <v>9.978250000000001E-3</v>
      </c>
      <c r="L43" s="65">
        <f t="shared" si="10"/>
        <v>2.13905E-2</v>
      </c>
      <c r="M43" s="65">
        <f t="shared" si="10"/>
        <v>1.6909250000000001E-2</v>
      </c>
      <c r="N43" s="65">
        <f t="shared" si="10"/>
        <v>1081.4749999999999</v>
      </c>
      <c r="O43" s="65">
        <f t="shared" si="10"/>
        <v>37.045000000000002</v>
      </c>
      <c r="P43" s="65">
        <f t="shared" si="10"/>
        <v>0</v>
      </c>
      <c r="Q43" s="65">
        <f t="shared" si="11"/>
        <v>69.758125000000007</v>
      </c>
      <c r="R43" s="65">
        <f t="shared" si="12"/>
        <v>0</v>
      </c>
      <c r="S43" s="65">
        <f t="shared" si="12"/>
        <v>7.4687500000000004E-2</v>
      </c>
      <c r="T43" s="65">
        <f t="shared" si="12"/>
        <v>0</v>
      </c>
      <c r="U43" s="126">
        <f t="shared" si="12"/>
        <v>0</v>
      </c>
    </row>
    <row r="44" spans="1:21" s="48" customFormat="1" x14ac:dyDescent="0.25">
      <c r="A44" s="125">
        <f>P8</f>
        <v>20</v>
      </c>
      <c r="B44" s="11">
        <v>0</v>
      </c>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x14ac:dyDescent="0.25">
      <c r="A45" s="125">
        <f>Q8</f>
        <v>21</v>
      </c>
      <c r="B45" s="11">
        <v>0</v>
      </c>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x14ac:dyDescent="0.2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x14ac:dyDescent="0.2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x14ac:dyDescent="0.2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x14ac:dyDescent="0.2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str">
        <f>Q16&amp;" I "&amp;(VLOOKUP(Q14,Table24[],6,FALSE))</f>
        <v>Medium/Clay I Grass</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f>VLOOKUP(Q$14,Table24[],5,FALSE)</f>
        <v>6.2</v>
      </c>
      <c r="Q59" s="64" t="e">
        <f>VLOOKUP(R$14,Table24[],5,FALSE)</f>
        <v>#N/A</v>
      </c>
      <c r="R59" s="64" t="e">
        <f>VLOOKUP(S$14,Table24[],5,FALSE)</f>
        <v>#N/A</v>
      </c>
      <c r="S59" s="64" t="e">
        <f>VLOOKUP(T$14,Table24[],5,FALSE)</f>
        <v>#N/A</v>
      </c>
      <c r="T59" s="64" t="e">
        <f>VLOOKUP(U$14,Table24[],5,FALSE)</f>
        <v>#N/A</v>
      </c>
      <c r="U59" s="64" t="e">
        <f>VLOOKUP(V$14,Table24[],5,FALSE)</f>
        <v>#N/A</v>
      </c>
    </row>
    <row r="60" spans="1:21" x14ac:dyDescent="0.2">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0</v>
      </c>
      <c r="E62" s="65">
        <f>B34</f>
        <v>0</v>
      </c>
      <c r="F62" s="65">
        <f>B35</f>
        <v>250</v>
      </c>
      <c r="G62" s="65">
        <f>B36</f>
        <v>0</v>
      </c>
      <c r="H62" s="65">
        <f>B37</f>
        <v>0</v>
      </c>
      <c r="I62" s="65">
        <f>B38</f>
        <v>250</v>
      </c>
      <c r="J62" s="65">
        <f>B39</f>
        <v>250</v>
      </c>
      <c r="K62" s="65">
        <f>B40</f>
        <v>0</v>
      </c>
      <c r="L62" s="65">
        <f>B41</f>
        <v>0</v>
      </c>
      <c r="M62" s="65">
        <f>B42</f>
        <v>250</v>
      </c>
      <c r="N62" s="65">
        <f>B43</f>
        <v>250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1" x14ac:dyDescent="0.2">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37" sqref="A37"/>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Bala!C1:D1</f>
        <v>PAN-030515</v>
      </c>
      <c r="D1" s="173"/>
      <c r="E1" s="106" t="s">
        <v>45</v>
      </c>
      <c r="F1" s="113">
        <f>Bala!F1</f>
        <v>50</v>
      </c>
      <c r="G1" s="162" t="s">
        <v>43</v>
      </c>
      <c r="H1" s="163"/>
      <c r="I1" s="109">
        <v>5.9</v>
      </c>
      <c r="J1" s="130" t="s">
        <v>153</v>
      </c>
      <c r="K1" s="131"/>
      <c r="L1" s="109">
        <v>262</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Bala!C2:D2</f>
        <v>EPR/GP3792SK</v>
      </c>
      <c r="D2" s="169"/>
      <c r="E2" s="96" t="s">
        <v>109</v>
      </c>
      <c r="F2" s="110" t="s">
        <v>165</v>
      </c>
      <c r="G2" s="164" t="s">
        <v>110</v>
      </c>
      <c r="H2" s="165"/>
      <c r="I2" s="110"/>
      <c r="J2" s="132" t="s">
        <v>158</v>
      </c>
      <c r="K2" s="133"/>
      <c r="L2" s="110">
        <v>0.66400000000000003</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Bala!C3:D3</f>
        <v>ByProduct Recovery Ltd</v>
      </c>
      <c r="D3" s="169"/>
      <c r="E3" s="96" t="s">
        <v>108</v>
      </c>
      <c r="F3" s="111" t="s">
        <v>78</v>
      </c>
      <c r="G3" s="132" t="s">
        <v>159</v>
      </c>
      <c r="H3" s="133"/>
      <c r="I3" s="110"/>
      <c r="J3" s="134" t="s">
        <v>154</v>
      </c>
      <c r="K3" s="135"/>
      <c r="L3" s="110">
        <f>(L1/(L2*10000))*100</f>
        <v>3.9457831325301203</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Bala!C4:D4</f>
        <v>Henllys, Llanfair TH, Abergele, Conwys, LL22 8TF</v>
      </c>
      <c r="D4" s="171"/>
      <c r="E4" s="99" t="s">
        <v>1</v>
      </c>
      <c r="F4" s="110" t="s">
        <v>167</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Bala!C5:D5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f>Bala!C8</f>
        <v>1</v>
      </c>
      <c r="D8" s="49">
        <f>Bala!D8</f>
        <v>2</v>
      </c>
      <c r="E8" s="49">
        <f>Bala!E8</f>
        <v>3</v>
      </c>
      <c r="F8" s="49">
        <f>Bala!F8</f>
        <v>5</v>
      </c>
      <c r="G8" s="49">
        <f>Bala!G8</f>
        <v>7</v>
      </c>
      <c r="H8" s="49">
        <f>Bala!H8</f>
        <v>11</v>
      </c>
      <c r="I8" s="49">
        <f>Bala!I8</f>
        <v>12</v>
      </c>
      <c r="J8" s="49">
        <f>Bala!J8</f>
        <v>13</v>
      </c>
      <c r="K8" s="49">
        <f>Bala!K8</f>
        <v>14</v>
      </c>
      <c r="L8" s="49">
        <f>Bala!L8</f>
        <v>15</v>
      </c>
      <c r="M8" s="49">
        <f>Bala!M8</f>
        <v>17</v>
      </c>
      <c r="N8" s="49">
        <f>Bala!N8</f>
        <v>18</v>
      </c>
      <c r="O8" s="49">
        <f>Bala!O8</f>
        <v>19</v>
      </c>
      <c r="P8" s="49">
        <f>Bala!P8</f>
        <v>20</v>
      </c>
      <c r="Q8" s="49">
        <f>Bala!Q8</f>
        <v>21</v>
      </c>
      <c r="R8" s="49">
        <f>Bala!R8</f>
        <v>0</v>
      </c>
      <c r="S8" s="49">
        <f>Bala!S8</f>
        <v>0</v>
      </c>
      <c r="T8" s="49">
        <f>Bala!T8</f>
        <v>0</v>
      </c>
      <c r="U8" s="49">
        <f>Bala!U8</f>
        <v>0</v>
      </c>
      <c r="V8" s="102">
        <f>Bala!V8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f>Bala!C9</f>
        <v>0</v>
      </c>
      <c r="D9" s="49">
        <f>Bala!D9</f>
        <v>0</v>
      </c>
      <c r="E9" s="49">
        <f>Bala!E9</f>
        <v>0</v>
      </c>
      <c r="F9" s="49">
        <f>Bala!F9</f>
        <v>0</v>
      </c>
      <c r="G9" s="49">
        <f>Bala!G9</f>
        <v>0</v>
      </c>
      <c r="H9" s="49">
        <f>Bala!H9</f>
        <v>0</v>
      </c>
      <c r="I9" s="49">
        <f>Bala!I9</f>
        <v>0</v>
      </c>
      <c r="J9" s="49">
        <f>Bala!J9</f>
        <v>0</v>
      </c>
      <c r="K9" s="49">
        <f>Bala!K9</f>
        <v>0</v>
      </c>
      <c r="L9" s="49">
        <f>Bala!L9</f>
        <v>0</v>
      </c>
      <c r="M9" s="49">
        <f>Bala!M9</f>
        <v>0</v>
      </c>
      <c r="N9" s="49">
        <f>Bala!N9</f>
        <v>0</v>
      </c>
      <c r="O9" s="49">
        <f>Bala!O9</f>
        <v>0</v>
      </c>
      <c r="P9" s="49">
        <f>Bala!P9</f>
        <v>0</v>
      </c>
      <c r="Q9" s="49">
        <f>Bala!Q9</f>
        <v>0</v>
      </c>
      <c r="R9" s="49">
        <f>Bala!R9</f>
        <v>0</v>
      </c>
      <c r="S9" s="49">
        <f>Bala!S9</f>
        <v>0</v>
      </c>
      <c r="T9" s="49">
        <f>Bala!T9</f>
        <v>0</v>
      </c>
      <c r="U9" s="49">
        <f>Bala!U9</f>
        <v>0</v>
      </c>
      <c r="V9" s="102">
        <f>Bala!V9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Bala!C10</f>
        <v>6.2</v>
      </c>
      <c r="D10" s="49">
        <f>Bala!D10</f>
        <v>6.4</v>
      </c>
      <c r="E10" s="49">
        <f>Bala!E10</f>
        <v>5.6</v>
      </c>
      <c r="F10" s="49">
        <f>Bala!F10</f>
        <v>5.5</v>
      </c>
      <c r="G10" s="49">
        <f>Bala!G10</f>
        <v>6.3</v>
      </c>
      <c r="H10" s="49">
        <f>Bala!H10</f>
        <v>5.5</v>
      </c>
      <c r="I10" s="49">
        <f>Bala!I10</f>
        <v>5.6</v>
      </c>
      <c r="J10" s="49">
        <f>Bala!J10</f>
        <v>6.4</v>
      </c>
      <c r="K10" s="49">
        <f>Bala!K10</f>
        <v>6.3</v>
      </c>
      <c r="L10" s="49">
        <f>Bala!L10</f>
        <v>5.7</v>
      </c>
      <c r="M10" s="49">
        <f>Bala!M10</f>
        <v>5.9</v>
      </c>
      <c r="N10" s="49">
        <f>Bala!N10</f>
        <v>6</v>
      </c>
      <c r="O10" s="49">
        <f>Bala!O10</f>
        <v>6.2</v>
      </c>
      <c r="P10" s="49">
        <f>Bala!P10</f>
        <v>5.8</v>
      </c>
      <c r="Q10" s="49">
        <f>Bala!Q10</f>
        <v>5.9</v>
      </c>
      <c r="R10" s="49">
        <f>Bala!R10</f>
        <v>0</v>
      </c>
      <c r="S10" s="49">
        <f>Bala!S10</f>
        <v>0</v>
      </c>
      <c r="T10" s="49">
        <f>Bala!T10</f>
        <v>0</v>
      </c>
      <c r="U10" s="49">
        <f>Bala!U10</f>
        <v>0</v>
      </c>
      <c r="V10" s="102">
        <f>Bala!V10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Bala!C11</f>
        <v>2</v>
      </c>
      <c r="D11" s="49">
        <f>Bala!D11</f>
        <v>1</v>
      </c>
      <c r="E11" s="49">
        <f>Bala!E11</f>
        <v>2</v>
      </c>
      <c r="F11" s="49">
        <f>Bala!F11</f>
        <v>1</v>
      </c>
      <c r="G11" s="49">
        <f>Bala!G11</f>
        <v>0</v>
      </c>
      <c r="H11" s="49">
        <f>Bala!H11</f>
        <v>2</v>
      </c>
      <c r="I11" s="49">
        <f>Bala!I11</f>
        <v>2</v>
      </c>
      <c r="J11" s="49">
        <f>Bala!J11</f>
        <v>2</v>
      </c>
      <c r="K11" s="49">
        <f>Bala!K11</f>
        <v>2</v>
      </c>
      <c r="L11" s="49">
        <f>Bala!L11</f>
        <v>1</v>
      </c>
      <c r="M11" s="49">
        <f>Bala!M11</f>
        <v>2</v>
      </c>
      <c r="N11" s="49">
        <f>Bala!N11</f>
        <v>2</v>
      </c>
      <c r="O11" s="49">
        <f>Bala!O11</f>
        <v>1</v>
      </c>
      <c r="P11" s="49">
        <f>Bala!P11</f>
        <v>1</v>
      </c>
      <c r="Q11" s="49">
        <f>Bala!Q11</f>
        <v>1</v>
      </c>
      <c r="R11" s="49">
        <f>Bala!R11</f>
        <v>0</v>
      </c>
      <c r="S11" s="49">
        <f>Bala!S11</f>
        <v>0</v>
      </c>
      <c r="T11" s="49">
        <f>Bala!T11</f>
        <v>0</v>
      </c>
      <c r="U11" s="49">
        <f>Bala!U11</f>
        <v>0</v>
      </c>
      <c r="V11" s="102">
        <f>Bala!V11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Bala!C12</f>
        <v>0</v>
      </c>
      <c r="D12" s="49">
        <f>Bala!D12</f>
        <v>1</v>
      </c>
      <c r="E12" s="49">
        <f>Bala!E12</f>
        <v>2</v>
      </c>
      <c r="F12" s="49">
        <f>Bala!F12</f>
        <v>1</v>
      </c>
      <c r="G12" s="49">
        <f>Bala!G12</f>
        <v>1</v>
      </c>
      <c r="H12" s="49">
        <f>Bala!H12</f>
        <v>1</v>
      </c>
      <c r="I12" s="49">
        <f>Bala!I12</f>
        <v>2</v>
      </c>
      <c r="J12" s="49">
        <f>Bala!J12</f>
        <v>2</v>
      </c>
      <c r="K12" s="49">
        <f>Bala!K12</f>
        <v>1</v>
      </c>
      <c r="L12" s="49">
        <f>Bala!L12</f>
        <v>1</v>
      </c>
      <c r="M12" s="49">
        <f>Bala!M12</f>
        <v>2</v>
      </c>
      <c r="N12" s="49">
        <f>Bala!N12</f>
        <v>2</v>
      </c>
      <c r="O12" s="49">
        <f>Bala!O12</f>
        <v>1</v>
      </c>
      <c r="P12" s="49">
        <f>Bala!P12</f>
        <v>1</v>
      </c>
      <c r="Q12" s="49">
        <f>Bala!Q12</f>
        <v>1</v>
      </c>
      <c r="R12" s="49">
        <f>Bala!R12</f>
        <v>0</v>
      </c>
      <c r="S12" s="49">
        <f>Bala!S12</f>
        <v>0</v>
      </c>
      <c r="T12" s="49">
        <f>Bala!T12</f>
        <v>0</v>
      </c>
      <c r="U12" s="49">
        <f>Bala!U12</f>
        <v>0</v>
      </c>
      <c r="V12" s="102">
        <f>Bala!V12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Bala!C13</f>
        <v>2</v>
      </c>
      <c r="D13" s="49">
        <f>Bala!D13</f>
        <v>3</v>
      </c>
      <c r="E13" s="49">
        <f>Bala!E13</f>
        <v>2</v>
      </c>
      <c r="F13" s="49">
        <f>Bala!F13</f>
        <v>2</v>
      </c>
      <c r="G13" s="49">
        <f>Bala!G13</f>
        <v>2</v>
      </c>
      <c r="H13" s="49">
        <f>Bala!H13</f>
        <v>2</v>
      </c>
      <c r="I13" s="49">
        <f>Bala!I13</f>
        <v>2</v>
      </c>
      <c r="J13" s="49">
        <f>Bala!J13</f>
        <v>2</v>
      </c>
      <c r="K13" s="49">
        <f>Bala!K13</f>
        <v>2</v>
      </c>
      <c r="L13" s="49">
        <f>Bala!L13</f>
        <v>2</v>
      </c>
      <c r="M13" s="49">
        <f>Bala!M13</f>
        <v>2</v>
      </c>
      <c r="N13" s="49">
        <f>Bala!N13</f>
        <v>2</v>
      </c>
      <c r="O13" s="49">
        <f>Bala!O13</f>
        <v>2</v>
      </c>
      <c r="P13" s="49">
        <f>Bala!P13</f>
        <v>2</v>
      </c>
      <c r="Q13" s="49">
        <f>Bala!Q13</f>
        <v>2</v>
      </c>
      <c r="R13" s="49">
        <f>Bala!R13</f>
        <v>0</v>
      </c>
      <c r="S13" s="49">
        <f>Bala!S13</f>
        <v>0</v>
      </c>
      <c r="T13" s="49">
        <f>Bala!T13</f>
        <v>0</v>
      </c>
      <c r="U13" s="49">
        <f>Bala!U13</f>
        <v>0</v>
      </c>
      <c r="V13" s="102">
        <f>Bala!V13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Bala!C14</f>
        <v xml:space="preserve">Grass Silage (25% DM) </v>
      </c>
      <c r="D14" s="83" t="str">
        <f>Bala!D14</f>
        <v xml:space="preserve">Grass Silage (25% DM) </v>
      </c>
      <c r="E14" s="83" t="str">
        <f>Bala!E14</f>
        <v xml:space="preserve">Grass Silage (25% DM) </v>
      </c>
      <c r="F14" s="83" t="str">
        <f>Bala!F14</f>
        <v xml:space="preserve">Grass Silage (25% DM) </v>
      </c>
      <c r="G14" s="83" t="str">
        <f>Bala!G14</f>
        <v xml:space="preserve">Grass Silage (25% DM) </v>
      </c>
      <c r="H14" s="83" t="str">
        <f>Bala!H14</f>
        <v xml:space="preserve">Grass Silage (25% DM) </v>
      </c>
      <c r="I14" s="83" t="str">
        <f>Bala!I14</f>
        <v xml:space="preserve">Grass Silage (25% DM) </v>
      </c>
      <c r="J14" s="83" t="str">
        <f>Bala!J14</f>
        <v xml:space="preserve">Grass Silage (25% DM) </v>
      </c>
      <c r="K14" s="83" t="str">
        <f>Bala!K14</f>
        <v xml:space="preserve">Grass Silage (25% DM) </v>
      </c>
      <c r="L14" s="83" t="str">
        <f>Bala!L14</f>
        <v xml:space="preserve">Grass Silage (25% DM) </v>
      </c>
      <c r="M14" s="83" t="str">
        <f>Bala!M14</f>
        <v xml:space="preserve">Grass Silage (25% DM) </v>
      </c>
      <c r="N14" s="83" t="str">
        <f>Bala!N14</f>
        <v xml:space="preserve">Grass Silage (25% DM) </v>
      </c>
      <c r="O14" s="83" t="str">
        <f>Bala!O14</f>
        <v xml:space="preserve">Grass Silage (25% DM) </v>
      </c>
      <c r="P14" s="83" t="str">
        <f>Bala!P14</f>
        <v xml:space="preserve">Grass Silage (25% DM) </v>
      </c>
      <c r="Q14" s="83" t="str">
        <f>Bala!Q14</f>
        <v xml:space="preserve">Grass Silage (25% DM) </v>
      </c>
      <c r="R14" s="83">
        <f>Bala!R14</f>
        <v>0</v>
      </c>
      <c r="S14" s="83">
        <f>Bala!S14</f>
        <v>0</v>
      </c>
      <c r="T14" s="83">
        <f>Bala!T14</f>
        <v>0</v>
      </c>
      <c r="U14" s="83">
        <f>Bala!U14</f>
        <v>0</v>
      </c>
      <c r="V14" s="103">
        <f>Bala!V14</f>
        <v>0</v>
      </c>
      <c r="AD14" s="22" t="s">
        <v>138</v>
      </c>
      <c r="AE14" s="22">
        <v>6</v>
      </c>
      <c r="AI14" s="43" t="s">
        <v>119</v>
      </c>
      <c r="AJ14" s="44">
        <v>0.8</v>
      </c>
      <c r="AK14" s="45">
        <v>1.7</v>
      </c>
      <c r="AL14" s="9">
        <v>12</v>
      </c>
      <c r="AM14" s="9">
        <v>6.7</v>
      </c>
      <c r="AN14" s="9" t="s">
        <v>135</v>
      </c>
    </row>
    <row r="15" spans="1:41" x14ac:dyDescent="0.2">
      <c r="A15" s="148" t="s">
        <v>9</v>
      </c>
      <c r="B15" s="149"/>
      <c r="C15" s="49">
        <f>Bala!C15</f>
        <v>38</v>
      </c>
      <c r="D15" s="49">
        <f>Bala!D15</f>
        <v>38</v>
      </c>
      <c r="E15" s="49">
        <f>Bala!E15</f>
        <v>38</v>
      </c>
      <c r="F15" s="49">
        <f>Bala!F15</f>
        <v>38</v>
      </c>
      <c r="G15" s="49">
        <f>Bala!G15</f>
        <v>38</v>
      </c>
      <c r="H15" s="49">
        <f>Bala!H15</f>
        <v>38</v>
      </c>
      <c r="I15" s="49">
        <f>Bala!I15</f>
        <v>38</v>
      </c>
      <c r="J15" s="49">
        <f>Bala!J15</f>
        <v>38</v>
      </c>
      <c r="K15" s="49">
        <f>Bala!K15</f>
        <v>38</v>
      </c>
      <c r="L15" s="49">
        <f>Bala!L15</f>
        <v>38</v>
      </c>
      <c r="M15" s="49">
        <f>Bala!M15</f>
        <v>38</v>
      </c>
      <c r="N15" s="49">
        <f>Bala!N15</f>
        <v>38</v>
      </c>
      <c r="O15" s="49">
        <f>Bala!O15</f>
        <v>38</v>
      </c>
      <c r="P15" s="49">
        <f>Bala!P15</f>
        <v>38</v>
      </c>
      <c r="Q15" s="49">
        <f>Bala!Q15</f>
        <v>38</v>
      </c>
      <c r="R15" s="49">
        <f>Bala!R15</f>
        <v>0</v>
      </c>
      <c r="S15" s="49">
        <f>Bala!S15</f>
        <v>0</v>
      </c>
      <c r="T15" s="49">
        <f>Bala!T15</f>
        <v>0</v>
      </c>
      <c r="U15" s="49">
        <f>Bala!U15</f>
        <v>0</v>
      </c>
      <c r="V15" s="102">
        <f>Bala!V15</f>
        <v>0</v>
      </c>
      <c r="AD15" s="22" t="s">
        <v>144</v>
      </c>
      <c r="AE15" s="22">
        <v>7</v>
      </c>
      <c r="AI15" s="43" t="s">
        <v>101</v>
      </c>
      <c r="AJ15" s="51">
        <v>1.8</v>
      </c>
      <c r="AK15" s="45">
        <v>5.4</v>
      </c>
      <c r="AL15" s="9">
        <v>13</v>
      </c>
      <c r="AM15" s="9">
        <v>6.7</v>
      </c>
      <c r="AN15" s="9" t="s">
        <v>135</v>
      </c>
    </row>
    <row r="16" spans="1:41" ht="13.5" thickBot="1" x14ac:dyDescent="0.25">
      <c r="A16" s="152" t="s">
        <v>44</v>
      </c>
      <c r="B16" s="153"/>
      <c r="C16" s="104" t="str">
        <f>Bala!C16</f>
        <v>Medium/Clay</v>
      </c>
      <c r="D16" s="104" t="str">
        <f>Bala!D16</f>
        <v>Medium/Clay</v>
      </c>
      <c r="E16" s="104" t="str">
        <f>Bala!E16</f>
        <v>Medium/Clay</v>
      </c>
      <c r="F16" s="104" t="str">
        <f>Bala!F16</f>
        <v>Medium/Clay</v>
      </c>
      <c r="G16" s="104" t="str">
        <f>Bala!G16</f>
        <v>Medium/Clay</v>
      </c>
      <c r="H16" s="104" t="str">
        <f>Bala!H16</f>
        <v>Medium/Clay</v>
      </c>
      <c r="I16" s="104" t="str">
        <f>Bala!I16</f>
        <v>Medium/Clay</v>
      </c>
      <c r="J16" s="104" t="str">
        <f>Bala!J16</f>
        <v>Medium/Clay</v>
      </c>
      <c r="K16" s="104" t="str">
        <f>Bala!K16</f>
        <v>Medium/Clay</v>
      </c>
      <c r="L16" s="104" t="str">
        <f>Bala!L16</f>
        <v>Medium/Clay</v>
      </c>
      <c r="M16" s="104" t="str">
        <f>Bala!M16</f>
        <v>Medium/Clay</v>
      </c>
      <c r="N16" s="104" t="str">
        <f>Bala!N16</f>
        <v>Medium/Clay</v>
      </c>
      <c r="O16" s="104" t="str">
        <f>Bala!O16</f>
        <v>Medium/Clay</v>
      </c>
      <c r="P16" s="104" t="str">
        <f>Bala!P16</f>
        <v>Medium/Clay</v>
      </c>
      <c r="Q16" s="104" t="str">
        <f>Bala!Q16</f>
        <v>Medium/Clay</v>
      </c>
      <c r="R16" s="104">
        <f>Bala!R16</f>
        <v>0</v>
      </c>
      <c r="S16" s="104">
        <f>Bala!S16</f>
        <v>0</v>
      </c>
      <c r="T16" s="104">
        <f>Bala!T16</f>
        <v>0</v>
      </c>
      <c r="U16" s="104">
        <f>Bala!U16</f>
        <v>0</v>
      </c>
      <c r="V16" s="105">
        <f>Bala!V16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4.016867575</v>
      </c>
      <c r="D18" s="12">
        <f>$D32</f>
        <v>4.016867575</v>
      </c>
      <c r="E18" s="12">
        <f>$D33</f>
        <v>4.016867575</v>
      </c>
      <c r="F18" s="12">
        <f>$D34</f>
        <v>4.016867575</v>
      </c>
      <c r="G18" s="12">
        <f>$D35</f>
        <v>4.016867575</v>
      </c>
      <c r="H18" s="12">
        <f>$D36</f>
        <v>4.016867575</v>
      </c>
      <c r="I18" s="12">
        <f>$D37</f>
        <v>4.016867575</v>
      </c>
      <c r="J18" s="12">
        <f>$D38</f>
        <v>4.016867575</v>
      </c>
      <c r="K18" s="12">
        <f>$D39</f>
        <v>4.016867575</v>
      </c>
      <c r="L18" s="12">
        <f>$D40</f>
        <v>4.016867575</v>
      </c>
      <c r="M18" s="12">
        <f>$D41</f>
        <v>4.016867575</v>
      </c>
      <c r="N18" s="12">
        <f>$D42</f>
        <v>4.016867575</v>
      </c>
      <c r="O18" s="12">
        <f>$D43</f>
        <v>4.016867575</v>
      </c>
      <c r="P18" s="12">
        <f>$D44</f>
        <v>4.016867575</v>
      </c>
      <c r="Q18" s="12">
        <f>$D45</f>
        <v>4.016867575</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-60.583132424999995</v>
      </c>
      <c r="D19" s="12">
        <f t="shared" ref="D19:V19" si="1">D18-D17</f>
        <v>-60.583132424999995</v>
      </c>
      <c r="E19" s="12">
        <f t="shared" si="1"/>
        <v>-60.583132424999995</v>
      </c>
      <c r="F19" s="12">
        <f t="shared" si="1"/>
        <v>-60.583132424999995</v>
      </c>
      <c r="G19" s="12">
        <f t="shared" si="1"/>
        <v>-60.583132424999995</v>
      </c>
      <c r="H19" s="12">
        <f t="shared" si="1"/>
        <v>-60.583132424999995</v>
      </c>
      <c r="I19" s="12">
        <f t="shared" si="1"/>
        <v>-60.583132424999995</v>
      </c>
      <c r="J19" s="12">
        <f t="shared" si="1"/>
        <v>-60.583132424999995</v>
      </c>
      <c r="K19" s="12">
        <f t="shared" si="1"/>
        <v>-60.583132424999995</v>
      </c>
      <c r="L19" s="12">
        <f t="shared" si="1"/>
        <v>-60.583132424999995</v>
      </c>
      <c r="M19" s="12">
        <f t="shared" si="1"/>
        <v>-60.583132424999995</v>
      </c>
      <c r="N19" s="12">
        <f t="shared" si="1"/>
        <v>-60.583132424999995</v>
      </c>
      <c r="O19" s="12">
        <f t="shared" si="1"/>
        <v>-60.583132424999995</v>
      </c>
      <c r="P19" s="12">
        <f t="shared" si="1"/>
        <v>-60.583132424999995</v>
      </c>
      <c r="Q19" s="12">
        <f t="shared" si="1"/>
        <v>-60.583132424999995</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1.4038250000000001</v>
      </c>
      <c r="D22" s="12">
        <f>$E32</f>
        <v>1.4038250000000001</v>
      </c>
      <c r="E22" s="12">
        <f>$E33</f>
        <v>1.4038250000000001</v>
      </c>
      <c r="F22" s="12">
        <f>$E34</f>
        <v>1.4038250000000001</v>
      </c>
      <c r="G22" s="12">
        <f>$E35</f>
        <v>1.4038250000000001</v>
      </c>
      <c r="H22" s="12">
        <f>$E36</f>
        <v>1.4038250000000001</v>
      </c>
      <c r="I22" s="12">
        <f>$E37</f>
        <v>1.4038250000000001</v>
      </c>
      <c r="J22" s="12">
        <f>$E38</f>
        <v>1.4038250000000001</v>
      </c>
      <c r="K22" s="12">
        <f>$E39</f>
        <v>1.4038250000000001</v>
      </c>
      <c r="L22" s="12">
        <f>$E40</f>
        <v>1.4038250000000001</v>
      </c>
      <c r="M22" s="12">
        <f>$E41</f>
        <v>1.4038250000000001</v>
      </c>
      <c r="N22" s="12">
        <f>$E42</f>
        <v>1.4038250000000001</v>
      </c>
      <c r="O22" s="12">
        <f>$E43</f>
        <v>1.4038250000000001</v>
      </c>
      <c r="P22" s="12">
        <f>$E44</f>
        <v>1.4038250000000001</v>
      </c>
      <c r="Q22" s="12">
        <f>$E45</f>
        <v>1.4038250000000001</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-226.59617499999999</v>
      </c>
      <c r="D23" s="12">
        <f t="shared" ref="D23:V23" si="3">D22-D21</f>
        <v>-226.59617499999999</v>
      </c>
      <c r="E23" s="12">
        <f t="shared" si="3"/>
        <v>-226.59617499999999</v>
      </c>
      <c r="F23" s="12">
        <f t="shared" si="3"/>
        <v>-226.59617499999999</v>
      </c>
      <c r="G23" s="12">
        <f t="shared" si="3"/>
        <v>-226.59617499999999</v>
      </c>
      <c r="H23" s="12">
        <f t="shared" si="3"/>
        <v>-226.59617499999999</v>
      </c>
      <c r="I23" s="12">
        <f t="shared" si="3"/>
        <v>-226.59617499999999</v>
      </c>
      <c r="J23" s="12">
        <f t="shared" si="3"/>
        <v>-226.59617499999999</v>
      </c>
      <c r="K23" s="12">
        <f t="shared" si="3"/>
        <v>-226.59617499999999</v>
      </c>
      <c r="L23" s="12">
        <f t="shared" si="3"/>
        <v>-226.59617499999999</v>
      </c>
      <c r="M23" s="12">
        <f t="shared" si="3"/>
        <v>-226.59617499999999</v>
      </c>
      <c r="N23" s="12">
        <f t="shared" si="3"/>
        <v>-226.59617499999999</v>
      </c>
      <c r="O23" s="12">
        <f t="shared" si="3"/>
        <v>-226.59617499999999</v>
      </c>
      <c r="P23" s="12">
        <f t="shared" si="3"/>
        <v>-226.59617499999999</v>
      </c>
      <c r="Q23" s="12">
        <f t="shared" si="3"/>
        <v>-226.59617499999999</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2.33</v>
      </c>
      <c r="C28" s="11">
        <v>0.66400000000000003</v>
      </c>
      <c r="D28" s="11">
        <v>3.0099999999999998E-2</v>
      </c>
      <c r="E28" s="11">
        <v>0.02</v>
      </c>
      <c r="F28" s="11">
        <v>369</v>
      </c>
      <c r="G28" s="11">
        <v>4.9800000000000004</v>
      </c>
      <c r="H28" s="11">
        <v>168</v>
      </c>
      <c r="I28" s="11">
        <v>13</v>
      </c>
      <c r="J28" s="11">
        <v>0.73</v>
      </c>
      <c r="K28" s="15">
        <v>1.72</v>
      </c>
      <c r="L28" s="11">
        <v>37.200000000000003</v>
      </c>
      <c r="M28" s="11">
        <v>2.92</v>
      </c>
      <c r="N28" s="11">
        <v>3720</v>
      </c>
      <c r="O28" s="11">
        <v>460000</v>
      </c>
      <c r="P28" s="11"/>
      <c r="Q28" s="11">
        <v>4180</v>
      </c>
      <c r="R28" s="11"/>
      <c r="S28" s="11">
        <v>13.1</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250</v>
      </c>
      <c r="C31" s="65">
        <f>IF(C$27="%w/w SAR",((C$28*10)*$B31),IF(C$27="%w/w DM",(((C$28*10)*($B$28/100))*$B31),IF(C$27="kg/t SAR",(C$28*$B31),IF(C$27="kg/t DM",((C$28*($B$28/100))*$B31),IF(C$27="mg/kg SAR",((C$28*0.001)*$B31),IF(C$27="mg/kg DM",(((C$28*0.001)*($B$28/100))*$B31),0))))))</f>
        <v>38.678000000000004</v>
      </c>
      <c r="D31" s="65">
        <f>(IF(D$27="%w/w SAR",((D$28*10)*$B31),IF(D$27="%w/w DM",(((D$28*10)*($B$28/100))*$B31),IF(D$27="kg/t SAR",(D$28*$B31),IF(D$27="kg/t DM",((D$28*($B$28/100))*$B31),IF(D$27="mg/kg SAR",((D$28*0.001)*$B31),IF(D$27="mg/kg DM",(((D$28*0.001)*($B$28/100))*$B31),"0")))))))*2.291</f>
        <v>4.016867575</v>
      </c>
      <c r="E31" s="65">
        <f>(IF(E$27="%w/w SAR",((E$28*10)*$B31),IF(E$27="%w/w DM",(((E$28*10)*($B$28/100))*$B31),IF(E$27="kg/t SAR",(E$28*$B31),IF(E$27="kg/t DM",((E$28*($B$28/100))*$B31),IF(E$27="mg/kg SAR",((E$28*0.001)*$B31),IF(E$27="mg/kg DM",(((E$28*0.001)*($B$28/100))*$B31),"0")))))))*1.205</f>
        <v>1.4038250000000001</v>
      </c>
      <c r="F31" s="65">
        <f>(IF(F$27="%w/w SAR",((F$28*10)*$B31),IF(F$27="%w/w DM",(((F$28*10)*($B$28/100))*$B31),IF(F$27="kg/t SAR",(F$28*$B31),IF(F$27="kg/t DM",((F$28*($B$28/100))*$B31),IF(F$27="mg/kg SAR",((F$28*0.001)*$B31),IF(F$27="mg/kg DM",(((F$28*0.001)*($B$28/100))*$B31),"0")))))))*1.658</f>
        <v>3.5637466499999997</v>
      </c>
      <c r="G31" s="65">
        <f t="shared" ref="G31:P46" si="5">IF(G$27="%w/w SAR",((G$28*10)*$B31),IF(G$27="%w/w DM",(((G$28*10)*($B$28/100))*$B31),IF(G$27="kg/t SAR",(G$28*$B31),IF(G$27="kg/t DM",((G$28*($B$28/100))*$B31),IF(G$27="mg/kg SAR",((G$28*0.001)*$B31),IF(G$27="mg/kg DM",(((G$28*0.001)*($B$28/100))*$B31),0))))))</f>
        <v>2.9008500000000007E-2</v>
      </c>
      <c r="H31" s="65">
        <f t="shared" si="5"/>
        <v>0.97860000000000003</v>
      </c>
      <c r="I31" s="65">
        <f t="shared" si="5"/>
        <v>7.5725000000000015E-2</v>
      </c>
      <c r="J31" s="65">
        <f t="shared" si="5"/>
        <v>4.25225E-3</v>
      </c>
      <c r="K31" s="65">
        <f t="shared" si="5"/>
        <v>1.0019E-2</v>
      </c>
      <c r="L31" s="65">
        <f t="shared" si="5"/>
        <v>0.21669000000000005</v>
      </c>
      <c r="M31" s="65">
        <f t="shared" si="5"/>
        <v>1.7009E-2</v>
      </c>
      <c r="N31" s="65">
        <f t="shared" si="5"/>
        <v>21.669</v>
      </c>
      <c r="O31" s="65">
        <f t="shared" si="5"/>
        <v>2679.5</v>
      </c>
      <c r="P31" s="65">
        <f t="shared" si="5"/>
        <v>0</v>
      </c>
      <c r="Q31" s="65">
        <f>(IF(Q$27="%w/w SAR",((Q$28*10)*$B31),IF(Q$27="%w/w DM",(((Q$28*10)*($B$28/100))*$B31),IF(Q$27="kg/t SAR",(Q$28*$B31),IF(Q$27="kg/t DM",((Q$28*($B$28/100))*$B31),IF(Q$27="mg/kg SAR",((Q$28*0.001)*$B31),IF(Q$27="mg/kg DM",(((Q$28*0.001)*($B$28/100))*$B31),0)))))))*2.5</f>
        <v>60.871249999999996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7.6307500000000014E-2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250</v>
      </c>
      <c r="C32" s="65">
        <f t="shared" ref="C32:C50" si="6">IF(C$27="%w/w SAR",((C$28*10)*$B32),IF(C$27="%w/w DM",(((C$28*10)*($B$28/100))*$B32),IF(C$27="kg/t SAR",(C$28*$B32),IF(C$27="kg/t DM",((C$28*($B$28/100))*$B32),IF(C$27="mg/kg SAR",((C$28*0.001)*$B32),IF(C$27="mg/kg DM",(((C$28*0.001)*($B$28/100))*$B32),0))))))</f>
        <v>38.678000000000004</v>
      </c>
      <c r="D32" s="65">
        <f t="shared" ref="D32:D50" si="7">(IF(D$27="%w/w SAR",((D$28*10)*$B32),IF(D$27="%w/w DM",(((D$28*10)*($B$28/100))*$B32),IF(D$27="kg/t SAR",(D$28*$B32),IF(D$27="kg/t DM",((D$28*($B$28/100))*$B32),IF(D$27="mg/kg SAR",((D$28*0.001)*$B32),IF(D$27="mg/kg DM",(((D$28*0.001)*($B$28/100))*$B32),"0")))))))*2.291</f>
        <v>4.016867575</v>
      </c>
      <c r="E32" s="65">
        <f t="shared" ref="E32:E50" si="8">(IF(E$27="%w/w SAR",((E$28*10)*$B32),IF(E$27="%w/w DM",(((E$28*10)*($B$28/100))*$B32),IF(E$27="kg/t SAR",(E$28*$B32),IF(E$27="kg/t DM",((E$28*($B$28/100))*$B32),IF(E$27="mg/kg SAR",((E$28*0.001)*$B32),IF(E$27="mg/kg DM",(((E$28*0.001)*($B$28/100))*$B32),"0")))))))*1.205</f>
        <v>1.4038250000000001</v>
      </c>
      <c r="F32" s="65">
        <f t="shared" ref="F32:F50" si="9">(IF(F$27="%w/w SAR",((F$28*10)*$B32),IF(F$27="%w/w DM",(((F$28*10)*($B$28/100))*$B32),IF(F$27="kg/t SAR",(F$28*$B32),IF(F$27="kg/t DM",((F$28*($B$28/100))*$B32),IF(F$27="mg/kg SAR",((F$28*0.001)*$B32),IF(F$27="mg/kg DM",(((F$28*0.001)*($B$28/100))*$B32),"0")))))))*1.658</f>
        <v>3.5637466499999997</v>
      </c>
      <c r="G32" s="65">
        <f t="shared" si="5"/>
        <v>2.9008500000000007E-2</v>
      </c>
      <c r="H32" s="65">
        <f t="shared" si="5"/>
        <v>0.97860000000000003</v>
      </c>
      <c r="I32" s="65">
        <f t="shared" si="5"/>
        <v>7.5725000000000015E-2</v>
      </c>
      <c r="J32" s="65">
        <f t="shared" si="5"/>
        <v>4.25225E-3</v>
      </c>
      <c r="K32" s="65">
        <f t="shared" si="5"/>
        <v>1.0019E-2</v>
      </c>
      <c r="L32" s="65">
        <f t="shared" si="5"/>
        <v>0.21669000000000005</v>
      </c>
      <c r="M32" s="65">
        <f t="shared" si="5"/>
        <v>1.7009E-2</v>
      </c>
      <c r="N32" s="65">
        <f t="shared" si="5"/>
        <v>21.669</v>
      </c>
      <c r="O32" s="65">
        <f t="shared" si="5"/>
        <v>2679.5</v>
      </c>
      <c r="P32" s="65">
        <f t="shared" si="5"/>
        <v>0</v>
      </c>
      <c r="Q32" s="65">
        <f t="shared" ref="Q32:Q50" si="10">(IF(Q$27="%w/w SAR",((Q$28*10)*$B32),IF(Q$27="%w/w DM",(((Q$28*10)*($B$28/100))*$B32),IF(Q$27="kg/t SAR",(Q$28*$B32),IF(Q$27="kg/t DM",((Q$28*($B$28/100))*$B32),IF(Q$27="mg/kg SAR",((Q$28*0.001)*$B32),IF(Q$27="mg/kg DM",(((Q$28*0.001)*($B$28/100))*$B32),0)))))))*2.5</f>
        <v>60.871249999999996</v>
      </c>
      <c r="R32" s="65">
        <f t="shared" ref="R32:U50" si="11">IF(R$27="%w/w SAR",((R$28*10)*$B32),IF(R$27="%w/w DM",(((R$28*10)*($B$28/100))*$B32),IF(R$27="kg/t SAR",(R$28*$B32),IF(R$27="kg/t DM",((R$28*($B$28/100))*$B32),IF(R$27="mg/kg SAR",((R$28*0.001)*$B32),IF(R$27="mg/kg DM",(((R$28*0.001)*($B$28/100))*$B32),0))))))</f>
        <v>0</v>
      </c>
      <c r="S32" s="65">
        <f t="shared" si="11"/>
        <v>7.6307500000000014E-2</v>
      </c>
      <c r="T32" s="65">
        <f t="shared" si="11"/>
        <v>0</v>
      </c>
      <c r="U32" s="126">
        <f t="shared" si="11"/>
        <v>0</v>
      </c>
    </row>
    <row r="33" spans="1:21" s="48" customFormat="1" x14ac:dyDescent="0.25">
      <c r="A33" s="125">
        <f>E8</f>
        <v>3</v>
      </c>
      <c r="B33" s="11">
        <v>250</v>
      </c>
      <c r="C33" s="65">
        <f t="shared" si="6"/>
        <v>38.678000000000004</v>
      </c>
      <c r="D33" s="65">
        <f t="shared" si="7"/>
        <v>4.016867575</v>
      </c>
      <c r="E33" s="65">
        <f t="shared" si="8"/>
        <v>1.4038250000000001</v>
      </c>
      <c r="F33" s="65">
        <f t="shared" si="9"/>
        <v>3.5637466499999997</v>
      </c>
      <c r="G33" s="65">
        <f t="shared" si="5"/>
        <v>2.9008500000000007E-2</v>
      </c>
      <c r="H33" s="65">
        <f t="shared" si="5"/>
        <v>0.97860000000000003</v>
      </c>
      <c r="I33" s="65">
        <f t="shared" si="5"/>
        <v>7.5725000000000015E-2</v>
      </c>
      <c r="J33" s="65">
        <f t="shared" si="5"/>
        <v>4.25225E-3</v>
      </c>
      <c r="K33" s="65">
        <f t="shared" si="5"/>
        <v>1.0019E-2</v>
      </c>
      <c r="L33" s="65">
        <f t="shared" si="5"/>
        <v>0.21669000000000005</v>
      </c>
      <c r="M33" s="65">
        <f t="shared" si="5"/>
        <v>1.7009E-2</v>
      </c>
      <c r="N33" s="65">
        <f t="shared" si="5"/>
        <v>21.669</v>
      </c>
      <c r="O33" s="65">
        <f t="shared" si="5"/>
        <v>2679.5</v>
      </c>
      <c r="P33" s="65">
        <f t="shared" si="5"/>
        <v>0</v>
      </c>
      <c r="Q33" s="65">
        <f t="shared" si="10"/>
        <v>60.871249999999996</v>
      </c>
      <c r="R33" s="65">
        <f t="shared" si="11"/>
        <v>0</v>
      </c>
      <c r="S33" s="65">
        <f t="shared" si="11"/>
        <v>7.6307500000000014E-2</v>
      </c>
      <c r="T33" s="65">
        <f t="shared" si="11"/>
        <v>0</v>
      </c>
      <c r="U33" s="126">
        <f t="shared" si="11"/>
        <v>0</v>
      </c>
    </row>
    <row r="34" spans="1:21" s="48" customFormat="1" x14ac:dyDescent="0.25">
      <c r="A34" s="125">
        <f>F8</f>
        <v>5</v>
      </c>
      <c r="B34" s="11">
        <v>250</v>
      </c>
      <c r="C34" s="65">
        <f t="shared" si="6"/>
        <v>38.678000000000004</v>
      </c>
      <c r="D34" s="65">
        <f t="shared" si="7"/>
        <v>4.016867575</v>
      </c>
      <c r="E34" s="65">
        <f t="shared" si="8"/>
        <v>1.4038250000000001</v>
      </c>
      <c r="F34" s="65">
        <f t="shared" si="9"/>
        <v>3.5637466499999997</v>
      </c>
      <c r="G34" s="65">
        <f t="shared" si="5"/>
        <v>2.9008500000000007E-2</v>
      </c>
      <c r="H34" s="65">
        <f t="shared" si="5"/>
        <v>0.97860000000000003</v>
      </c>
      <c r="I34" s="65">
        <f t="shared" si="5"/>
        <v>7.5725000000000015E-2</v>
      </c>
      <c r="J34" s="65">
        <f t="shared" si="5"/>
        <v>4.25225E-3</v>
      </c>
      <c r="K34" s="65">
        <f t="shared" si="5"/>
        <v>1.0019E-2</v>
      </c>
      <c r="L34" s="65">
        <f t="shared" si="5"/>
        <v>0.21669000000000005</v>
      </c>
      <c r="M34" s="65">
        <f t="shared" si="5"/>
        <v>1.7009E-2</v>
      </c>
      <c r="N34" s="65">
        <f t="shared" si="5"/>
        <v>21.669</v>
      </c>
      <c r="O34" s="65">
        <f t="shared" si="5"/>
        <v>2679.5</v>
      </c>
      <c r="P34" s="65">
        <f t="shared" si="5"/>
        <v>0</v>
      </c>
      <c r="Q34" s="65">
        <f t="shared" si="10"/>
        <v>60.871249999999996</v>
      </c>
      <c r="R34" s="65">
        <f t="shared" si="11"/>
        <v>0</v>
      </c>
      <c r="S34" s="65">
        <f t="shared" si="11"/>
        <v>7.6307500000000014E-2</v>
      </c>
      <c r="T34" s="65">
        <f t="shared" si="11"/>
        <v>0</v>
      </c>
      <c r="U34" s="126">
        <f t="shared" si="11"/>
        <v>0</v>
      </c>
    </row>
    <row r="35" spans="1:21" s="48" customFormat="1" x14ac:dyDescent="0.25">
      <c r="A35" s="125">
        <f>G8</f>
        <v>7</v>
      </c>
      <c r="B35" s="11">
        <v>250</v>
      </c>
      <c r="C35" s="65">
        <f t="shared" si="6"/>
        <v>38.678000000000004</v>
      </c>
      <c r="D35" s="65">
        <f t="shared" si="7"/>
        <v>4.016867575</v>
      </c>
      <c r="E35" s="65">
        <f t="shared" si="8"/>
        <v>1.4038250000000001</v>
      </c>
      <c r="F35" s="65">
        <f t="shared" si="9"/>
        <v>3.5637466499999997</v>
      </c>
      <c r="G35" s="65">
        <f t="shared" si="5"/>
        <v>2.9008500000000007E-2</v>
      </c>
      <c r="H35" s="65">
        <f t="shared" si="5"/>
        <v>0.97860000000000003</v>
      </c>
      <c r="I35" s="65">
        <f t="shared" si="5"/>
        <v>7.5725000000000015E-2</v>
      </c>
      <c r="J35" s="65">
        <f t="shared" si="5"/>
        <v>4.25225E-3</v>
      </c>
      <c r="K35" s="65">
        <f t="shared" si="5"/>
        <v>1.0019E-2</v>
      </c>
      <c r="L35" s="65">
        <f t="shared" si="5"/>
        <v>0.21669000000000005</v>
      </c>
      <c r="M35" s="65">
        <f t="shared" si="5"/>
        <v>1.7009E-2</v>
      </c>
      <c r="N35" s="65">
        <f t="shared" si="5"/>
        <v>21.669</v>
      </c>
      <c r="O35" s="65">
        <f t="shared" si="5"/>
        <v>2679.5</v>
      </c>
      <c r="P35" s="65">
        <f t="shared" si="5"/>
        <v>0</v>
      </c>
      <c r="Q35" s="65">
        <f t="shared" si="10"/>
        <v>60.871249999999996</v>
      </c>
      <c r="R35" s="65">
        <f t="shared" si="11"/>
        <v>0</v>
      </c>
      <c r="S35" s="65">
        <f t="shared" si="11"/>
        <v>7.6307500000000014E-2</v>
      </c>
      <c r="T35" s="65">
        <f t="shared" si="11"/>
        <v>0</v>
      </c>
      <c r="U35" s="126">
        <f t="shared" si="11"/>
        <v>0</v>
      </c>
    </row>
    <row r="36" spans="1:21" s="48" customFormat="1" x14ac:dyDescent="0.25">
      <c r="A36" s="125">
        <f>H8</f>
        <v>11</v>
      </c>
      <c r="B36" s="11">
        <v>250</v>
      </c>
      <c r="C36" s="65">
        <f t="shared" si="6"/>
        <v>38.678000000000004</v>
      </c>
      <c r="D36" s="65">
        <f t="shared" si="7"/>
        <v>4.016867575</v>
      </c>
      <c r="E36" s="65">
        <f t="shared" si="8"/>
        <v>1.4038250000000001</v>
      </c>
      <c r="F36" s="65">
        <f t="shared" si="9"/>
        <v>3.5637466499999997</v>
      </c>
      <c r="G36" s="65">
        <f t="shared" si="5"/>
        <v>2.9008500000000007E-2</v>
      </c>
      <c r="H36" s="65">
        <f t="shared" si="5"/>
        <v>0.97860000000000003</v>
      </c>
      <c r="I36" s="65">
        <f t="shared" si="5"/>
        <v>7.5725000000000015E-2</v>
      </c>
      <c r="J36" s="65">
        <f t="shared" si="5"/>
        <v>4.25225E-3</v>
      </c>
      <c r="K36" s="65">
        <f t="shared" si="5"/>
        <v>1.0019E-2</v>
      </c>
      <c r="L36" s="65">
        <f t="shared" si="5"/>
        <v>0.21669000000000005</v>
      </c>
      <c r="M36" s="65">
        <f t="shared" si="5"/>
        <v>1.7009E-2</v>
      </c>
      <c r="N36" s="65">
        <f t="shared" si="5"/>
        <v>21.669</v>
      </c>
      <c r="O36" s="65">
        <f t="shared" si="5"/>
        <v>2679.5</v>
      </c>
      <c r="P36" s="65">
        <f t="shared" si="5"/>
        <v>0</v>
      </c>
      <c r="Q36" s="65">
        <f t="shared" si="10"/>
        <v>60.871249999999996</v>
      </c>
      <c r="R36" s="65">
        <f t="shared" si="11"/>
        <v>0</v>
      </c>
      <c r="S36" s="65">
        <f t="shared" si="11"/>
        <v>7.6307500000000014E-2</v>
      </c>
      <c r="T36" s="65">
        <f t="shared" si="11"/>
        <v>0</v>
      </c>
      <c r="U36" s="126">
        <f t="shared" si="11"/>
        <v>0</v>
      </c>
    </row>
    <row r="37" spans="1:21" s="48" customFormat="1" x14ac:dyDescent="0.25">
      <c r="A37" s="125">
        <f>I8</f>
        <v>12</v>
      </c>
      <c r="B37" s="11">
        <v>250</v>
      </c>
      <c r="C37" s="65">
        <f t="shared" si="6"/>
        <v>38.678000000000004</v>
      </c>
      <c r="D37" s="65">
        <f t="shared" si="7"/>
        <v>4.016867575</v>
      </c>
      <c r="E37" s="65">
        <f t="shared" si="8"/>
        <v>1.4038250000000001</v>
      </c>
      <c r="F37" s="65">
        <f t="shared" si="9"/>
        <v>3.5637466499999997</v>
      </c>
      <c r="G37" s="65">
        <f t="shared" si="5"/>
        <v>2.9008500000000007E-2</v>
      </c>
      <c r="H37" s="65">
        <f t="shared" si="5"/>
        <v>0.97860000000000003</v>
      </c>
      <c r="I37" s="65">
        <f t="shared" si="5"/>
        <v>7.5725000000000015E-2</v>
      </c>
      <c r="J37" s="65">
        <f t="shared" si="5"/>
        <v>4.25225E-3</v>
      </c>
      <c r="K37" s="65">
        <f t="shared" si="5"/>
        <v>1.0019E-2</v>
      </c>
      <c r="L37" s="65">
        <f t="shared" si="5"/>
        <v>0.21669000000000005</v>
      </c>
      <c r="M37" s="65">
        <f t="shared" si="5"/>
        <v>1.7009E-2</v>
      </c>
      <c r="N37" s="65">
        <f t="shared" si="5"/>
        <v>21.669</v>
      </c>
      <c r="O37" s="65">
        <f t="shared" si="5"/>
        <v>2679.5</v>
      </c>
      <c r="P37" s="65">
        <f t="shared" si="5"/>
        <v>0</v>
      </c>
      <c r="Q37" s="65">
        <f t="shared" si="10"/>
        <v>60.871249999999996</v>
      </c>
      <c r="R37" s="65">
        <f t="shared" si="11"/>
        <v>0</v>
      </c>
      <c r="S37" s="65">
        <f t="shared" si="11"/>
        <v>7.6307500000000014E-2</v>
      </c>
      <c r="T37" s="65">
        <f t="shared" si="11"/>
        <v>0</v>
      </c>
      <c r="U37" s="126">
        <f t="shared" si="11"/>
        <v>0</v>
      </c>
    </row>
    <row r="38" spans="1:21" s="48" customFormat="1" x14ac:dyDescent="0.25">
      <c r="A38" s="125">
        <f>J8</f>
        <v>13</v>
      </c>
      <c r="B38" s="11">
        <v>250</v>
      </c>
      <c r="C38" s="65">
        <f t="shared" si="6"/>
        <v>38.678000000000004</v>
      </c>
      <c r="D38" s="65">
        <f t="shared" si="7"/>
        <v>4.016867575</v>
      </c>
      <c r="E38" s="65">
        <f t="shared" si="8"/>
        <v>1.4038250000000001</v>
      </c>
      <c r="F38" s="65">
        <f t="shared" si="9"/>
        <v>3.5637466499999997</v>
      </c>
      <c r="G38" s="65">
        <f t="shared" si="5"/>
        <v>2.9008500000000007E-2</v>
      </c>
      <c r="H38" s="65">
        <f t="shared" si="5"/>
        <v>0.97860000000000003</v>
      </c>
      <c r="I38" s="65">
        <f t="shared" si="5"/>
        <v>7.5725000000000015E-2</v>
      </c>
      <c r="J38" s="65">
        <f t="shared" si="5"/>
        <v>4.25225E-3</v>
      </c>
      <c r="K38" s="65">
        <f t="shared" si="5"/>
        <v>1.0019E-2</v>
      </c>
      <c r="L38" s="65">
        <f t="shared" si="5"/>
        <v>0.21669000000000005</v>
      </c>
      <c r="M38" s="65">
        <f t="shared" si="5"/>
        <v>1.7009E-2</v>
      </c>
      <c r="N38" s="65">
        <f t="shared" si="5"/>
        <v>21.669</v>
      </c>
      <c r="O38" s="65">
        <f t="shared" si="5"/>
        <v>2679.5</v>
      </c>
      <c r="P38" s="65">
        <f t="shared" si="5"/>
        <v>0</v>
      </c>
      <c r="Q38" s="65">
        <f t="shared" si="10"/>
        <v>60.871249999999996</v>
      </c>
      <c r="R38" s="65">
        <f t="shared" si="11"/>
        <v>0</v>
      </c>
      <c r="S38" s="65">
        <f t="shared" si="11"/>
        <v>7.6307500000000014E-2</v>
      </c>
      <c r="T38" s="65">
        <f t="shared" si="11"/>
        <v>0</v>
      </c>
      <c r="U38" s="126">
        <f t="shared" si="11"/>
        <v>0</v>
      </c>
    </row>
    <row r="39" spans="1:21" s="48" customFormat="1" x14ac:dyDescent="0.25">
      <c r="A39" s="125">
        <f>K8</f>
        <v>14</v>
      </c>
      <c r="B39" s="11">
        <v>250</v>
      </c>
      <c r="C39" s="65">
        <f t="shared" si="6"/>
        <v>38.678000000000004</v>
      </c>
      <c r="D39" s="65">
        <f t="shared" si="7"/>
        <v>4.016867575</v>
      </c>
      <c r="E39" s="65">
        <f t="shared" si="8"/>
        <v>1.4038250000000001</v>
      </c>
      <c r="F39" s="65">
        <f t="shared" si="9"/>
        <v>3.5637466499999997</v>
      </c>
      <c r="G39" s="65">
        <f t="shared" si="5"/>
        <v>2.9008500000000007E-2</v>
      </c>
      <c r="H39" s="65">
        <f t="shared" si="5"/>
        <v>0.97860000000000003</v>
      </c>
      <c r="I39" s="65">
        <f t="shared" si="5"/>
        <v>7.5725000000000015E-2</v>
      </c>
      <c r="J39" s="65">
        <f t="shared" si="5"/>
        <v>4.25225E-3</v>
      </c>
      <c r="K39" s="65">
        <f t="shared" si="5"/>
        <v>1.0019E-2</v>
      </c>
      <c r="L39" s="65">
        <f t="shared" si="5"/>
        <v>0.21669000000000005</v>
      </c>
      <c r="M39" s="65">
        <f t="shared" si="5"/>
        <v>1.7009E-2</v>
      </c>
      <c r="N39" s="65">
        <f t="shared" si="5"/>
        <v>21.669</v>
      </c>
      <c r="O39" s="65">
        <f t="shared" si="5"/>
        <v>2679.5</v>
      </c>
      <c r="P39" s="65">
        <f t="shared" si="5"/>
        <v>0</v>
      </c>
      <c r="Q39" s="65">
        <f t="shared" si="10"/>
        <v>60.871249999999996</v>
      </c>
      <c r="R39" s="65">
        <f t="shared" si="11"/>
        <v>0</v>
      </c>
      <c r="S39" s="65">
        <f t="shared" si="11"/>
        <v>7.6307500000000014E-2</v>
      </c>
      <c r="T39" s="65">
        <f t="shared" si="11"/>
        <v>0</v>
      </c>
      <c r="U39" s="126">
        <f t="shared" si="11"/>
        <v>0</v>
      </c>
    </row>
    <row r="40" spans="1:21" s="48" customFormat="1" x14ac:dyDescent="0.25">
      <c r="A40" s="125">
        <f>L8</f>
        <v>15</v>
      </c>
      <c r="B40" s="11">
        <v>250</v>
      </c>
      <c r="C40" s="65">
        <f t="shared" si="6"/>
        <v>38.678000000000004</v>
      </c>
      <c r="D40" s="65">
        <f t="shared" si="7"/>
        <v>4.016867575</v>
      </c>
      <c r="E40" s="65">
        <f t="shared" si="8"/>
        <v>1.4038250000000001</v>
      </c>
      <c r="F40" s="65">
        <f t="shared" si="9"/>
        <v>3.5637466499999997</v>
      </c>
      <c r="G40" s="65">
        <f t="shared" si="5"/>
        <v>2.9008500000000007E-2</v>
      </c>
      <c r="H40" s="65">
        <f t="shared" si="5"/>
        <v>0.97860000000000003</v>
      </c>
      <c r="I40" s="65">
        <f t="shared" si="5"/>
        <v>7.5725000000000015E-2</v>
      </c>
      <c r="J40" s="65">
        <f t="shared" si="5"/>
        <v>4.25225E-3</v>
      </c>
      <c r="K40" s="65">
        <f t="shared" si="5"/>
        <v>1.0019E-2</v>
      </c>
      <c r="L40" s="65">
        <f t="shared" si="5"/>
        <v>0.21669000000000005</v>
      </c>
      <c r="M40" s="65">
        <f t="shared" si="5"/>
        <v>1.7009E-2</v>
      </c>
      <c r="N40" s="65">
        <f t="shared" si="5"/>
        <v>21.669</v>
      </c>
      <c r="O40" s="65">
        <f t="shared" si="5"/>
        <v>2679.5</v>
      </c>
      <c r="P40" s="65">
        <f t="shared" si="5"/>
        <v>0</v>
      </c>
      <c r="Q40" s="65">
        <f t="shared" si="10"/>
        <v>60.871249999999996</v>
      </c>
      <c r="R40" s="65">
        <f t="shared" si="11"/>
        <v>0</v>
      </c>
      <c r="S40" s="65">
        <f t="shared" si="11"/>
        <v>7.6307500000000014E-2</v>
      </c>
      <c r="T40" s="65">
        <f t="shared" si="11"/>
        <v>0</v>
      </c>
      <c r="U40" s="126">
        <f t="shared" si="11"/>
        <v>0</v>
      </c>
    </row>
    <row r="41" spans="1:21" s="48" customFormat="1" x14ac:dyDescent="0.25">
      <c r="A41" s="125">
        <f>M8</f>
        <v>17</v>
      </c>
      <c r="B41" s="11">
        <v>250</v>
      </c>
      <c r="C41" s="65">
        <f t="shared" si="6"/>
        <v>38.678000000000004</v>
      </c>
      <c r="D41" s="65">
        <f t="shared" si="7"/>
        <v>4.016867575</v>
      </c>
      <c r="E41" s="65">
        <f t="shared" si="8"/>
        <v>1.4038250000000001</v>
      </c>
      <c r="F41" s="65">
        <f t="shared" si="9"/>
        <v>3.5637466499999997</v>
      </c>
      <c r="G41" s="65">
        <f t="shared" si="5"/>
        <v>2.9008500000000007E-2</v>
      </c>
      <c r="H41" s="65">
        <f t="shared" si="5"/>
        <v>0.97860000000000003</v>
      </c>
      <c r="I41" s="65">
        <f t="shared" si="5"/>
        <v>7.5725000000000015E-2</v>
      </c>
      <c r="J41" s="65">
        <f t="shared" si="5"/>
        <v>4.25225E-3</v>
      </c>
      <c r="K41" s="65">
        <f t="shared" si="5"/>
        <v>1.0019E-2</v>
      </c>
      <c r="L41" s="65">
        <f t="shared" si="5"/>
        <v>0.21669000000000005</v>
      </c>
      <c r="M41" s="65">
        <f t="shared" si="5"/>
        <v>1.7009E-2</v>
      </c>
      <c r="N41" s="65">
        <f t="shared" si="5"/>
        <v>21.669</v>
      </c>
      <c r="O41" s="65">
        <f t="shared" si="5"/>
        <v>2679.5</v>
      </c>
      <c r="P41" s="65">
        <f t="shared" si="5"/>
        <v>0</v>
      </c>
      <c r="Q41" s="65">
        <f t="shared" si="10"/>
        <v>60.871249999999996</v>
      </c>
      <c r="R41" s="65">
        <f t="shared" si="11"/>
        <v>0</v>
      </c>
      <c r="S41" s="65">
        <f t="shared" si="11"/>
        <v>7.6307500000000014E-2</v>
      </c>
      <c r="T41" s="65">
        <f t="shared" si="11"/>
        <v>0</v>
      </c>
      <c r="U41" s="126">
        <f t="shared" si="11"/>
        <v>0</v>
      </c>
    </row>
    <row r="42" spans="1:21" s="48" customFormat="1" x14ac:dyDescent="0.25">
      <c r="A42" s="125">
        <f>N8</f>
        <v>18</v>
      </c>
      <c r="B42" s="11">
        <v>250</v>
      </c>
      <c r="C42" s="65">
        <f t="shared" si="6"/>
        <v>38.678000000000004</v>
      </c>
      <c r="D42" s="65">
        <f t="shared" si="7"/>
        <v>4.016867575</v>
      </c>
      <c r="E42" s="65">
        <f t="shared" si="8"/>
        <v>1.4038250000000001</v>
      </c>
      <c r="F42" s="65">
        <f t="shared" si="9"/>
        <v>3.5637466499999997</v>
      </c>
      <c r="G42" s="65">
        <f t="shared" si="5"/>
        <v>2.9008500000000007E-2</v>
      </c>
      <c r="H42" s="65">
        <f t="shared" si="5"/>
        <v>0.97860000000000003</v>
      </c>
      <c r="I42" s="65">
        <f t="shared" si="5"/>
        <v>7.5725000000000015E-2</v>
      </c>
      <c r="J42" s="65">
        <f t="shared" si="5"/>
        <v>4.25225E-3</v>
      </c>
      <c r="K42" s="65">
        <f t="shared" si="5"/>
        <v>1.0019E-2</v>
      </c>
      <c r="L42" s="65">
        <f t="shared" si="5"/>
        <v>0.21669000000000005</v>
      </c>
      <c r="M42" s="65">
        <f t="shared" si="5"/>
        <v>1.7009E-2</v>
      </c>
      <c r="N42" s="65">
        <f t="shared" si="5"/>
        <v>21.669</v>
      </c>
      <c r="O42" s="65">
        <f t="shared" si="5"/>
        <v>2679.5</v>
      </c>
      <c r="P42" s="65">
        <f t="shared" si="5"/>
        <v>0</v>
      </c>
      <c r="Q42" s="65">
        <f t="shared" si="10"/>
        <v>60.871249999999996</v>
      </c>
      <c r="R42" s="65">
        <f t="shared" si="11"/>
        <v>0</v>
      </c>
      <c r="S42" s="65">
        <f t="shared" si="11"/>
        <v>7.6307500000000014E-2</v>
      </c>
      <c r="T42" s="65">
        <f t="shared" si="11"/>
        <v>0</v>
      </c>
      <c r="U42" s="126">
        <f t="shared" si="11"/>
        <v>0</v>
      </c>
    </row>
    <row r="43" spans="1:21" s="48" customFormat="1" x14ac:dyDescent="0.25">
      <c r="A43" s="125">
        <f>O8</f>
        <v>19</v>
      </c>
      <c r="B43" s="11">
        <v>250</v>
      </c>
      <c r="C43" s="65">
        <f t="shared" si="6"/>
        <v>38.678000000000004</v>
      </c>
      <c r="D43" s="65">
        <f t="shared" si="7"/>
        <v>4.016867575</v>
      </c>
      <c r="E43" s="65">
        <f t="shared" si="8"/>
        <v>1.4038250000000001</v>
      </c>
      <c r="F43" s="65">
        <f t="shared" si="9"/>
        <v>3.5637466499999997</v>
      </c>
      <c r="G43" s="65">
        <f t="shared" si="5"/>
        <v>2.9008500000000007E-2</v>
      </c>
      <c r="H43" s="65">
        <f t="shared" si="5"/>
        <v>0.97860000000000003</v>
      </c>
      <c r="I43" s="65">
        <f t="shared" si="5"/>
        <v>7.5725000000000015E-2</v>
      </c>
      <c r="J43" s="65">
        <f t="shared" si="5"/>
        <v>4.25225E-3</v>
      </c>
      <c r="K43" s="65">
        <f t="shared" si="5"/>
        <v>1.0019E-2</v>
      </c>
      <c r="L43" s="65">
        <f t="shared" si="5"/>
        <v>0.21669000000000005</v>
      </c>
      <c r="M43" s="65">
        <f t="shared" si="5"/>
        <v>1.7009E-2</v>
      </c>
      <c r="N43" s="65">
        <f t="shared" si="5"/>
        <v>21.669</v>
      </c>
      <c r="O43" s="65">
        <f t="shared" si="5"/>
        <v>2679.5</v>
      </c>
      <c r="P43" s="65">
        <f t="shared" si="5"/>
        <v>0</v>
      </c>
      <c r="Q43" s="65">
        <f t="shared" si="10"/>
        <v>60.871249999999996</v>
      </c>
      <c r="R43" s="65">
        <f t="shared" si="11"/>
        <v>0</v>
      </c>
      <c r="S43" s="65">
        <f t="shared" si="11"/>
        <v>7.6307500000000014E-2</v>
      </c>
      <c r="T43" s="65">
        <f t="shared" si="11"/>
        <v>0</v>
      </c>
      <c r="U43" s="126">
        <f t="shared" si="11"/>
        <v>0</v>
      </c>
    </row>
    <row r="44" spans="1:21" s="48" customFormat="1" x14ac:dyDescent="0.25">
      <c r="A44" s="125">
        <f>P8</f>
        <v>20</v>
      </c>
      <c r="B44" s="11">
        <v>250</v>
      </c>
      <c r="C44" s="65">
        <f t="shared" si="6"/>
        <v>38.678000000000004</v>
      </c>
      <c r="D44" s="65">
        <f t="shared" si="7"/>
        <v>4.016867575</v>
      </c>
      <c r="E44" s="65">
        <f t="shared" si="8"/>
        <v>1.4038250000000001</v>
      </c>
      <c r="F44" s="65">
        <f t="shared" si="9"/>
        <v>3.5637466499999997</v>
      </c>
      <c r="G44" s="65">
        <f t="shared" si="5"/>
        <v>2.9008500000000007E-2</v>
      </c>
      <c r="H44" s="65">
        <f t="shared" si="5"/>
        <v>0.97860000000000003</v>
      </c>
      <c r="I44" s="65">
        <f t="shared" si="5"/>
        <v>7.5725000000000015E-2</v>
      </c>
      <c r="J44" s="65">
        <f t="shared" si="5"/>
        <v>4.25225E-3</v>
      </c>
      <c r="K44" s="65">
        <f t="shared" si="5"/>
        <v>1.0019E-2</v>
      </c>
      <c r="L44" s="65">
        <f t="shared" si="5"/>
        <v>0.21669000000000005</v>
      </c>
      <c r="M44" s="65">
        <f t="shared" si="5"/>
        <v>1.7009E-2</v>
      </c>
      <c r="N44" s="65">
        <f t="shared" si="5"/>
        <v>21.669</v>
      </c>
      <c r="O44" s="65">
        <f t="shared" si="5"/>
        <v>2679.5</v>
      </c>
      <c r="P44" s="65">
        <f t="shared" si="5"/>
        <v>0</v>
      </c>
      <c r="Q44" s="65">
        <f t="shared" si="10"/>
        <v>60.871249999999996</v>
      </c>
      <c r="R44" s="65">
        <f t="shared" si="11"/>
        <v>0</v>
      </c>
      <c r="S44" s="65">
        <f t="shared" si="11"/>
        <v>7.6307500000000014E-2</v>
      </c>
      <c r="T44" s="65">
        <f t="shared" si="11"/>
        <v>0</v>
      </c>
      <c r="U44" s="126">
        <f t="shared" si="11"/>
        <v>0</v>
      </c>
    </row>
    <row r="45" spans="1:21" s="48" customFormat="1" x14ac:dyDescent="0.25">
      <c r="A45" s="125">
        <f>Q8</f>
        <v>21</v>
      </c>
      <c r="B45" s="11">
        <v>250</v>
      </c>
      <c r="C45" s="65">
        <f t="shared" si="6"/>
        <v>38.678000000000004</v>
      </c>
      <c r="D45" s="65">
        <f t="shared" si="7"/>
        <v>4.016867575</v>
      </c>
      <c r="E45" s="65">
        <f t="shared" si="8"/>
        <v>1.4038250000000001</v>
      </c>
      <c r="F45" s="65">
        <f t="shared" si="9"/>
        <v>3.5637466499999997</v>
      </c>
      <c r="G45" s="65">
        <f t="shared" si="5"/>
        <v>2.9008500000000007E-2</v>
      </c>
      <c r="H45" s="65">
        <f t="shared" si="5"/>
        <v>0.97860000000000003</v>
      </c>
      <c r="I45" s="65">
        <f t="shared" si="5"/>
        <v>7.5725000000000015E-2</v>
      </c>
      <c r="J45" s="65">
        <f t="shared" si="5"/>
        <v>4.25225E-3</v>
      </c>
      <c r="K45" s="65">
        <f t="shared" si="5"/>
        <v>1.0019E-2</v>
      </c>
      <c r="L45" s="65">
        <f t="shared" si="5"/>
        <v>0.21669000000000005</v>
      </c>
      <c r="M45" s="65">
        <f t="shared" si="5"/>
        <v>1.7009E-2</v>
      </c>
      <c r="N45" s="65">
        <f t="shared" si="5"/>
        <v>21.669</v>
      </c>
      <c r="O45" s="65">
        <f t="shared" si="5"/>
        <v>2679.5</v>
      </c>
      <c r="P45" s="65">
        <f t="shared" si="5"/>
        <v>0</v>
      </c>
      <c r="Q45" s="65">
        <f t="shared" si="10"/>
        <v>60.871249999999996</v>
      </c>
      <c r="R45" s="65">
        <f t="shared" si="11"/>
        <v>0</v>
      </c>
      <c r="S45" s="65">
        <f t="shared" si="11"/>
        <v>7.6307500000000014E-2</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x14ac:dyDescent="0.2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str">
        <f>Q16&amp;" I "&amp;(VLOOKUP(Q14,Table245[],6,FALSE))</f>
        <v>Medium/Clay I Grass</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f>VLOOKUP(Q$14,Table245[],5,FALSE)</f>
        <v>6.2</v>
      </c>
      <c r="Q59" s="64" t="e">
        <f>VLOOKUP(R$14,Table245[],5,FALSE)</f>
        <v>#N/A</v>
      </c>
      <c r="R59" s="64" t="e">
        <f>VLOOKUP(S$14,Table245[],5,FALSE)</f>
        <v>#N/A</v>
      </c>
      <c r="S59" s="64" t="e">
        <f>VLOOKUP(T$14,Table245[],5,FALSE)</f>
        <v>#N/A</v>
      </c>
      <c r="T59" s="64" t="e">
        <f>VLOOKUP(U$14,Table245[],5,FALSE)</f>
        <v>#N/A</v>
      </c>
      <c r="U59" s="64" t="e">
        <f>VLOOKUP(V$14,Table245[],5,FALSE)</f>
        <v>#N/A</v>
      </c>
    </row>
    <row r="60" spans="1:21" x14ac:dyDescent="0.2">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1" x14ac:dyDescent="0.2">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19" sqref="A19:B1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Bala!C1:D1</f>
        <v>PAN-030515</v>
      </c>
      <c r="D1" s="173"/>
      <c r="E1" s="106" t="s">
        <v>45</v>
      </c>
      <c r="F1" s="113">
        <f>Bala!F1</f>
        <v>50</v>
      </c>
      <c r="G1" s="162" t="s">
        <v>43</v>
      </c>
      <c r="H1" s="163"/>
      <c r="I1" s="109">
        <v>6.7</v>
      </c>
      <c r="J1" s="130" t="s">
        <v>153</v>
      </c>
      <c r="K1" s="131"/>
      <c r="L1" s="109">
        <v>182</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Bala!C2:D2</f>
        <v>EPR/GP3792SK</v>
      </c>
      <c r="D2" s="169"/>
      <c r="E2" s="96" t="s">
        <v>109</v>
      </c>
      <c r="F2" s="110" t="s">
        <v>165</v>
      </c>
      <c r="G2" s="164" t="s">
        <v>110</v>
      </c>
      <c r="H2" s="165"/>
      <c r="I2" s="110"/>
      <c r="J2" s="132" t="s">
        <v>158</v>
      </c>
      <c r="K2" s="133"/>
      <c r="L2" s="110">
        <v>0.93400000000000005</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Bala!C3:D3</f>
        <v>ByProduct Recovery Ltd</v>
      </c>
      <c r="D3" s="169"/>
      <c r="E3" s="96" t="s">
        <v>108</v>
      </c>
      <c r="F3" s="111" t="s">
        <v>78</v>
      </c>
      <c r="G3" s="132" t="s">
        <v>159</v>
      </c>
      <c r="H3" s="133"/>
      <c r="I3" s="110"/>
      <c r="J3" s="134" t="s">
        <v>154</v>
      </c>
      <c r="K3" s="135"/>
      <c r="L3" s="110">
        <f>(L1/(L2*10000))*100</f>
        <v>1.9486081370449679</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Bala!C4:D4</f>
        <v>Henllys, Llanfair TH, Abergele, Conwys, LL22 8TF</v>
      </c>
      <c r="D4" s="171"/>
      <c r="E4" s="99" t="s">
        <v>1</v>
      </c>
      <c r="F4" s="110" t="s">
        <v>168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Bala!C5:D5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f>Bala!C8</f>
        <v>1</v>
      </c>
      <c r="D8" s="49">
        <f>Bala!D8</f>
        <v>2</v>
      </c>
      <c r="E8" s="49">
        <f>Bala!E8</f>
        <v>3</v>
      </c>
      <c r="F8" s="49">
        <f>Bala!F8</f>
        <v>5</v>
      </c>
      <c r="G8" s="49">
        <f>Bala!G8</f>
        <v>7</v>
      </c>
      <c r="H8" s="49">
        <f>Bala!H8</f>
        <v>11</v>
      </c>
      <c r="I8" s="49">
        <f>Bala!I8</f>
        <v>12</v>
      </c>
      <c r="J8" s="49">
        <f>Bala!J8</f>
        <v>13</v>
      </c>
      <c r="K8" s="49">
        <f>Bala!K8</f>
        <v>14</v>
      </c>
      <c r="L8" s="49">
        <f>Bala!L8</f>
        <v>15</v>
      </c>
      <c r="M8" s="49">
        <f>Bala!M8</f>
        <v>17</v>
      </c>
      <c r="N8" s="49">
        <f>Bala!N8</f>
        <v>18</v>
      </c>
      <c r="O8" s="49">
        <f>Bala!O8</f>
        <v>19</v>
      </c>
      <c r="P8" s="49">
        <f>Bala!P8</f>
        <v>20</v>
      </c>
      <c r="Q8" s="49">
        <f>Bala!Q8</f>
        <v>21</v>
      </c>
      <c r="R8" s="49">
        <f>Bala!R8</f>
        <v>0</v>
      </c>
      <c r="S8" s="49">
        <f>Bala!S8</f>
        <v>0</v>
      </c>
      <c r="T8" s="49">
        <f>Bala!T8</f>
        <v>0</v>
      </c>
      <c r="U8" s="49">
        <f>Bala!U8</f>
        <v>0</v>
      </c>
      <c r="V8" s="102">
        <f>Bala!V8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f>Bala!C9</f>
        <v>0</v>
      </c>
      <c r="D9" s="49">
        <f>Bala!D9</f>
        <v>0</v>
      </c>
      <c r="E9" s="49">
        <f>Bala!E9</f>
        <v>0</v>
      </c>
      <c r="F9" s="49">
        <f>Bala!F9</f>
        <v>0</v>
      </c>
      <c r="G9" s="49">
        <f>Bala!G9</f>
        <v>0</v>
      </c>
      <c r="H9" s="49">
        <f>Bala!H9</f>
        <v>0</v>
      </c>
      <c r="I9" s="49">
        <f>Bala!I9</f>
        <v>0</v>
      </c>
      <c r="J9" s="49">
        <f>Bala!J9</f>
        <v>0</v>
      </c>
      <c r="K9" s="49">
        <f>Bala!K9</f>
        <v>0</v>
      </c>
      <c r="L9" s="49">
        <f>Bala!L9</f>
        <v>0</v>
      </c>
      <c r="M9" s="49">
        <f>Bala!M9</f>
        <v>0</v>
      </c>
      <c r="N9" s="49">
        <f>Bala!N9</f>
        <v>0</v>
      </c>
      <c r="O9" s="49">
        <f>Bala!O9</f>
        <v>0</v>
      </c>
      <c r="P9" s="49">
        <f>Bala!P9</f>
        <v>0</v>
      </c>
      <c r="Q9" s="49">
        <f>Bala!Q9</f>
        <v>0</v>
      </c>
      <c r="R9" s="49">
        <f>Bala!R9</f>
        <v>0</v>
      </c>
      <c r="S9" s="49">
        <f>Bala!S9</f>
        <v>0</v>
      </c>
      <c r="T9" s="49">
        <f>Bala!T9</f>
        <v>0</v>
      </c>
      <c r="U9" s="49">
        <f>Bala!U9</f>
        <v>0</v>
      </c>
      <c r="V9" s="102">
        <f>Bala!V9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Bala!C10</f>
        <v>6.2</v>
      </c>
      <c r="D10" s="49">
        <f>Bala!D10</f>
        <v>6.4</v>
      </c>
      <c r="E10" s="49">
        <f>Bala!E10</f>
        <v>5.6</v>
      </c>
      <c r="F10" s="49">
        <f>Bala!F10</f>
        <v>5.5</v>
      </c>
      <c r="G10" s="49">
        <f>Bala!G10</f>
        <v>6.3</v>
      </c>
      <c r="H10" s="49">
        <f>Bala!H10</f>
        <v>5.5</v>
      </c>
      <c r="I10" s="49">
        <f>Bala!I10</f>
        <v>5.6</v>
      </c>
      <c r="J10" s="49">
        <f>Bala!J10</f>
        <v>6.4</v>
      </c>
      <c r="K10" s="49">
        <f>Bala!K10</f>
        <v>6.3</v>
      </c>
      <c r="L10" s="49">
        <f>Bala!L10</f>
        <v>5.7</v>
      </c>
      <c r="M10" s="49">
        <f>Bala!M10</f>
        <v>5.9</v>
      </c>
      <c r="N10" s="49">
        <f>Bala!N10</f>
        <v>6</v>
      </c>
      <c r="O10" s="49">
        <f>Bala!O10</f>
        <v>6.2</v>
      </c>
      <c r="P10" s="49">
        <f>Bala!P10</f>
        <v>5.8</v>
      </c>
      <c r="Q10" s="49">
        <f>Bala!Q10</f>
        <v>5.9</v>
      </c>
      <c r="R10" s="49">
        <f>Bala!R10</f>
        <v>0</v>
      </c>
      <c r="S10" s="49">
        <f>Bala!S10</f>
        <v>0</v>
      </c>
      <c r="T10" s="49">
        <f>Bala!T10</f>
        <v>0</v>
      </c>
      <c r="U10" s="49">
        <f>Bala!U10</f>
        <v>0</v>
      </c>
      <c r="V10" s="102">
        <f>Bala!V10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Bala!C11</f>
        <v>2</v>
      </c>
      <c r="D11" s="49">
        <f>Bala!D11</f>
        <v>1</v>
      </c>
      <c r="E11" s="49">
        <f>Bala!E11</f>
        <v>2</v>
      </c>
      <c r="F11" s="49">
        <f>Bala!F11</f>
        <v>1</v>
      </c>
      <c r="G11" s="49">
        <f>Bala!G11</f>
        <v>0</v>
      </c>
      <c r="H11" s="49">
        <f>Bala!H11</f>
        <v>2</v>
      </c>
      <c r="I11" s="49">
        <f>Bala!I11</f>
        <v>2</v>
      </c>
      <c r="J11" s="49">
        <f>Bala!J11</f>
        <v>2</v>
      </c>
      <c r="K11" s="49">
        <f>Bala!K11</f>
        <v>2</v>
      </c>
      <c r="L11" s="49">
        <f>Bala!L11</f>
        <v>1</v>
      </c>
      <c r="M11" s="49">
        <f>Bala!M11</f>
        <v>2</v>
      </c>
      <c r="N11" s="49">
        <f>Bala!N11</f>
        <v>2</v>
      </c>
      <c r="O11" s="49">
        <f>Bala!O11</f>
        <v>1</v>
      </c>
      <c r="P11" s="49">
        <f>Bala!P11</f>
        <v>1</v>
      </c>
      <c r="Q11" s="49">
        <f>Bala!Q11</f>
        <v>1</v>
      </c>
      <c r="R11" s="49">
        <f>Bala!R11</f>
        <v>0</v>
      </c>
      <c r="S11" s="49">
        <f>Bala!S11</f>
        <v>0</v>
      </c>
      <c r="T11" s="49">
        <f>Bala!T11</f>
        <v>0</v>
      </c>
      <c r="U11" s="49">
        <f>Bala!U11</f>
        <v>0</v>
      </c>
      <c r="V11" s="102">
        <f>Bala!V11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Bala!C12</f>
        <v>0</v>
      </c>
      <c r="D12" s="49">
        <f>Bala!D12</f>
        <v>1</v>
      </c>
      <c r="E12" s="49">
        <f>Bala!E12</f>
        <v>2</v>
      </c>
      <c r="F12" s="49">
        <f>Bala!F12</f>
        <v>1</v>
      </c>
      <c r="G12" s="49">
        <f>Bala!G12</f>
        <v>1</v>
      </c>
      <c r="H12" s="49">
        <f>Bala!H12</f>
        <v>1</v>
      </c>
      <c r="I12" s="49">
        <f>Bala!I12</f>
        <v>2</v>
      </c>
      <c r="J12" s="49">
        <f>Bala!J12</f>
        <v>2</v>
      </c>
      <c r="K12" s="49">
        <f>Bala!K12</f>
        <v>1</v>
      </c>
      <c r="L12" s="49">
        <f>Bala!L12</f>
        <v>1</v>
      </c>
      <c r="M12" s="49">
        <f>Bala!M12</f>
        <v>2</v>
      </c>
      <c r="N12" s="49">
        <f>Bala!N12</f>
        <v>2</v>
      </c>
      <c r="O12" s="49">
        <f>Bala!O12</f>
        <v>1</v>
      </c>
      <c r="P12" s="49">
        <f>Bala!P12</f>
        <v>1</v>
      </c>
      <c r="Q12" s="49">
        <f>Bala!Q12</f>
        <v>1</v>
      </c>
      <c r="R12" s="49">
        <f>Bala!R12</f>
        <v>0</v>
      </c>
      <c r="S12" s="49">
        <f>Bala!S12</f>
        <v>0</v>
      </c>
      <c r="T12" s="49">
        <f>Bala!T12</f>
        <v>0</v>
      </c>
      <c r="U12" s="49">
        <f>Bala!U12</f>
        <v>0</v>
      </c>
      <c r="V12" s="102">
        <f>Bala!V12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Bala!C13</f>
        <v>2</v>
      </c>
      <c r="D13" s="49">
        <f>Bala!D13</f>
        <v>3</v>
      </c>
      <c r="E13" s="49">
        <f>Bala!E13</f>
        <v>2</v>
      </c>
      <c r="F13" s="49">
        <f>Bala!F13</f>
        <v>2</v>
      </c>
      <c r="G13" s="49">
        <f>Bala!G13</f>
        <v>2</v>
      </c>
      <c r="H13" s="49">
        <f>Bala!H13</f>
        <v>2</v>
      </c>
      <c r="I13" s="49">
        <f>Bala!I13</f>
        <v>2</v>
      </c>
      <c r="J13" s="49">
        <f>Bala!J13</f>
        <v>2</v>
      </c>
      <c r="K13" s="49">
        <f>Bala!K13</f>
        <v>2</v>
      </c>
      <c r="L13" s="49">
        <f>Bala!L13</f>
        <v>2</v>
      </c>
      <c r="M13" s="49">
        <f>Bala!M13</f>
        <v>2</v>
      </c>
      <c r="N13" s="49">
        <f>Bala!N13</f>
        <v>2</v>
      </c>
      <c r="O13" s="49">
        <f>Bala!O13</f>
        <v>2</v>
      </c>
      <c r="P13" s="49">
        <f>Bala!P13</f>
        <v>2</v>
      </c>
      <c r="Q13" s="49">
        <f>Bala!Q13</f>
        <v>2</v>
      </c>
      <c r="R13" s="49">
        <f>Bala!R13</f>
        <v>0</v>
      </c>
      <c r="S13" s="49">
        <f>Bala!S13</f>
        <v>0</v>
      </c>
      <c r="T13" s="49">
        <f>Bala!T13</f>
        <v>0</v>
      </c>
      <c r="U13" s="49">
        <f>Bala!U13</f>
        <v>0</v>
      </c>
      <c r="V13" s="102">
        <f>Bala!V13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Bala!C14</f>
        <v xml:space="preserve">Grass Silage (25% DM) </v>
      </c>
      <c r="D14" s="83" t="str">
        <f>Bala!D14</f>
        <v xml:space="preserve">Grass Silage (25% DM) </v>
      </c>
      <c r="E14" s="83" t="str">
        <f>Bala!E14</f>
        <v xml:space="preserve">Grass Silage (25% DM) </v>
      </c>
      <c r="F14" s="83" t="str">
        <f>Bala!F14</f>
        <v xml:space="preserve">Grass Silage (25% DM) </v>
      </c>
      <c r="G14" s="83" t="str">
        <f>Bala!G14</f>
        <v xml:space="preserve">Grass Silage (25% DM) </v>
      </c>
      <c r="H14" s="83" t="str">
        <f>Bala!H14</f>
        <v xml:space="preserve">Grass Silage (25% DM) </v>
      </c>
      <c r="I14" s="83" t="str">
        <f>Bala!I14</f>
        <v xml:space="preserve">Grass Silage (25% DM) </v>
      </c>
      <c r="J14" s="83" t="str">
        <f>Bala!J14</f>
        <v xml:space="preserve">Grass Silage (25% DM) </v>
      </c>
      <c r="K14" s="83" t="str">
        <f>Bala!K14</f>
        <v xml:space="preserve">Grass Silage (25% DM) </v>
      </c>
      <c r="L14" s="83" t="str">
        <f>Bala!L14</f>
        <v xml:space="preserve">Grass Silage (25% DM) </v>
      </c>
      <c r="M14" s="83" t="str">
        <f>Bala!M14</f>
        <v xml:space="preserve">Grass Silage (25% DM) </v>
      </c>
      <c r="N14" s="83" t="str">
        <f>Bala!N14</f>
        <v xml:space="preserve">Grass Silage (25% DM) </v>
      </c>
      <c r="O14" s="83" t="str">
        <f>Bala!O14</f>
        <v xml:space="preserve">Grass Silage (25% DM) </v>
      </c>
      <c r="P14" s="83" t="str">
        <f>Bala!P14</f>
        <v xml:space="preserve">Grass Silage (25% DM) </v>
      </c>
      <c r="Q14" s="83" t="str">
        <f>Bala!Q14</f>
        <v xml:space="preserve">Grass Silage (25% DM) </v>
      </c>
      <c r="R14" s="83">
        <f>Bala!R14</f>
        <v>0</v>
      </c>
      <c r="S14" s="83">
        <f>Bala!S14</f>
        <v>0</v>
      </c>
      <c r="T14" s="83">
        <f>Bala!T14</f>
        <v>0</v>
      </c>
      <c r="U14" s="83">
        <f>Bala!U14</f>
        <v>0</v>
      </c>
      <c r="V14" s="103">
        <f>Bala!V14</f>
        <v>0</v>
      </c>
      <c r="AD14" s="22" t="s">
        <v>138</v>
      </c>
      <c r="AE14" s="22">
        <v>6</v>
      </c>
      <c r="AI14" s="43" t="s">
        <v>119</v>
      </c>
      <c r="AJ14" s="44">
        <v>0.8</v>
      </c>
      <c r="AK14" s="45">
        <v>1.7</v>
      </c>
      <c r="AL14" s="9">
        <v>12</v>
      </c>
      <c r="AM14" s="9">
        <v>6.7</v>
      </c>
      <c r="AN14" s="9" t="s">
        <v>135</v>
      </c>
    </row>
    <row r="15" spans="1:41" x14ac:dyDescent="0.2">
      <c r="A15" s="148" t="s">
        <v>9</v>
      </c>
      <c r="B15" s="149"/>
      <c r="C15" s="49">
        <f>Bala!C15</f>
        <v>38</v>
      </c>
      <c r="D15" s="49">
        <f>Bala!D15</f>
        <v>38</v>
      </c>
      <c r="E15" s="49">
        <f>Bala!E15</f>
        <v>38</v>
      </c>
      <c r="F15" s="49">
        <f>Bala!F15</f>
        <v>38</v>
      </c>
      <c r="G15" s="49">
        <f>Bala!G15</f>
        <v>38</v>
      </c>
      <c r="H15" s="49">
        <f>Bala!H15</f>
        <v>38</v>
      </c>
      <c r="I15" s="49">
        <f>Bala!I15</f>
        <v>38</v>
      </c>
      <c r="J15" s="49">
        <f>Bala!J15</f>
        <v>38</v>
      </c>
      <c r="K15" s="49">
        <f>Bala!K15</f>
        <v>38</v>
      </c>
      <c r="L15" s="49">
        <f>Bala!L15</f>
        <v>38</v>
      </c>
      <c r="M15" s="49">
        <f>Bala!M15</f>
        <v>38</v>
      </c>
      <c r="N15" s="49">
        <f>Bala!N15</f>
        <v>38</v>
      </c>
      <c r="O15" s="49">
        <f>Bala!O15</f>
        <v>38</v>
      </c>
      <c r="P15" s="49">
        <f>Bala!P15</f>
        <v>38</v>
      </c>
      <c r="Q15" s="49">
        <f>Bala!Q15</f>
        <v>38</v>
      </c>
      <c r="R15" s="49">
        <f>Bala!R15</f>
        <v>0</v>
      </c>
      <c r="S15" s="49">
        <f>Bala!S15</f>
        <v>0</v>
      </c>
      <c r="T15" s="49">
        <f>Bala!T15</f>
        <v>0</v>
      </c>
      <c r="U15" s="49">
        <f>Bala!U15</f>
        <v>0</v>
      </c>
      <c r="V15" s="102">
        <f>Bala!V15</f>
        <v>0</v>
      </c>
      <c r="AD15" s="22" t="s">
        <v>144</v>
      </c>
      <c r="AE15" s="22">
        <v>7</v>
      </c>
      <c r="AI15" s="43" t="s">
        <v>101</v>
      </c>
      <c r="AJ15" s="51">
        <v>1.8</v>
      </c>
      <c r="AK15" s="45">
        <v>5.4</v>
      </c>
      <c r="AL15" s="9">
        <v>13</v>
      </c>
      <c r="AM15" s="9">
        <v>6.7</v>
      </c>
      <c r="AN15" s="9" t="s">
        <v>135</v>
      </c>
    </row>
    <row r="16" spans="1:41" ht="13.5" thickBot="1" x14ac:dyDescent="0.25">
      <c r="A16" s="152" t="s">
        <v>44</v>
      </c>
      <c r="B16" s="153"/>
      <c r="C16" s="104" t="str">
        <f>Bala!C16</f>
        <v>Medium/Clay</v>
      </c>
      <c r="D16" s="104" t="str">
        <f>Bala!D16</f>
        <v>Medium/Clay</v>
      </c>
      <c r="E16" s="104" t="str">
        <f>Bala!E16</f>
        <v>Medium/Clay</v>
      </c>
      <c r="F16" s="104" t="str">
        <f>Bala!F16</f>
        <v>Medium/Clay</v>
      </c>
      <c r="G16" s="104" t="str">
        <f>Bala!G16</f>
        <v>Medium/Clay</v>
      </c>
      <c r="H16" s="104" t="str">
        <f>Bala!H16</f>
        <v>Medium/Clay</v>
      </c>
      <c r="I16" s="104" t="str">
        <f>Bala!I16</f>
        <v>Medium/Clay</v>
      </c>
      <c r="J16" s="104" t="str">
        <f>Bala!J16</f>
        <v>Medium/Clay</v>
      </c>
      <c r="K16" s="104" t="str">
        <f>Bala!K16</f>
        <v>Medium/Clay</v>
      </c>
      <c r="L16" s="104" t="str">
        <f>Bala!L16</f>
        <v>Medium/Clay</v>
      </c>
      <c r="M16" s="104" t="str">
        <f>Bala!M16</f>
        <v>Medium/Clay</v>
      </c>
      <c r="N16" s="104" t="str">
        <f>Bala!N16</f>
        <v>Medium/Clay</v>
      </c>
      <c r="O16" s="104" t="str">
        <f>Bala!O16</f>
        <v>Medium/Clay</v>
      </c>
      <c r="P16" s="104" t="str">
        <f>Bala!P16</f>
        <v>Medium/Clay</v>
      </c>
      <c r="Q16" s="104" t="str">
        <f>Bala!Q16</f>
        <v>Medium/Clay</v>
      </c>
      <c r="R16" s="104">
        <f>Bala!R16</f>
        <v>0</v>
      </c>
      <c r="S16" s="104">
        <f>Bala!S16</f>
        <v>0</v>
      </c>
      <c r="T16" s="104">
        <f>Bala!T16</f>
        <v>0</v>
      </c>
      <c r="U16" s="104">
        <f>Bala!U16</f>
        <v>0</v>
      </c>
      <c r="V16" s="105">
        <f>Bala!V16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68.089092749999992</v>
      </c>
      <c r="D18" s="12">
        <f>$D32</f>
        <v>68.089092749999992</v>
      </c>
      <c r="E18" s="12">
        <f>$D33</f>
        <v>0</v>
      </c>
      <c r="F18" s="12">
        <f>$D34</f>
        <v>0</v>
      </c>
      <c r="G18" s="12">
        <f>$D35</f>
        <v>68.089092749999992</v>
      </c>
      <c r="H18" s="12">
        <f>$D36</f>
        <v>0</v>
      </c>
      <c r="I18" s="12">
        <f>$D37</f>
        <v>0</v>
      </c>
      <c r="J18" s="12">
        <f>$D38</f>
        <v>68.089092749999992</v>
      </c>
      <c r="K18" s="12">
        <f>$D39</f>
        <v>68.089092749999992</v>
      </c>
      <c r="L18" s="12">
        <f>$D40</f>
        <v>0</v>
      </c>
      <c r="M18" s="12">
        <f>$D41</f>
        <v>0</v>
      </c>
      <c r="N18" s="12">
        <f>$D42</f>
        <v>68.089092749999992</v>
      </c>
      <c r="O18" s="12">
        <f>$D43</f>
        <v>68.089092749999992</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3.4890927499999975</v>
      </c>
      <c r="D19" s="12">
        <f t="shared" ref="D19:V19" si="1">D18-D17</f>
        <v>3.4890927499999975</v>
      </c>
      <c r="E19" s="12">
        <f t="shared" si="1"/>
        <v>-64.599999999999994</v>
      </c>
      <c r="F19" s="12">
        <f t="shared" si="1"/>
        <v>-64.599999999999994</v>
      </c>
      <c r="G19" s="12">
        <f t="shared" si="1"/>
        <v>3.4890927499999975</v>
      </c>
      <c r="H19" s="12">
        <f t="shared" si="1"/>
        <v>-64.599999999999994</v>
      </c>
      <c r="I19" s="12">
        <f t="shared" si="1"/>
        <v>-64.599999999999994</v>
      </c>
      <c r="J19" s="12">
        <f t="shared" si="1"/>
        <v>3.4890927499999975</v>
      </c>
      <c r="K19" s="12">
        <f t="shared" si="1"/>
        <v>3.4890927499999975</v>
      </c>
      <c r="L19" s="12">
        <f t="shared" si="1"/>
        <v>-64.599999999999994</v>
      </c>
      <c r="M19" s="12">
        <f t="shared" si="1"/>
        <v>-64.599999999999994</v>
      </c>
      <c r="N19" s="12">
        <f t="shared" si="1"/>
        <v>3.4890927499999975</v>
      </c>
      <c r="O19" s="12">
        <f t="shared" si="1"/>
        <v>3.4890927499999975</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INCREASE</v>
      </c>
      <c r="D20" s="18" t="str">
        <f>IF($B32="","",IF(D$19&gt;=0,"INCREASE","DECREASE"))</f>
        <v>INCREASE</v>
      </c>
      <c r="E20" s="18" t="str">
        <f>IF($B33="","",IF(E$19&gt;=0,"INCREASE","DECREASE"))</f>
        <v>DECREASE</v>
      </c>
      <c r="F20" s="18" t="str">
        <f>IF($B34="","",IF(F$19&gt;=0,"INCREASE","DECREASE"))</f>
        <v>DECREASE</v>
      </c>
      <c r="G20" s="18" t="str">
        <f>IF($B35="","",IF(G$19&gt;=0,"INCREASE","DECREASE"))</f>
        <v>INCREASE</v>
      </c>
      <c r="H20" s="18" t="str">
        <f>IF($B36="","",IF(H$19&gt;=0,"INCREASE","DECREASE"))</f>
        <v>DECREASE</v>
      </c>
      <c r="I20" s="18" t="str">
        <f>IF($B37="","",IF(I$19&gt;=0,"INCREASE","DECREASE"))</f>
        <v>DECREASE</v>
      </c>
      <c r="J20" s="18" t="str">
        <f>IF($B38="","",IF(J$19&gt;=0,"INCREASE","DECREASE"))</f>
        <v>INCREASE</v>
      </c>
      <c r="K20" s="18" t="str">
        <f>IF($B39="","",IF(K$19&gt;=0,"INCREASE","DECREASE"))</f>
        <v>INCREASE</v>
      </c>
      <c r="L20" s="18" t="str">
        <f>IF($B40="","",IF(L$19&gt;=0,"INCREASE","DECREASE"))</f>
        <v>DECREASE</v>
      </c>
      <c r="M20" s="18" t="str">
        <f>IF($B41="","",IF(M$19&gt;=0,"INCREASE","DECREASE"))</f>
        <v>DECREASE</v>
      </c>
      <c r="N20" s="18" t="str">
        <f>IF($B42="","",IF(N$19&gt;=0,"INCREASE","DECREASE"))</f>
        <v>INCREASE</v>
      </c>
      <c r="O20" s="18" t="str">
        <f>IF($B43="","",IF(O$19&gt;=0,"INCREASE","DECREASE"))</f>
        <v>INCREASE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1.0031625000000002</v>
      </c>
      <c r="D22" s="12">
        <f>$E32</f>
        <v>1.0031625000000002</v>
      </c>
      <c r="E22" s="12">
        <f>$E33</f>
        <v>0</v>
      </c>
      <c r="F22" s="12">
        <f>$E34</f>
        <v>0</v>
      </c>
      <c r="G22" s="12">
        <f>$E35</f>
        <v>1.0031625000000002</v>
      </c>
      <c r="H22" s="12">
        <f>$E36</f>
        <v>0</v>
      </c>
      <c r="I22" s="12">
        <f>$E37</f>
        <v>0</v>
      </c>
      <c r="J22" s="12">
        <f>$E38</f>
        <v>1.0031625000000002</v>
      </c>
      <c r="K22" s="12">
        <f>$E39</f>
        <v>1.0031625000000002</v>
      </c>
      <c r="L22" s="12">
        <f>$E40</f>
        <v>0</v>
      </c>
      <c r="M22" s="12">
        <f>$E41</f>
        <v>0</v>
      </c>
      <c r="N22" s="12">
        <f>$E42</f>
        <v>1.0031625000000002</v>
      </c>
      <c r="O22" s="12">
        <f>$E43</f>
        <v>1.0031625000000002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-226.9968375</v>
      </c>
      <c r="D23" s="12">
        <f t="shared" ref="D23:V23" si="3">D22-D21</f>
        <v>-226.9968375</v>
      </c>
      <c r="E23" s="12">
        <f t="shared" si="3"/>
        <v>-228</v>
      </c>
      <c r="F23" s="12">
        <f t="shared" si="3"/>
        <v>-228</v>
      </c>
      <c r="G23" s="12">
        <f t="shared" si="3"/>
        <v>-226.9968375</v>
      </c>
      <c r="H23" s="12">
        <f t="shared" si="3"/>
        <v>-228</v>
      </c>
      <c r="I23" s="12">
        <f t="shared" si="3"/>
        <v>-228</v>
      </c>
      <c r="J23" s="12">
        <f t="shared" si="3"/>
        <v>-226.9968375</v>
      </c>
      <c r="K23" s="12">
        <f t="shared" si="3"/>
        <v>-226.9968375</v>
      </c>
      <c r="L23" s="12">
        <f t="shared" si="3"/>
        <v>-228</v>
      </c>
      <c r="M23" s="12">
        <f t="shared" si="3"/>
        <v>-228</v>
      </c>
      <c r="N23" s="12">
        <f t="shared" si="3"/>
        <v>-226.9968375</v>
      </c>
      <c r="O23" s="12">
        <f t="shared" si="3"/>
        <v>-226.9968375</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3.33</v>
      </c>
      <c r="C28" s="11">
        <v>0.93400000000000005</v>
      </c>
      <c r="D28" s="11">
        <v>0.35699999999999998</v>
      </c>
      <c r="E28" s="11">
        <v>0.01</v>
      </c>
      <c r="F28" s="11">
        <v>930</v>
      </c>
      <c r="G28" s="11">
        <v>27.1</v>
      </c>
      <c r="H28" s="11">
        <v>85.7</v>
      </c>
      <c r="I28" s="11">
        <v>3.91</v>
      </c>
      <c r="J28" s="11">
        <v>0.32</v>
      </c>
      <c r="K28" s="15">
        <v>1.21</v>
      </c>
      <c r="L28" s="11">
        <v>9</v>
      </c>
      <c r="M28" s="11">
        <v>2.0499999999999998</v>
      </c>
      <c r="N28" s="11">
        <v>215000</v>
      </c>
      <c r="O28" s="11">
        <v>3550</v>
      </c>
      <c r="P28" s="11"/>
      <c r="Q28" s="11">
        <v>12700</v>
      </c>
      <c r="R28" s="11"/>
      <c r="S28" s="11">
        <v>10.7</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250</v>
      </c>
      <c r="C31" s="65">
        <f>IF(C$27="%w/w SAR",((C$28*10)*$B31),IF(C$27="%w/w DM",(((C$28*10)*($B$28/100))*$B31),IF(C$27="kg/t SAR",(C$28*$B31),IF(C$27="kg/t DM",((C$28*($B$28/100))*$B31),IF(C$27="mg/kg SAR",((C$28*0.001)*$B31),IF(C$27="mg/kg DM",(((C$28*0.001)*($B$28/100))*$B31),0))))))</f>
        <v>77.755500000000012</v>
      </c>
      <c r="D31" s="65">
        <f>(IF(D$27="%w/w SAR",((D$28*10)*$B31),IF(D$27="%w/w DM",(((D$28*10)*($B$28/100))*$B31),IF(D$27="kg/t SAR",(D$28*$B31),IF(D$27="kg/t DM",((D$28*($B$28/100))*$B31),IF(D$27="mg/kg SAR",((D$28*0.001)*$B31),IF(D$27="mg/kg DM",(((D$28*0.001)*($B$28/100))*$B31),"0")))))))*2.291</f>
        <v>68.089092749999992</v>
      </c>
      <c r="E31" s="65">
        <f>(IF(E$27="%w/w SAR",((E$28*10)*$B31),IF(E$27="%w/w DM",(((E$28*10)*($B$28/100))*$B31),IF(E$27="kg/t SAR",(E$28*$B31),IF(E$27="kg/t DM",((E$28*($B$28/100))*$B31),IF(E$27="mg/kg SAR",((E$28*0.001)*$B31),IF(E$27="mg/kg DM",(((E$28*0.001)*($B$28/100))*$B31),"0")))))))*1.205</f>
        <v>1.0031625000000002</v>
      </c>
      <c r="F31" s="65">
        <f>(IF(F$27="%w/w SAR",((F$28*10)*$B31),IF(F$27="%w/w DM",(((F$28*10)*($B$28/100))*$B31),IF(F$27="kg/t SAR",(F$28*$B31),IF(F$27="kg/t DM",((F$28*($B$28/100))*$B31),IF(F$27="mg/kg SAR",((F$28*0.001)*$B31),IF(F$27="mg/kg DM",(((F$28*0.001)*($B$28/100))*$B31),"0")))))))*1.658</f>
        <v>12.836650500000001</v>
      </c>
      <c r="G31" s="65">
        <f t="shared" ref="G31:P46" si="5">IF(G$27="%w/w SAR",((G$28*10)*$B31),IF(G$27="%w/w DM",(((G$28*10)*($B$28/100))*$B31),IF(G$27="kg/t SAR",(G$28*$B31),IF(G$27="kg/t DM",((G$28*($B$28/100))*$B31),IF(G$27="mg/kg SAR",((G$28*0.001)*$B31),IF(G$27="mg/kg DM",(((G$28*0.001)*($B$28/100))*$B31),0))))))</f>
        <v>0.22560750000000004</v>
      </c>
      <c r="H31" s="65">
        <f t="shared" si="5"/>
        <v>0.71345250000000004</v>
      </c>
      <c r="I31" s="65">
        <f t="shared" si="5"/>
        <v>3.2550750000000003E-2</v>
      </c>
      <c r="J31" s="65">
        <f t="shared" si="5"/>
        <v>2.6640000000000006E-3</v>
      </c>
      <c r="K31" s="65">
        <f t="shared" si="5"/>
        <v>1.0073250000000001E-2</v>
      </c>
      <c r="L31" s="65">
        <f t="shared" si="5"/>
        <v>7.4925000000000019E-2</v>
      </c>
      <c r="M31" s="65">
        <f t="shared" si="5"/>
        <v>1.7066249999999998E-2</v>
      </c>
      <c r="N31" s="65">
        <f t="shared" si="5"/>
        <v>1789.875</v>
      </c>
      <c r="O31" s="65">
        <f t="shared" si="5"/>
        <v>29.553750000000004</v>
      </c>
      <c r="P31" s="65">
        <f t="shared" si="5"/>
        <v>0</v>
      </c>
      <c r="Q31" s="65">
        <f>(IF(Q$27="%w/w SAR",((Q$28*10)*$B31),IF(Q$27="%w/w DM",(((Q$28*10)*($B$28/100))*$B31),IF(Q$27="kg/t SAR",(Q$28*$B31),IF(Q$27="kg/t DM",((Q$28*($B$28/100))*$B31),IF(Q$27="mg/kg SAR",((Q$28*0.001)*$B31),IF(Q$27="mg/kg DM",(((Q$28*0.001)*($B$28/100))*$B31),0)))))))*2.5</f>
        <v>264.31875000000002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8.9077500000000004E-2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250</v>
      </c>
      <c r="C32" s="65">
        <f t="shared" ref="C32:C50" si="6">IF(C$27="%w/w SAR",((C$28*10)*$B32),IF(C$27="%w/w DM",(((C$28*10)*($B$28/100))*$B32),IF(C$27="kg/t SAR",(C$28*$B32),IF(C$27="kg/t DM",((C$28*($B$28/100))*$B32),IF(C$27="mg/kg SAR",((C$28*0.001)*$B32),IF(C$27="mg/kg DM",(((C$28*0.001)*($B$28/100))*$B32),0))))))</f>
        <v>77.755500000000012</v>
      </c>
      <c r="D32" s="65">
        <f t="shared" ref="D32:D50" si="7">(IF(D$27="%w/w SAR",((D$28*10)*$B32),IF(D$27="%w/w DM",(((D$28*10)*($B$28/100))*$B32),IF(D$27="kg/t SAR",(D$28*$B32),IF(D$27="kg/t DM",((D$28*($B$28/100))*$B32),IF(D$27="mg/kg SAR",((D$28*0.001)*$B32),IF(D$27="mg/kg DM",(((D$28*0.001)*($B$28/100))*$B32),"0")))))))*2.291</f>
        <v>68.089092749999992</v>
      </c>
      <c r="E32" s="65">
        <f t="shared" ref="E32:E50" si="8">(IF(E$27="%w/w SAR",((E$28*10)*$B32),IF(E$27="%w/w DM",(((E$28*10)*($B$28/100))*$B32),IF(E$27="kg/t SAR",(E$28*$B32),IF(E$27="kg/t DM",((E$28*($B$28/100))*$B32),IF(E$27="mg/kg SAR",((E$28*0.001)*$B32),IF(E$27="mg/kg DM",(((E$28*0.001)*($B$28/100))*$B32),"0")))))))*1.205</f>
        <v>1.0031625000000002</v>
      </c>
      <c r="F32" s="65">
        <f t="shared" ref="F32:F50" si="9">(IF(F$27="%w/w SAR",((F$28*10)*$B32),IF(F$27="%w/w DM",(((F$28*10)*($B$28/100))*$B32),IF(F$27="kg/t SAR",(F$28*$B32),IF(F$27="kg/t DM",((F$28*($B$28/100))*$B32),IF(F$27="mg/kg SAR",((F$28*0.001)*$B32),IF(F$27="mg/kg DM",(((F$28*0.001)*($B$28/100))*$B32),"0")))))))*1.658</f>
        <v>12.836650500000001</v>
      </c>
      <c r="G32" s="65">
        <f t="shared" si="5"/>
        <v>0.22560750000000004</v>
      </c>
      <c r="H32" s="65">
        <f t="shared" si="5"/>
        <v>0.71345250000000004</v>
      </c>
      <c r="I32" s="65">
        <f t="shared" si="5"/>
        <v>3.2550750000000003E-2</v>
      </c>
      <c r="J32" s="65">
        <f t="shared" si="5"/>
        <v>2.6640000000000006E-3</v>
      </c>
      <c r="K32" s="65">
        <f t="shared" si="5"/>
        <v>1.0073250000000001E-2</v>
      </c>
      <c r="L32" s="65">
        <f t="shared" si="5"/>
        <v>7.4925000000000019E-2</v>
      </c>
      <c r="M32" s="65">
        <f t="shared" si="5"/>
        <v>1.7066249999999998E-2</v>
      </c>
      <c r="N32" s="65">
        <f t="shared" si="5"/>
        <v>1789.875</v>
      </c>
      <c r="O32" s="65">
        <f t="shared" si="5"/>
        <v>29.553750000000004</v>
      </c>
      <c r="P32" s="65">
        <f t="shared" si="5"/>
        <v>0</v>
      </c>
      <c r="Q32" s="65">
        <f t="shared" ref="Q32:Q50" si="10">(IF(Q$27="%w/w SAR",((Q$28*10)*$B32),IF(Q$27="%w/w DM",(((Q$28*10)*($B$28/100))*$B32),IF(Q$27="kg/t SAR",(Q$28*$B32),IF(Q$27="kg/t DM",((Q$28*($B$28/100))*$B32),IF(Q$27="mg/kg SAR",((Q$28*0.001)*$B32),IF(Q$27="mg/kg DM",(((Q$28*0.001)*($B$28/100))*$B32),0)))))))*2.5</f>
        <v>264.31875000000002</v>
      </c>
      <c r="R32" s="65">
        <f t="shared" ref="R32:U50" si="11">IF(R$27="%w/w SAR",((R$28*10)*$B32),IF(R$27="%w/w DM",(((R$28*10)*($B$28/100))*$B32),IF(R$27="kg/t SAR",(R$28*$B32),IF(R$27="kg/t DM",((R$28*($B$28/100))*$B32),IF(R$27="mg/kg SAR",((R$28*0.001)*$B32),IF(R$27="mg/kg DM",(((R$28*0.001)*($B$28/100))*$B32),0))))))</f>
        <v>0</v>
      </c>
      <c r="S32" s="65">
        <f t="shared" si="11"/>
        <v>8.9077500000000004E-2</v>
      </c>
      <c r="T32" s="65">
        <f t="shared" si="11"/>
        <v>0</v>
      </c>
      <c r="U32" s="126">
        <f t="shared" si="11"/>
        <v>0</v>
      </c>
    </row>
    <row r="33" spans="1:21" s="48" customFormat="1" x14ac:dyDescent="0.25">
      <c r="A33" s="125">
        <f>E8</f>
        <v>3</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5</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7</v>
      </c>
      <c r="B35" s="11">
        <v>250</v>
      </c>
      <c r="C35" s="65">
        <f t="shared" si="6"/>
        <v>77.755500000000012</v>
      </c>
      <c r="D35" s="65">
        <f t="shared" si="7"/>
        <v>68.089092749999992</v>
      </c>
      <c r="E35" s="65">
        <f t="shared" si="8"/>
        <v>1.0031625000000002</v>
      </c>
      <c r="F35" s="65">
        <f t="shared" si="9"/>
        <v>12.836650500000001</v>
      </c>
      <c r="G35" s="65">
        <f t="shared" si="5"/>
        <v>0.22560750000000004</v>
      </c>
      <c r="H35" s="65">
        <f t="shared" si="5"/>
        <v>0.71345250000000004</v>
      </c>
      <c r="I35" s="65">
        <f t="shared" si="5"/>
        <v>3.2550750000000003E-2</v>
      </c>
      <c r="J35" s="65">
        <f t="shared" si="5"/>
        <v>2.6640000000000006E-3</v>
      </c>
      <c r="K35" s="65">
        <f t="shared" si="5"/>
        <v>1.0073250000000001E-2</v>
      </c>
      <c r="L35" s="65">
        <f t="shared" si="5"/>
        <v>7.4925000000000019E-2</v>
      </c>
      <c r="M35" s="65">
        <f t="shared" si="5"/>
        <v>1.7066249999999998E-2</v>
      </c>
      <c r="N35" s="65">
        <f t="shared" si="5"/>
        <v>1789.875</v>
      </c>
      <c r="O35" s="65">
        <f t="shared" si="5"/>
        <v>29.553750000000004</v>
      </c>
      <c r="P35" s="65">
        <f t="shared" si="5"/>
        <v>0</v>
      </c>
      <c r="Q35" s="65">
        <f t="shared" si="10"/>
        <v>264.31875000000002</v>
      </c>
      <c r="R35" s="65">
        <f t="shared" si="11"/>
        <v>0</v>
      </c>
      <c r="S35" s="65">
        <f t="shared" si="11"/>
        <v>8.9077500000000004E-2</v>
      </c>
      <c r="T35" s="65">
        <f t="shared" si="11"/>
        <v>0</v>
      </c>
      <c r="U35" s="126">
        <f t="shared" si="11"/>
        <v>0</v>
      </c>
    </row>
    <row r="36" spans="1:21" s="48" customFormat="1" x14ac:dyDescent="0.25">
      <c r="A36" s="125">
        <f>H8</f>
        <v>11</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12</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13</v>
      </c>
      <c r="B38" s="11">
        <v>250</v>
      </c>
      <c r="C38" s="65">
        <f t="shared" si="6"/>
        <v>77.755500000000012</v>
      </c>
      <c r="D38" s="65">
        <f t="shared" si="7"/>
        <v>68.089092749999992</v>
      </c>
      <c r="E38" s="65">
        <f t="shared" si="8"/>
        <v>1.0031625000000002</v>
      </c>
      <c r="F38" s="65">
        <f t="shared" si="9"/>
        <v>12.836650500000001</v>
      </c>
      <c r="G38" s="65">
        <f t="shared" si="5"/>
        <v>0.22560750000000004</v>
      </c>
      <c r="H38" s="65">
        <f t="shared" si="5"/>
        <v>0.71345250000000004</v>
      </c>
      <c r="I38" s="65">
        <f t="shared" si="5"/>
        <v>3.2550750000000003E-2</v>
      </c>
      <c r="J38" s="65">
        <f t="shared" si="5"/>
        <v>2.6640000000000006E-3</v>
      </c>
      <c r="K38" s="65">
        <f t="shared" si="5"/>
        <v>1.0073250000000001E-2</v>
      </c>
      <c r="L38" s="65">
        <f t="shared" si="5"/>
        <v>7.4925000000000019E-2</v>
      </c>
      <c r="M38" s="65">
        <f t="shared" si="5"/>
        <v>1.7066249999999998E-2</v>
      </c>
      <c r="N38" s="65">
        <f t="shared" si="5"/>
        <v>1789.875</v>
      </c>
      <c r="O38" s="65">
        <f t="shared" si="5"/>
        <v>29.553750000000004</v>
      </c>
      <c r="P38" s="65">
        <f t="shared" si="5"/>
        <v>0</v>
      </c>
      <c r="Q38" s="65">
        <f t="shared" si="10"/>
        <v>264.31875000000002</v>
      </c>
      <c r="R38" s="65">
        <f t="shared" si="11"/>
        <v>0</v>
      </c>
      <c r="S38" s="65">
        <f t="shared" si="11"/>
        <v>8.9077500000000004E-2</v>
      </c>
      <c r="T38" s="65">
        <f t="shared" si="11"/>
        <v>0</v>
      </c>
      <c r="U38" s="126">
        <f t="shared" si="11"/>
        <v>0</v>
      </c>
    </row>
    <row r="39" spans="1:21" s="48" customFormat="1" x14ac:dyDescent="0.25">
      <c r="A39" s="125">
        <f>K8</f>
        <v>14</v>
      </c>
      <c r="B39" s="11">
        <v>250</v>
      </c>
      <c r="C39" s="65">
        <f t="shared" si="6"/>
        <v>77.755500000000012</v>
      </c>
      <c r="D39" s="65">
        <f t="shared" si="7"/>
        <v>68.089092749999992</v>
      </c>
      <c r="E39" s="65">
        <f t="shared" si="8"/>
        <v>1.0031625000000002</v>
      </c>
      <c r="F39" s="65">
        <f t="shared" si="9"/>
        <v>12.836650500000001</v>
      </c>
      <c r="G39" s="65">
        <f t="shared" si="5"/>
        <v>0.22560750000000004</v>
      </c>
      <c r="H39" s="65">
        <f t="shared" si="5"/>
        <v>0.71345250000000004</v>
      </c>
      <c r="I39" s="65">
        <f t="shared" si="5"/>
        <v>3.2550750000000003E-2</v>
      </c>
      <c r="J39" s="65">
        <f t="shared" si="5"/>
        <v>2.6640000000000006E-3</v>
      </c>
      <c r="K39" s="65">
        <f t="shared" si="5"/>
        <v>1.0073250000000001E-2</v>
      </c>
      <c r="L39" s="65">
        <f t="shared" si="5"/>
        <v>7.4925000000000019E-2</v>
      </c>
      <c r="M39" s="65">
        <f t="shared" si="5"/>
        <v>1.7066249999999998E-2</v>
      </c>
      <c r="N39" s="65">
        <f t="shared" si="5"/>
        <v>1789.875</v>
      </c>
      <c r="O39" s="65">
        <f t="shared" si="5"/>
        <v>29.553750000000004</v>
      </c>
      <c r="P39" s="65">
        <f t="shared" si="5"/>
        <v>0</v>
      </c>
      <c r="Q39" s="65">
        <f t="shared" si="10"/>
        <v>264.31875000000002</v>
      </c>
      <c r="R39" s="65">
        <f t="shared" si="11"/>
        <v>0</v>
      </c>
      <c r="S39" s="65">
        <f t="shared" si="11"/>
        <v>8.9077500000000004E-2</v>
      </c>
      <c r="T39" s="65">
        <f t="shared" si="11"/>
        <v>0</v>
      </c>
      <c r="U39" s="126">
        <f t="shared" si="11"/>
        <v>0</v>
      </c>
    </row>
    <row r="40" spans="1:21" s="48" customFormat="1" x14ac:dyDescent="0.25">
      <c r="A40" s="125">
        <f>L8</f>
        <v>15</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17</v>
      </c>
      <c r="B41" s="11">
        <v>0</v>
      </c>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18</v>
      </c>
      <c r="B42" s="11">
        <v>250</v>
      </c>
      <c r="C42" s="65">
        <f t="shared" si="6"/>
        <v>77.755500000000012</v>
      </c>
      <c r="D42" s="65">
        <f t="shared" si="7"/>
        <v>68.089092749999992</v>
      </c>
      <c r="E42" s="65">
        <f t="shared" si="8"/>
        <v>1.0031625000000002</v>
      </c>
      <c r="F42" s="65">
        <f t="shared" si="9"/>
        <v>12.836650500000001</v>
      </c>
      <c r="G42" s="65">
        <f t="shared" si="5"/>
        <v>0.22560750000000004</v>
      </c>
      <c r="H42" s="65">
        <f t="shared" si="5"/>
        <v>0.71345250000000004</v>
      </c>
      <c r="I42" s="65">
        <f t="shared" si="5"/>
        <v>3.2550750000000003E-2</v>
      </c>
      <c r="J42" s="65">
        <f t="shared" si="5"/>
        <v>2.6640000000000006E-3</v>
      </c>
      <c r="K42" s="65">
        <f t="shared" si="5"/>
        <v>1.0073250000000001E-2</v>
      </c>
      <c r="L42" s="65">
        <f t="shared" si="5"/>
        <v>7.4925000000000019E-2</v>
      </c>
      <c r="M42" s="65">
        <f t="shared" si="5"/>
        <v>1.7066249999999998E-2</v>
      </c>
      <c r="N42" s="65">
        <f t="shared" si="5"/>
        <v>1789.875</v>
      </c>
      <c r="O42" s="65">
        <f t="shared" si="5"/>
        <v>29.553750000000004</v>
      </c>
      <c r="P42" s="65">
        <f t="shared" si="5"/>
        <v>0</v>
      </c>
      <c r="Q42" s="65">
        <f t="shared" si="10"/>
        <v>264.31875000000002</v>
      </c>
      <c r="R42" s="65">
        <f t="shared" si="11"/>
        <v>0</v>
      </c>
      <c r="S42" s="65">
        <f t="shared" si="11"/>
        <v>8.9077500000000004E-2</v>
      </c>
      <c r="T42" s="65">
        <f t="shared" si="11"/>
        <v>0</v>
      </c>
      <c r="U42" s="126">
        <f t="shared" si="11"/>
        <v>0</v>
      </c>
    </row>
    <row r="43" spans="1:21" s="48" customFormat="1" x14ac:dyDescent="0.25">
      <c r="A43" s="125">
        <f>O8</f>
        <v>19</v>
      </c>
      <c r="B43" s="11">
        <v>250</v>
      </c>
      <c r="C43" s="65">
        <f t="shared" si="6"/>
        <v>77.755500000000012</v>
      </c>
      <c r="D43" s="65">
        <f t="shared" si="7"/>
        <v>68.089092749999992</v>
      </c>
      <c r="E43" s="65">
        <f t="shared" si="8"/>
        <v>1.0031625000000002</v>
      </c>
      <c r="F43" s="65">
        <f t="shared" si="9"/>
        <v>12.836650500000001</v>
      </c>
      <c r="G43" s="65">
        <f t="shared" si="5"/>
        <v>0.22560750000000004</v>
      </c>
      <c r="H43" s="65">
        <f t="shared" si="5"/>
        <v>0.71345250000000004</v>
      </c>
      <c r="I43" s="65">
        <f t="shared" si="5"/>
        <v>3.2550750000000003E-2</v>
      </c>
      <c r="J43" s="65">
        <f t="shared" si="5"/>
        <v>2.6640000000000006E-3</v>
      </c>
      <c r="K43" s="65">
        <f t="shared" si="5"/>
        <v>1.0073250000000001E-2</v>
      </c>
      <c r="L43" s="65">
        <f t="shared" si="5"/>
        <v>7.4925000000000019E-2</v>
      </c>
      <c r="M43" s="65">
        <f t="shared" si="5"/>
        <v>1.7066249999999998E-2</v>
      </c>
      <c r="N43" s="65">
        <f t="shared" si="5"/>
        <v>1789.875</v>
      </c>
      <c r="O43" s="65">
        <f t="shared" si="5"/>
        <v>29.553750000000004</v>
      </c>
      <c r="P43" s="65">
        <f t="shared" si="5"/>
        <v>0</v>
      </c>
      <c r="Q43" s="65">
        <f t="shared" si="10"/>
        <v>264.31875000000002</v>
      </c>
      <c r="R43" s="65">
        <f t="shared" si="11"/>
        <v>0</v>
      </c>
      <c r="S43" s="65">
        <f t="shared" si="11"/>
        <v>8.9077500000000004E-2</v>
      </c>
      <c r="T43" s="65">
        <f t="shared" si="11"/>
        <v>0</v>
      </c>
      <c r="U43" s="126">
        <f t="shared" si="11"/>
        <v>0</v>
      </c>
    </row>
    <row r="44" spans="1:21" s="48" customFormat="1" x14ac:dyDescent="0.25">
      <c r="A44" s="125">
        <f>P8</f>
        <v>20</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21</v>
      </c>
      <c r="B45" s="11">
        <v>0</v>
      </c>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x14ac:dyDescent="0.2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str">
        <f>Q16&amp;" I "&amp;(VLOOKUP(Q14,Table245811[],6,FALSE))</f>
        <v>Medium/Clay I Grass</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f>VLOOKUP(Q$14,Table245811[],5,FALSE)</f>
        <v>6.2</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x14ac:dyDescent="0.2">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0</v>
      </c>
      <c r="E62" s="65">
        <f>B34</f>
        <v>0</v>
      </c>
      <c r="F62" s="65">
        <f>B35</f>
        <v>250</v>
      </c>
      <c r="G62" s="65">
        <f>B36</f>
        <v>0</v>
      </c>
      <c r="H62" s="65">
        <f>B37</f>
        <v>0</v>
      </c>
      <c r="I62" s="65">
        <f>B38</f>
        <v>250</v>
      </c>
      <c r="J62" s="65">
        <f>B39</f>
        <v>250</v>
      </c>
      <c r="K62" s="65">
        <f>B40</f>
        <v>0</v>
      </c>
      <c r="L62" s="65">
        <f>B41</f>
        <v>0</v>
      </c>
      <c r="M62" s="65">
        <f>B42</f>
        <v>250</v>
      </c>
      <c r="N62" s="65">
        <f>B43</f>
        <v>250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1" x14ac:dyDescent="0.2">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35" sqref="A35"/>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Bala!C1:D1</f>
        <v>PAN-030515</v>
      </c>
      <c r="D1" s="173"/>
      <c r="E1" s="106" t="s">
        <v>45</v>
      </c>
      <c r="F1" s="113">
        <f>Bala!F1</f>
        <v>50</v>
      </c>
      <c r="G1" s="162" t="s">
        <v>43</v>
      </c>
      <c r="H1" s="163"/>
      <c r="I1" s="109">
        <v>6.6</v>
      </c>
      <c r="J1" s="130" t="s">
        <v>153</v>
      </c>
      <c r="K1" s="131"/>
      <c r="L1" s="109">
        <v>203</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Bala!C2:D2</f>
        <v>EPR/GP3792SK</v>
      </c>
      <c r="D2" s="169"/>
      <c r="E2" s="96" t="s">
        <v>109</v>
      </c>
      <c r="F2" s="110" t="s">
        <v>165</v>
      </c>
      <c r="G2" s="164" t="s">
        <v>110</v>
      </c>
      <c r="H2" s="165"/>
      <c r="I2" s="110"/>
      <c r="J2" s="132" t="s">
        <v>158</v>
      </c>
      <c r="K2" s="133"/>
      <c r="L2" s="110">
        <v>0.95099999999999996</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Bala!C3:D3</f>
        <v>ByProduct Recovery Ltd</v>
      </c>
      <c r="D3" s="169"/>
      <c r="E3" s="96" t="s">
        <v>108</v>
      </c>
      <c r="F3" s="111" t="s">
        <v>78</v>
      </c>
      <c r="G3" s="132" t="s">
        <v>159</v>
      </c>
      <c r="H3" s="133"/>
      <c r="I3" s="110"/>
      <c r="J3" s="134" t="s">
        <v>154</v>
      </c>
      <c r="K3" s="135"/>
      <c r="L3" s="110">
        <f>(L1/(L2*10000))*100</f>
        <v>2.1345951629863302</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Bala!C4:D4</f>
        <v>Henllys, Llanfair TH, Abergele, Conwys, LL22 8TF</v>
      </c>
      <c r="D4" s="171"/>
      <c r="E4" s="99" t="s">
        <v>1</v>
      </c>
      <c r="F4" s="110" t="s">
        <v>169</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Bala!C5:D5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f>Bala!C8</f>
        <v>1</v>
      </c>
      <c r="D8" s="49">
        <f>Bala!D8</f>
        <v>2</v>
      </c>
      <c r="E8" s="49">
        <f>Bala!E8</f>
        <v>3</v>
      </c>
      <c r="F8" s="49">
        <f>Bala!F8</f>
        <v>5</v>
      </c>
      <c r="G8" s="49">
        <f>Bala!G8</f>
        <v>7</v>
      </c>
      <c r="H8" s="49">
        <f>Bala!H8</f>
        <v>11</v>
      </c>
      <c r="I8" s="49">
        <f>Bala!I8</f>
        <v>12</v>
      </c>
      <c r="J8" s="49">
        <f>Bala!J8</f>
        <v>13</v>
      </c>
      <c r="K8" s="49">
        <f>Bala!K8</f>
        <v>14</v>
      </c>
      <c r="L8" s="49">
        <f>Bala!L8</f>
        <v>15</v>
      </c>
      <c r="M8" s="49">
        <f>Bala!M8</f>
        <v>17</v>
      </c>
      <c r="N8" s="49">
        <f>Bala!N8</f>
        <v>18</v>
      </c>
      <c r="O8" s="49">
        <f>Bala!O8</f>
        <v>19</v>
      </c>
      <c r="P8" s="49">
        <f>Bala!P8</f>
        <v>20</v>
      </c>
      <c r="Q8" s="49">
        <f>Bala!Q8</f>
        <v>21</v>
      </c>
      <c r="R8" s="49">
        <f>Bala!R8</f>
        <v>0</v>
      </c>
      <c r="S8" s="49">
        <f>Bala!S8</f>
        <v>0</v>
      </c>
      <c r="T8" s="49">
        <f>Bala!T8</f>
        <v>0</v>
      </c>
      <c r="U8" s="49">
        <f>Bala!U8</f>
        <v>0</v>
      </c>
      <c r="V8" s="102">
        <f>Bala!V8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f>Bala!C9</f>
        <v>0</v>
      </c>
      <c r="D9" s="49">
        <f>Bala!D9</f>
        <v>0</v>
      </c>
      <c r="E9" s="49">
        <f>Bala!E9</f>
        <v>0</v>
      </c>
      <c r="F9" s="49">
        <f>Bala!F9</f>
        <v>0</v>
      </c>
      <c r="G9" s="49">
        <f>Bala!G9</f>
        <v>0</v>
      </c>
      <c r="H9" s="49">
        <f>Bala!H9</f>
        <v>0</v>
      </c>
      <c r="I9" s="49">
        <f>Bala!I9</f>
        <v>0</v>
      </c>
      <c r="J9" s="49">
        <f>Bala!J9</f>
        <v>0</v>
      </c>
      <c r="K9" s="49">
        <f>Bala!K9</f>
        <v>0</v>
      </c>
      <c r="L9" s="49">
        <f>Bala!L9</f>
        <v>0</v>
      </c>
      <c r="M9" s="49">
        <f>Bala!M9</f>
        <v>0</v>
      </c>
      <c r="N9" s="49">
        <f>Bala!N9</f>
        <v>0</v>
      </c>
      <c r="O9" s="49">
        <f>Bala!O9</f>
        <v>0</v>
      </c>
      <c r="P9" s="49">
        <f>Bala!P9</f>
        <v>0</v>
      </c>
      <c r="Q9" s="49">
        <f>Bala!Q9</f>
        <v>0</v>
      </c>
      <c r="R9" s="49">
        <f>Bala!R9</f>
        <v>0</v>
      </c>
      <c r="S9" s="49">
        <f>Bala!S9</f>
        <v>0</v>
      </c>
      <c r="T9" s="49">
        <f>Bala!T9</f>
        <v>0</v>
      </c>
      <c r="U9" s="49">
        <f>Bala!U9</f>
        <v>0</v>
      </c>
      <c r="V9" s="102">
        <f>Bala!V9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Bala!C10</f>
        <v>6.2</v>
      </c>
      <c r="D10" s="49">
        <f>Bala!D10</f>
        <v>6.4</v>
      </c>
      <c r="E10" s="49">
        <f>Bala!E10</f>
        <v>5.6</v>
      </c>
      <c r="F10" s="49">
        <f>Bala!F10</f>
        <v>5.5</v>
      </c>
      <c r="G10" s="49">
        <f>Bala!G10</f>
        <v>6.3</v>
      </c>
      <c r="H10" s="49">
        <f>Bala!H10</f>
        <v>5.5</v>
      </c>
      <c r="I10" s="49">
        <f>Bala!I10</f>
        <v>5.6</v>
      </c>
      <c r="J10" s="49">
        <f>Bala!J10</f>
        <v>6.4</v>
      </c>
      <c r="K10" s="49">
        <f>Bala!K10</f>
        <v>6.3</v>
      </c>
      <c r="L10" s="49">
        <f>Bala!L10</f>
        <v>5.7</v>
      </c>
      <c r="M10" s="49">
        <f>Bala!M10</f>
        <v>5.9</v>
      </c>
      <c r="N10" s="49">
        <f>Bala!N10</f>
        <v>6</v>
      </c>
      <c r="O10" s="49">
        <f>Bala!O10</f>
        <v>6.2</v>
      </c>
      <c r="P10" s="49">
        <f>Bala!P10</f>
        <v>5.8</v>
      </c>
      <c r="Q10" s="49">
        <f>Bala!Q10</f>
        <v>5.9</v>
      </c>
      <c r="R10" s="49">
        <f>Bala!R10</f>
        <v>0</v>
      </c>
      <c r="S10" s="49">
        <f>Bala!S10</f>
        <v>0</v>
      </c>
      <c r="T10" s="49">
        <f>Bala!T10</f>
        <v>0</v>
      </c>
      <c r="U10" s="49">
        <f>Bala!U10</f>
        <v>0</v>
      </c>
      <c r="V10" s="102">
        <f>Bala!V10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Bala!C11</f>
        <v>2</v>
      </c>
      <c r="D11" s="49">
        <f>Bala!D11</f>
        <v>1</v>
      </c>
      <c r="E11" s="49">
        <f>Bala!E11</f>
        <v>2</v>
      </c>
      <c r="F11" s="49">
        <f>Bala!F11</f>
        <v>1</v>
      </c>
      <c r="G11" s="49">
        <f>Bala!G11</f>
        <v>0</v>
      </c>
      <c r="H11" s="49">
        <f>Bala!H11</f>
        <v>2</v>
      </c>
      <c r="I11" s="49">
        <f>Bala!I11</f>
        <v>2</v>
      </c>
      <c r="J11" s="49">
        <f>Bala!J11</f>
        <v>2</v>
      </c>
      <c r="K11" s="49">
        <f>Bala!K11</f>
        <v>2</v>
      </c>
      <c r="L11" s="49">
        <f>Bala!L11</f>
        <v>1</v>
      </c>
      <c r="M11" s="49">
        <f>Bala!M11</f>
        <v>2</v>
      </c>
      <c r="N11" s="49">
        <f>Bala!N11</f>
        <v>2</v>
      </c>
      <c r="O11" s="49">
        <f>Bala!O11</f>
        <v>1</v>
      </c>
      <c r="P11" s="49">
        <f>Bala!P11</f>
        <v>1</v>
      </c>
      <c r="Q11" s="49">
        <f>Bala!Q11</f>
        <v>1</v>
      </c>
      <c r="R11" s="49">
        <f>Bala!R11</f>
        <v>0</v>
      </c>
      <c r="S11" s="49">
        <f>Bala!S11</f>
        <v>0</v>
      </c>
      <c r="T11" s="49">
        <f>Bala!T11</f>
        <v>0</v>
      </c>
      <c r="U11" s="49">
        <f>Bala!U11</f>
        <v>0</v>
      </c>
      <c r="V11" s="102">
        <f>Bala!V11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Bala!C12</f>
        <v>0</v>
      </c>
      <c r="D12" s="49">
        <f>Bala!D12</f>
        <v>1</v>
      </c>
      <c r="E12" s="49">
        <f>Bala!E12</f>
        <v>2</v>
      </c>
      <c r="F12" s="49">
        <f>Bala!F12</f>
        <v>1</v>
      </c>
      <c r="G12" s="49">
        <f>Bala!G12</f>
        <v>1</v>
      </c>
      <c r="H12" s="49">
        <f>Bala!H12</f>
        <v>1</v>
      </c>
      <c r="I12" s="49">
        <f>Bala!I12</f>
        <v>2</v>
      </c>
      <c r="J12" s="49">
        <f>Bala!J12</f>
        <v>2</v>
      </c>
      <c r="K12" s="49">
        <f>Bala!K12</f>
        <v>1</v>
      </c>
      <c r="L12" s="49">
        <f>Bala!L12</f>
        <v>1</v>
      </c>
      <c r="M12" s="49">
        <f>Bala!M12</f>
        <v>2</v>
      </c>
      <c r="N12" s="49">
        <f>Bala!N12</f>
        <v>2</v>
      </c>
      <c r="O12" s="49">
        <f>Bala!O12</f>
        <v>1</v>
      </c>
      <c r="P12" s="49">
        <f>Bala!P12</f>
        <v>1</v>
      </c>
      <c r="Q12" s="49">
        <f>Bala!Q12</f>
        <v>1</v>
      </c>
      <c r="R12" s="49">
        <f>Bala!R12</f>
        <v>0</v>
      </c>
      <c r="S12" s="49">
        <f>Bala!S12</f>
        <v>0</v>
      </c>
      <c r="T12" s="49">
        <f>Bala!T12</f>
        <v>0</v>
      </c>
      <c r="U12" s="49">
        <f>Bala!U12</f>
        <v>0</v>
      </c>
      <c r="V12" s="102">
        <f>Bala!V12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Bala!C13</f>
        <v>2</v>
      </c>
      <c r="D13" s="49">
        <f>Bala!D13</f>
        <v>3</v>
      </c>
      <c r="E13" s="49">
        <f>Bala!E13</f>
        <v>2</v>
      </c>
      <c r="F13" s="49">
        <f>Bala!F13</f>
        <v>2</v>
      </c>
      <c r="G13" s="49">
        <f>Bala!G13</f>
        <v>2</v>
      </c>
      <c r="H13" s="49">
        <f>Bala!H13</f>
        <v>2</v>
      </c>
      <c r="I13" s="49">
        <f>Bala!I13</f>
        <v>2</v>
      </c>
      <c r="J13" s="49">
        <f>Bala!J13</f>
        <v>2</v>
      </c>
      <c r="K13" s="49">
        <f>Bala!K13</f>
        <v>2</v>
      </c>
      <c r="L13" s="49">
        <f>Bala!L13</f>
        <v>2</v>
      </c>
      <c r="M13" s="49">
        <f>Bala!M13</f>
        <v>2</v>
      </c>
      <c r="N13" s="49">
        <f>Bala!N13</f>
        <v>2</v>
      </c>
      <c r="O13" s="49">
        <f>Bala!O13</f>
        <v>2</v>
      </c>
      <c r="P13" s="49">
        <f>Bala!P13</f>
        <v>2</v>
      </c>
      <c r="Q13" s="49">
        <f>Bala!Q13</f>
        <v>2</v>
      </c>
      <c r="R13" s="49">
        <f>Bala!R13</f>
        <v>0</v>
      </c>
      <c r="S13" s="49">
        <f>Bala!S13</f>
        <v>0</v>
      </c>
      <c r="T13" s="49">
        <f>Bala!T13</f>
        <v>0</v>
      </c>
      <c r="U13" s="49">
        <f>Bala!U13</f>
        <v>0</v>
      </c>
      <c r="V13" s="102">
        <f>Bala!V13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Bala!C14</f>
        <v xml:space="preserve">Grass Silage (25% DM) </v>
      </c>
      <c r="D14" s="83" t="str">
        <f>Bala!D14</f>
        <v xml:space="preserve">Grass Silage (25% DM) </v>
      </c>
      <c r="E14" s="83" t="str">
        <f>Bala!E14</f>
        <v xml:space="preserve">Grass Silage (25% DM) </v>
      </c>
      <c r="F14" s="83" t="str">
        <f>Bala!F14</f>
        <v xml:space="preserve">Grass Silage (25% DM) </v>
      </c>
      <c r="G14" s="83" t="str">
        <f>Bala!G14</f>
        <v xml:space="preserve">Grass Silage (25% DM) </v>
      </c>
      <c r="H14" s="83" t="str">
        <f>Bala!H14</f>
        <v xml:space="preserve">Grass Silage (25% DM) </v>
      </c>
      <c r="I14" s="83" t="str">
        <f>Bala!I14</f>
        <v xml:space="preserve">Grass Silage (25% DM) </v>
      </c>
      <c r="J14" s="83" t="str">
        <f>Bala!J14</f>
        <v xml:space="preserve">Grass Silage (25% DM) </v>
      </c>
      <c r="K14" s="83" t="str">
        <f>Bala!K14</f>
        <v xml:space="preserve">Grass Silage (25% DM) </v>
      </c>
      <c r="L14" s="83" t="str">
        <f>Bala!L14</f>
        <v xml:space="preserve">Grass Silage (25% DM) </v>
      </c>
      <c r="M14" s="83" t="str">
        <f>Bala!M14</f>
        <v xml:space="preserve">Grass Silage (25% DM) </v>
      </c>
      <c r="N14" s="83" t="str">
        <f>Bala!N14</f>
        <v xml:space="preserve">Grass Silage (25% DM) </v>
      </c>
      <c r="O14" s="83" t="str">
        <f>Bala!O14</f>
        <v xml:space="preserve">Grass Silage (25% DM) </v>
      </c>
      <c r="P14" s="83" t="str">
        <f>Bala!P14</f>
        <v xml:space="preserve">Grass Silage (25% DM) </v>
      </c>
      <c r="Q14" s="83" t="str">
        <f>Bala!Q14</f>
        <v xml:space="preserve">Grass Silage (25% DM) </v>
      </c>
      <c r="R14" s="83">
        <f>Bala!R14</f>
        <v>0</v>
      </c>
      <c r="S14" s="83">
        <f>Bala!S14</f>
        <v>0</v>
      </c>
      <c r="T14" s="83">
        <f>Bala!T14</f>
        <v>0</v>
      </c>
      <c r="U14" s="83">
        <f>Bala!U14</f>
        <v>0</v>
      </c>
      <c r="V14" s="103">
        <f>Bala!V14</f>
        <v>0</v>
      </c>
      <c r="AD14" s="22" t="s">
        <v>138</v>
      </c>
      <c r="AE14" s="22">
        <v>6</v>
      </c>
      <c r="AI14" s="43" t="s">
        <v>119</v>
      </c>
      <c r="AJ14" s="44">
        <v>0.8</v>
      </c>
      <c r="AK14" s="45">
        <v>1.7</v>
      </c>
      <c r="AL14" s="9">
        <v>12</v>
      </c>
      <c r="AM14" s="9">
        <v>6.7</v>
      </c>
      <c r="AN14" s="9" t="s">
        <v>135</v>
      </c>
    </row>
    <row r="15" spans="1:41" x14ac:dyDescent="0.2">
      <c r="A15" s="148" t="s">
        <v>9</v>
      </c>
      <c r="B15" s="149"/>
      <c r="C15" s="49">
        <f>Bala!C15</f>
        <v>38</v>
      </c>
      <c r="D15" s="49">
        <f>Bala!D15</f>
        <v>38</v>
      </c>
      <c r="E15" s="49">
        <f>Bala!E15</f>
        <v>38</v>
      </c>
      <c r="F15" s="49">
        <f>Bala!F15</f>
        <v>38</v>
      </c>
      <c r="G15" s="49">
        <f>Bala!G15</f>
        <v>38</v>
      </c>
      <c r="H15" s="49">
        <f>Bala!H15</f>
        <v>38</v>
      </c>
      <c r="I15" s="49">
        <f>Bala!I15</f>
        <v>38</v>
      </c>
      <c r="J15" s="49">
        <f>Bala!J15</f>
        <v>38</v>
      </c>
      <c r="K15" s="49">
        <f>Bala!K15</f>
        <v>38</v>
      </c>
      <c r="L15" s="49">
        <f>Bala!L15</f>
        <v>38</v>
      </c>
      <c r="M15" s="49">
        <f>Bala!M15</f>
        <v>38</v>
      </c>
      <c r="N15" s="49">
        <f>Bala!N15</f>
        <v>38</v>
      </c>
      <c r="O15" s="49">
        <f>Bala!O15</f>
        <v>38</v>
      </c>
      <c r="P15" s="49">
        <f>Bala!P15</f>
        <v>38</v>
      </c>
      <c r="Q15" s="49">
        <f>Bala!Q15</f>
        <v>38</v>
      </c>
      <c r="R15" s="49">
        <f>Bala!R15</f>
        <v>0</v>
      </c>
      <c r="S15" s="49">
        <f>Bala!S15</f>
        <v>0</v>
      </c>
      <c r="T15" s="49">
        <f>Bala!T15</f>
        <v>0</v>
      </c>
      <c r="U15" s="49">
        <f>Bala!U15</f>
        <v>0</v>
      </c>
      <c r="V15" s="102">
        <f>Bala!V15</f>
        <v>0</v>
      </c>
      <c r="AD15" s="22" t="s">
        <v>144</v>
      </c>
      <c r="AE15" s="22">
        <v>7</v>
      </c>
      <c r="AI15" s="43" t="s">
        <v>101</v>
      </c>
      <c r="AJ15" s="51">
        <v>1.8</v>
      </c>
      <c r="AK15" s="45">
        <v>5.4</v>
      </c>
      <c r="AL15" s="9">
        <v>13</v>
      </c>
      <c r="AM15" s="9">
        <v>6.7</v>
      </c>
      <c r="AN15" s="9" t="s">
        <v>135</v>
      </c>
    </row>
    <row r="16" spans="1:41" ht="13.5" thickBot="1" x14ac:dyDescent="0.25">
      <c r="A16" s="152" t="s">
        <v>44</v>
      </c>
      <c r="B16" s="153"/>
      <c r="C16" s="104" t="str">
        <f>Bala!C16</f>
        <v>Medium/Clay</v>
      </c>
      <c r="D16" s="104" t="str">
        <f>Bala!D16</f>
        <v>Medium/Clay</v>
      </c>
      <c r="E16" s="104" t="str">
        <f>Bala!E16</f>
        <v>Medium/Clay</v>
      </c>
      <c r="F16" s="104" t="str">
        <f>Bala!F16</f>
        <v>Medium/Clay</v>
      </c>
      <c r="G16" s="104" t="str">
        <f>Bala!G16</f>
        <v>Medium/Clay</v>
      </c>
      <c r="H16" s="104" t="str">
        <f>Bala!H16</f>
        <v>Medium/Clay</v>
      </c>
      <c r="I16" s="104" t="str">
        <f>Bala!I16</f>
        <v>Medium/Clay</v>
      </c>
      <c r="J16" s="104" t="str">
        <f>Bala!J16</f>
        <v>Medium/Clay</v>
      </c>
      <c r="K16" s="104" t="str">
        <f>Bala!K16</f>
        <v>Medium/Clay</v>
      </c>
      <c r="L16" s="104" t="str">
        <f>Bala!L16</f>
        <v>Medium/Clay</v>
      </c>
      <c r="M16" s="104" t="str">
        <f>Bala!M16</f>
        <v>Medium/Clay</v>
      </c>
      <c r="N16" s="104" t="str">
        <f>Bala!N16</f>
        <v>Medium/Clay</v>
      </c>
      <c r="O16" s="104" t="str">
        <f>Bala!O16</f>
        <v>Medium/Clay</v>
      </c>
      <c r="P16" s="104" t="str">
        <f>Bala!P16</f>
        <v>Medium/Clay</v>
      </c>
      <c r="Q16" s="104" t="str">
        <f>Bala!Q16</f>
        <v>Medium/Clay</v>
      </c>
      <c r="R16" s="104">
        <f>Bala!R16</f>
        <v>0</v>
      </c>
      <c r="S16" s="104">
        <f>Bala!S16</f>
        <v>0</v>
      </c>
      <c r="T16" s="104">
        <f>Bala!T16</f>
        <v>0</v>
      </c>
      <c r="U16" s="104">
        <f>Bala!U16</f>
        <v>0</v>
      </c>
      <c r="V16" s="105">
        <f>Bala!V16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54.983999999999995</v>
      </c>
      <c r="D18" s="12">
        <f>$D32</f>
        <v>54.983999999999995</v>
      </c>
      <c r="E18" s="12">
        <f>$D33</f>
        <v>0</v>
      </c>
      <c r="F18" s="12">
        <f>$D34</f>
        <v>0</v>
      </c>
      <c r="G18" s="12">
        <f>$D35</f>
        <v>54.983999999999995</v>
      </c>
      <c r="H18" s="12">
        <f>$D36</f>
        <v>0</v>
      </c>
      <c r="I18" s="12">
        <f>$D37</f>
        <v>0</v>
      </c>
      <c r="J18" s="12">
        <f>$D38</f>
        <v>54.983999999999995</v>
      </c>
      <c r="K18" s="12">
        <f>$D39</f>
        <v>54.983999999999995</v>
      </c>
      <c r="L18" s="12">
        <f>$D40</f>
        <v>0</v>
      </c>
      <c r="M18" s="12">
        <f>$D41</f>
        <v>0</v>
      </c>
      <c r="N18" s="12">
        <f>$D42</f>
        <v>54.983999999999995</v>
      </c>
      <c r="O18" s="12">
        <f>$D43</f>
        <v>54.983999999999995</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-9.6159999999999997</v>
      </c>
      <c r="D19" s="12">
        <f t="shared" ref="D19:V19" si="1">D18-D17</f>
        <v>-9.6159999999999997</v>
      </c>
      <c r="E19" s="12">
        <f t="shared" si="1"/>
        <v>-64.599999999999994</v>
      </c>
      <c r="F19" s="12">
        <f t="shared" si="1"/>
        <v>-64.599999999999994</v>
      </c>
      <c r="G19" s="12">
        <f t="shared" si="1"/>
        <v>-9.6159999999999997</v>
      </c>
      <c r="H19" s="12">
        <f t="shared" si="1"/>
        <v>-64.599999999999994</v>
      </c>
      <c r="I19" s="12">
        <f t="shared" si="1"/>
        <v>-64.599999999999994</v>
      </c>
      <c r="J19" s="12">
        <f t="shared" si="1"/>
        <v>-9.6159999999999997</v>
      </c>
      <c r="K19" s="12">
        <f t="shared" si="1"/>
        <v>-9.6159999999999997</v>
      </c>
      <c r="L19" s="12">
        <f t="shared" si="1"/>
        <v>-64.599999999999994</v>
      </c>
      <c r="M19" s="12">
        <f t="shared" si="1"/>
        <v>-64.599999999999994</v>
      </c>
      <c r="N19" s="12">
        <f t="shared" si="1"/>
        <v>-9.6159999999999997</v>
      </c>
      <c r="O19" s="12">
        <f t="shared" si="1"/>
        <v>-9.6159999999999997</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0.78626249999999998</v>
      </c>
      <c r="D22" s="12">
        <f>$E32</f>
        <v>0.78626249999999998</v>
      </c>
      <c r="E22" s="12">
        <f>$E33</f>
        <v>0</v>
      </c>
      <c r="F22" s="12">
        <f>$E34</f>
        <v>0</v>
      </c>
      <c r="G22" s="12">
        <f>$E35</f>
        <v>0.78626249999999998</v>
      </c>
      <c r="H22" s="12">
        <f>$E36</f>
        <v>0</v>
      </c>
      <c r="I22" s="12">
        <f>$E37</f>
        <v>0</v>
      </c>
      <c r="J22" s="12">
        <f>$E38</f>
        <v>0.78626249999999998</v>
      </c>
      <c r="K22" s="12">
        <f>$E39</f>
        <v>0.78626249999999998</v>
      </c>
      <c r="L22" s="12">
        <f>$E40</f>
        <v>0</v>
      </c>
      <c r="M22" s="12">
        <f>$E41</f>
        <v>0</v>
      </c>
      <c r="N22" s="12">
        <f>$E42</f>
        <v>0.78626249999999998</v>
      </c>
      <c r="O22" s="12">
        <f>$E43</f>
        <v>0.78626249999999998</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-227.21373750000001</v>
      </c>
      <c r="D23" s="12">
        <f t="shared" ref="D23:V23" si="3">D22-D21</f>
        <v>-227.21373750000001</v>
      </c>
      <c r="E23" s="12">
        <f t="shared" si="3"/>
        <v>-228</v>
      </c>
      <c r="F23" s="12">
        <f t="shared" si="3"/>
        <v>-228</v>
      </c>
      <c r="G23" s="12">
        <f t="shared" si="3"/>
        <v>-227.21373750000001</v>
      </c>
      <c r="H23" s="12">
        <f t="shared" si="3"/>
        <v>-228</v>
      </c>
      <c r="I23" s="12">
        <f t="shared" si="3"/>
        <v>-228</v>
      </c>
      <c r="J23" s="12">
        <f t="shared" si="3"/>
        <v>-227.21373750000001</v>
      </c>
      <c r="K23" s="12">
        <f t="shared" si="3"/>
        <v>-227.21373750000001</v>
      </c>
      <c r="L23" s="12">
        <f t="shared" si="3"/>
        <v>-228</v>
      </c>
      <c r="M23" s="12">
        <f t="shared" si="3"/>
        <v>-228</v>
      </c>
      <c r="N23" s="12">
        <f t="shared" si="3"/>
        <v>-227.21373750000001</v>
      </c>
      <c r="O23" s="12">
        <f t="shared" si="3"/>
        <v>-227.21373750000001</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3</v>
      </c>
      <c r="C28" s="11">
        <v>0.95099999999999996</v>
      </c>
      <c r="D28" s="11">
        <v>0.32</v>
      </c>
      <c r="E28" s="11">
        <v>8.6999999999999994E-3</v>
      </c>
      <c r="F28" s="11">
        <v>970</v>
      </c>
      <c r="G28" s="11">
        <v>27.9</v>
      </c>
      <c r="H28" s="11">
        <v>138</v>
      </c>
      <c r="I28" s="11">
        <v>4.3499999999999996</v>
      </c>
      <c r="J28" s="11">
        <v>0.34</v>
      </c>
      <c r="K28" s="15">
        <v>1.35</v>
      </c>
      <c r="L28" s="11">
        <v>5.5</v>
      </c>
      <c r="M28" s="11">
        <v>2.2799999999999998</v>
      </c>
      <c r="N28" s="11">
        <v>252000</v>
      </c>
      <c r="O28" s="11">
        <v>3570</v>
      </c>
      <c r="P28" s="11"/>
      <c r="Q28" s="11">
        <v>12400</v>
      </c>
      <c r="R28" s="11"/>
      <c r="S28" s="11">
        <v>10.8</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250</v>
      </c>
      <c r="C31" s="65">
        <f>IF(C$27="%w/w SAR",((C$28*10)*$B31),IF(C$27="%w/w DM",(((C$28*10)*($B$28/100))*$B31),IF(C$27="kg/t SAR",(C$28*$B31),IF(C$27="kg/t DM",((C$28*($B$28/100))*$B31),IF(C$27="mg/kg SAR",((C$28*0.001)*$B31),IF(C$27="mg/kg DM",(((C$28*0.001)*($B$28/100))*$B31),0))))))</f>
        <v>71.325000000000003</v>
      </c>
      <c r="D31" s="65">
        <f>(IF(D$27="%w/w SAR",((D$28*10)*$B31),IF(D$27="%w/w DM",(((D$28*10)*($B$28/100))*$B31),IF(D$27="kg/t SAR",(D$28*$B31),IF(D$27="kg/t DM",((D$28*($B$28/100))*$B31),IF(D$27="mg/kg SAR",((D$28*0.001)*$B31),IF(D$27="mg/kg DM",(((D$28*0.001)*($B$28/100))*$B31),"0")))))))*2.291</f>
        <v>54.983999999999995</v>
      </c>
      <c r="E31" s="65">
        <f>(IF(E$27="%w/w SAR",((E$28*10)*$B31),IF(E$27="%w/w DM",(((E$28*10)*($B$28/100))*$B31),IF(E$27="kg/t SAR",(E$28*$B31),IF(E$27="kg/t DM",((E$28*($B$28/100))*$B31),IF(E$27="mg/kg SAR",((E$28*0.001)*$B31),IF(E$27="mg/kg DM",(((E$28*0.001)*($B$28/100))*$B31),"0")))))))*1.205</f>
        <v>0.78626249999999998</v>
      </c>
      <c r="F31" s="65">
        <f>(IF(F$27="%w/w SAR",((F$28*10)*$B31),IF(F$27="%w/w DM",(((F$28*10)*($B$28/100))*$B31),IF(F$27="kg/t SAR",(F$28*$B31),IF(F$27="kg/t DM",((F$28*($B$28/100))*$B31),IF(F$27="mg/kg SAR",((F$28*0.001)*$B31),IF(F$27="mg/kg DM",(((F$28*0.001)*($B$28/100))*$B31),"0")))))))*1.658</f>
        <v>12.061949999999998</v>
      </c>
      <c r="G31" s="65">
        <f t="shared" ref="G31:P46" si="5">IF(G$27="%w/w SAR",((G$28*10)*$B31),IF(G$27="%w/w DM",(((G$28*10)*($B$28/100))*$B31),IF(G$27="kg/t SAR",(G$28*$B31),IF(G$27="kg/t DM",((G$28*($B$28/100))*$B31),IF(G$27="mg/kg SAR",((G$28*0.001)*$B31),IF(G$27="mg/kg DM",(((G$28*0.001)*($B$28/100))*$B31),0))))))</f>
        <v>0.20924999999999996</v>
      </c>
      <c r="H31" s="65">
        <f t="shared" si="5"/>
        <v>1.0350000000000001</v>
      </c>
      <c r="I31" s="65">
        <f t="shared" si="5"/>
        <v>3.2624999999999994E-2</v>
      </c>
      <c r="J31" s="65">
        <f t="shared" si="5"/>
        <v>2.5500000000000002E-3</v>
      </c>
      <c r="K31" s="65">
        <f t="shared" si="5"/>
        <v>1.0125E-2</v>
      </c>
      <c r="L31" s="65">
        <f t="shared" si="5"/>
        <v>4.1249999999999995E-2</v>
      </c>
      <c r="M31" s="65">
        <f t="shared" si="5"/>
        <v>1.7100000000000001E-2</v>
      </c>
      <c r="N31" s="65">
        <f t="shared" si="5"/>
        <v>1890</v>
      </c>
      <c r="O31" s="65">
        <f t="shared" si="5"/>
        <v>26.774999999999999</v>
      </c>
      <c r="P31" s="65">
        <f t="shared" si="5"/>
        <v>0</v>
      </c>
      <c r="Q31" s="65">
        <f>(IF(Q$27="%w/w SAR",((Q$28*10)*$B31),IF(Q$27="%w/w DM",(((Q$28*10)*($B$28/100))*$B31),IF(Q$27="kg/t SAR",(Q$28*$B31),IF(Q$27="kg/t DM",((Q$28*($B$28/100))*$B31),IF(Q$27="mg/kg SAR",((Q$28*0.001)*$B31),IF(Q$27="mg/kg DM",(((Q$28*0.001)*($B$28/100))*$B31),0)))))))*2.5</f>
        <v>232.5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8.1000000000000003E-2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250</v>
      </c>
      <c r="C32" s="65">
        <f t="shared" ref="C32:C50" si="6">IF(C$27="%w/w SAR",((C$28*10)*$B32),IF(C$27="%w/w DM",(((C$28*10)*($B$28/100))*$B32),IF(C$27="kg/t SAR",(C$28*$B32),IF(C$27="kg/t DM",((C$28*($B$28/100))*$B32),IF(C$27="mg/kg SAR",((C$28*0.001)*$B32),IF(C$27="mg/kg DM",(((C$28*0.001)*($B$28/100))*$B32),0))))))</f>
        <v>71.325000000000003</v>
      </c>
      <c r="D32" s="65">
        <f t="shared" ref="D32:D50" si="7">(IF(D$27="%w/w SAR",((D$28*10)*$B32),IF(D$27="%w/w DM",(((D$28*10)*($B$28/100))*$B32),IF(D$27="kg/t SAR",(D$28*$B32),IF(D$27="kg/t DM",((D$28*($B$28/100))*$B32),IF(D$27="mg/kg SAR",((D$28*0.001)*$B32),IF(D$27="mg/kg DM",(((D$28*0.001)*($B$28/100))*$B32),"0")))))))*2.291</f>
        <v>54.983999999999995</v>
      </c>
      <c r="E32" s="65">
        <f t="shared" ref="E32:E50" si="8">(IF(E$27="%w/w SAR",((E$28*10)*$B32),IF(E$27="%w/w DM",(((E$28*10)*($B$28/100))*$B32),IF(E$27="kg/t SAR",(E$28*$B32),IF(E$27="kg/t DM",((E$28*($B$28/100))*$B32),IF(E$27="mg/kg SAR",((E$28*0.001)*$B32),IF(E$27="mg/kg DM",(((E$28*0.001)*($B$28/100))*$B32),"0")))))))*1.205</f>
        <v>0.78626249999999998</v>
      </c>
      <c r="F32" s="65">
        <f t="shared" ref="F32:F50" si="9">(IF(F$27="%w/w SAR",((F$28*10)*$B32),IF(F$27="%w/w DM",(((F$28*10)*($B$28/100))*$B32),IF(F$27="kg/t SAR",(F$28*$B32),IF(F$27="kg/t DM",((F$28*($B$28/100))*$B32),IF(F$27="mg/kg SAR",((F$28*0.001)*$B32),IF(F$27="mg/kg DM",(((F$28*0.001)*($B$28/100))*$B32),"0")))))))*1.658</f>
        <v>12.061949999999998</v>
      </c>
      <c r="G32" s="65">
        <f t="shared" si="5"/>
        <v>0.20924999999999996</v>
      </c>
      <c r="H32" s="65">
        <f t="shared" si="5"/>
        <v>1.0350000000000001</v>
      </c>
      <c r="I32" s="65">
        <f t="shared" si="5"/>
        <v>3.2624999999999994E-2</v>
      </c>
      <c r="J32" s="65">
        <f t="shared" si="5"/>
        <v>2.5500000000000002E-3</v>
      </c>
      <c r="K32" s="65">
        <f t="shared" si="5"/>
        <v>1.0125E-2</v>
      </c>
      <c r="L32" s="65">
        <f t="shared" si="5"/>
        <v>4.1249999999999995E-2</v>
      </c>
      <c r="M32" s="65">
        <f t="shared" si="5"/>
        <v>1.7100000000000001E-2</v>
      </c>
      <c r="N32" s="65">
        <f t="shared" si="5"/>
        <v>1890</v>
      </c>
      <c r="O32" s="65">
        <f t="shared" si="5"/>
        <v>26.774999999999999</v>
      </c>
      <c r="P32" s="65">
        <f t="shared" si="5"/>
        <v>0</v>
      </c>
      <c r="Q32" s="65">
        <f t="shared" ref="Q32:Q50" si="10">(IF(Q$27="%w/w SAR",((Q$28*10)*$B32),IF(Q$27="%w/w DM",(((Q$28*10)*($B$28/100))*$B32),IF(Q$27="kg/t SAR",(Q$28*$B32),IF(Q$27="kg/t DM",((Q$28*($B$28/100))*$B32),IF(Q$27="mg/kg SAR",((Q$28*0.001)*$B32),IF(Q$27="mg/kg DM",(((Q$28*0.001)*($B$28/100))*$B32),0)))))))*2.5</f>
        <v>232.5</v>
      </c>
      <c r="R32" s="65">
        <f t="shared" ref="R32:U50" si="11">IF(R$27="%w/w SAR",((R$28*10)*$B32),IF(R$27="%w/w DM",(((R$28*10)*($B$28/100))*$B32),IF(R$27="kg/t SAR",(R$28*$B32),IF(R$27="kg/t DM",((R$28*($B$28/100))*$B32),IF(R$27="mg/kg SAR",((R$28*0.001)*$B32),IF(R$27="mg/kg DM",(((R$28*0.001)*($B$28/100))*$B32),0))))))</f>
        <v>0</v>
      </c>
      <c r="S32" s="65">
        <f t="shared" si="11"/>
        <v>8.1000000000000003E-2</v>
      </c>
      <c r="T32" s="65">
        <f t="shared" si="11"/>
        <v>0</v>
      </c>
      <c r="U32" s="126">
        <f t="shared" si="11"/>
        <v>0</v>
      </c>
    </row>
    <row r="33" spans="1:21" s="48" customFormat="1" x14ac:dyDescent="0.25">
      <c r="A33" s="125">
        <f>E8</f>
        <v>3</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5</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7</v>
      </c>
      <c r="B35" s="11">
        <v>250</v>
      </c>
      <c r="C35" s="65">
        <f t="shared" si="6"/>
        <v>71.325000000000003</v>
      </c>
      <c r="D35" s="65">
        <f t="shared" si="7"/>
        <v>54.983999999999995</v>
      </c>
      <c r="E35" s="65">
        <f t="shared" si="8"/>
        <v>0.78626249999999998</v>
      </c>
      <c r="F35" s="65">
        <f t="shared" si="9"/>
        <v>12.061949999999998</v>
      </c>
      <c r="G35" s="65">
        <f t="shared" si="5"/>
        <v>0.20924999999999996</v>
      </c>
      <c r="H35" s="65">
        <f t="shared" si="5"/>
        <v>1.0350000000000001</v>
      </c>
      <c r="I35" s="65">
        <f t="shared" si="5"/>
        <v>3.2624999999999994E-2</v>
      </c>
      <c r="J35" s="65">
        <f t="shared" si="5"/>
        <v>2.5500000000000002E-3</v>
      </c>
      <c r="K35" s="65">
        <f t="shared" si="5"/>
        <v>1.0125E-2</v>
      </c>
      <c r="L35" s="65">
        <f t="shared" si="5"/>
        <v>4.1249999999999995E-2</v>
      </c>
      <c r="M35" s="65">
        <f t="shared" si="5"/>
        <v>1.7100000000000001E-2</v>
      </c>
      <c r="N35" s="65">
        <f t="shared" si="5"/>
        <v>1890</v>
      </c>
      <c r="O35" s="65">
        <f t="shared" si="5"/>
        <v>26.774999999999999</v>
      </c>
      <c r="P35" s="65">
        <f t="shared" si="5"/>
        <v>0</v>
      </c>
      <c r="Q35" s="65">
        <f t="shared" si="10"/>
        <v>232.5</v>
      </c>
      <c r="R35" s="65">
        <f t="shared" si="11"/>
        <v>0</v>
      </c>
      <c r="S35" s="65">
        <f t="shared" si="11"/>
        <v>8.1000000000000003E-2</v>
      </c>
      <c r="T35" s="65">
        <f t="shared" si="11"/>
        <v>0</v>
      </c>
      <c r="U35" s="126">
        <f t="shared" si="11"/>
        <v>0</v>
      </c>
    </row>
    <row r="36" spans="1:21" s="48" customFormat="1" x14ac:dyDescent="0.25">
      <c r="A36" s="125">
        <f>H8</f>
        <v>11</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12</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13</v>
      </c>
      <c r="B38" s="11">
        <v>250</v>
      </c>
      <c r="C38" s="65">
        <f t="shared" si="6"/>
        <v>71.325000000000003</v>
      </c>
      <c r="D38" s="65">
        <f t="shared" si="7"/>
        <v>54.983999999999995</v>
      </c>
      <c r="E38" s="65">
        <f t="shared" si="8"/>
        <v>0.78626249999999998</v>
      </c>
      <c r="F38" s="65">
        <f t="shared" si="9"/>
        <v>12.061949999999998</v>
      </c>
      <c r="G38" s="65">
        <f t="shared" si="5"/>
        <v>0.20924999999999996</v>
      </c>
      <c r="H38" s="65">
        <f t="shared" si="5"/>
        <v>1.0350000000000001</v>
      </c>
      <c r="I38" s="65">
        <f t="shared" si="5"/>
        <v>3.2624999999999994E-2</v>
      </c>
      <c r="J38" s="65">
        <f t="shared" si="5"/>
        <v>2.5500000000000002E-3</v>
      </c>
      <c r="K38" s="65">
        <f t="shared" si="5"/>
        <v>1.0125E-2</v>
      </c>
      <c r="L38" s="65">
        <f t="shared" si="5"/>
        <v>4.1249999999999995E-2</v>
      </c>
      <c r="M38" s="65">
        <f t="shared" si="5"/>
        <v>1.7100000000000001E-2</v>
      </c>
      <c r="N38" s="65">
        <f t="shared" si="5"/>
        <v>1890</v>
      </c>
      <c r="O38" s="65">
        <f t="shared" si="5"/>
        <v>26.774999999999999</v>
      </c>
      <c r="P38" s="65">
        <f t="shared" si="5"/>
        <v>0</v>
      </c>
      <c r="Q38" s="65">
        <f t="shared" si="10"/>
        <v>232.5</v>
      </c>
      <c r="R38" s="65">
        <f t="shared" si="11"/>
        <v>0</v>
      </c>
      <c r="S38" s="65">
        <f t="shared" si="11"/>
        <v>8.1000000000000003E-2</v>
      </c>
      <c r="T38" s="65">
        <f t="shared" si="11"/>
        <v>0</v>
      </c>
      <c r="U38" s="126">
        <f t="shared" si="11"/>
        <v>0</v>
      </c>
    </row>
    <row r="39" spans="1:21" s="48" customFormat="1" x14ac:dyDescent="0.25">
      <c r="A39" s="125">
        <f>K8</f>
        <v>14</v>
      </c>
      <c r="B39" s="11">
        <v>250</v>
      </c>
      <c r="C39" s="65">
        <f t="shared" si="6"/>
        <v>71.325000000000003</v>
      </c>
      <c r="D39" s="65">
        <f t="shared" si="7"/>
        <v>54.983999999999995</v>
      </c>
      <c r="E39" s="65">
        <f t="shared" si="8"/>
        <v>0.78626249999999998</v>
      </c>
      <c r="F39" s="65">
        <f t="shared" si="9"/>
        <v>12.061949999999998</v>
      </c>
      <c r="G39" s="65">
        <f t="shared" si="5"/>
        <v>0.20924999999999996</v>
      </c>
      <c r="H39" s="65">
        <f t="shared" si="5"/>
        <v>1.0350000000000001</v>
      </c>
      <c r="I39" s="65">
        <f t="shared" si="5"/>
        <v>3.2624999999999994E-2</v>
      </c>
      <c r="J39" s="65">
        <f t="shared" si="5"/>
        <v>2.5500000000000002E-3</v>
      </c>
      <c r="K39" s="65">
        <f t="shared" si="5"/>
        <v>1.0125E-2</v>
      </c>
      <c r="L39" s="65">
        <f t="shared" si="5"/>
        <v>4.1249999999999995E-2</v>
      </c>
      <c r="M39" s="65">
        <f t="shared" si="5"/>
        <v>1.7100000000000001E-2</v>
      </c>
      <c r="N39" s="65">
        <f t="shared" si="5"/>
        <v>1890</v>
      </c>
      <c r="O39" s="65">
        <f t="shared" si="5"/>
        <v>26.774999999999999</v>
      </c>
      <c r="P39" s="65">
        <f t="shared" si="5"/>
        <v>0</v>
      </c>
      <c r="Q39" s="65">
        <f t="shared" si="10"/>
        <v>232.5</v>
      </c>
      <c r="R39" s="65">
        <f t="shared" si="11"/>
        <v>0</v>
      </c>
      <c r="S39" s="65">
        <f t="shared" si="11"/>
        <v>8.1000000000000003E-2</v>
      </c>
      <c r="T39" s="65">
        <f t="shared" si="11"/>
        <v>0</v>
      </c>
      <c r="U39" s="126">
        <f t="shared" si="11"/>
        <v>0</v>
      </c>
    </row>
    <row r="40" spans="1:21" s="48" customFormat="1" x14ac:dyDescent="0.25">
      <c r="A40" s="125">
        <f>L8</f>
        <v>15</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17</v>
      </c>
      <c r="B41" s="11">
        <v>0</v>
      </c>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18</v>
      </c>
      <c r="B42" s="11">
        <v>250</v>
      </c>
      <c r="C42" s="65">
        <f t="shared" si="6"/>
        <v>71.325000000000003</v>
      </c>
      <c r="D42" s="65">
        <f t="shared" si="7"/>
        <v>54.983999999999995</v>
      </c>
      <c r="E42" s="65">
        <f t="shared" si="8"/>
        <v>0.78626249999999998</v>
      </c>
      <c r="F42" s="65">
        <f t="shared" si="9"/>
        <v>12.061949999999998</v>
      </c>
      <c r="G42" s="65">
        <f t="shared" si="5"/>
        <v>0.20924999999999996</v>
      </c>
      <c r="H42" s="65">
        <f t="shared" si="5"/>
        <v>1.0350000000000001</v>
      </c>
      <c r="I42" s="65">
        <f t="shared" si="5"/>
        <v>3.2624999999999994E-2</v>
      </c>
      <c r="J42" s="65">
        <f t="shared" si="5"/>
        <v>2.5500000000000002E-3</v>
      </c>
      <c r="K42" s="65">
        <f t="shared" si="5"/>
        <v>1.0125E-2</v>
      </c>
      <c r="L42" s="65">
        <f t="shared" si="5"/>
        <v>4.1249999999999995E-2</v>
      </c>
      <c r="M42" s="65">
        <f t="shared" si="5"/>
        <v>1.7100000000000001E-2</v>
      </c>
      <c r="N42" s="65">
        <f t="shared" si="5"/>
        <v>1890</v>
      </c>
      <c r="O42" s="65">
        <f t="shared" si="5"/>
        <v>26.774999999999999</v>
      </c>
      <c r="P42" s="65">
        <f t="shared" si="5"/>
        <v>0</v>
      </c>
      <c r="Q42" s="65">
        <f t="shared" si="10"/>
        <v>232.5</v>
      </c>
      <c r="R42" s="65">
        <f t="shared" si="11"/>
        <v>0</v>
      </c>
      <c r="S42" s="65">
        <f t="shared" si="11"/>
        <v>8.1000000000000003E-2</v>
      </c>
      <c r="T42" s="65">
        <f t="shared" si="11"/>
        <v>0</v>
      </c>
      <c r="U42" s="126">
        <f t="shared" si="11"/>
        <v>0</v>
      </c>
    </row>
    <row r="43" spans="1:21" s="48" customFormat="1" x14ac:dyDescent="0.25">
      <c r="A43" s="125">
        <f>O8</f>
        <v>19</v>
      </c>
      <c r="B43" s="11">
        <v>250</v>
      </c>
      <c r="C43" s="65">
        <f t="shared" si="6"/>
        <v>71.325000000000003</v>
      </c>
      <c r="D43" s="65">
        <f t="shared" si="7"/>
        <v>54.983999999999995</v>
      </c>
      <c r="E43" s="65">
        <f t="shared" si="8"/>
        <v>0.78626249999999998</v>
      </c>
      <c r="F43" s="65">
        <f t="shared" si="9"/>
        <v>12.061949999999998</v>
      </c>
      <c r="G43" s="65">
        <f t="shared" si="5"/>
        <v>0.20924999999999996</v>
      </c>
      <c r="H43" s="65">
        <f t="shared" si="5"/>
        <v>1.0350000000000001</v>
      </c>
      <c r="I43" s="65">
        <f t="shared" si="5"/>
        <v>3.2624999999999994E-2</v>
      </c>
      <c r="J43" s="65">
        <f t="shared" si="5"/>
        <v>2.5500000000000002E-3</v>
      </c>
      <c r="K43" s="65">
        <f t="shared" si="5"/>
        <v>1.0125E-2</v>
      </c>
      <c r="L43" s="65">
        <f t="shared" si="5"/>
        <v>4.1249999999999995E-2</v>
      </c>
      <c r="M43" s="65">
        <f t="shared" si="5"/>
        <v>1.7100000000000001E-2</v>
      </c>
      <c r="N43" s="65">
        <f t="shared" si="5"/>
        <v>1890</v>
      </c>
      <c r="O43" s="65">
        <f t="shared" si="5"/>
        <v>26.774999999999999</v>
      </c>
      <c r="P43" s="65">
        <f t="shared" si="5"/>
        <v>0</v>
      </c>
      <c r="Q43" s="65">
        <f t="shared" si="10"/>
        <v>232.5</v>
      </c>
      <c r="R43" s="65">
        <f t="shared" si="11"/>
        <v>0</v>
      </c>
      <c r="S43" s="65">
        <f t="shared" si="11"/>
        <v>8.1000000000000003E-2</v>
      </c>
      <c r="T43" s="65">
        <f t="shared" si="11"/>
        <v>0</v>
      </c>
      <c r="U43" s="126">
        <f t="shared" si="11"/>
        <v>0</v>
      </c>
    </row>
    <row r="44" spans="1:21" s="48" customFormat="1" x14ac:dyDescent="0.25">
      <c r="A44" s="125">
        <f>P8</f>
        <v>20</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21</v>
      </c>
      <c r="B45" s="11">
        <v>0</v>
      </c>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x14ac:dyDescent="0.2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Grass</v>
      </c>
      <c r="P58" s="10" t="str">
        <f>Q16&amp;" I "&amp;(VLOOKUP(Q14,Table24581112[],6,FALSE))</f>
        <v>Medium/Clay I Grass</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6.2</v>
      </c>
      <c r="P59" s="64">
        <f>VLOOKUP(Q$14,Table24581112[],5,FALSE)</f>
        <v>6.2</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x14ac:dyDescent="0.2">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0</v>
      </c>
      <c r="E62" s="65">
        <f>B34</f>
        <v>0</v>
      </c>
      <c r="F62" s="65">
        <f>B35</f>
        <v>250</v>
      </c>
      <c r="G62" s="65">
        <f>B36</f>
        <v>0</v>
      </c>
      <c r="H62" s="65">
        <f>B37</f>
        <v>0</v>
      </c>
      <c r="I62" s="65">
        <f>B38</f>
        <v>250</v>
      </c>
      <c r="J62" s="65">
        <f>B39</f>
        <v>250</v>
      </c>
      <c r="K62" s="65">
        <f>B40</f>
        <v>0</v>
      </c>
      <c r="L62" s="65">
        <f>B41</f>
        <v>0</v>
      </c>
      <c r="M62" s="65">
        <f>B42</f>
        <v>250</v>
      </c>
      <c r="N62" s="65">
        <f>B43</f>
        <v>250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1" x14ac:dyDescent="0.2">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31" sqref="A3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30" t="s">
        <v>41</v>
      </c>
      <c r="B1" s="131"/>
      <c r="C1" s="172" t="str">
        <f>Bala!C1:D1</f>
        <v>PAN-030515</v>
      </c>
      <c r="D1" s="173"/>
      <c r="E1" s="106" t="s">
        <v>45</v>
      </c>
      <c r="F1" s="113">
        <f>Bala!F1</f>
        <v>50</v>
      </c>
      <c r="G1" s="162" t="s">
        <v>43</v>
      </c>
      <c r="H1" s="163"/>
      <c r="I1" s="109">
        <v>6.8</v>
      </c>
      <c r="J1" s="130" t="s">
        <v>153</v>
      </c>
      <c r="K1" s="131"/>
      <c r="L1" s="109">
        <v>276</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Bala!C2:D2</f>
        <v>EPR/GP3792SK</v>
      </c>
      <c r="D2" s="169"/>
      <c r="E2" s="96" t="s">
        <v>109</v>
      </c>
      <c r="F2" s="110" t="s">
        <v>165</v>
      </c>
      <c r="G2" s="164" t="s">
        <v>110</v>
      </c>
      <c r="H2" s="165"/>
      <c r="I2" s="110"/>
      <c r="J2" s="132" t="s">
        <v>158</v>
      </c>
      <c r="K2" s="133"/>
      <c r="L2" s="110">
        <v>0.71799999999999997</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Bala!C3:D3</f>
        <v>ByProduct Recovery Ltd</v>
      </c>
      <c r="D3" s="169"/>
      <c r="E3" s="96" t="s">
        <v>108</v>
      </c>
      <c r="F3" s="111" t="s">
        <v>78</v>
      </c>
      <c r="G3" s="132" t="s">
        <v>159</v>
      </c>
      <c r="H3" s="133"/>
      <c r="I3" s="110"/>
      <c r="J3" s="134" t="s">
        <v>154</v>
      </c>
      <c r="K3" s="135"/>
      <c r="L3" s="110">
        <f>(L1/(L2*10000))*100</f>
        <v>3.8440111420612815</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Bala!C4:D4</f>
        <v>Henllys, Llanfair TH, Abergele, Conwys, LL22 8TF</v>
      </c>
      <c r="D4" s="171"/>
      <c r="E4" s="99" t="s">
        <v>1</v>
      </c>
      <c r="F4" s="110" t="s">
        <v>170</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Bala!C5:D5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f>Bala!C8</f>
        <v>1</v>
      </c>
      <c r="D8" s="49">
        <f>Bala!D8</f>
        <v>2</v>
      </c>
      <c r="E8" s="49">
        <f>Bala!E8</f>
        <v>3</v>
      </c>
      <c r="F8" s="49">
        <f>Bala!F8</f>
        <v>5</v>
      </c>
      <c r="G8" s="49">
        <f>Bala!G8</f>
        <v>7</v>
      </c>
      <c r="H8" s="49">
        <f>Bala!H8</f>
        <v>11</v>
      </c>
      <c r="I8" s="49">
        <f>Bala!I8</f>
        <v>12</v>
      </c>
      <c r="J8" s="49">
        <f>Bala!J8</f>
        <v>13</v>
      </c>
      <c r="K8" s="49">
        <f>Bala!K8</f>
        <v>14</v>
      </c>
      <c r="L8" s="49">
        <f>Bala!L8</f>
        <v>15</v>
      </c>
      <c r="M8" s="49">
        <f>Bala!M8</f>
        <v>17</v>
      </c>
      <c r="N8" s="49">
        <f>Bala!N8</f>
        <v>18</v>
      </c>
      <c r="O8" s="49">
        <f>Bala!O8</f>
        <v>19</v>
      </c>
      <c r="P8" s="49">
        <f>Bala!P8</f>
        <v>20</v>
      </c>
      <c r="Q8" s="49">
        <f>Bala!Q8</f>
        <v>21</v>
      </c>
      <c r="R8" s="49">
        <f>Bala!R8</f>
        <v>0</v>
      </c>
      <c r="S8" s="49">
        <f>Bala!S8</f>
        <v>0</v>
      </c>
      <c r="T8" s="49">
        <f>Bala!T8</f>
        <v>0</v>
      </c>
      <c r="U8" s="49">
        <f>Bala!U8</f>
        <v>0</v>
      </c>
      <c r="V8" s="102">
        <f>Bala!V8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f>Bala!C9</f>
        <v>0</v>
      </c>
      <c r="D9" s="49">
        <f>Bala!D9</f>
        <v>0</v>
      </c>
      <c r="E9" s="49">
        <f>Bala!E9</f>
        <v>0</v>
      </c>
      <c r="F9" s="49">
        <f>Bala!F9</f>
        <v>0</v>
      </c>
      <c r="G9" s="49">
        <f>Bala!G9</f>
        <v>0</v>
      </c>
      <c r="H9" s="49">
        <f>Bala!H9</f>
        <v>0</v>
      </c>
      <c r="I9" s="49">
        <f>Bala!I9</f>
        <v>0</v>
      </c>
      <c r="J9" s="49">
        <f>Bala!J9</f>
        <v>0</v>
      </c>
      <c r="K9" s="49">
        <f>Bala!K9</f>
        <v>0</v>
      </c>
      <c r="L9" s="49">
        <f>Bala!L9</f>
        <v>0</v>
      </c>
      <c r="M9" s="49">
        <f>Bala!M9</f>
        <v>0</v>
      </c>
      <c r="N9" s="49">
        <f>Bala!N9</f>
        <v>0</v>
      </c>
      <c r="O9" s="49">
        <f>Bala!O9</f>
        <v>0</v>
      </c>
      <c r="P9" s="49">
        <f>Bala!P9</f>
        <v>0</v>
      </c>
      <c r="Q9" s="49">
        <f>Bala!Q9</f>
        <v>0</v>
      </c>
      <c r="R9" s="49">
        <f>Bala!R9</f>
        <v>0</v>
      </c>
      <c r="S9" s="49">
        <f>Bala!S9</f>
        <v>0</v>
      </c>
      <c r="T9" s="49">
        <f>Bala!T9</f>
        <v>0</v>
      </c>
      <c r="U9" s="49">
        <f>Bala!U9</f>
        <v>0</v>
      </c>
      <c r="V9" s="102">
        <f>Bala!V9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Bala!C10</f>
        <v>6.2</v>
      </c>
      <c r="D10" s="49">
        <f>Bala!D10</f>
        <v>6.4</v>
      </c>
      <c r="E10" s="49">
        <f>Bala!E10</f>
        <v>5.6</v>
      </c>
      <c r="F10" s="49">
        <f>Bala!F10</f>
        <v>5.5</v>
      </c>
      <c r="G10" s="49">
        <f>Bala!G10</f>
        <v>6.3</v>
      </c>
      <c r="H10" s="49">
        <f>Bala!H10</f>
        <v>5.5</v>
      </c>
      <c r="I10" s="49">
        <f>Bala!I10</f>
        <v>5.6</v>
      </c>
      <c r="J10" s="49">
        <f>Bala!J10</f>
        <v>6.4</v>
      </c>
      <c r="K10" s="49">
        <f>Bala!K10</f>
        <v>6.3</v>
      </c>
      <c r="L10" s="49">
        <f>Bala!L10</f>
        <v>5.7</v>
      </c>
      <c r="M10" s="49">
        <f>Bala!M10</f>
        <v>5.9</v>
      </c>
      <c r="N10" s="49">
        <f>Bala!N10</f>
        <v>6</v>
      </c>
      <c r="O10" s="49">
        <f>Bala!O10</f>
        <v>6.2</v>
      </c>
      <c r="P10" s="49">
        <f>Bala!P10</f>
        <v>5.8</v>
      </c>
      <c r="Q10" s="49">
        <f>Bala!Q10</f>
        <v>5.9</v>
      </c>
      <c r="R10" s="49">
        <f>Bala!R10</f>
        <v>0</v>
      </c>
      <c r="S10" s="49">
        <f>Bala!S10</f>
        <v>0</v>
      </c>
      <c r="T10" s="49">
        <f>Bala!T10</f>
        <v>0</v>
      </c>
      <c r="U10" s="49">
        <f>Bala!U10</f>
        <v>0</v>
      </c>
      <c r="V10" s="102">
        <f>Bala!V10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Bala!C11</f>
        <v>2</v>
      </c>
      <c r="D11" s="49">
        <f>Bala!D11</f>
        <v>1</v>
      </c>
      <c r="E11" s="49">
        <f>Bala!E11</f>
        <v>2</v>
      </c>
      <c r="F11" s="49">
        <f>Bala!F11</f>
        <v>1</v>
      </c>
      <c r="G11" s="49">
        <f>Bala!G11</f>
        <v>0</v>
      </c>
      <c r="H11" s="49">
        <f>Bala!H11</f>
        <v>2</v>
      </c>
      <c r="I11" s="49">
        <f>Bala!I11</f>
        <v>2</v>
      </c>
      <c r="J11" s="49">
        <f>Bala!J11</f>
        <v>2</v>
      </c>
      <c r="K11" s="49">
        <f>Bala!K11</f>
        <v>2</v>
      </c>
      <c r="L11" s="49">
        <f>Bala!L11</f>
        <v>1</v>
      </c>
      <c r="M11" s="49">
        <f>Bala!M11</f>
        <v>2</v>
      </c>
      <c r="N11" s="49">
        <f>Bala!N11</f>
        <v>2</v>
      </c>
      <c r="O11" s="49">
        <f>Bala!O11</f>
        <v>1</v>
      </c>
      <c r="P11" s="49">
        <f>Bala!P11</f>
        <v>1</v>
      </c>
      <c r="Q11" s="49">
        <f>Bala!Q11</f>
        <v>1</v>
      </c>
      <c r="R11" s="49">
        <f>Bala!R11</f>
        <v>0</v>
      </c>
      <c r="S11" s="49">
        <f>Bala!S11</f>
        <v>0</v>
      </c>
      <c r="T11" s="49">
        <f>Bala!T11</f>
        <v>0</v>
      </c>
      <c r="U11" s="49">
        <f>Bala!U11</f>
        <v>0</v>
      </c>
      <c r="V11" s="102">
        <f>Bala!V11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Bala!C12</f>
        <v>0</v>
      </c>
      <c r="D12" s="49">
        <f>Bala!D12</f>
        <v>1</v>
      </c>
      <c r="E12" s="49">
        <f>Bala!E12</f>
        <v>2</v>
      </c>
      <c r="F12" s="49">
        <f>Bala!F12</f>
        <v>1</v>
      </c>
      <c r="G12" s="49">
        <f>Bala!G12</f>
        <v>1</v>
      </c>
      <c r="H12" s="49">
        <f>Bala!H12</f>
        <v>1</v>
      </c>
      <c r="I12" s="49">
        <f>Bala!I12</f>
        <v>2</v>
      </c>
      <c r="J12" s="49">
        <f>Bala!J12</f>
        <v>2</v>
      </c>
      <c r="K12" s="49">
        <f>Bala!K12</f>
        <v>1</v>
      </c>
      <c r="L12" s="49">
        <f>Bala!L12</f>
        <v>1</v>
      </c>
      <c r="M12" s="49">
        <f>Bala!M12</f>
        <v>2</v>
      </c>
      <c r="N12" s="49">
        <f>Bala!N12</f>
        <v>2</v>
      </c>
      <c r="O12" s="49">
        <f>Bala!O12</f>
        <v>1</v>
      </c>
      <c r="P12" s="49">
        <f>Bala!P12</f>
        <v>1</v>
      </c>
      <c r="Q12" s="49">
        <f>Bala!Q12</f>
        <v>1</v>
      </c>
      <c r="R12" s="49">
        <f>Bala!R12</f>
        <v>0</v>
      </c>
      <c r="S12" s="49">
        <f>Bala!S12</f>
        <v>0</v>
      </c>
      <c r="T12" s="49">
        <f>Bala!T12</f>
        <v>0</v>
      </c>
      <c r="U12" s="49">
        <f>Bala!U12</f>
        <v>0</v>
      </c>
      <c r="V12" s="102">
        <f>Bala!V12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Bala!C13</f>
        <v>2</v>
      </c>
      <c r="D13" s="49">
        <f>Bala!D13</f>
        <v>3</v>
      </c>
      <c r="E13" s="49">
        <f>Bala!E13</f>
        <v>2</v>
      </c>
      <c r="F13" s="49">
        <f>Bala!F13</f>
        <v>2</v>
      </c>
      <c r="G13" s="49">
        <f>Bala!G13</f>
        <v>2</v>
      </c>
      <c r="H13" s="49">
        <f>Bala!H13</f>
        <v>2</v>
      </c>
      <c r="I13" s="49">
        <f>Bala!I13</f>
        <v>2</v>
      </c>
      <c r="J13" s="49">
        <f>Bala!J13</f>
        <v>2</v>
      </c>
      <c r="K13" s="49">
        <f>Bala!K13</f>
        <v>2</v>
      </c>
      <c r="L13" s="49">
        <f>Bala!L13</f>
        <v>2</v>
      </c>
      <c r="M13" s="49">
        <f>Bala!M13</f>
        <v>2</v>
      </c>
      <c r="N13" s="49">
        <f>Bala!N13</f>
        <v>2</v>
      </c>
      <c r="O13" s="49">
        <f>Bala!O13</f>
        <v>2</v>
      </c>
      <c r="P13" s="49">
        <f>Bala!P13</f>
        <v>2</v>
      </c>
      <c r="Q13" s="49">
        <f>Bala!Q13</f>
        <v>2</v>
      </c>
      <c r="R13" s="49">
        <f>Bala!R13</f>
        <v>0</v>
      </c>
      <c r="S13" s="49">
        <f>Bala!S13</f>
        <v>0</v>
      </c>
      <c r="T13" s="49">
        <f>Bala!T13</f>
        <v>0</v>
      </c>
      <c r="U13" s="49">
        <f>Bala!U13</f>
        <v>0</v>
      </c>
      <c r="V13" s="102">
        <f>Bala!V13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Bala!C14</f>
        <v xml:space="preserve">Grass Silage (25% DM) </v>
      </c>
      <c r="D14" s="83" t="str">
        <f>Bala!D14</f>
        <v xml:space="preserve">Grass Silage (25% DM) </v>
      </c>
      <c r="E14" s="83" t="str">
        <f>Bala!E14</f>
        <v xml:space="preserve">Grass Silage (25% DM) </v>
      </c>
      <c r="F14" s="83" t="str">
        <f>Bala!F14</f>
        <v xml:space="preserve">Grass Silage (25% DM) </v>
      </c>
      <c r="G14" s="83" t="str">
        <f>Bala!G14</f>
        <v xml:space="preserve">Grass Silage (25% DM) </v>
      </c>
      <c r="H14" s="83" t="str">
        <f>Bala!H14</f>
        <v xml:space="preserve">Grass Silage (25% DM) </v>
      </c>
      <c r="I14" s="83" t="str">
        <f>Bala!I14</f>
        <v xml:space="preserve">Grass Silage (25% DM) </v>
      </c>
      <c r="J14" s="83" t="str">
        <f>Bala!J14</f>
        <v xml:space="preserve">Grass Silage (25% DM) </v>
      </c>
      <c r="K14" s="83" t="str">
        <f>Bala!K14</f>
        <v xml:space="preserve">Grass Silage (25% DM) </v>
      </c>
      <c r="L14" s="83" t="str">
        <f>Bala!L14</f>
        <v xml:space="preserve">Grass Silage (25% DM) </v>
      </c>
      <c r="M14" s="83" t="str">
        <f>Bala!M14</f>
        <v xml:space="preserve">Grass Silage (25% DM) </v>
      </c>
      <c r="N14" s="83" t="str">
        <f>Bala!N14</f>
        <v xml:space="preserve">Grass Silage (25% DM) </v>
      </c>
      <c r="O14" s="83" t="str">
        <f>Bala!O14</f>
        <v xml:space="preserve">Grass Silage (25% DM) </v>
      </c>
      <c r="P14" s="83" t="str">
        <f>Bala!P14</f>
        <v xml:space="preserve">Grass Silage (25% DM) </v>
      </c>
      <c r="Q14" s="83" t="str">
        <f>Bala!Q14</f>
        <v xml:space="preserve">Grass Silage (25% DM) </v>
      </c>
      <c r="R14" s="83">
        <f>Bala!R14</f>
        <v>0</v>
      </c>
      <c r="S14" s="83">
        <f>Bala!S14</f>
        <v>0</v>
      </c>
      <c r="T14" s="83">
        <f>Bala!T14</f>
        <v>0</v>
      </c>
      <c r="U14" s="83">
        <f>Bala!U14</f>
        <v>0</v>
      </c>
      <c r="V14" s="103">
        <f>Bala!V14</f>
        <v>0</v>
      </c>
      <c r="AD14" s="22" t="s">
        <v>138</v>
      </c>
      <c r="AE14" s="22">
        <v>6</v>
      </c>
      <c r="AI14" s="43" t="s">
        <v>119</v>
      </c>
      <c r="AJ14" s="44">
        <v>0.8</v>
      </c>
      <c r="AK14" s="45">
        <v>1.7</v>
      </c>
      <c r="AL14" s="9">
        <v>12</v>
      </c>
      <c r="AM14" s="9">
        <v>6.7</v>
      </c>
      <c r="AN14" s="9" t="s">
        <v>135</v>
      </c>
    </row>
    <row r="15" spans="1:41" x14ac:dyDescent="0.2">
      <c r="A15" s="148" t="s">
        <v>9</v>
      </c>
      <c r="B15" s="149"/>
      <c r="C15" s="49">
        <f>Bala!C15</f>
        <v>38</v>
      </c>
      <c r="D15" s="49">
        <f>Bala!D15</f>
        <v>38</v>
      </c>
      <c r="E15" s="49">
        <f>Bala!E15</f>
        <v>38</v>
      </c>
      <c r="F15" s="49">
        <f>Bala!F15</f>
        <v>38</v>
      </c>
      <c r="G15" s="49">
        <f>Bala!G15</f>
        <v>38</v>
      </c>
      <c r="H15" s="49">
        <f>Bala!H15</f>
        <v>38</v>
      </c>
      <c r="I15" s="49">
        <f>Bala!I15</f>
        <v>38</v>
      </c>
      <c r="J15" s="49">
        <f>Bala!J15</f>
        <v>38</v>
      </c>
      <c r="K15" s="49">
        <f>Bala!K15</f>
        <v>38</v>
      </c>
      <c r="L15" s="49">
        <f>Bala!L15</f>
        <v>38</v>
      </c>
      <c r="M15" s="49">
        <f>Bala!M15</f>
        <v>38</v>
      </c>
      <c r="N15" s="49">
        <f>Bala!N15</f>
        <v>38</v>
      </c>
      <c r="O15" s="49">
        <f>Bala!O15</f>
        <v>38</v>
      </c>
      <c r="P15" s="49">
        <f>Bala!P15</f>
        <v>38</v>
      </c>
      <c r="Q15" s="49">
        <f>Bala!Q15</f>
        <v>38</v>
      </c>
      <c r="R15" s="49">
        <f>Bala!R15</f>
        <v>0</v>
      </c>
      <c r="S15" s="49">
        <f>Bala!S15</f>
        <v>0</v>
      </c>
      <c r="T15" s="49">
        <f>Bala!T15</f>
        <v>0</v>
      </c>
      <c r="U15" s="49">
        <f>Bala!U15</f>
        <v>0</v>
      </c>
      <c r="V15" s="102">
        <f>Bala!V15</f>
        <v>0</v>
      </c>
      <c r="AD15" s="22" t="s">
        <v>144</v>
      </c>
      <c r="AE15" s="22">
        <v>7</v>
      </c>
      <c r="AI15" s="43" t="s">
        <v>101</v>
      </c>
      <c r="AJ15" s="51">
        <v>1.8</v>
      </c>
      <c r="AK15" s="45">
        <v>5.4</v>
      </c>
      <c r="AL15" s="9">
        <v>13</v>
      </c>
      <c r="AM15" s="9">
        <v>6.7</v>
      </c>
      <c r="AN15" s="9" t="s">
        <v>135</v>
      </c>
    </row>
    <row r="16" spans="1:41" ht="13.5" thickBot="1" x14ac:dyDescent="0.25">
      <c r="A16" s="152" t="s">
        <v>44</v>
      </c>
      <c r="B16" s="153"/>
      <c r="C16" s="104" t="str">
        <f>Bala!C16</f>
        <v>Medium/Clay</v>
      </c>
      <c r="D16" s="104" t="str">
        <f>Bala!D16</f>
        <v>Medium/Clay</v>
      </c>
      <c r="E16" s="104" t="str">
        <f>Bala!E16</f>
        <v>Medium/Clay</v>
      </c>
      <c r="F16" s="104" t="str">
        <f>Bala!F16</f>
        <v>Medium/Clay</v>
      </c>
      <c r="G16" s="104" t="str">
        <f>Bala!G16</f>
        <v>Medium/Clay</v>
      </c>
      <c r="H16" s="104" t="str">
        <f>Bala!H16</f>
        <v>Medium/Clay</v>
      </c>
      <c r="I16" s="104" t="str">
        <f>Bala!I16</f>
        <v>Medium/Clay</v>
      </c>
      <c r="J16" s="104" t="str">
        <f>Bala!J16</f>
        <v>Medium/Clay</v>
      </c>
      <c r="K16" s="104" t="str">
        <f>Bala!K16</f>
        <v>Medium/Clay</v>
      </c>
      <c r="L16" s="104" t="str">
        <f>Bala!L16</f>
        <v>Medium/Clay</v>
      </c>
      <c r="M16" s="104" t="str">
        <f>Bala!M16</f>
        <v>Medium/Clay</v>
      </c>
      <c r="N16" s="104" t="str">
        <f>Bala!N16</f>
        <v>Medium/Clay</v>
      </c>
      <c r="O16" s="104" t="str">
        <f>Bala!O16</f>
        <v>Medium/Clay</v>
      </c>
      <c r="P16" s="104" t="str">
        <f>Bala!P16</f>
        <v>Medium/Clay</v>
      </c>
      <c r="Q16" s="104" t="str">
        <f>Bala!Q16</f>
        <v>Medium/Clay</v>
      </c>
      <c r="R16" s="104">
        <f>Bala!R16</f>
        <v>0</v>
      </c>
      <c r="S16" s="104">
        <f>Bala!S16</f>
        <v>0</v>
      </c>
      <c r="T16" s="104">
        <f>Bala!T16</f>
        <v>0</v>
      </c>
      <c r="U16" s="104">
        <f>Bala!U16</f>
        <v>0</v>
      </c>
      <c r="V16" s="105">
        <f>Bala!V16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35.907988499999995</v>
      </c>
      <c r="D18" s="12">
        <f>$D32</f>
        <v>35.907988499999995</v>
      </c>
      <c r="E18" s="12">
        <f>$D33</f>
        <v>0</v>
      </c>
      <c r="F18" s="12">
        <f>$D34</f>
        <v>0</v>
      </c>
      <c r="G18" s="12">
        <f>$D35</f>
        <v>35.907988499999995</v>
      </c>
      <c r="H18" s="12">
        <f>$D36</f>
        <v>0</v>
      </c>
      <c r="I18" s="12">
        <f>$D37</f>
        <v>0</v>
      </c>
      <c r="J18" s="12">
        <f>$D38</f>
        <v>35.907988499999995</v>
      </c>
      <c r="K18" s="12">
        <f>$D39</f>
        <v>35.907988499999995</v>
      </c>
      <c r="L18" s="12">
        <f>$D40</f>
        <v>0</v>
      </c>
      <c r="M18" s="12">
        <f>$D41</f>
        <v>0</v>
      </c>
      <c r="N18" s="12">
        <f>$D42</f>
        <v>35.907988499999995</v>
      </c>
      <c r="O18" s="12">
        <f>$D43</f>
        <v>35.907988499999995</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-28.6920115</v>
      </c>
      <c r="D19" s="12">
        <f t="shared" ref="D19:V19" si="1">D18-D17</f>
        <v>-28.6920115</v>
      </c>
      <c r="E19" s="12">
        <f t="shared" si="1"/>
        <v>-64.599999999999994</v>
      </c>
      <c r="F19" s="12">
        <f t="shared" si="1"/>
        <v>-64.599999999999994</v>
      </c>
      <c r="G19" s="12">
        <f t="shared" si="1"/>
        <v>-28.6920115</v>
      </c>
      <c r="H19" s="12">
        <f t="shared" si="1"/>
        <v>-64.599999999999994</v>
      </c>
      <c r="I19" s="12">
        <f t="shared" si="1"/>
        <v>-64.599999999999994</v>
      </c>
      <c r="J19" s="12">
        <f t="shared" si="1"/>
        <v>-28.6920115</v>
      </c>
      <c r="K19" s="12">
        <f t="shared" si="1"/>
        <v>-28.6920115</v>
      </c>
      <c r="L19" s="12">
        <f t="shared" si="1"/>
        <v>-64.599999999999994</v>
      </c>
      <c r="M19" s="12">
        <f t="shared" si="1"/>
        <v>-64.599999999999994</v>
      </c>
      <c r="N19" s="12">
        <f t="shared" si="1"/>
        <v>-28.6920115</v>
      </c>
      <c r="O19" s="12">
        <f t="shared" si="1"/>
        <v>-28.6920115</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0.67618574999999992</v>
      </c>
      <c r="D22" s="12">
        <f>$E32</f>
        <v>0.67618574999999992</v>
      </c>
      <c r="E22" s="12">
        <f>$E33</f>
        <v>0</v>
      </c>
      <c r="F22" s="12">
        <f>$E34</f>
        <v>0</v>
      </c>
      <c r="G22" s="12">
        <f>$E35</f>
        <v>0.67618574999999992</v>
      </c>
      <c r="H22" s="12">
        <f>$E36</f>
        <v>0</v>
      </c>
      <c r="I22" s="12">
        <f>$E37</f>
        <v>0</v>
      </c>
      <c r="J22" s="12">
        <f>$E38</f>
        <v>0.67618574999999992</v>
      </c>
      <c r="K22" s="12">
        <f>$E39</f>
        <v>0.67618574999999992</v>
      </c>
      <c r="L22" s="12">
        <f>$E40</f>
        <v>0</v>
      </c>
      <c r="M22" s="12">
        <f>$E41</f>
        <v>0</v>
      </c>
      <c r="N22" s="12">
        <f>$E42</f>
        <v>0.67618574999999992</v>
      </c>
      <c r="O22" s="12">
        <f>$E43</f>
        <v>0.67618574999999992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-227.32381425</v>
      </c>
      <c r="D23" s="12">
        <f t="shared" ref="D23:V23" si="3">D22-D21</f>
        <v>-227.32381425</v>
      </c>
      <c r="E23" s="12">
        <f t="shared" si="3"/>
        <v>-228</v>
      </c>
      <c r="F23" s="12">
        <f t="shared" si="3"/>
        <v>-228</v>
      </c>
      <c r="G23" s="12">
        <f t="shared" si="3"/>
        <v>-227.32381425</v>
      </c>
      <c r="H23" s="12">
        <f t="shared" si="3"/>
        <v>-228</v>
      </c>
      <c r="I23" s="12">
        <f t="shared" si="3"/>
        <v>-228</v>
      </c>
      <c r="J23" s="12">
        <f t="shared" si="3"/>
        <v>-227.32381425</v>
      </c>
      <c r="K23" s="12">
        <f t="shared" si="3"/>
        <v>-227.32381425</v>
      </c>
      <c r="L23" s="12">
        <f t="shared" si="3"/>
        <v>-228</v>
      </c>
      <c r="M23" s="12">
        <f t="shared" si="3"/>
        <v>-228</v>
      </c>
      <c r="N23" s="12">
        <f t="shared" si="3"/>
        <v>-227.32381425</v>
      </c>
      <c r="O23" s="12">
        <f t="shared" si="3"/>
        <v>-227.32381425</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2.58</v>
      </c>
      <c r="C28" s="11">
        <v>0.71799999999999997</v>
      </c>
      <c r="D28" s="11">
        <v>0.24299999999999999</v>
      </c>
      <c r="E28" s="11">
        <v>8.6999999999999994E-3</v>
      </c>
      <c r="F28" s="11">
        <v>187</v>
      </c>
      <c r="G28" s="11">
        <v>22.1</v>
      </c>
      <c r="H28" s="11">
        <v>349</v>
      </c>
      <c r="I28" s="11">
        <v>4.99</v>
      </c>
      <c r="J28" s="11">
        <v>0.96</v>
      </c>
      <c r="K28" s="15">
        <v>1.54</v>
      </c>
      <c r="L28" s="11">
        <v>3.31</v>
      </c>
      <c r="M28" s="11">
        <v>2.61</v>
      </c>
      <c r="N28" s="11">
        <v>313000</v>
      </c>
      <c r="O28" s="11">
        <v>4960</v>
      </c>
      <c r="P28" s="11"/>
      <c r="Q28" s="11">
        <v>16600</v>
      </c>
      <c r="R28" s="11"/>
      <c r="S28" s="11">
        <v>14.6</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250</v>
      </c>
      <c r="C31" s="65">
        <f>IF(C$27="%w/w SAR",((C$28*10)*$B31),IF(C$27="%w/w DM",(((C$28*10)*($B$28/100))*$B31),IF(C$27="kg/t SAR",(C$28*$B31),IF(C$27="kg/t DM",((C$28*($B$28/100))*$B31),IF(C$27="mg/kg SAR",((C$28*0.001)*$B31),IF(C$27="mg/kg DM",(((C$28*0.001)*($B$28/100))*$B31),0))))))</f>
        <v>46.311</v>
      </c>
      <c r="D31" s="65">
        <f>(IF(D$27="%w/w SAR",((D$28*10)*$B31),IF(D$27="%w/w DM",(((D$28*10)*($B$28/100))*$B31),IF(D$27="kg/t SAR",(D$28*$B31),IF(D$27="kg/t DM",((D$28*($B$28/100))*$B31),IF(D$27="mg/kg SAR",((D$28*0.001)*$B31),IF(D$27="mg/kg DM",(((D$28*0.001)*($B$28/100))*$B31),"0")))))))*2.291</f>
        <v>35.907988499999995</v>
      </c>
      <c r="E31" s="65">
        <f>(IF(E$27="%w/w SAR",((E$28*10)*$B31),IF(E$27="%w/w DM",(((E$28*10)*($B$28/100))*$B31),IF(E$27="kg/t SAR",(E$28*$B31),IF(E$27="kg/t DM",((E$28*($B$28/100))*$B31),IF(E$27="mg/kg SAR",((E$28*0.001)*$B31),IF(E$27="mg/kg DM",(((E$28*0.001)*($B$28/100))*$B31),"0")))))))*1.205</f>
        <v>0.67618574999999992</v>
      </c>
      <c r="F31" s="65">
        <f>(IF(F$27="%w/w SAR",((F$28*10)*$B31),IF(F$27="%w/w DM",(((F$28*10)*($B$28/100))*$B31),IF(F$27="kg/t SAR",(F$28*$B31),IF(F$27="kg/t DM",((F$28*($B$28/100))*$B31),IF(F$27="mg/kg SAR",((F$28*0.001)*$B31),IF(F$27="mg/kg DM",(((F$28*0.001)*($B$28/100))*$B31),"0")))))))*1.658</f>
        <v>1.9997967000000001</v>
      </c>
      <c r="G31" s="65">
        <f t="shared" ref="G31:P46" si="5">IF(G$27="%w/w SAR",((G$28*10)*$B31),IF(G$27="%w/w DM",(((G$28*10)*($B$28/100))*$B31),IF(G$27="kg/t SAR",(G$28*$B31),IF(G$27="kg/t DM",((G$28*($B$28/100))*$B31),IF(G$27="mg/kg SAR",((G$28*0.001)*$B31),IF(G$27="mg/kg DM",(((G$28*0.001)*($B$28/100))*$B31),0))))))</f>
        <v>0.14254500000000001</v>
      </c>
      <c r="H31" s="65">
        <f t="shared" si="5"/>
        <v>2.2510500000000002</v>
      </c>
      <c r="I31" s="65">
        <f t="shared" si="5"/>
        <v>3.2185500000000006E-2</v>
      </c>
      <c r="J31" s="65">
        <f t="shared" si="5"/>
        <v>6.1920000000000005E-3</v>
      </c>
      <c r="K31" s="65">
        <f t="shared" si="5"/>
        <v>9.9330000000000009E-3</v>
      </c>
      <c r="L31" s="65">
        <f t="shared" si="5"/>
        <v>2.13495E-2</v>
      </c>
      <c r="M31" s="65">
        <f t="shared" si="5"/>
        <v>1.6834499999999999E-2</v>
      </c>
      <c r="N31" s="65">
        <f t="shared" si="5"/>
        <v>2018.8500000000001</v>
      </c>
      <c r="O31" s="65">
        <f t="shared" si="5"/>
        <v>31.992000000000001</v>
      </c>
      <c r="P31" s="65">
        <f t="shared" si="5"/>
        <v>0</v>
      </c>
      <c r="Q31" s="65">
        <f>(IF(Q$27="%w/w SAR",((Q$28*10)*$B31),IF(Q$27="%w/w DM",(((Q$28*10)*($B$28/100))*$B31),IF(Q$27="kg/t SAR",(Q$28*$B31),IF(Q$27="kg/t DM",((Q$28*($B$28/100))*$B31),IF(Q$27="mg/kg SAR",((Q$28*0.001)*$B31),IF(Q$27="mg/kg DM",(((Q$28*0.001)*($B$28/100))*$B31),0)))))))*2.5</f>
        <v>267.67500000000001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9.4170000000000004E-2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250</v>
      </c>
      <c r="C32" s="65">
        <f t="shared" ref="C32:C50" si="6">IF(C$27="%w/w SAR",((C$28*10)*$B32),IF(C$27="%w/w DM",(((C$28*10)*($B$28/100))*$B32),IF(C$27="kg/t SAR",(C$28*$B32),IF(C$27="kg/t DM",((C$28*($B$28/100))*$B32),IF(C$27="mg/kg SAR",((C$28*0.001)*$B32),IF(C$27="mg/kg DM",(((C$28*0.001)*($B$28/100))*$B32),0))))))</f>
        <v>46.311</v>
      </c>
      <c r="D32" s="65">
        <f t="shared" ref="D32:D50" si="7">(IF(D$27="%w/w SAR",((D$28*10)*$B32),IF(D$27="%w/w DM",(((D$28*10)*($B$28/100))*$B32),IF(D$27="kg/t SAR",(D$28*$B32),IF(D$27="kg/t DM",((D$28*($B$28/100))*$B32),IF(D$27="mg/kg SAR",((D$28*0.001)*$B32),IF(D$27="mg/kg DM",(((D$28*0.001)*($B$28/100))*$B32),"0")))))))*2.291</f>
        <v>35.907988499999995</v>
      </c>
      <c r="E32" s="65">
        <f t="shared" ref="E32:E50" si="8">(IF(E$27="%w/w SAR",((E$28*10)*$B32),IF(E$27="%w/w DM",(((E$28*10)*($B$28/100))*$B32),IF(E$27="kg/t SAR",(E$28*$B32),IF(E$27="kg/t DM",((E$28*($B$28/100))*$B32),IF(E$27="mg/kg SAR",((E$28*0.001)*$B32),IF(E$27="mg/kg DM",(((E$28*0.001)*($B$28/100))*$B32),"0")))))))*1.205</f>
        <v>0.67618574999999992</v>
      </c>
      <c r="F32" s="65">
        <f t="shared" ref="F32:F50" si="9">(IF(F$27="%w/w SAR",((F$28*10)*$B32),IF(F$27="%w/w DM",(((F$28*10)*($B$28/100))*$B32),IF(F$27="kg/t SAR",(F$28*$B32),IF(F$27="kg/t DM",((F$28*($B$28/100))*$B32),IF(F$27="mg/kg SAR",((F$28*0.001)*$B32),IF(F$27="mg/kg DM",(((F$28*0.001)*($B$28/100))*$B32),"0")))))))*1.658</f>
        <v>1.9997967000000001</v>
      </c>
      <c r="G32" s="65">
        <f t="shared" si="5"/>
        <v>0.14254500000000001</v>
      </c>
      <c r="H32" s="65">
        <f t="shared" si="5"/>
        <v>2.2510500000000002</v>
      </c>
      <c r="I32" s="65">
        <f t="shared" si="5"/>
        <v>3.2185500000000006E-2</v>
      </c>
      <c r="J32" s="65">
        <f t="shared" si="5"/>
        <v>6.1920000000000005E-3</v>
      </c>
      <c r="K32" s="65">
        <f t="shared" si="5"/>
        <v>9.9330000000000009E-3</v>
      </c>
      <c r="L32" s="65">
        <f t="shared" si="5"/>
        <v>2.13495E-2</v>
      </c>
      <c r="M32" s="65">
        <f t="shared" si="5"/>
        <v>1.6834499999999999E-2</v>
      </c>
      <c r="N32" s="65">
        <f t="shared" si="5"/>
        <v>2018.8500000000001</v>
      </c>
      <c r="O32" s="65">
        <f t="shared" si="5"/>
        <v>31.992000000000001</v>
      </c>
      <c r="P32" s="65">
        <f t="shared" si="5"/>
        <v>0</v>
      </c>
      <c r="Q32" s="65">
        <f t="shared" ref="Q32:Q50" si="10">(IF(Q$27="%w/w SAR",((Q$28*10)*$B32),IF(Q$27="%w/w DM",(((Q$28*10)*($B$28/100))*$B32),IF(Q$27="kg/t SAR",(Q$28*$B32),IF(Q$27="kg/t DM",((Q$28*($B$28/100))*$B32),IF(Q$27="mg/kg SAR",((Q$28*0.001)*$B32),IF(Q$27="mg/kg DM",(((Q$28*0.001)*($B$28/100))*$B32),0)))))))*2.5</f>
        <v>267.67500000000001</v>
      </c>
      <c r="R32" s="65">
        <f t="shared" ref="R32:U50" si="11">IF(R$27="%w/w SAR",((R$28*10)*$B32),IF(R$27="%w/w DM",(((R$28*10)*($B$28/100))*$B32),IF(R$27="kg/t SAR",(R$28*$B32),IF(R$27="kg/t DM",((R$28*($B$28/100))*$B32),IF(R$27="mg/kg SAR",((R$28*0.001)*$B32),IF(R$27="mg/kg DM",(((R$28*0.001)*($B$28/100))*$B32),0))))))</f>
        <v>0</v>
      </c>
      <c r="S32" s="65">
        <f t="shared" si="11"/>
        <v>9.4170000000000004E-2</v>
      </c>
      <c r="T32" s="65">
        <f t="shared" si="11"/>
        <v>0</v>
      </c>
      <c r="U32" s="126">
        <f t="shared" si="11"/>
        <v>0</v>
      </c>
    </row>
    <row r="33" spans="1:21" s="48" customFormat="1" x14ac:dyDescent="0.25">
      <c r="A33" s="125">
        <f>E8</f>
        <v>3</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5</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7</v>
      </c>
      <c r="B35" s="11">
        <v>250</v>
      </c>
      <c r="C35" s="65">
        <f t="shared" si="6"/>
        <v>46.311</v>
      </c>
      <c r="D35" s="65">
        <f t="shared" si="7"/>
        <v>35.907988499999995</v>
      </c>
      <c r="E35" s="65">
        <f t="shared" si="8"/>
        <v>0.67618574999999992</v>
      </c>
      <c r="F35" s="65">
        <f t="shared" si="9"/>
        <v>1.9997967000000001</v>
      </c>
      <c r="G35" s="65">
        <f t="shared" si="5"/>
        <v>0.14254500000000001</v>
      </c>
      <c r="H35" s="65">
        <f t="shared" si="5"/>
        <v>2.2510500000000002</v>
      </c>
      <c r="I35" s="65">
        <f t="shared" si="5"/>
        <v>3.2185500000000006E-2</v>
      </c>
      <c r="J35" s="65">
        <f t="shared" si="5"/>
        <v>6.1920000000000005E-3</v>
      </c>
      <c r="K35" s="65">
        <f t="shared" si="5"/>
        <v>9.9330000000000009E-3</v>
      </c>
      <c r="L35" s="65">
        <f t="shared" si="5"/>
        <v>2.13495E-2</v>
      </c>
      <c r="M35" s="65">
        <f t="shared" si="5"/>
        <v>1.6834499999999999E-2</v>
      </c>
      <c r="N35" s="65">
        <f t="shared" si="5"/>
        <v>2018.8500000000001</v>
      </c>
      <c r="O35" s="65">
        <f t="shared" si="5"/>
        <v>31.992000000000001</v>
      </c>
      <c r="P35" s="65">
        <f t="shared" si="5"/>
        <v>0</v>
      </c>
      <c r="Q35" s="65">
        <f t="shared" si="10"/>
        <v>267.67500000000001</v>
      </c>
      <c r="R35" s="65">
        <f t="shared" si="11"/>
        <v>0</v>
      </c>
      <c r="S35" s="65">
        <f t="shared" si="11"/>
        <v>9.4170000000000004E-2</v>
      </c>
      <c r="T35" s="65">
        <f t="shared" si="11"/>
        <v>0</v>
      </c>
      <c r="U35" s="126">
        <f t="shared" si="11"/>
        <v>0</v>
      </c>
    </row>
    <row r="36" spans="1:21" s="48" customFormat="1" x14ac:dyDescent="0.25">
      <c r="A36" s="125">
        <f>H8</f>
        <v>11</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12</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13</v>
      </c>
      <c r="B38" s="11">
        <v>250</v>
      </c>
      <c r="C38" s="65">
        <f t="shared" si="6"/>
        <v>46.311</v>
      </c>
      <c r="D38" s="65">
        <f t="shared" si="7"/>
        <v>35.907988499999995</v>
      </c>
      <c r="E38" s="65">
        <f t="shared" si="8"/>
        <v>0.67618574999999992</v>
      </c>
      <c r="F38" s="65">
        <f t="shared" si="9"/>
        <v>1.9997967000000001</v>
      </c>
      <c r="G38" s="65">
        <f t="shared" si="5"/>
        <v>0.14254500000000001</v>
      </c>
      <c r="H38" s="65">
        <f t="shared" si="5"/>
        <v>2.2510500000000002</v>
      </c>
      <c r="I38" s="65">
        <f t="shared" si="5"/>
        <v>3.2185500000000006E-2</v>
      </c>
      <c r="J38" s="65">
        <f t="shared" si="5"/>
        <v>6.1920000000000005E-3</v>
      </c>
      <c r="K38" s="65">
        <f t="shared" si="5"/>
        <v>9.9330000000000009E-3</v>
      </c>
      <c r="L38" s="65">
        <f t="shared" si="5"/>
        <v>2.13495E-2</v>
      </c>
      <c r="M38" s="65">
        <f t="shared" si="5"/>
        <v>1.6834499999999999E-2</v>
      </c>
      <c r="N38" s="65">
        <f t="shared" si="5"/>
        <v>2018.8500000000001</v>
      </c>
      <c r="O38" s="65">
        <f t="shared" si="5"/>
        <v>31.992000000000001</v>
      </c>
      <c r="P38" s="65">
        <f t="shared" si="5"/>
        <v>0</v>
      </c>
      <c r="Q38" s="65">
        <f t="shared" si="10"/>
        <v>267.67500000000001</v>
      </c>
      <c r="R38" s="65">
        <f t="shared" si="11"/>
        <v>0</v>
      </c>
      <c r="S38" s="65">
        <f t="shared" si="11"/>
        <v>9.4170000000000004E-2</v>
      </c>
      <c r="T38" s="65">
        <f t="shared" si="11"/>
        <v>0</v>
      </c>
      <c r="U38" s="126">
        <f t="shared" si="11"/>
        <v>0</v>
      </c>
    </row>
    <row r="39" spans="1:21" s="48" customFormat="1" x14ac:dyDescent="0.25">
      <c r="A39" s="125">
        <f>K8</f>
        <v>14</v>
      </c>
      <c r="B39" s="11">
        <v>250</v>
      </c>
      <c r="C39" s="65">
        <f t="shared" si="6"/>
        <v>46.311</v>
      </c>
      <c r="D39" s="65">
        <f t="shared" si="7"/>
        <v>35.907988499999995</v>
      </c>
      <c r="E39" s="65">
        <f t="shared" si="8"/>
        <v>0.67618574999999992</v>
      </c>
      <c r="F39" s="65">
        <f t="shared" si="9"/>
        <v>1.9997967000000001</v>
      </c>
      <c r="G39" s="65">
        <f t="shared" si="5"/>
        <v>0.14254500000000001</v>
      </c>
      <c r="H39" s="65">
        <f t="shared" si="5"/>
        <v>2.2510500000000002</v>
      </c>
      <c r="I39" s="65">
        <f t="shared" si="5"/>
        <v>3.2185500000000006E-2</v>
      </c>
      <c r="J39" s="65">
        <f t="shared" si="5"/>
        <v>6.1920000000000005E-3</v>
      </c>
      <c r="K39" s="65">
        <f t="shared" si="5"/>
        <v>9.9330000000000009E-3</v>
      </c>
      <c r="L39" s="65">
        <f t="shared" si="5"/>
        <v>2.13495E-2</v>
      </c>
      <c r="M39" s="65">
        <f t="shared" si="5"/>
        <v>1.6834499999999999E-2</v>
      </c>
      <c r="N39" s="65">
        <f t="shared" si="5"/>
        <v>2018.8500000000001</v>
      </c>
      <c r="O39" s="65">
        <f t="shared" si="5"/>
        <v>31.992000000000001</v>
      </c>
      <c r="P39" s="65">
        <f t="shared" si="5"/>
        <v>0</v>
      </c>
      <c r="Q39" s="65">
        <f t="shared" si="10"/>
        <v>267.67500000000001</v>
      </c>
      <c r="R39" s="65">
        <f t="shared" si="11"/>
        <v>0</v>
      </c>
      <c r="S39" s="65">
        <f t="shared" si="11"/>
        <v>9.4170000000000004E-2</v>
      </c>
      <c r="T39" s="65">
        <f t="shared" si="11"/>
        <v>0</v>
      </c>
      <c r="U39" s="126">
        <f t="shared" si="11"/>
        <v>0</v>
      </c>
    </row>
    <row r="40" spans="1:21" s="48" customFormat="1" x14ac:dyDescent="0.25">
      <c r="A40" s="125">
        <f>L8</f>
        <v>15</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17</v>
      </c>
      <c r="B41" s="11">
        <v>0</v>
      </c>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18</v>
      </c>
      <c r="B42" s="11">
        <v>250</v>
      </c>
      <c r="C42" s="65">
        <f t="shared" si="6"/>
        <v>46.311</v>
      </c>
      <c r="D42" s="65">
        <f t="shared" si="7"/>
        <v>35.907988499999995</v>
      </c>
      <c r="E42" s="65">
        <f t="shared" si="8"/>
        <v>0.67618574999999992</v>
      </c>
      <c r="F42" s="65">
        <f t="shared" si="9"/>
        <v>1.9997967000000001</v>
      </c>
      <c r="G42" s="65">
        <f t="shared" si="5"/>
        <v>0.14254500000000001</v>
      </c>
      <c r="H42" s="65">
        <f t="shared" si="5"/>
        <v>2.2510500000000002</v>
      </c>
      <c r="I42" s="65">
        <f t="shared" si="5"/>
        <v>3.2185500000000006E-2</v>
      </c>
      <c r="J42" s="65">
        <f t="shared" si="5"/>
        <v>6.1920000000000005E-3</v>
      </c>
      <c r="K42" s="65">
        <f t="shared" si="5"/>
        <v>9.9330000000000009E-3</v>
      </c>
      <c r="L42" s="65">
        <f t="shared" si="5"/>
        <v>2.13495E-2</v>
      </c>
      <c r="M42" s="65">
        <f t="shared" si="5"/>
        <v>1.6834499999999999E-2</v>
      </c>
      <c r="N42" s="65">
        <f t="shared" si="5"/>
        <v>2018.8500000000001</v>
      </c>
      <c r="O42" s="65">
        <f t="shared" si="5"/>
        <v>31.992000000000001</v>
      </c>
      <c r="P42" s="65">
        <f t="shared" si="5"/>
        <v>0</v>
      </c>
      <c r="Q42" s="65">
        <f t="shared" si="10"/>
        <v>267.67500000000001</v>
      </c>
      <c r="R42" s="65">
        <f t="shared" si="11"/>
        <v>0</v>
      </c>
      <c r="S42" s="65">
        <f t="shared" si="11"/>
        <v>9.4170000000000004E-2</v>
      </c>
      <c r="T42" s="65">
        <f t="shared" si="11"/>
        <v>0</v>
      </c>
      <c r="U42" s="126">
        <f t="shared" si="11"/>
        <v>0</v>
      </c>
    </row>
    <row r="43" spans="1:21" s="48" customFormat="1" x14ac:dyDescent="0.25">
      <c r="A43" s="125">
        <f>O8</f>
        <v>19</v>
      </c>
      <c r="B43" s="11">
        <v>250</v>
      </c>
      <c r="C43" s="65">
        <f t="shared" si="6"/>
        <v>46.311</v>
      </c>
      <c r="D43" s="65">
        <f t="shared" si="7"/>
        <v>35.907988499999995</v>
      </c>
      <c r="E43" s="65">
        <f t="shared" si="8"/>
        <v>0.67618574999999992</v>
      </c>
      <c r="F43" s="65">
        <f t="shared" si="9"/>
        <v>1.9997967000000001</v>
      </c>
      <c r="G43" s="65">
        <f t="shared" si="5"/>
        <v>0.14254500000000001</v>
      </c>
      <c r="H43" s="65">
        <f t="shared" si="5"/>
        <v>2.2510500000000002</v>
      </c>
      <c r="I43" s="65">
        <f t="shared" si="5"/>
        <v>3.2185500000000006E-2</v>
      </c>
      <c r="J43" s="65">
        <f t="shared" si="5"/>
        <v>6.1920000000000005E-3</v>
      </c>
      <c r="K43" s="65">
        <f t="shared" si="5"/>
        <v>9.9330000000000009E-3</v>
      </c>
      <c r="L43" s="65">
        <f t="shared" si="5"/>
        <v>2.13495E-2</v>
      </c>
      <c r="M43" s="65">
        <f t="shared" si="5"/>
        <v>1.6834499999999999E-2</v>
      </c>
      <c r="N43" s="65">
        <f t="shared" si="5"/>
        <v>2018.8500000000001</v>
      </c>
      <c r="O43" s="65">
        <f t="shared" si="5"/>
        <v>31.992000000000001</v>
      </c>
      <c r="P43" s="65">
        <f t="shared" si="5"/>
        <v>0</v>
      </c>
      <c r="Q43" s="65">
        <f t="shared" si="10"/>
        <v>267.67500000000001</v>
      </c>
      <c r="R43" s="65">
        <f t="shared" si="11"/>
        <v>0</v>
      </c>
      <c r="S43" s="65">
        <f t="shared" si="11"/>
        <v>9.4170000000000004E-2</v>
      </c>
      <c r="T43" s="65">
        <f t="shared" si="11"/>
        <v>0</v>
      </c>
      <c r="U43" s="126">
        <f t="shared" si="11"/>
        <v>0</v>
      </c>
    </row>
    <row r="44" spans="1:21" s="48" customFormat="1" x14ac:dyDescent="0.25">
      <c r="A44" s="125">
        <f>P8</f>
        <v>20</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21</v>
      </c>
      <c r="B45" s="11">
        <v>0</v>
      </c>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x14ac:dyDescent="0.2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Grass</v>
      </c>
      <c r="P58" s="10" t="str">
        <f>Q16&amp;" I "&amp;(VLOOKUP(Q14,Table24581114[],6,FALSE))</f>
        <v>Medium/Clay I Grass</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f>VLOOKUP(P$14,Table24581114[],5,FALSE)</f>
        <v>6.2</v>
      </c>
      <c r="P59" s="64">
        <f>VLOOKUP(Q$14,Table24581114[],5,FALSE)</f>
        <v>6.2</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x14ac:dyDescent="0.2">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0</v>
      </c>
      <c r="E62" s="65">
        <f>B34</f>
        <v>0</v>
      </c>
      <c r="F62" s="65">
        <f>B35</f>
        <v>250</v>
      </c>
      <c r="G62" s="65">
        <f>B36</f>
        <v>0</v>
      </c>
      <c r="H62" s="65">
        <f>B37</f>
        <v>0</v>
      </c>
      <c r="I62" s="65">
        <f>B38</f>
        <v>250</v>
      </c>
      <c r="J62" s="65">
        <f>B39</f>
        <v>250</v>
      </c>
      <c r="K62" s="65">
        <f>B40</f>
        <v>0</v>
      </c>
      <c r="L62" s="65">
        <f>B41</f>
        <v>0</v>
      </c>
      <c r="M62" s="65">
        <f>B42</f>
        <v>250</v>
      </c>
      <c r="N62" s="65">
        <f>B43</f>
        <v>250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1" x14ac:dyDescent="0.2">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33" sqref="A3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Bala!C1:D1</f>
        <v>PAN-030515</v>
      </c>
      <c r="D1" s="173"/>
      <c r="E1" s="106" t="s">
        <v>45</v>
      </c>
      <c r="F1" s="113">
        <f>Bala!F1</f>
        <v>50</v>
      </c>
      <c r="G1" s="162" t="s">
        <v>43</v>
      </c>
      <c r="H1" s="163"/>
      <c r="I1" s="109">
        <v>5.6</v>
      </c>
      <c r="J1" s="130" t="s">
        <v>153</v>
      </c>
      <c r="K1" s="131"/>
      <c r="L1" s="109">
        <v>102</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Bala!C2:D2</f>
        <v>EPR/GP3792SK</v>
      </c>
      <c r="D2" s="169"/>
      <c r="E2" s="96" t="s">
        <v>109</v>
      </c>
      <c r="F2" s="110" t="s">
        <v>165</v>
      </c>
      <c r="G2" s="164" t="s">
        <v>110</v>
      </c>
      <c r="H2" s="165"/>
      <c r="I2" s="110"/>
      <c r="J2" s="132" t="s">
        <v>158</v>
      </c>
      <c r="K2" s="133"/>
      <c r="L2" s="110">
        <v>0.317</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Bala!C3:D3</f>
        <v>ByProduct Recovery Ltd</v>
      </c>
      <c r="D3" s="169"/>
      <c r="E3" s="96" t="s">
        <v>108</v>
      </c>
      <c r="F3" s="111" t="s">
        <v>78</v>
      </c>
      <c r="G3" s="132" t="s">
        <v>159</v>
      </c>
      <c r="H3" s="133"/>
      <c r="I3" s="110"/>
      <c r="J3" s="134" t="s">
        <v>154</v>
      </c>
      <c r="K3" s="135"/>
      <c r="L3" s="110">
        <f>(L1/(L2*10000))*100</f>
        <v>3.2176656151419554</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Bala!C4:D4</f>
        <v>Henllys, Llanfair TH, Abergele, Conwys, LL22 8TF</v>
      </c>
      <c r="D4" s="171"/>
      <c r="E4" s="99" t="s">
        <v>1</v>
      </c>
      <c r="F4" s="110" t="s">
        <v>171</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Bala!C5:D5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f>Bala!C8</f>
        <v>1</v>
      </c>
      <c r="D8" s="49">
        <f>Bala!D8</f>
        <v>2</v>
      </c>
      <c r="E8" s="49">
        <f>Bala!E8</f>
        <v>3</v>
      </c>
      <c r="F8" s="49">
        <f>Bala!F8</f>
        <v>5</v>
      </c>
      <c r="G8" s="49">
        <f>Bala!G8</f>
        <v>7</v>
      </c>
      <c r="H8" s="49">
        <f>Bala!H8</f>
        <v>11</v>
      </c>
      <c r="I8" s="49">
        <f>Bala!I8</f>
        <v>12</v>
      </c>
      <c r="J8" s="49">
        <f>Bala!J8</f>
        <v>13</v>
      </c>
      <c r="K8" s="49">
        <f>Bala!K8</f>
        <v>14</v>
      </c>
      <c r="L8" s="49">
        <f>Bala!L8</f>
        <v>15</v>
      </c>
      <c r="M8" s="49">
        <f>Bala!M8</f>
        <v>17</v>
      </c>
      <c r="N8" s="49">
        <f>Bala!N8</f>
        <v>18</v>
      </c>
      <c r="O8" s="49">
        <f>Bala!O8</f>
        <v>19</v>
      </c>
      <c r="P8" s="49">
        <f>Bala!P8</f>
        <v>20</v>
      </c>
      <c r="Q8" s="49">
        <f>Bala!Q8</f>
        <v>21</v>
      </c>
      <c r="R8" s="49">
        <f>Bala!R8</f>
        <v>0</v>
      </c>
      <c r="S8" s="49">
        <f>Bala!S8</f>
        <v>0</v>
      </c>
      <c r="T8" s="49">
        <f>Bala!T8</f>
        <v>0</v>
      </c>
      <c r="U8" s="49">
        <f>Bala!U8</f>
        <v>0</v>
      </c>
      <c r="V8" s="102">
        <f>Bala!V8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f>Bala!C9</f>
        <v>0</v>
      </c>
      <c r="D9" s="49">
        <f>Bala!D9</f>
        <v>0</v>
      </c>
      <c r="E9" s="49">
        <f>Bala!E9</f>
        <v>0</v>
      </c>
      <c r="F9" s="49">
        <f>Bala!F9</f>
        <v>0</v>
      </c>
      <c r="G9" s="49">
        <f>Bala!G9</f>
        <v>0</v>
      </c>
      <c r="H9" s="49">
        <f>Bala!H9</f>
        <v>0</v>
      </c>
      <c r="I9" s="49">
        <f>Bala!I9</f>
        <v>0</v>
      </c>
      <c r="J9" s="49">
        <f>Bala!J9</f>
        <v>0</v>
      </c>
      <c r="K9" s="49">
        <f>Bala!K9</f>
        <v>0</v>
      </c>
      <c r="L9" s="49">
        <f>Bala!L9</f>
        <v>0</v>
      </c>
      <c r="M9" s="49">
        <f>Bala!M9</f>
        <v>0</v>
      </c>
      <c r="N9" s="49">
        <f>Bala!N9</f>
        <v>0</v>
      </c>
      <c r="O9" s="49">
        <f>Bala!O9</f>
        <v>0</v>
      </c>
      <c r="P9" s="49">
        <f>Bala!P9</f>
        <v>0</v>
      </c>
      <c r="Q9" s="49">
        <f>Bala!Q9</f>
        <v>0</v>
      </c>
      <c r="R9" s="49">
        <f>Bala!R9</f>
        <v>0</v>
      </c>
      <c r="S9" s="49">
        <f>Bala!S9</f>
        <v>0</v>
      </c>
      <c r="T9" s="49">
        <f>Bala!T9</f>
        <v>0</v>
      </c>
      <c r="U9" s="49">
        <f>Bala!U9</f>
        <v>0</v>
      </c>
      <c r="V9" s="102">
        <f>Bala!V9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Bala!C10</f>
        <v>6.2</v>
      </c>
      <c r="D10" s="49">
        <f>Bala!D10</f>
        <v>6.4</v>
      </c>
      <c r="E10" s="49">
        <f>Bala!E10</f>
        <v>5.6</v>
      </c>
      <c r="F10" s="49">
        <f>Bala!F10</f>
        <v>5.5</v>
      </c>
      <c r="G10" s="49">
        <f>Bala!G10</f>
        <v>6.3</v>
      </c>
      <c r="H10" s="49">
        <f>Bala!H10</f>
        <v>5.5</v>
      </c>
      <c r="I10" s="49">
        <f>Bala!I10</f>
        <v>5.6</v>
      </c>
      <c r="J10" s="49">
        <f>Bala!J10</f>
        <v>6.4</v>
      </c>
      <c r="K10" s="49">
        <f>Bala!K10</f>
        <v>6.3</v>
      </c>
      <c r="L10" s="49">
        <f>Bala!L10</f>
        <v>5.7</v>
      </c>
      <c r="M10" s="49">
        <f>Bala!M10</f>
        <v>5.9</v>
      </c>
      <c r="N10" s="49">
        <f>Bala!N10</f>
        <v>6</v>
      </c>
      <c r="O10" s="49">
        <f>Bala!O10</f>
        <v>6.2</v>
      </c>
      <c r="P10" s="49">
        <f>Bala!P10</f>
        <v>5.8</v>
      </c>
      <c r="Q10" s="49">
        <f>Bala!Q10</f>
        <v>5.9</v>
      </c>
      <c r="R10" s="49">
        <f>Bala!R10</f>
        <v>0</v>
      </c>
      <c r="S10" s="49">
        <f>Bala!S10</f>
        <v>0</v>
      </c>
      <c r="T10" s="49">
        <f>Bala!T10</f>
        <v>0</v>
      </c>
      <c r="U10" s="49">
        <f>Bala!U10</f>
        <v>0</v>
      </c>
      <c r="V10" s="102">
        <f>Bala!V10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Bala!C11</f>
        <v>2</v>
      </c>
      <c r="D11" s="49">
        <f>Bala!D11</f>
        <v>1</v>
      </c>
      <c r="E11" s="49">
        <f>Bala!E11</f>
        <v>2</v>
      </c>
      <c r="F11" s="49">
        <f>Bala!F11</f>
        <v>1</v>
      </c>
      <c r="G11" s="49">
        <f>Bala!G11</f>
        <v>0</v>
      </c>
      <c r="H11" s="49">
        <f>Bala!H11</f>
        <v>2</v>
      </c>
      <c r="I11" s="49">
        <f>Bala!I11</f>
        <v>2</v>
      </c>
      <c r="J11" s="49">
        <f>Bala!J11</f>
        <v>2</v>
      </c>
      <c r="K11" s="49">
        <f>Bala!K11</f>
        <v>2</v>
      </c>
      <c r="L11" s="49">
        <f>Bala!L11</f>
        <v>1</v>
      </c>
      <c r="M11" s="49">
        <f>Bala!M11</f>
        <v>2</v>
      </c>
      <c r="N11" s="49">
        <f>Bala!N11</f>
        <v>2</v>
      </c>
      <c r="O11" s="49">
        <f>Bala!O11</f>
        <v>1</v>
      </c>
      <c r="P11" s="49">
        <f>Bala!P11</f>
        <v>1</v>
      </c>
      <c r="Q11" s="49">
        <f>Bala!Q11</f>
        <v>1</v>
      </c>
      <c r="R11" s="49">
        <f>Bala!R11</f>
        <v>0</v>
      </c>
      <c r="S11" s="49">
        <f>Bala!S11</f>
        <v>0</v>
      </c>
      <c r="T11" s="49">
        <f>Bala!T11</f>
        <v>0</v>
      </c>
      <c r="U11" s="49">
        <f>Bala!U11</f>
        <v>0</v>
      </c>
      <c r="V11" s="102">
        <f>Bala!V11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Bala!C12</f>
        <v>0</v>
      </c>
      <c r="D12" s="49">
        <f>Bala!D12</f>
        <v>1</v>
      </c>
      <c r="E12" s="49">
        <f>Bala!E12</f>
        <v>2</v>
      </c>
      <c r="F12" s="49">
        <f>Bala!F12</f>
        <v>1</v>
      </c>
      <c r="G12" s="49">
        <f>Bala!G12</f>
        <v>1</v>
      </c>
      <c r="H12" s="49">
        <f>Bala!H12</f>
        <v>1</v>
      </c>
      <c r="I12" s="49">
        <f>Bala!I12</f>
        <v>2</v>
      </c>
      <c r="J12" s="49">
        <f>Bala!J12</f>
        <v>2</v>
      </c>
      <c r="K12" s="49">
        <f>Bala!K12</f>
        <v>1</v>
      </c>
      <c r="L12" s="49">
        <f>Bala!L12</f>
        <v>1</v>
      </c>
      <c r="M12" s="49">
        <f>Bala!M12</f>
        <v>2</v>
      </c>
      <c r="N12" s="49">
        <f>Bala!N12</f>
        <v>2</v>
      </c>
      <c r="O12" s="49">
        <f>Bala!O12</f>
        <v>1</v>
      </c>
      <c r="P12" s="49">
        <f>Bala!P12</f>
        <v>1</v>
      </c>
      <c r="Q12" s="49">
        <f>Bala!Q12</f>
        <v>1</v>
      </c>
      <c r="R12" s="49">
        <f>Bala!R12</f>
        <v>0</v>
      </c>
      <c r="S12" s="49">
        <f>Bala!S12</f>
        <v>0</v>
      </c>
      <c r="T12" s="49">
        <f>Bala!T12</f>
        <v>0</v>
      </c>
      <c r="U12" s="49">
        <f>Bala!U12</f>
        <v>0</v>
      </c>
      <c r="V12" s="102">
        <f>Bala!V12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Bala!C13</f>
        <v>2</v>
      </c>
      <c r="D13" s="49">
        <f>Bala!D13</f>
        <v>3</v>
      </c>
      <c r="E13" s="49">
        <f>Bala!E13</f>
        <v>2</v>
      </c>
      <c r="F13" s="49">
        <f>Bala!F13</f>
        <v>2</v>
      </c>
      <c r="G13" s="49">
        <f>Bala!G13</f>
        <v>2</v>
      </c>
      <c r="H13" s="49">
        <f>Bala!H13</f>
        <v>2</v>
      </c>
      <c r="I13" s="49">
        <f>Bala!I13</f>
        <v>2</v>
      </c>
      <c r="J13" s="49">
        <f>Bala!J13</f>
        <v>2</v>
      </c>
      <c r="K13" s="49">
        <f>Bala!K13</f>
        <v>2</v>
      </c>
      <c r="L13" s="49">
        <f>Bala!L13</f>
        <v>2</v>
      </c>
      <c r="M13" s="49">
        <f>Bala!M13</f>
        <v>2</v>
      </c>
      <c r="N13" s="49">
        <f>Bala!N13</f>
        <v>2</v>
      </c>
      <c r="O13" s="49">
        <f>Bala!O13</f>
        <v>2</v>
      </c>
      <c r="P13" s="49">
        <f>Bala!P13</f>
        <v>2</v>
      </c>
      <c r="Q13" s="49">
        <f>Bala!Q13</f>
        <v>2</v>
      </c>
      <c r="R13" s="49">
        <f>Bala!R13</f>
        <v>0</v>
      </c>
      <c r="S13" s="49">
        <f>Bala!S13</f>
        <v>0</v>
      </c>
      <c r="T13" s="49">
        <f>Bala!T13</f>
        <v>0</v>
      </c>
      <c r="U13" s="49">
        <f>Bala!U13</f>
        <v>0</v>
      </c>
      <c r="V13" s="102">
        <f>Bala!V13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Bala!C14</f>
        <v xml:space="preserve">Grass Silage (25% DM) </v>
      </c>
      <c r="D14" s="83" t="str">
        <f>Bala!D14</f>
        <v xml:space="preserve">Grass Silage (25% DM) </v>
      </c>
      <c r="E14" s="83" t="str">
        <f>Bala!E14</f>
        <v xml:space="preserve">Grass Silage (25% DM) </v>
      </c>
      <c r="F14" s="83" t="str">
        <f>Bala!F14</f>
        <v xml:space="preserve">Grass Silage (25% DM) </v>
      </c>
      <c r="G14" s="83" t="str">
        <f>Bala!G14</f>
        <v xml:space="preserve">Grass Silage (25% DM) </v>
      </c>
      <c r="H14" s="83" t="str">
        <f>Bala!H14</f>
        <v xml:space="preserve">Grass Silage (25% DM) </v>
      </c>
      <c r="I14" s="83" t="str">
        <f>Bala!I14</f>
        <v xml:space="preserve">Grass Silage (25% DM) </v>
      </c>
      <c r="J14" s="83" t="str">
        <f>Bala!J14</f>
        <v xml:space="preserve">Grass Silage (25% DM) </v>
      </c>
      <c r="K14" s="83" t="str">
        <f>Bala!K14</f>
        <v xml:space="preserve">Grass Silage (25% DM) </v>
      </c>
      <c r="L14" s="83" t="str">
        <f>Bala!L14</f>
        <v xml:space="preserve">Grass Silage (25% DM) </v>
      </c>
      <c r="M14" s="83" t="str">
        <f>Bala!M14</f>
        <v xml:space="preserve">Grass Silage (25% DM) </v>
      </c>
      <c r="N14" s="83" t="str">
        <f>Bala!N14</f>
        <v xml:space="preserve">Grass Silage (25% DM) </v>
      </c>
      <c r="O14" s="83" t="str">
        <f>Bala!O14</f>
        <v xml:space="preserve">Grass Silage (25% DM) </v>
      </c>
      <c r="P14" s="83" t="str">
        <f>Bala!P14</f>
        <v xml:space="preserve">Grass Silage (25% DM) </v>
      </c>
      <c r="Q14" s="83" t="str">
        <f>Bala!Q14</f>
        <v xml:space="preserve">Grass Silage (25% DM) </v>
      </c>
      <c r="R14" s="83">
        <f>Bala!R14</f>
        <v>0</v>
      </c>
      <c r="S14" s="83">
        <f>Bala!S14</f>
        <v>0</v>
      </c>
      <c r="T14" s="83">
        <f>Bala!T14</f>
        <v>0</v>
      </c>
      <c r="U14" s="83">
        <f>Bala!U14</f>
        <v>0</v>
      </c>
      <c r="V14" s="103">
        <f>Bala!V14</f>
        <v>0</v>
      </c>
      <c r="AD14" s="22" t="s">
        <v>138</v>
      </c>
      <c r="AE14" s="22">
        <v>6</v>
      </c>
      <c r="AI14" s="43" t="s">
        <v>119</v>
      </c>
      <c r="AJ14" s="44">
        <v>0.8</v>
      </c>
      <c r="AK14" s="45">
        <v>1.7</v>
      </c>
      <c r="AL14" s="9">
        <v>12</v>
      </c>
      <c r="AM14" s="9">
        <v>6.7</v>
      </c>
      <c r="AN14" s="9" t="s">
        <v>135</v>
      </c>
    </row>
    <row r="15" spans="1:41" x14ac:dyDescent="0.2">
      <c r="A15" s="148" t="s">
        <v>9</v>
      </c>
      <c r="B15" s="149"/>
      <c r="C15" s="49">
        <f>Bala!C15</f>
        <v>38</v>
      </c>
      <c r="D15" s="49">
        <f>Bala!D15</f>
        <v>38</v>
      </c>
      <c r="E15" s="49">
        <f>Bala!E15</f>
        <v>38</v>
      </c>
      <c r="F15" s="49">
        <f>Bala!F15</f>
        <v>38</v>
      </c>
      <c r="G15" s="49">
        <f>Bala!G15</f>
        <v>38</v>
      </c>
      <c r="H15" s="49">
        <f>Bala!H15</f>
        <v>38</v>
      </c>
      <c r="I15" s="49">
        <f>Bala!I15</f>
        <v>38</v>
      </c>
      <c r="J15" s="49">
        <f>Bala!J15</f>
        <v>38</v>
      </c>
      <c r="K15" s="49">
        <f>Bala!K15</f>
        <v>38</v>
      </c>
      <c r="L15" s="49">
        <f>Bala!L15</f>
        <v>38</v>
      </c>
      <c r="M15" s="49">
        <f>Bala!M15</f>
        <v>38</v>
      </c>
      <c r="N15" s="49">
        <f>Bala!N15</f>
        <v>38</v>
      </c>
      <c r="O15" s="49">
        <f>Bala!O15</f>
        <v>38</v>
      </c>
      <c r="P15" s="49">
        <f>Bala!P15</f>
        <v>38</v>
      </c>
      <c r="Q15" s="49">
        <f>Bala!Q15</f>
        <v>38</v>
      </c>
      <c r="R15" s="49">
        <f>Bala!R15</f>
        <v>0</v>
      </c>
      <c r="S15" s="49">
        <f>Bala!S15</f>
        <v>0</v>
      </c>
      <c r="T15" s="49">
        <f>Bala!T15</f>
        <v>0</v>
      </c>
      <c r="U15" s="49">
        <f>Bala!U15</f>
        <v>0</v>
      </c>
      <c r="V15" s="102">
        <f>Bala!V15</f>
        <v>0</v>
      </c>
      <c r="AD15" s="22" t="s">
        <v>144</v>
      </c>
      <c r="AE15" s="22">
        <v>7</v>
      </c>
      <c r="AI15" s="43" t="s">
        <v>101</v>
      </c>
      <c r="AJ15" s="51">
        <v>1.8</v>
      </c>
      <c r="AK15" s="45">
        <v>5.4</v>
      </c>
      <c r="AL15" s="9">
        <v>13</v>
      </c>
      <c r="AM15" s="9">
        <v>6.7</v>
      </c>
      <c r="AN15" s="9" t="s">
        <v>135</v>
      </c>
    </row>
    <row r="16" spans="1:41" ht="13.5" thickBot="1" x14ac:dyDescent="0.25">
      <c r="A16" s="152" t="s">
        <v>44</v>
      </c>
      <c r="B16" s="153"/>
      <c r="C16" s="104" t="str">
        <f>Bala!C16</f>
        <v>Medium/Clay</v>
      </c>
      <c r="D16" s="104" t="str">
        <f>Bala!D16</f>
        <v>Medium/Clay</v>
      </c>
      <c r="E16" s="104" t="str">
        <f>Bala!E16</f>
        <v>Medium/Clay</v>
      </c>
      <c r="F16" s="104" t="str">
        <f>Bala!F16</f>
        <v>Medium/Clay</v>
      </c>
      <c r="G16" s="104" t="str">
        <f>Bala!G16</f>
        <v>Medium/Clay</v>
      </c>
      <c r="H16" s="104" t="str">
        <f>Bala!H16</f>
        <v>Medium/Clay</v>
      </c>
      <c r="I16" s="104" t="str">
        <f>Bala!I16</f>
        <v>Medium/Clay</v>
      </c>
      <c r="J16" s="104" t="str">
        <f>Bala!J16</f>
        <v>Medium/Clay</v>
      </c>
      <c r="K16" s="104" t="str">
        <f>Bala!K16</f>
        <v>Medium/Clay</v>
      </c>
      <c r="L16" s="104" t="str">
        <f>Bala!L16</f>
        <v>Medium/Clay</v>
      </c>
      <c r="M16" s="104" t="str">
        <f>Bala!M16</f>
        <v>Medium/Clay</v>
      </c>
      <c r="N16" s="104" t="str">
        <f>Bala!N16</f>
        <v>Medium/Clay</v>
      </c>
      <c r="O16" s="104" t="str">
        <f>Bala!O16</f>
        <v>Medium/Clay</v>
      </c>
      <c r="P16" s="104" t="str">
        <f>Bala!P16</f>
        <v>Medium/Clay</v>
      </c>
      <c r="Q16" s="104" t="str">
        <f>Bala!Q16</f>
        <v>Medium/Clay</v>
      </c>
      <c r="R16" s="104">
        <f>Bala!R16</f>
        <v>0</v>
      </c>
      <c r="S16" s="104">
        <f>Bala!S16</f>
        <v>0</v>
      </c>
      <c r="T16" s="104">
        <f>Bala!T16</f>
        <v>0</v>
      </c>
      <c r="U16" s="104">
        <f>Bala!U16</f>
        <v>0</v>
      </c>
      <c r="V16" s="105">
        <f>Bala!V16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57.636978000000006</v>
      </c>
      <c r="D18" s="12">
        <f>$D32</f>
        <v>57.636978000000006</v>
      </c>
      <c r="E18" s="12">
        <f>$D33</f>
        <v>57.636978000000006</v>
      </c>
      <c r="F18" s="12">
        <f>$D34</f>
        <v>57.636978000000006</v>
      </c>
      <c r="G18" s="12">
        <f>$D35</f>
        <v>57.636978000000006</v>
      </c>
      <c r="H18" s="12">
        <f>$D36</f>
        <v>57.636978000000006</v>
      </c>
      <c r="I18" s="12">
        <f>$D37</f>
        <v>57.636978000000006</v>
      </c>
      <c r="J18" s="12">
        <f>$D38</f>
        <v>57.636978000000006</v>
      </c>
      <c r="K18" s="12">
        <f>$D39</f>
        <v>57.636978000000006</v>
      </c>
      <c r="L18" s="12">
        <f>$D40</f>
        <v>57.636978000000006</v>
      </c>
      <c r="M18" s="12">
        <f>$D41</f>
        <v>57.636978000000006</v>
      </c>
      <c r="N18" s="12">
        <f>$D42</f>
        <v>57.636978000000006</v>
      </c>
      <c r="O18" s="12">
        <f>$D43</f>
        <v>57.636978000000006</v>
      </c>
      <c r="P18" s="12">
        <f>$D44</f>
        <v>57.636978000000006</v>
      </c>
      <c r="Q18" s="12">
        <f>$D45</f>
        <v>57.636978000000006</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-6.9630219999999881</v>
      </c>
      <c r="D19" s="12">
        <f t="shared" ref="D19:V19" si="1">D18-D17</f>
        <v>-6.9630219999999881</v>
      </c>
      <c r="E19" s="12">
        <f t="shared" si="1"/>
        <v>-6.9630219999999881</v>
      </c>
      <c r="F19" s="12">
        <f t="shared" si="1"/>
        <v>-6.9630219999999881</v>
      </c>
      <c r="G19" s="12">
        <f t="shared" si="1"/>
        <v>-6.9630219999999881</v>
      </c>
      <c r="H19" s="12">
        <f t="shared" si="1"/>
        <v>-6.9630219999999881</v>
      </c>
      <c r="I19" s="12">
        <f t="shared" si="1"/>
        <v>-6.9630219999999881</v>
      </c>
      <c r="J19" s="12">
        <f t="shared" si="1"/>
        <v>-6.9630219999999881</v>
      </c>
      <c r="K19" s="12">
        <f t="shared" si="1"/>
        <v>-6.9630219999999881</v>
      </c>
      <c r="L19" s="12">
        <f t="shared" si="1"/>
        <v>-6.9630219999999881</v>
      </c>
      <c r="M19" s="12">
        <f t="shared" si="1"/>
        <v>-6.9630219999999881</v>
      </c>
      <c r="N19" s="12">
        <f t="shared" si="1"/>
        <v>-6.9630219999999881</v>
      </c>
      <c r="O19" s="12">
        <f t="shared" si="1"/>
        <v>-6.9630219999999881</v>
      </c>
      <c r="P19" s="12">
        <f t="shared" si="1"/>
        <v>-6.9630219999999881</v>
      </c>
      <c r="Q19" s="12">
        <f t="shared" si="1"/>
        <v>-6.9630219999999881</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1.8044875000000002</v>
      </c>
      <c r="D22" s="12">
        <f>$E32</f>
        <v>1.8044875000000002</v>
      </c>
      <c r="E22" s="12">
        <f>$E33</f>
        <v>1.8044875000000002</v>
      </c>
      <c r="F22" s="12">
        <f>$E34</f>
        <v>1.8044875000000002</v>
      </c>
      <c r="G22" s="12">
        <f>$E35</f>
        <v>1.8044875000000002</v>
      </c>
      <c r="H22" s="12">
        <f>$E36</f>
        <v>1.8044875000000002</v>
      </c>
      <c r="I22" s="12">
        <f>$E37</f>
        <v>1.8044875000000002</v>
      </c>
      <c r="J22" s="12">
        <f>$E38</f>
        <v>1.8044875000000002</v>
      </c>
      <c r="K22" s="12">
        <f>$E39</f>
        <v>1.8044875000000002</v>
      </c>
      <c r="L22" s="12">
        <f>$E40</f>
        <v>1.8044875000000002</v>
      </c>
      <c r="M22" s="12">
        <f>$E41</f>
        <v>1.8044875000000002</v>
      </c>
      <c r="N22" s="12">
        <f>$E42</f>
        <v>1.8044875000000002</v>
      </c>
      <c r="O22" s="12">
        <f>$E43</f>
        <v>1.8044875000000002</v>
      </c>
      <c r="P22" s="12">
        <f>$E44</f>
        <v>1.8044875000000002</v>
      </c>
      <c r="Q22" s="12">
        <f>$E45</f>
        <v>1.8044875000000002</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-226.19551250000001</v>
      </c>
      <c r="D23" s="12">
        <f t="shared" ref="D23:V23" si="3">D22-D21</f>
        <v>-226.19551250000001</v>
      </c>
      <c r="E23" s="12">
        <f t="shared" si="3"/>
        <v>-226.19551250000001</v>
      </c>
      <c r="F23" s="12">
        <f t="shared" si="3"/>
        <v>-226.19551250000001</v>
      </c>
      <c r="G23" s="12">
        <f t="shared" si="3"/>
        <v>-226.19551250000001</v>
      </c>
      <c r="H23" s="12">
        <f t="shared" si="3"/>
        <v>-226.19551250000001</v>
      </c>
      <c r="I23" s="12">
        <f t="shared" si="3"/>
        <v>-226.19551250000001</v>
      </c>
      <c r="J23" s="12">
        <f t="shared" si="3"/>
        <v>-226.19551250000001</v>
      </c>
      <c r="K23" s="12">
        <f t="shared" si="3"/>
        <v>-226.19551250000001</v>
      </c>
      <c r="L23" s="12">
        <f t="shared" si="3"/>
        <v>-226.19551250000001</v>
      </c>
      <c r="M23" s="12">
        <f t="shared" si="3"/>
        <v>-226.19551250000001</v>
      </c>
      <c r="N23" s="12">
        <f t="shared" si="3"/>
        <v>-226.19551250000001</v>
      </c>
      <c r="O23" s="12">
        <f t="shared" si="3"/>
        <v>-226.19551250000001</v>
      </c>
      <c r="P23" s="12">
        <f t="shared" si="3"/>
        <v>-226.19551250000001</v>
      </c>
      <c r="Q23" s="12">
        <f t="shared" si="3"/>
        <v>-226.19551250000001</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5.99</v>
      </c>
      <c r="C28" s="11">
        <v>0.317</v>
      </c>
      <c r="D28" s="11">
        <v>0.16800000000000001</v>
      </c>
      <c r="E28" s="11">
        <v>0.01</v>
      </c>
      <c r="F28" s="11">
        <v>320</v>
      </c>
      <c r="G28" s="11">
        <v>1.96</v>
      </c>
      <c r="H28" s="11">
        <v>163</v>
      </c>
      <c r="I28" s="11">
        <v>26.1</v>
      </c>
      <c r="J28" s="11">
        <v>0.3</v>
      </c>
      <c r="K28" s="15">
        <v>0.68</v>
      </c>
      <c r="L28" s="11">
        <v>61.5</v>
      </c>
      <c r="M28" s="11">
        <v>1.1499999999999999</v>
      </c>
      <c r="N28" s="11">
        <v>3230</v>
      </c>
      <c r="O28" s="11">
        <v>519000</v>
      </c>
      <c r="P28" s="11"/>
      <c r="Q28" s="11">
        <v>10800</v>
      </c>
      <c r="R28" s="11"/>
      <c r="S28" s="11">
        <v>15.2</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250</v>
      </c>
      <c r="C31" s="65">
        <f>IF(C$27="%w/w SAR",((C$28*10)*$B31),IF(C$27="%w/w DM",(((C$28*10)*($B$28/100))*$B31),IF(C$27="kg/t SAR",(C$28*$B31),IF(C$27="kg/t DM",((C$28*($B$28/100))*$B31),IF(C$27="mg/kg SAR",((C$28*0.001)*$B31),IF(C$27="mg/kg DM",(((C$28*0.001)*($B$28/100))*$B31),0))))))</f>
        <v>47.470750000000002</v>
      </c>
      <c r="D31" s="65">
        <f>(IF(D$27="%w/w SAR",((D$28*10)*$B31),IF(D$27="%w/w DM",(((D$28*10)*($B$28/100))*$B31),IF(D$27="kg/t SAR",(D$28*$B31),IF(D$27="kg/t DM",((D$28*($B$28/100))*$B31),IF(D$27="mg/kg SAR",((D$28*0.001)*$B31),IF(D$27="mg/kg DM",(((D$28*0.001)*($B$28/100))*$B31),"0")))))))*2.291</f>
        <v>57.636978000000006</v>
      </c>
      <c r="E31" s="65">
        <f>(IF(E$27="%w/w SAR",((E$28*10)*$B31),IF(E$27="%w/w DM",(((E$28*10)*($B$28/100))*$B31),IF(E$27="kg/t SAR",(E$28*$B31),IF(E$27="kg/t DM",((E$28*($B$28/100))*$B31),IF(E$27="mg/kg SAR",((E$28*0.001)*$B31),IF(E$27="mg/kg DM",(((E$28*0.001)*($B$28/100))*$B31),"0")))))))*1.205</f>
        <v>1.8044875000000002</v>
      </c>
      <c r="F31" s="65">
        <f>(IF(F$27="%w/w SAR",((F$28*10)*$B31),IF(F$27="%w/w DM",(((F$28*10)*($B$28/100))*$B31),IF(F$27="kg/t SAR",(F$28*$B31),IF(F$27="kg/t DM",((F$28*($B$28/100))*$B31),IF(F$27="mg/kg SAR",((F$28*0.001)*$B31),IF(F$27="mg/kg DM",(((F$28*0.001)*($B$28/100))*$B31),"0")))))))*1.658</f>
        <v>7.9451359999999989</v>
      </c>
      <c r="G31" s="65">
        <f t="shared" ref="G31:P46" si="5">IF(G$27="%w/w SAR",((G$28*10)*$B31),IF(G$27="%w/w DM",(((G$28*10)*($B$28/100))*$B31),IF(G$27="kg/t SAR",(G$28*$B31),IF(G$27="kg/t DM",((G$28*($B$28/100))*$B31),IF(G$27="mg/kg SAR",((G$28*0.001)*$B31),IF(G$27="mg/kg DM",(((G$28*0.001)*($B$28/100))*$B31),0))))))</f>
        <v>2.9351000000000002E-2</v>
      </c>
      <c r="H31" s="65">
        <f t="shared" si="5"/>
        <v>2.440925</v>
      </c>
      <c r="I31" s="65">
        <f t="shared" si="5"/>
        <v>0.39084750000000007</v>
      </c>
      <c r="J31" s="65">
        <f t="shared" si="5"/>
        <v>4.4925E-3</v>
      </c>
      <c r="K31" s="65">
        <f t="shared" si="5"/>
        <v>1.0183000000000001E-2</v>
      </c>
      <c r="L31" s="65">
        <f t="shared" si="5"/>
        <v>0.92096250000000002</v>
      </c>
      <c r="M31" s="65">
        <f t="shared" si="5"/>
        <v>1.722125E-2</v>
      </c>
      <c r="N31" s="65">
        <f t="shared" si="5"/>
        <v>48.369250000000001</v>
      </c>
      <c r="O31" s="65">
        <f t="shared" si="5"/>
        <v>7772.0250000000005</v>
      </c>
      <c r="P31" s="65">
        <f t="shared" si="5"/>
        <v>0</v>
      </c>
      <c r="Q31" s="65">
        <f>(IF(Q$27="%w/w SAR",((Q$28*10)*$B31),IF(Q$27="%w/w DM",(((Q$28*10)*($B$28/100))*$B31),IF(Q$27="kg/t SAR",(Q$28*$B31),IF(Q$27="kg/t DM",((Q$28*($B$28/100))*$B31),IF(Q$27="mg/kg SAR",((Q$28*0.001)*$B31),IF(Q$27="mg/kg DM",(((Q$28*0.001)*($B$28/100))*$B31),0)))))))*2.5</f>
        <v>404.32500000000005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0.22762000000000002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250</v>
      </c>
      <c r="C32" s="65">
        <f t="shared" ref="C32:C50" si="6">IF(C$27="%w/w SAR",((C$28*10)*$B32),IF(C$27="%w/w DM",(((C$28*10)*($B$28/100))*$B32),IF(C$27="kg/t SAR",(C$28*$B32),IF(C$27="kg/t DM",((C$28*($B$28/100))*$B32),IF(C$27="mg/kg SAR",((C$28*0.001)*$B32),IF(C$27="mg/kg DM",(((C$28*0.001)*($B$28/100))*$B32),0))))))</f>
        <v>47.470750000000002</v>
      </c>
      <c r="D32" s="65">
        <f t="shared" ref="D32:D50" si="7">(IF(D$27="%w/w SAR",((D$28*10)*$B32),IF(D$27="%w/w DM",(((D$28*10)*($B$28/100))*$B32),IF(D$27="kg/t SAR",(D$28*$B32),IF(D$27="kg/t DM",((D$28*($B$28/100))*$B32),IF(D$27="mg/kg SAR",((D$28*0.001)*$B32),IF(D$27="mg/kg DM",(((D$28*0.001)*($B$28/100))*$B32),"0")))))))*2.291</f>
        <v>57.636978000000006</v>
      </c>
      <c r="E32" s="65">
        <f t="shared" ref="E32:E50" si="8">(IF(E$27="%w/w SAR",((E$28*10)*$B32),IF(E$27="%w/w DM",(((E$28*10)*($B$28/100))*$B32),IF(E$27="kg/t SAR",(E$28*$B32),IF(E$27="kg/t DM",((E$28*($B$28/100))*$B32),IF(E$27="mg/kg SAR",((E$28*0.001)*$B32),IF(E$27="mg/kg DM",(((E$28*0.001)*($B$28/100))*$B32),"0")))))))*1.205</f>
        <v>1.8044875000000002</v>
      </c>
      <c r="F32" s="65">
        <f t="shared" ref="F32:F50" si="9">(IF(F$27="%w/w SAR",((F$28*10)*$B32),IF(F$27="%w/w DM",(((F$28*10)*($B$28/100))*$B32),IF(F$27="kg/t SAR",(F$28*$B32),IF(F$27="kg/t DM",((F$28*($B$28/100))*$B32),IF(F$27="mg/kg SAR",((F$28*0.001)*$B32),IF(F$27="mg/kg DM",(((F$28*0.001)*($B$28/100))*$B32),"0")))))))*1.658</f>
        <v>7.9451359999999989</v>
      </c>
      <c r="G32" s="65">
        <f t="shared" si="5"/>
        <v>2.9351000000000002E-2</v>
      </c>
      <c r="H32" s="65">
        <f t="shared" si="5"/>
        <v>2.440925</v>
      </c>
      <c r="I32" s="65">
        <f t="shared" si="5"/>
        <v>0.39084750000000007</v>
      </c>
      <c r="J32" s="65">
        <f t="shared" si="5"/>
        <v>4.4925E-3</v>
      </c>
      <c r="K32" s="65">
        <f t="shared" si="5"/>
        <v>1.0183000000000001E-2</v>
      </c>
      <c r="L32" s="65">
        <f t="shared" si="5"/>
        <v>0.92096250000000002</v>
      </c>
      <c r="M32" s="65">
        <f t="shared" si="5"/>
        <v>1.722125E-2</v>
      </c>
      <c r="N32" s="65">
        <f t="shared" si="5"/>
        <v>48.369250000000001</v>
      </c>
      <c r="O32" s="65">
        <f t="shared" si="5"/>
        <v>7772.0250000000005</v>
      </c>
      <c r="P32" s="65">
        <f t="shared" si="5"/>
        <v>0</v>
      </c>
      <c r="Q32" s="65">
        <f t="shared" ref="Q32:Q50" si="10">(IF(Q$27="%w/w SAR",((Q$28*10)*$B32),IF(Q$27="%w/w DM",(((Q$28*10)*($B$28/100))*$B32),IF(Q$27="kg/t SAR",(Q$28*$B32),IF(Q$27="kg/t DM",((Q$28*($B$28/100))*$B32),IF(Q$27="mg/kg SAR",((Q$28*0.001)*$B32),IF(Q$27="mg/kg DM",(((Q$28*0.001)*($B$28/100))*$B32),0)))))))*2.5</f>
        <v>404.32500000000005</v>
      </c>
      <c r="R32" s="65">
        <f t="shared" ref="R32:U50" si="11">IF(R$27="%w/w SAR",((R$28*10)*$B32),IF(R$27="%w/w DM",(((R$28*10)*($B$28/100))*$B32),IF(R$27="kg/t SAR",(R$28*$B32),IF(R$27="kg/t DM",((R$28*($B$28/100))*$B32),IF(R$27="mg/kg SAR",((R$28*0.001)*$B32),IF(R$27="mg/kg DM",(((R$28*0.001)*($B$28/100))*$B32),0))))))</f>
        <v>0</v>
      </c>
      <c r="S32" s="65">
        <f t="shared" si="11"/>
        <v>0.22762000000000002</v>
      </c>
      <c r="T32" s="65">
        <f t="shared" si="11"/>
        <v>0</v>
      </c>
      <c r="U32" s="126">
        <f t="shared" si="11"/>
        <v>0</v>
      </c>
    </row>
    <row r="33" spans="1:21" s="48" customFormat="1" x14ac:dyDescent="0.25">
      <c r="A33" s="125">
        <f>E8</f>
        <v>3</v>
      </c>
      <c r="B33" s="11">
        <v>250</v>
      </c>
      <c r="C33" s="65">
        <f t="shared" si="6"/>
        <v>47.470750000000002</v>
      </c>
      <c r="D33" s="65">
        <f t="shared" si="7"/>
        <v>57.636978000000006</v>
      </c>
      <c r="E33" s="65">
        <f t="shared" si="8"/>
        <v>1.8044875000000002</v>
      </c>
      <c r="F33" s="65">
        <f t="shared" si="9"/>
        <v>7.9451359999999989</v>
      </c>
      <c r="G33" s="65">
        <f t="shared" si="5"/>
        <v>2.9351000000000002E-2</v>
      </c>
      <c r="H33" s="65">
        <f t="shared" si="5"/>
        <v>2.440925</v>
      </c>
      <c r="I33" s="65">
        <f t="shared" si="5"/>
        <v>0.39084750000000007</v>
      </c>
      <c r="J33" s="65">
        <f t="shared" si="5"/>
        <v>4.4925E-3</v>
      </c>
      <c r="K33" s="65">
        <f t="shared" si="5"/>
        <v>1.0183000000000001E-2</v>
      </c>
      <c r="L33" s="65">
        <f t="shared" si="5"/>
        <v>0.92096250000000002</v>
      </c>
      <c r="M33" s="65">
        <f t="shared" si="5"/>
        <v>1.722125E-2</v>
      </c>
      <c r="N33" s="65">
        <f t="shared" si="5"/>
        <v>48.369250000000001</v>
      </c>
      <c r="O33" s="65">
        <f t="shared" si="5"/>
        <v>7772.0250000000005</v>
      </c>
      <c r="P33" s="65">
        <f t="shared" si="5"/>
        <v>0</v>
      </c>
      <c r="Q33" s="65">
        <f t="shared" si="10"/>
        <v>404.32500000000005</v>
      </c>
      <c r="R33" s="65">
        <f t="shared" si="11"/>
        <v>0</v>
      </c>
      <c r="S33" s="65">
        <f t="shared" si="11"/>
        <v>0.22762000000000002</v>
      </c>
      <c r="T33" s="65">
        <f t="shared" si="11"/>
        <v>0</v>
      </c>
      <c r="U33" s="126">
        <f t="shared" si="11"/>
        <v>0</v>
      </c>
    </row>
    <row r="34" spans="1:21" s="48" customFormat="1" x14ac:dyDescent="0.25">
      <c r="A34" s="125">
        <f>F8</f>
        <v>5</v>
      </c>
      <c r="B34" s="11">
        <v>250</v>
      </c>
      <c r="C34" s="65">
        <f t="shared" si="6"/>
        <v>47.470750000000002</v>
      </c>
      <c r="D34" s="65">
        <f t="shared" si="7"/>
        <v>57.636978000000006</v>
      </c>
      <c r="E34" s="65">
        <f t="shared" si="8"/>
        <v>1.8044875000000002</v>
      </c>
      <c r="F34" s="65">
        <f t="shared" si="9"/>
        <v>7.9451359999999989</v>
      </c>
      <c r="G34" s="65">
        <f t="shared" si="5"/>
        <v>2.9351000000000002E-2</v>
      </c>
      <c r="H34" s="65">
        <f t="shared" si="5"/>
        <v>2.440925</v>
      </c>
      <c r="I34" s="65">
        <f t="shared" si="5"/>
        <v>0.39084750000000007</v>
      </c>
      <c r="J34" s="65">
        <f t="shared" si="5"/>
        <v>4.4925E-3</v>
      </c>
      <c r="K34" s="65">
        <f t="shared" si="5"/>
        <v>1.0183000000000001E-2</v>
      </c>
      <c r="L34" s="65">
        <f t="shared" si="5"/>
        <v>0.92096250000000002</v>
      </c>
      <c r="M34" s="65">
        <f t="shared" si="5"/>
        <v>1.722125E-2</v>
      </c>
      <c r="N34" s="65">
        <f t="shared" si="5"/>
        <v>48.369250000000001</v>
      </c>
      <c r="O34" s="65">
        <f t="shared" si="5"/>
        <v>7772.0250000000005</v>
      </c>
      <c r="P34" s="65">
        <f t="shared" si="5"/>
        <v>0</v>
      </c>
      <c r="Q34" s="65">
        <f t="shared" si="10"/>
        <v>404.32500000000005</v>
      </c>
      <c r="R34" s="65">
        <f t="shared" si="11"/>
        <v>0</v>
      </c>
      <c r="S34" s="65">
        <f t="shared" si="11"/>
        <v>0.22762000000000002</v>
      </c>
      <c r="T34" s="65">
        <f t="shared" si="11"/>
        <v>0</v>
      </c>
      <c r="U34" s="126">
        <f t="shared" si="11"/>
        <v>0</v>
      </c>
    </row>
    <row r="35" spans="1:21" s="48" customFormat="1" x14ac:dyDescent="0.25">
      <c r="A35" s="125">
        <f>G8</f>
        <v>7</v>
      </c>
      <c r="B35" s="11">
        <v>250</v>
      </c>
      <c r="C35" s="65">
        <f t="shared" si="6"/>
        <v>47.470750000000002</v>
      </c>
      <c r="D35" s="65">
        <f t="shared" si="7"/>
        <v>57.636978000000006</v>
      </c>
      <c r="E35" s="65">
        <f t="shared" si="8"/>
        <v>1.8044875000000002</v>
      </c>
      <c r="F35" s="65">
        <f t="shared" si="9"/>
        <v>7.9451359999999989</v>
      </c>
      <c r="G35" s="65">
        <f t="shared" si="5"/>
        <v>2.9351000000000002E-2</v>
      </c>
      <c r="H35" s="65">
        <f t="shared" si="5"/>
        <v>2.440925</v>
      </c>
      <c r="I35" s="65">
        <f t="shared" si="5"/>
        <v>0.39084750000000007</v>
      </c>
      <c r="J35" s="65">
        <f t="shared" si="5"/>
        <v>4.4925E-3</v>
      </c>
      <c r="K35" s="65">
        <f t="shared" si="5"/>
        <v>1.0183000000000001E-2</v>
      </c>
      <c r="L35" s="65">
        <f t="shared" si="5"/>
        <v>0.92096250000000002</v>
      </c>
      <c r="M35" s="65">
        <f t="shared" si="5"/>
        <v>1.722125E-2</v>
      </c>
      <c r="N35" s="65">
        <f t="shared" si="5"/>
        <v>48.369250000000001</v>
      </c>
      <c r="O35" s="65">
        <f t="shared" si="5"/>
        <v>7772.0250000000005</v>
      </c>
      <c r="P35" s="65">
        <f t="shared" si="5"/>
        <v>0</v>
      </c>
      <c r="Q35" s="65">
        <f t="shared" si="10"/>
        <v>404.32500000000005</v>
      </c>
      <c r="R35" s="65">
        <f t="shared" si="11"/>
        <v>0</v>
      </c>
      <c r="S35" s="65">
        <f t="shared" si="11"/>
        <v>0.22762000000000002</v>
      </c>
      <c r="T35" s="65">
        <f t="shared" si="11"/>
        <v>0</v>
      </c>
      <c r="U35" s="126">
        <f t="shared" si="11"/>
        <v>0</v>
      </c>
    </row>
    <row r="36" spans="1:21" s="48" customFormat="1" x14ac:dyDescent="0.25">
      <c r="A36" s="125">
        <f>H8</f>
        <v>11</v>
      </c>
      <c r="B36" s="11">
        <v>250</v>
      </c>
      <c r="C36" s="65">
        <f t="shared" si="6"/>
        <v>47.470750000000002</v>
      </c>
      <c r="D36" s="65">
        <f t="shared" si="7"/>
        <v>57.636978000000006</v>
      </c>
      <c r="E36" s="65">
        <f t="shared" si="8"/>
        <v>1.8044875000000002</v>
      </c>
      <c r="F36" s="65">
        <f t="shared" si="9"/>
        <v>7.9451359999999989</v>
      </c>
      <c r="G36" s="65">
        <f t="shared" si="5"/>
        <v>2.9351000000000002E-2</v>
      </c>
      <c r="H36" s="65">
        <f t="shared" si="5"/>
        <v>2.440925</v>
      </c>
      <c r="I36" s="65">
        <f t="shared" si="5"/>
        <v>0.39084750000000007</v>
      </c>
      <c r="J36" s="65">
        <f t="shared" si="5"/>
        <v>4.4925E-3</v>
      </c>
      <c r="K36" s="65">
        <f t="shared" si="5"/>
        <v>1.0183000000000001E-2</v>
      </c>
      <c r="L36" s="65">
        <f t="shared" si="5"/>
        <v>0.92096250000000002</v>
      </c>
      <c r="M36" s="65">
        <f t="shared" si="5"/>
        <v>1.722125E-2</v>
      </c>
      <c r="N36" s="65">
        <f t="shared" si="5"/>
        <v>48.369250000000001</v>
      </c>
      <c r="O36" s="65">
        <f t="shared" si="5"/>
        <v>7772.0250000000005</v>
      </c>
      <c r="P36" s="65">
        <f t="shared" si="5"/>
        <v>0</v>
      </c>
      <c r="Q36" s="65">
        <f t="shared" si="10"/>
        <v>404.32500000000005</v>
      </c>
      <c r="R36" s="65">
        <f t="shared" si="11"/>
        <v>0</v>
      </c>
      <c r="S36" s="65">
        <f t="shared" si="11"/>
        <v>0.22762000000000002</v>
      </c>
      <c r="T36" s="65">
        <f t="shared" si="11"/>
        <v>0</v>
      </c>
      <c r="U36" s="126">
        <f t="shared" si="11"/>
        <v>0</v>
      </c>
    </row>
    <row r="37" spans="1:21" s="48" customFormat="1" x14ac:dyDescent="0.25">
      <c r="A37" s="125">
        <f>I8</f>
        <v>12</v>
      </c>
      <c r="B37" s="11">
        <v>250</v>
      </c>
      <c r="C37" s="65">
        <f t="shared" si="6"/>
        <v>47.470750000000002</v>
      </c>
      <c r="D37" s="65">
        <f t="shared" si="7"/>
        <v>57.636978000000006</v>
      </c>
      <c r="E37" s="65">
        <f t="shared" si="8"/>
        <v>1.8044875000000002</v>
      </c>
      <c r="F37" s="65">
        <f t="shared" si="9"/>
        <v>7.9451359999999989</v>
      </c>
      <c r="G37" s="65">
        <f t="shared" si="5"/>
        <v>2.9351000000000002E-2</v>
      </c>
      <c r="H37" s="65">
        <f t="shared" si="5"/>
        <v>2.440925</v>
      </c>
      <c r="I37" s="65">
        <f t="shared" si="5"/>
        <v>0.39084750000000007</v>
      </c>
      <c r="J37" s="65">
        <f t="shared" si="5"/>
        <v>4.4925E-3</v>
      </c>
      <c r="K37" s="65">
        <f t="shared" si="5"/>
        <v>1.0183000000000001E-2</v>
      </c>
      <c r="L37" s="65">
        <f t="shared" si="5"/>
        <v>0.92096250000000002</v>
      </c>
      <c r="M37" s="65">
        <f t="shared" si="5"/>
        <v>1.722125E-2</v>
      </c>
      <c r="N37" s="65">
        <f t="shared" si="5"/>
        <v>48.369250000000001</v>
      </c>
      <c r="O37" s="65">
        <f t="shared" si="5"/>
        <v>7772.0250000000005</v>
      </c>
      <c r="P37" s="65">
        <f t="shared" si="5"/>
        <v>0</v>
      </c>
      <c r="Q37" s="65">
        <f t="shared" si="10"/>
        <v>404.32500000000005</v>
      </c>
      <c r="R37" s="65">
        <f t="shared" si="11"/>
        <v>0</v>
      </c>
      <c r="S37" s="65">
        <f t="shared" si="11"/>
        <v>0.22762000000000002</v>
      </c>
      <c r="T37" s="65">
        <f t="shared" si="11"/>
        <v>0</v>
      </c>
      <c r="U37" s="126">
        <f t="shared" si="11"/>
        <v>0</v>
      </c>
    </row>
    <row r="38" spans="1:21" s="48" customFormat="1" x14ac:dyDescent="0.25">
      <c r="A38" s="125">
        <f>J8</f>
        <v>13</v>
      </c>
      <c r="B38" s="11">
        <v>250</v>
      </c>
      <c r="C38" s="65">
        <f t="shared" si="6"/>
        <v>47.470750000000002</v>
      </c>
      <c r="D38" s="65">
        <f t="shared" si="7"/>
        <v>57.636978000000006</v>
      </c>
      <c r="E38" s="65">
        <f t="shared" si="8"/>
        <v>1.8044875000000002</v>
      </c>
      <c r="F38" s="65">
        <f t="shared" si="9"/>
        <v>7.9451359999999989</v>
      </c>
      <c r="G38" s="65">
        <f t="shared" si="5"/>
        <v>2.9351000000000002E-2</v>
      </c>
      <c r="H38" s="65">
        <f t="shared" si="5"/>
        <v>2.440925</v>
      </c>
      <c r="I38" s="65">
        <f t="shared" si="5"/>
        <v>0.39084750000000007</v>
      </c>
      <c r="J38" s="65">
        <f t="shared" si="5"/>
        <v>4.4925E-3</v>
      </c>
      <c r="K38" s="65">
        <f t="shared" si="5"/>
        <v>1.0183000000000001E-2</v>
      </c>
      <c r="L38" s="65">
        <f t="shared" si="5"/>
        <v>0.92096250000000002</v>
      </c>
      <c r="M38" s="65">
        <f t="shared" si="5"/>
        <v>1.722125E-2</v>
      </c>
      <c r="N38" s="65">
        <f t="shared" si="5"/>
        <v>48.369250000000001</v>
      </c>
      <c r="O38" s="65">
        <f t="shared" si="5"/>
        <v>7772.0250000000005</v>
      </c>
      <c r="P38" s="65">
        <f t="shared" si="5"/>
        <v>0</v>
      </c>
      <c r="Q38" s="65">
        <f t="shared" si="10"/>
        <v>404.32500000000005</v>
      </c>
      <c r="R38" s="65">
        <f t="shared" si="11"/>
        <v>0</v>
      </c>
      <c r="S38" s="65">
        <f t="shared" si="11"/>
        <v>0.22762000000000002</v>
      </c>
      <c r="T38" s="65">
        <f t="shared" si="11"/>
        <v>0</v>
      </c>
      <c r="U38" s="126">
        <f t="shared" si="11"/>
        <v>0</v>
      </c>
    </row>
    <row r="39" spans="1:21" s="48" customFormat="1" x14ac:dyDescent="0.25">
      <c r="A39" s="125">
        <f>K8</f>
        <v>14</v>
      </c>
      <c r="B39" s="11">
        <v>250</v>
      </c>
      <c r="C39" s="65">
        <f t="shared" si="6"/>
        <v>47.470750000000002</v>
      </c>
      <c r="D39" s="65">
        <f t="shared" si="7"/>
        <v>57.636978000000006</v>
      </c>
      <c r="E39" s="65">
        <f t="shared" si="8"/>
        <v>1.8044875000000002</v>
      </c>
      <c r="F39" s="65">
        <f t="shared" si="9"/>
        <v>7.9451359999999989</v>
      </c>
      <c r="G39" s="65">
        <f t="shared" si="5"/>
        <v>2.9351000000000002E-2</v>
      </c>
      <c r="H39" s="65">
        <f t="shared" si="5"/>
        <v>2.440925</v>
      </c>
      <c r="I39" s="65">
        <f t="shared" si="5"/>
        <v>0.39084750000000007</v>
      </c>
      <c r="J39" s="65">
        <f t="shared" si="5"/>
        <v>4.4925E-3</v>
      </c>
      <c r="K39" s="65">
        <f t="shared" si="5"/>
        <v>1.0183000000000001E-2</v>
      </c>
      <c r="L39" s="65">
        <f t="shared" si="5"/>
        <v>0.92096250000000002</v>
      </c>
      <c r="M39" s="65">
        <f t="shared" si="5"/>
        <v>1.722125E-2</v>
      </c>
      <c r="N39" s="65">
        <f t="shared" si="5"/>
        <v>48.369250000000001</v>
      </c>
      <c r="O39" s="65">
        <f t="shared" si="5"/>
        <v>7772.0250000000005</v>
      </c>
      <c r="P39" s="65">
        <f t="shared" si="5"/>
        <v>0</v>
      </c>
      <c r="Q39" s="65">
        <f t="shared" si="10"/>
        <v>404.32500000000005</v>
      </c>
      <c r="R39" s="65">
        <f t="shared" si="11"/>
        <v>0</v>
      </c>
      <c r="S39" s="65">
        <f t="shared" si="11"/>
        <v>0.22762000000000002</v>
      </c>
      <c r="T39" s="65">
        <f t="shared" si="11"/>
        <v>0</v>
      </c>
      <c r="U39" s="126">
        <f t="shared" si="11"/>
        <v>0</v>
      </c>
    </row>
    <row r="40" spans="1:21" s="48" customFormat="1" x14ac:dyDescent="0.25">
      <c r="A40" s="125">
        <f>L8</f>
        <v>15</v>
      </c>
      <c r="B40" s="11">
        <v>250</v>
      </c>
      <c r="C40" s="65">
        <f t="shared" si="6"/>
        <v>47.470750000000002</v>
      </c>
      <c r="D40" s="65">
        <f t="shared" si="7"/>
        <v>57.636978000000006</v>
      </c>
      <c r="E40" s="65">
        <f t="shared" si="8"/>
        <v>1.8044875000000002</v>
      </c>
      <c r="F40" s="65">
        <f t="shared" si="9"/>
        <v>7.9451359999999989</v>
      </c>
      <c r="G40" s="65">
        <f t="shared" si="5"/>
        <v>2.9351000000000002E-2</v>
      </c>
      <c r="H40" s="65">
        <f t="shared" si="5"/>
        <v>2.440925</v>
      </c>
      <c r="I40" s="65">
        <f t="shared" si="5"/>
        <v>0.39084750000000007</v>
      </c>
      <c r="J40" s="65">
        <f t="shared" si="5"/>
        <v>4.4925E-3</v>
      </c>
      <c r="K40" s="65">
        <f t="shared" si="5"/>
        <v>1.0183000000000001E-2</v>
      </c>
      <c r="L40" s="65">
        <f t="shared" si="5"/>
        <v>0.92096250000000002</v>
      </c>
      <c r="M40" s="65">
        <f t="shared" si="5"/>
        <v>1.722125E-2</v>
      </c>
      <c r="N40" s="65">
        <f t="shared" si="5"/>
        <v>48.369250000000001</v>
      </c>
      <c r="O40" s="65">
        <f t="shared" si="5"/>
        <v>7772.0250000000005</v>
      </c>
      <c r="P40" s="65">
        <f t="shared" si="5"/>
        <v>0</v>
      </c>
      <c r="Q40" s="65">
        <f t="shared" si="10"/>
        <v>404.32500000000005</v>
      </c>
      <c r="R40" s="65">
        <f t="shared" si="11"/>
        <v>0</v>
      </c>
      <c r="S40" s="65">
        <f t="shared" si="11"/>
        <v>0.22762000000000002</v>
      </c>
      <c r="T40" s="65">
        <f t="shared" si="11"/>
        <v>0</v>
      </c>
      <c r="U40" s="126">
        <f t="shared" si="11"/>
        <v>0</v>
      </c>
    </row>
    <row r="41" spans="1:21" s="48" customFormat="1" x14ac:dyDescent="0.25">
      <c r="A41" s="125">
        <f>M8</f>
        <v>17</v>
      </c>
      <c r="B41" s="11">
        <v>250</v>
      </c>
      <c r="C41" s="65">
        <f t="shared" si="6"/>
        <v>47.470750000000002</v>
      </c>
      <c r="D41" s="65">
        <f t="shared" si="7"/>
        <v>57.636978000000006</v>
      </c>
      <c r="E41" s="65">
        <f t="shared" si="8"/>
        <v>1.8044875000000002</v>
      </c>
      <c r="F41" s="65">
        <f t="shared" si="9"/>
        <v>7.9451359999999989</v>
      </c>
      <c r="G41" s="65">
        <f t="shared" si="5"/>
        <v>2.9351000000000002E-2</v>
      </c>
      <c r="H41" s="65">
        <f t="shared" si="5"/>
        <v>2.440925</v>
      </c>
      <c r="I41" s="65">
        <f t="shared" si="5"/>
        <v>0.39084750000000007</v>
      </c>
      <c r="J41" s="65">
        <f t="shared" si="5"/>
        <v>4.4925E-3</v>
      </c>
      <c r="K41" s="65">
        <f t="shared" si="5"/>
        <v>1.0183000000000001E-2</v>
      </c>
      <c r="L41" s="65">
        <f t="shared" si="5"/>
        <v>0.92096250000000002</v>
      </c>
      <c r="M41" s="65">
        <f t="shared" si="5"/>
        <v>1.722125E-2</v>
      </c>
      <c r="N41" s="65">
        <f t="shared" si="5"/>
        <v>48.369250000000001</v>
      </c>
      <c r="O41" s="65">
        <f t="shared" si="5"/>
        <v>7772.0250000000005</v>
      </c>
      <c r="P41" s="65">
        <f t="shared" si="5"/>
        <v>0</v>
      </c>
      <c r="Q41" s="65">
        <f t="shared" si="10"/>
        <v>404.32500000000005</v>
      </c>
      <c r="R41" s="65">
        <f t="shared" si="11"/>
        <v>0</v>
      </c>
      <c r="S41" s="65">
        <f t="shared" si="11"/>
        <v>0.22762000000000002</v>
      </c>
      <c r="T41" s="65">
        <f t="shared" si="11"/>
        <v>0</v>
      </c>
      <c r="U41" s="126">
        <f t="shared" si="11"/>
        <v>0</v>
      </c>
    </row>
    <row r="42" spans="1:21" s="48" customFormat="1" x14ac:dyDescent="0.25">
      <c r="A42" s="125">
        <f>N8</f>
        <v>18</v>
      </c>
      <c r="B42" s="11">
        <v>250</v>
      </c>
      <c r="C42" s="65">
        <f t="shared" si="6"/>
        <v>47.470750000000002</v>
      </c>
      <c r="D42" s="65">
        <f t="shared" si="7"/>
        <v>57.636978000000006</v>
      </c>
      <c r="E42" s="65">
        <f t="shared" si="8"/>
        <v>1.8044875000000002</v>
      </c>
      <c r="F42" s="65">
        <f t="shared" si="9"/>
        <v>7.9451359999999989</v>
      </c>
      <c r="G42" s="65">
        <f t="shared" si="5"/>
        <v>2.9351000000000002E-2</v>
      </c>
      <c r="H42" s="65">
        <f t="shared" si="5"/>
        <v>2.440925</v>
      </c>
      <c r="I42" s="65">
        <f t="shared" si="5"/>
        <v>0.39084750000000007</v>
      </c>
      <c r="J42" s="65">
        <f t="shared" si="5"/>
        <v>4.4925E-3</v>
      </c>
      <c r="K42" s="65">
        <f t="shared" si="5"/>
        <v>1.0183000000000001E-2</v>
      </c>
      <c r="L42" s="65">
        <f t="shared" si="5"/>
        <v>0.92096250000000002</v>
      </c>
      <c r="M42" s="65">
        <f t="shared" si="5"/>
        <v>1.722125E-2</v>
      </c>
      <c r="N42" s="65">
        <f t="shared" si="5"/>
        <v>48.369250000000001</v>
      </c>
      <c r="O42" s="65">
        <f t="shared" si="5"/>
        <v>7772.0250000000005</v>
      </c>
      <c r="P42" s="65">
        <f t="shared" si="5"/>
        <v>0</v>
      </c>
      <c r="Q42" s="65">
        <f t="shared" si="10"/>
        <v>404.32500000000005</v>
      </c>
      <c r="R42" s="65">
        <f t="shared" si="11"/>
        <v>0</v>
      </c>
      <c r="S42" s="65">
        <f t="shared" si="11"/>
        <v>0.22762000000000002</v>
      </c>
      <c r="T42" s="65">
        <f t="shared" si="11"/>
        <v>0</v>
      </c>
      <c r="U42" s="126">
        <f t="shared" si="11"/>
        <v>0</v>
      </c>
    </row>
    <row r="43" spans="1:21" s="48" customFormat="1" x14ac:dyDescent="0.25">
      <c r="A43" s="125">
        <f>O8</f>
        <v>19</v>
      </c>
      <c r="B43" s="11">
        <v>250</v>
      </c>
      <c r="C43" s="65">
        <f t="shared" si="6"/>
        <v>47.470750000000002</v>
      </c>
      <c r="D43" s="65">
        <f t="shared" si="7"/>
        <v>57.636978000000006</v>
      </c>
      <c r="E43" s="65">
        <f t="shared" si="8"/>
        <v>1.8044875000000002</v>
      </c>
      <c r="F43" s="65">
        <f t="shared" si="9"/>
        <v>7.9451359999999989</v>
      </c>
      <c r="G43" s="65">
        <f t="shared" si="5"/>
        <v>2.9351000000000002E-2</v>
      </c>
      <c r="H43" s="65">
        <f t="shared" si="5"/>
        <v>2.440925</v>
      </c>
      <c r="I43" s="65">
        <f t="shared" si="5"/>
        <v>0.39084750000000007</v>
      </c>
      <c r="J43" s="65">
        <f t="shared" si="5"/>
        <v>4.4925E-3</v>
      </c>
      <c r="K43" s="65">
        <f t="shared" si="5"/>
        <v>1.0183000000000001E-2</v>
      </c>
      <c r="L43" s="65">
        <f t="shared" si="5"/>
        <v>0.92096250000000002</v>
      </c>
      <c r="M43" s="65">
        <f t="shared" si="5"/>
        <v>1.722125E-2</v>
      </c>
      <c r="N43" s="65">
        <f t="shared" si="5"/>
        <v>48.369250000000001</v>
      </c>
      <c r="O43" s="65">
        <f t="shared" si="5"/>
        <v>7772.0250000000005</v>
      </c>
      <c r="P43" s="65">
        <f t="shared" si="5"/>
        <v>0</v>
      </c>
      <c r="Q43" s="65">
        <f t="shared" si="10"/>
        <v>404.32500000000005</v>
      </c>
      <c r="R43" s="65">
        <f t="shared" si="11"/>
        <v>0</v>
      </c>
      <c r="S43" s="65">
        <f t="shared" si="11"/>
        <v>0.22762000000000002</v>
      </c>
      <c r="T43" s="65">
        <f t="shared" si="11"/>
        <v>0</v>
      </c>
      <c r="U43" s="126">
        <f t="shared" si="11"/>
        <v>0</v>
      </c>
    </row>
    <row r="44" spans="1:21" s="48" customFormat="1" x14ac:dyDescent="0.25">
      <c r="A44" s="125">
        <f>P8</f>
        <v>20</v>
      </c>
      <c r="B44" s="11">
        <v>250</v>
      </c>
      <c r="C44" s="65">
        <f t="shared" si="6"/>
        <v>47.470750000000002</v>
      </c>
      <c r="D44" s="65">
        <f t="shared" si="7"/>
        <v>57.636978000000006</v>
      </c>
      <c r="E44" s="65">
        <f t="shared" si="8"/>
        <v>1.8044875000000002</v>
      </c>
      <c r="F44" s="65">
        <f t="shared" si="9"/>
        <v>7.9451359999999989</v>
      </c>
      <c r="G44" s="65">
        <f t="shared" si="5"/>
        <v>2.9351000000000002E-2</v>
      </c>
      <c r="H44" s="65">
        <f t="shared" si="5"/>
        <v>2.440925</v>
      </c>
      <c r="I44" s="65">
        <f t="shared" si="5"/>
        <v>0.39084750000000007</v>
      </c>
      <c r="J44" s="65">
        <f t="shared" si="5"/>
        <v>4.4925E-3</v>
      </c>
      <c r="K44" s="65">
        <f t="shared" si="5"/>
        <v>1.0183000000000001E-2</v>
      </c>
      <c r="L44" s="65">
        <f t="shared" si="5"/>
        <v>0.92096250000000002</v>
      </c>
      <c r="M44" s="65">
        <f t="shared" si="5"/>
        <v>1.722125E-2</v>
      </c>
      <c r="N44" s="65">
        <f t="shared" si="5"/>
        <v>48.369250000000001</v>
      </c>
      <c r="O44" s="65">
        <f t="shared" si="5"/>
        <v>7772.0250000000005</v>
      </c>
      <c r="P44" s="65">
        <f t="shared" si="5"/>
        <v>0</v>
      </c>
      <c r="Q44" s="65">
        <f t="shared" si="10"/>
        <v>404.32500000000005</v>
      </c>
      <c r="R44" s="65">
        <f t="shared" si="11"/>
        <v>0</v>
      </c>
      <c r="S44" s="65">
        <f t="shared" si="11"/>
        <v>0.22762000000000002</v>
      </c>
      <c r="T44" s="65">
        <f t="shared" si="11"/>
        <v>0</v>
      </c>
      <c r="U44" s="126">
        <f t="shared" si="11"/>
        <v>0</v>
      </c>
    </row>
    <row r="45" spans="1:21" s="48" customFormat="1" x14ac:dyDescent="0.25">
      <c r="A45" s="125">
        <f>Q8</f>
        <v>21</v>
      </c>
      <c r="B45" s="11">
        <v>250</v>
      </c>
      <c r="C45" s="65">
        <f t="shared" si="6"/>
        <v>47.470750000000002</v>
      </c>
      <c r="D45" s="65">
        <f t="shared" si="7"/>
        <v>57.636978000000006</v>
      </c>
      <c r="E45" s="65">
        <f t="shared" si="8"/>
        <v>1.8044875000000002</v>
      </c>
      <c r="F45" s="65">
        <f t="shared" si="9"/>
        <v>7.9451359999999989</v>
      </c>
      <c r="G45" s="65">
        <f t="shared" si="5"/>
        <v>2.9351000000000002E-2</v>
      </c>
      <c r="H45" s="65">
        <f t="shared" si="5"/>
        <v>2.440925</v>
      </c>
      <c r="I45" s="65">
        <f t="shared" si="5"/>
        <v>0.39084750000000007</v>
      </c>
      <c r="J45" s="65">
        <f t="shared" si="5"/>
        <v>4.4925E-3</v>
      </c>
      <c r="K45" s="65">
        <f t="shared" si="5"/>
        <v>1.0183000000000001E-2</v>
      </c>
      <c r="L45" s="65">
        <f t="shared" si="5"/>
        <v>0.92096250000000002</v>
      </c>
      <c r="M45" s="65">
        <f t="shared" si="5"/>
        <v>1.722125E-2</v>
      </c>
      <c r="N45" s="65">
        <f t="shared" si="5"/>
        <v>48.369250000000001</v>
      </c>
      <c r="O45" s="65">
        <f t="shared" si="5"/>
        <v>7772.0250000000005</v>
      </c>
      <c r="P45" s="65">
        <f t="shared" si="5"/>
        <v>0</v>
      </c>
      <c r="Q45" s="65">
        <f t="shared" si="10"/>
        <v>404.32500000000005</v>
      </c>
      <c r="R45" s="65">
        <f t="shared" si="11"/>
        <v>0</v>
      </c>
      <c r="S45" s="65">
        <f t="shared" si="11"/>
        <v>0.22762000000000002</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x14ac:dyDescent="0.2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Grass</v>
      </c>
      <c r="P58" s="10" t="str">
        <f>Q16&amp;" I "&amp;(VLOOKUP(Q14,Table245810[],6,FALSE))</f>
        <v>Medium/Clay I Grass</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f>VLOOKUP(P$14,Table245810[],5,FALSE)</f>
        <v>6.2</v>
      </c>
      <c r="P59" s="64">
        <f>VLOOKUP(Q$14,Table245810[],5,FALSE)</f>
        <v>6.2</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x14ac:dyDescent="0.2">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1" x14ac:dyDescent="0.2">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abSelected="1" topLeftCell="A4" zoomScale="90" zoomScaleNormal="90" workbookViewId="0">
      <selection activeCell="A28" sqref="A2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Bala!C1:D1</f>
        <v>PAN-030515</v>
      </c>
      <c r="D1" s="173"/>
      <c r="E1" s="106" t="s">
        <v>45</v>
      </c>
      <c r="F1" s="113">
        <f>Bala!F1</f>
        <v>50</v>
      </c>
      <c r="G1" s="162" t="s">
        <v>43</v>
      </c>
      <c r="H1" s="163"/>
      <c r="I1" s="109">
        <v>5.7</v>
      </c>
      <c r="J1" s="130" t="s">
        <v>153</v>
      </c>
      <c r="K1" s="131"/>
      <c r="L1" s="109">
        <v>149</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Bala!C2:D2</f>
        <v>EPR/GP3792SK</v>
      </c>
      <c r="D2" s="169"/>
      <c r="E2" s="96" t="s">
        <v>109</v>
      </c>
      <c r="F2" s="110" t="s">
        <v>165</v>
      </c>
      <c r="G2" s="164" t="s">
        <v>110</v>
      </c>
      <c r="H2" s="165"/>
      <c r="I2" s="110"/>
      <c r="J2" s="132" t="s">
        <v>158</v>
      </c>
      <c r="K2" s="133"/>
      <c r="L2" s="110">
        <v>0.59399999999999997</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Bala!C3:D3</f>
        <v>ByProduct Recovery Ltd</v>
      </c>
      <c r="D3" s="169"/>
      <c r="E3" s="96" t="s">
        <v>108</v>
      </c>
      <c r="F3" s="111" t="s">
        <v>78</v>
      </c>
      <c r="G3" s="132" t="s">
        <v>159</v>
      </c>
      <c r="H3" s="133"/>
      <c r="I3" s="110"/>
      <c r="J3" s="134" t="s">
        <v>154</v>
      </c>
      <c r="K3" s="135"/>
      <c r="L3" s="110">
        <f>(L1/(L2*10000))*100</f>
        <v>2.5084175084175082</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Bala!C4:D4</f>
        <v>Henllys, Llanfair TH, Abergele, Conwys, LL22 8TF</v>
      </c>
      <c r="D4" s="171"/>
      <c r="E4" s="99" t="s">
        <v>1</v>
      </c>
      <c r="F4" s="110" t="s">
        <v>175</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Bala!C5:D5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f>Bala!C8</f>
        <v>1</v>
      </c>
      <c r="D8" s="49">
        <f>Bala!D8</f>
        <v>2</v>
      </c>
      <c r="E8" s="49">
        <f>Bala!E8</f>
        <v>3</v>
      </c>
      <c r="F8" s="49">
        <f>Bala!F8</f>
        <v>5</v>
      </c>
      <c r="G8" s="49">
        <f>Bala!G8</f>
        <v>7</v>
      </c>
      <c r="H8" s="49">
        <f>Bala!H8</f>
        <v>11</v>
      </c>
      <c r="I8" s="49">
        <f>Bala!I8</f>
        <v>12</v>
      </c>
      <c r="J8" s="49">
        <f>Bala!J8</f>
        <v>13</v>
      </c>
      <c r="K8" s="49">
        <f>Bala!K8</f>
        <v>14</v>
      </c>
      <c r="L8" s="49">
        <f>Bala!L8</f>
        <v>15</v>
      </c>
      <c r="M8" s="49">
        <f>Bala!M8</f>
        <v>17</v>
      </c>
      <c r="N8" s="49">
        <f>Bala!N8</f>
        <v>18</v>
      </c>
      <c r="O8" s="49">
        <f>Bala!O8</f>
        <v>19</v>
      </c>
      <c r="P8" s="49">
        <f>Bala!P8</f>
        <v>20</v>
      </c>
      <c r="Q8" s="49">
        <f>Bala!Q8</f>
        <v>21</v>
      </c>
      <c r="R8" s="49">
        <f>Bala!R8</f>
        <v>0</v>
      </c>
      <c r="S8" s="49">
        <f>Bala!S8</f>
        <v>0</v>
      </c>
      <c r="T8" s="49">
        <f>Bala!T8</f>
        <v>0</v>
      </c>
      <c r="U8" s="49">
        <f>Bala!U8</f>
        <v>0</v>
      </c>
      <c r="V8" s="102">
        <f>Bala!V8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f>Bala!C9</f>
        <v>0</v>
      </c>
      <c r="D9" s="49">
        <f>Bala!D9</f>
        <v>0</v>
      </c>
      <c r="E9" s="49">
        <f>Bala!E9</f>
        <v>0</v>
      </c>
      <c r="F9" s="49">
        <f>Bala!F9</f>
        <v>0</v>
      </c>
      <c r="G9" s="49">
        <f>Bala!G9</f>
        <v>0</v>
      </c>
      <c r="H9" s="49">
        <f>Bala!H9</f>
        <v>0</v>
      </c>
      <c r="I9" s="49">
        <f>Bala!I9</f>
        <v>0</v>
      </c>
      <c r="J9" s="49">
        <f>Bala!J9</f>
        <v>0</v>
      </c>
      <c r="K9" s="49">
        <f>Bala!K9</f>
        <v>0</v>
      </c>
      <c r="L9" s="49">
        <f>Bala!L9</f>
        <v>0</v>
      </c>
      <c r="M9" s="49">
        <f>Bala!M9</f>
        <v>0</v>
      </c>
      <c r="N9" s="49">
        <f>Bala!N9</f>
        <v>0</v>
      </c>
      <c r="O9" s="49">
        <f>Bala!O9</f>
        <v>0</v>
      </c>
      <c r="P9" s="49">
        <f>Bala!P9</f>
        <v>0</v>
      </c>
      <c r="Q9" s="49">
        <f>Bala!Q9</f>
        <v>0</v>
      </c>
      <c r="R9" s="49">
        <f>Bala!R9</f>
        <v>0</v>
      </c>
      <c r="S9" s="49">
        <f>Bala!S9</f>
        <v>0</v>
      </c>
      <c r="T9" s="49">
        <f>Bala!T9</f>
        <v>0</v>
      </c>
      <c r="U9" s="49">
        <f>Bala!U9</f>
        <v>0</v>
      </c>
      <c r="V9" s="102">
        <f>Bala!V9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Bala!C10</f>
        <v>6.2</v>
      </c>
      <c r="D10" s="49">
        <f>Bala!D10</f>
        <v>6.4</v>
      </c>
      <c r="E10" s="49">
        <f>Bala!E10</f>
        <v>5.6</v>
      </c>
      <c r="F10" s="49">
        <f>Bala!F10</f>
        <v>5.5</v>
      </c>
      <c r="G10" s="49">
        <f>Bala!G10</f>
        <v>6.3</v>
      </c>
      <c r="H10" s="49">
        <f>Bala!H10</f>
        <v>5.5</v>
      </c>
      <c r="I10" s="49">
        <f>Bala!I10</f>
        <v>5.6</v>
      </c>
      <c r="J10" s="49">
        <f>Bala!J10</f>
        <v>6.4</v>
      </c>
      <c r="K10" s="49">
        <f>Bala!K10</f>
        <v>6.3</v>
      </c>
      <c r="L10" s="49">
        <f>Bala!L10</f>
        <v>5.7</v>
      </c>
      <c r="M10" s="49">
        <f>Bala!M10</f>
        <v>5.9</v>
      </c>
      <c r="N10" s="49">
        <f>Bala!N10</f>
        <v>6</v>
      </c>
      <c r="O10" s="49">
        <f>Bala!O10</f>
        <v>6.2</v>
      </c>
      <c r="P10" s="49">
        <f>Bala!P10</f>
        <v>5.8</v>
      </c>
      <c r="Q10" s="49">
        <f>Bala!Q10</f>
        <v>5.9</v>
      </c>
      <c r="R10" s="49">
        <f>Bala!R10</f>
        <v>0</v>
      </c>
      <c r="S10" s="49">
        <f>Bala!S10</f>
        <v>0</v>
      </c>
      <c r="T10" s="49">
        <f>Bala!T10</f>
        <v>0</v>
      </c>
      <c r="U10" s="49">
        <f>Bala!U10</f>
        <v>0</v>
      </c>
      <c r="V10" s="102">
        <f>Bala!V10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Bala!C11</f>
        <v>2</v>
      </c>
      <c r="D11" s="49">
        <f>Bala!D11</f>
        <v>1</v>
      </c>
      <c r="E11" s="49">
        <f>Bala!E11</f>
        <v>2</v>
      </c>
      <c r="F11" s="49">
        <f>Bala!F11</f>
        <v>1</v>
      </c>
      <c r="G11" s="49">
        <f>Bala!G11</f>
        <v>0</v>
      </c>
      <c r="H11" s="49">
        <f>Bala!H11</f>
        <v>2</v>
      </c>
      <c r="I11" s="49">
        <f>Bala!I11</f>
        <v>2</v>
      </c>
      <c r="J11" s="49">
        <f>Bala!J11</f>
        <v>2</v>
      </c>
      <c r="K11" s="49">
        <f>Bala!K11</f>
        <v>2</v>
      </c>
      <c r="L11" s="49">
        <f>Bala!L11</f>
        <v>1</v>
      </c>
      <c r="M11" s="49">
        <f>Bala!M11</f>
        <v>2</v>
      </c>
      <c r="N11" s="49">
        <f>Bala!N11</f>
        <v>2</v>
      </c>
      <c r="O11" s="49">
        <f>Bala!O11</f>
        <v>1</v>
      </c>
      <c r="P11" s="49">
        <f>Bala!P11</f>
        <v>1</v>
      </c>
      <c r="Q11" s="49">
        <f>Bala!Q11</f>
        <v>1</v>
      </c>
      <c r="R11" s="49">
        <f>Bala!R11</f>
        <v>0</v>
      </c>
      <c r="S11" s="49">
        <f>Bala!S11</f>
        <v>0</v>
      </c>
      <c r="T11" s="49">
        <f>Bala!T11</f>
        <v>0</v>
      </c>
      <c r="U11" s="49">
        <f>Bala!U11</f>
        <v>0</v>
      </c>
      <c r="V11" s="102">
        <f>Bala!V11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Bala!C12</f>
        <v>0</v>
      </c>
      <c r="D12" s="49">
        <f>Bala!D12</f>
        <v>1</v>
      </c>
      <c r="E12" s="49">
        <f>Bala!E12</f>
        <v>2</v>
      </c>
      <c r="F12" s="49">
        <f>Bala!F12</f>
        <v>1</v>
      </c>
      <c r="G12" s="49">
        <f>Bala!G12</f>
        <v>1</v>
      </c>
      <c r="H12" s="49">
        <f>Bala!H12</f>
        <v>1</v>
      </c>
      <c r="I12" s="49">
        <f>Bala!I12</f>
        <v>2</v>
      </c>
      <c r="J12" s="49">
        <f>Bala!J12</f>
        <v>2</v>
      </c>
      <c r="K12" s="49">
        <f>Bala!K12</f>
        <v>1</v>
      </c>
      <c r="L12" s="49">
        <f>Bala!L12</f>
        <v>1</v>
      </c>
      <c r="M12" s="49">
        <f>Bala!M12</f>
        <v>2</v>
      </c>
      <c r="N12" s="49">
        <f>Bala!N12</f>
        <v>2</v>
      </c>
      <c r="O12" s="49">
        <f>Bala!O12</f>
        <v>1</v>
      </c>
      <c r="P12" s="49">
        <f>Bala!P12</f>
        <v>1</v>
      </c>
      <c r="Q12" s="49">
        <f>Bala!Q12</f>
        <v>1</v>
      </c>
      <c r="R12" s="49">
        <f>Bala!R12</f>
        <v>0</v>
      </c>
      <c r="S12" s="49">
        <f>Bala!S12</f>
        <v>0</v>
      </c>
      <c r="T12" s="49">
        <f>Bala!T12</f>
        <v>0</v>
      </c>
      <c r="U12" s="49">
        <f>Bala!U12</f>
        <v>0</v>
      </c>
      <c r="V12" s="102">
        <f>Bala!V12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Bala!C13</f>
        <v>2</v>
      </c>
      <c r="D13" s="49">
        <f>Bala!D13</f>
        <v>3</v>
      </c>
      <c r="E13" s="49">
        <f>Bala!E13</f>
        <v>2</v>
      </c>
      <c r="F13" s="49">
        <f>Bala!F13</f>
        <v>2</v>
      </c>
      <c r="G13" s="49">
        <f>Bala!G13</f>
        <v>2</v>
      </c>
      <c r="H13" s="49">
        <f>Bala!H13</f>
        <v>2</v>
      </c>
      <c r="I13" s="49">
        <f>Bala!I13</f>
        <v>2</v>
      </c>
      <c r="J13" s="49">
        <f>Bala!J13</f>
        <v>2</v>
      </c>
      <c r="K13" s="49">
        <f>Bala!K13</f>
        <v>2</v>
      </c>
      <c r="L13" s="49">
        <f>Bala!L13</f>
        <v>2</v>
      </c>
      <c r="M13" s="49">
        <f>Bala!M13</f>
        <v>2</v>
      </c>
      <c r="N13" s="49">
        <f>Bala!N13</f>
        <v>2</v>
      </c>
      <c r="O13" s="49">
        <f>Bala!O13</f>
        <v>2</v>
      </c>
      <c r="P13" s="49">
        <f>Bala!P13</f>
        <v>2</v>
      </c>
      <c r="Q13" s="49">
        <f>Bala!Q13</f>
        <v>2</v>
      </c>
      <c r="R13" s="49">
        <f>Bala!R13</f>
        <v>0</v>
      </c>
      <c r="S13" s="49">
        <f>Bala!S13</f>
        <v>0</v>
      </c>
      <c r="T13" s="49">
        <f>Bala!T13</f>
        <v>0</v>
      </c>
      <c r="U13" s="49">
        <f>Bala!U13</f>
        <v>0</v>
      </c>
      <c r="V13" s="102">
        <f>Bala!V13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Bala!C14</f>
        <v xml:space="preserve">Grass Silage (25% DM) </v>
      </c>
      <c r="D14" s="83" t="str">
        <f>Bala!D14</f>
        <v xml:space="preserve">Grass Silage (25% DM) </v>
      </c>
      <c r="E14" s="83" t="str">
        <f>Bala!E14</f>
        <v xml:space="preserve">Grass Silage (25% DM) </v>
      </c>
      <c r="F14" s="83" t="str">
        <f>Bala!F14</f>
        <v xml:space="preserve">Grass Silage (25% DM) </v>
      </c>
      <c r="G14" s="83" t="str">
        <f>Bala!G14</f>
        <v xml:space="preserve">Grass Silage (25% DM) </v>
      </c>
      <c r="H14" s="83" t="str">
        <f>Bala!H14</f>
        <v xml:space="preserve">Grass Silage (25% DM) </v>
      </c>
      <c r="I14" s="83" t="str">
        <f>Bala!I14</f>
        <v xml:space="preserve">Grass Silage (25% DM) </v>
      </c>
      <c r="J14" s="83" t="str">
        <f>Bala!J14</f>
        <v xml:space="preserve">Grass Silage (25% DM) </v>
      </c>
      <c r="K14" s="83" t="str">
        <f>Bala!K14</f>
        <v xml:space="preserve">Grass Silage (25% DM) </v>
      </c>
      <c r="L14" s="83" t="str">
        <f>Bala!L14</f>
        <v xml:space="preserve">Grass Silage (25% DM) </v>
      </c>
      <c r="M14" s="83" t="str">
        <f>Bala!M14</f>
        <v xml:space="preserve">Grass Silage (25% DM) </v>
      </c>
      <c r="N14" s="83" t="str">
        <f>Bala!N14</f>
        <v xml:space="preserve">Grass Silage (25% DM) </v>
      </c>
      <c r="O14" s="83" t="str">
        <f>Bala!O14</f>
        <v xml:space="preserve">Grass Silage (25% DM) </v>
      </c>
      <c r="P14" s="83" t="str">
        <f>Bala!P14</f>
        <v xml:space="preserve">Grass Silage (25% DM) </v>
      </c>
      <c r="Q14" s="83" t="str">
        <f>Bala!Q14</f>
        <v xml:space="preserve">Grass Silage (25% DM) </v>
      </c>
      <c r="R14" s="83">
        <f>Bala!R14</f>
        <v>0</v>
      </c>
      <c r="S14" s="83">
        <f>Bala!S14</f>
        <v>0</v>
      </c>
      <c r="T14" s="83">
        <f>Bala!T14</f>
        <v>0</v>
      </c>
      <c r="U14" s="83">
        <f>Bala!U14</f>
        <v>0</v>
      </c>
      <c r="V14" s="103">
        <f>Bala!V14</f>
        <v>0</v>
      </c>
      <c r="AD14" s="22" t="s">
        <v>138</v>
      </c>
      <c r="AE14" s="22">
        <v>6</v>
      </c>
      <c r="AI14" s="43" t="s">
        <v>119</v>
      </c>
      <c r="AJ14" s="44">
        <v>0.8</v>
      </c>
      <c r="AK14" s="45">
        <v>1.7</v>
      </c>
      <c r="AL14" s="9">
        <v>12</v>
      </c>
      <c r="AM14" s="9">
        <v>6.7</v>
      </c>
      <c r="AN14" s="9" t="s">
        <v>135</v>
      </c>
    </row>
    <row r="15" spans="1:41" x14ac:dyDescent="0.2">
      <c r="A15" s="148" t="s">
        <v>9</v>
      </c>
      <c r="B15" s="149"/>
      <c r="C15" s="49">
        <f>Bala!C15</f>
        <v>38</v>
      </c>
      <c r="D15" s="49">
        <f>Bala!D15</f>
        <v>38</v>
      </c>
      <c r="E15" s="49">
        <f>Bala!E15</f>
        <v>38</v>
      </c>
      <c r="F15" s="49">
        <f>Bala!F15</f>
        <v>38</v>
      </c>
      <c r="G15" s="49">
        <f>Bala!G15</f>
        <v>38</v>
      </c>
      <c r="H15" s="49">
        <f>Bala!H15</f>
        <v>38</v>
      </c>
      <c r="I15" s="49">
        <f>Bala!I15</f>
        <v>38</v>
      </c>
      <c r="J15" s="49">
        <f>Bala!J15</f>
        <v>38</v>
      </c>
      <c r="K15" s="49">
        <f>Bala!K15</f>
        <v>38</v>
      </c>
      <c r="L15" s="49">
        <f>Bala!L15</f>
        <v>38</v>
      </c>
      <c r="M15" s="49">
        <f>Bala!M15</f>
        <v>38</v>
      </c>
      <c r="N15" s="49">
        <f>Bala!N15</f>
        <v>38</v>
      </c>
      <c r="O15" s="49">
        <f>Bala!O15</f>
        <v>38</v>
      </c>
      <c r="P15" s="49">
        <f>Bala!P15</f>
        <v>38</v>
      </c>
      <c r="Q15" s="49">
        <f>Bala!Q15</f>
        <v>38</v>
      </c>
      <c r="R15" s="49">
        <f>Bala!R15</f>
        <v>0</v>
      </c>
      <c r="S15" s="49">
        <f>Bala!S15</f>
        <v>0</v>
      </c>
      <c r="T15" s="49">
        <f>Bala!T15</f>
        <v>0</v>
      </c>
      <c r="U15" s="49">
        <f>Bala!U15</f>
        <v>0</v>
      </c>
      <c r="V15" s="102">
        <f>Bala!V15</f>
        <v>0</v>
      </c>
      <c r="AD15" s="22" t="s">
        <v>144</v>
      </c>
      <c r="AE15" s="22">
        <v>7</v>
      </c>
      <c r="AI15" s="43" t="s">
        <v>101</v>
      </c>
      <c r="AJ15" s="51">
        <v>1.8</v>
      </c>
      <c r="AK15" s="45">
        <v>5.4</v>
      </c>
      <c r="AL15" s="9">
        <v>13</v>
      </c>
      <c r="AM15" s="9">
        <v>6.7</v>
      </c>
      <c r="AN15" s="9" t="s">
        <v>135</v>
      </c>
    </row>
    <row r="16" spans="1:41" ht="13.5" thickBot="1" x14ac:dyDescent="0.25">
      <c r="A16" s="152" t="s">
        <v>44</v>
      </c>
      <c r="B16" s="153"/>
      <c r="C16" s="104" t="str">
        <f>Bala!C16</f>
        <v>Medium/Clay</v>
      </c>
      <c r="D16" s="104" t="str">
        <f>Bala!D16</f>
        <v>Medium/Clay</v>
      </c>
      <c r="E16" s="104" t="str">
        <f>Bala!E16</f>
        <v>Medium/Clay</v>
      </c>
      <c r="F16" s="104" t="str">
        <f>Bala!F16</f>
        <v>Medium/Clay</v>
      </c>
      <c r="G16" s="104" t="str">
        <f>Bala!G16</f>
        <v>Medium/Clay</v>
      </c>
      <c r="H16" s="104" t="str">
        <f>Bala!H16</f>
        <v>Medium/Clay</v>
      </c>
      <c r="I16" s="104" t="str">
        <f>Bala!I16</f>
        <v>Medium/Clay</v>
      </c>
      <c r="J16" s="104" t="str">
        <f>Bala!J16</f>
        <v>Medium/Clay</v>
      </c>
      <c r="K16" s="104" t="str">
        <f>Bala!K16</f>
        <v>Medium/Clay</v>
      </c>
      <c r="L16" s="104" t="str">
        <f>Bala!L16</f>
        <v>Medium/Clay</v>
      </c>
      <c r="M16" s="104" t="str">
        <f>Bala!M16</f>
        <v>Medium/Clay</v>
      </c>
      <c r="N16" s="104" t="str">
        <f>Bala!N16</f>
        <v>Medium/Clay</v>
      </c>
      <c r="O16" s="104" t="str">
        <f>Bala!O16</f>
        <v>Medium/Clay</v>
      </c>
      <c r="P16" s="104" t="str">
        <f>Bala!P16</f>
        <v>Medium/Clay</v>
      </c>
      <c r="Q16" s="104" t="str">
        <f>Bala!Q16</f>
        <v>Medium/Clay</v>
      </c>
      <c r="R16" s="104">
        <f>Bala!R16</f>
        <v>0</v>
      </c>
      <c r="S16" s="104">
        <f>Bala!S16</f>
        <v>0</v>
      </c>
      <c r="T16" s="104">
        <f>Bala!T16</f>
        <v>0</v>
      </c>
      <c r="U16" s="104">
        <f>Bala!U16</f>
        <v>0</v>
      </c>
      <c r="V16" s="105">
        <f>Bala!V16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26.664949</v>
      </c>
      <c r="D18" s="12">
        <f>$D32</f>
        <v>26.664949</v>
      </c>
      <c r="E18" s="12">
        <f>$D33</f>
        <v>26.664949</v>
      </c>
      <c r="F18" s="12">
        <f>$D34</f>
        <v>26.664949</v>
      </c>
      <c r="G18" s="12">
        <f>$D35</f>
        <v>26.664949</v>
      </c>
      <c r="H18" s="12">
        <f>$D36</f>
        <v>26.664949</v>
      </c>
      <c r="I18" s="12">
        <f>$D37</f>
        <v>26.664949</v>
      </c>
      <c r="J18" s="12">
        <f>$D38</f>
        <v>26.664949</v>
      </c>
      <c r="K18" s="12">
        <f>$D39</f>
        <v>26.664949</v>
      </c>
      <c r="L18" s="12">
        <f>$D40</f>
        <v>26.664949</v>
      </c>
      <c r="M18" s="12">
        <f>$D41</f>
        <v>26.664949</v>
      </c>
      <c r="N18" s="12">
        <f>$D42</f>
        <v>26.664949</v>
      </c>
      <c r="O18" s="12">
        <f>$D43</f>
        <v>26.664949</v>
      </c>
      <c r="P18" s="12">
        <f>$D44</f>
        <v>26.664949</v>
      </c>
      <c r="Q18" s="12">
        <f>$D45</f>
        <v>26.664949</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-37.935050999999994</v>
      </c>
      <c r="D19" s="12">
        <f t="shared" ref="D19:V19" si="1">D18-D17</f>
        <v>-37.935050999999994</v>
      </c>
      <c r="E19" s="12">
        <f t="shared" si="1"/>
        <v>-37.935050999999994</v>
      </c>
      <c r="F19" s="12">
        <f t="shared" si="1"/>
        <v>-37.935050999999994</v>
      </c>
      <c r="G19" s="12">
        <f t="shared" si="1"/>
        <v>-37.935050999999994</v>
      </c>
      <c r="H19" s="12">
        <f t="shared" si="1"/>
        <v>-37.935050999999994</v>
      </c>
      <c r="I19" s="12">
        <f t="shared" si="1"/>
        <v>-37.935050999999994</v>
      </c>
      <c r="J19" s="12">
        <f t="shared" si="1"/>
        <v>-37.935050999999994</v>
      </c>
      <c r="K19" s="12">
        <f t="shared" si="1"/>
        <v>-37.935050999999994</v>
      </c>
      <c r="L19" s="12">
        <f t="shared" si="1"/>
        <v>-37.935050999999994</v>
      </c>
      <c r="M19" s="12">
        <f t="shared" si="1"/>
        <v>-37.935050999999994</v>
      </c>
      <c r="N19" s="12">
        <f t="shared" si="1"/>
        <v>-37.935050999999994</v>
      </c>
      <c r="O19" s="12">
        <f t="shared" si="1"/>
        <v>-37.935050999999994</v>
      </c>
      <c r="P19" s="12">
        <f t="shared" si="1"/>
        <v>-37.935050999999994</v>
      </c>
      <c r="Q19" s="12">
        <f t="shared" si="1"/>
        <v>-37.935050999999994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1.2411500000000002</v>
      </c>
      <c r="D22" s="12">
        <f>$E32</f>
        <v>1.2411500000000002</v>
      </c>
      <c r="E22" s="12">
        <f>$E33</f>
        <v>1.2411500000000002</v>
      </c>
      <c r="F22" s="12">
        <f>$E34</f>
        <v>1.2411500000000002</v>
      </c>
      <c r="G22" s="12">
        <f>$E35</f>
        <v>1.2411500000000002</v>
      </c>
      <c r="H22" s="12">
        <f>$E36</f>
        <v>1.2411500000000002</v>
      </c>
      <c r="I22" s="12">
        <f>$E37</f>
        <v>1.2411500000000002</v>
      </c>
      <c r="J22" s="12">
        <f>$E38</f>
        <v>1.2411500000000002</v>
      </c>
      <c r="K22" s="12">
        <f>$E39</f>
        <v>1.2411500000000002</v>
      </c>
      <c r="L22" s="12">
        <f>$E40</f>
        <v>1.2411500000000002</v>
      </c>
      <c r="M22" s="12">
        <f>$E41</f>
        <v>1.2411500000000002</v>
      </c>
      <c r="N22" s="12">
        <f>$E42</f>
        <v>1.2411500000000002</v>
      </c>
      <c r="O22" s="12">
        <f>$E43</f>
        <v>1.2411500000000002</v>
      </c>
      <c r="P22" s="12">
        <f>$E44</f>
        <v>1.2411500000000002</v>
      </c>
      <c r="Q22" s="12">
        <f>$E45</f>
        <v>1.2411500000000002</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-226.75885</v>
      </c>
      <c r="D23" s="12">
        <f t="shared" ref="D23:V23" si="3">D22-D21</f>
        <v>-226.75885</v>
      </c>
      <c r="E23" s="12">
        <f t="shared" si="3"/>
        <v>-226.75885</v>
      </c>
      <c r="F23" s="12">
        <f t="shared" si="3"/>
        <v>-226.75885</v>
      </c>
      <c r="G23" s="12">
        <f t="shared" si="3"/>
        <v>-226.75885</v>
      </c>
      <c r="H23" s="12">
        <f t="shared" si="3"/>
        <v>-226.75885</v>
      </c>
      <c r="I23" s="12">
        <f t="shared" si="3"/>
        <v>-226.75885</v>
      </c>
      <c r="J23" s="12">
        <f t="shared" si="3"/>
        <v>-226.75885</v>
      </c>
      <c r="K23" s="12">
        <f t="shared" si="3"/>
        <v>-226.75885</v>
      </c>
      <c r="L23" s="12">
        <f t="shared" si="3"/>
        <v>-226.75885</v>
      </c>
      <c r="M23" s="12">
        <f t="shared" si="3"/>
        <v>-226.75885</v>
      </c>
      <c r="N23" s="12">
        <f t="shared" si="3"/>
        <v>-226.75885</v>
      </c>
      <c r="O23" s="12">
        <f t="shared" si="3"/>
        <v>-226.75885</v>
      </c>
      <c r="P23" s="12">
        <f t="shared" si="3"/>
        <v>-226.75885</v>
      </c>
      <c r="Q23" s="12">
        <f t="shared" si="3"/>
        <v>-226.75885</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4.12</v>
      </c>
      <c r="C28" s="11">
        <v>0.59399999999999997</v>
      </c>
      <c r="D28" s="11">
        <v>0.113</v>
      </c>
      <c r="E28" s="11">
        <v>0.01</v>
      </c>
      <c r="F28" s="11">
        <v>353</v>
      </c>
      <c r="G28" s="11">
        <v>860</v>
      </c>
      <c r="H28" s="11">
        <v>360</v>
      </c>
      <c r="I28" s="11">
        <v>56.6</v>
      </c>
      <c r="J28" s="11">
        <v>1.1599999999999999</v>
      </c>
      <c r="K28" s="15">
        <v>0.97</v>
      </c>
      <c r="L28" s="11">
        <v>32.299999999999997</v>
      </c>
      <c r="M28" s="11">
        <v>14.4</v>
      </c>
      <c r="N28" s="11">
        <v>3410</v>
      </c>
      <c r="O28" s="11">
        <v>448000</v>
      </c>
      <c r="P28" s="11"/>
      <c r="Q28" s="11">
        <v>4260</v>
      </c>
      <c r="R28" s="11"/>
      <c r="S28" s="11">
        <v>25.6</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250</v>
      </c>
      <c r="C31" s="65">
        <f>IF(C$27="%w/w SAR",((C$28*10)*$B31),IF(C$27="%w/w DM",(((C$28*10)*($B$28/100))*$B31),IF(C$27="kg/t SAR",(C$28*$B31),IF(C$27="kg/t DM",((C$28*($B$28/100))*$B31),IF(C$27="mg/kg SAR",((C$28*0.001)*$B31),IF(C$27="mg/kg DM",(((C$28*0.001)*($B$28/100))*$B31),0))))))</f>
        <v>61.181999999999995</v>
      </c>
      <c r="D31" s="65">
        <f>(IF(D$27="%w/w SAR",((D$28*10)*$B31),IF(D$27="%w/w DM",(((D$28*10)*($B$28/100))*$B31),IF(D$27="kg/t SAR",(D$28*$B31),IF(D$27="kg/t DM",((D$28*($B$28/100))*$B31),IF(D$27="mg/kg SAR",((D$28*0.001)*$B31),IF(D$27="mg/kg DM",(((D$28*0.001)*($B$28/100))*$B31),"0")))))))*2.291</f>
        <v>26.664949</v>
      </c>
      <c r="E31" s="65">
        <f>(IF(E$27="%w/w SAR",((E$28*10)*$B31),IF(E$27="%w/w DM",(((E$28*10)*($B$28/100))*$B31),IF(E$27="kg/t SAR",(E$28*$B31),IF(E$27="kg/t DM",((E$28*($B$28/100))*$B31),IF(E$27="mg/kg SAR",((E$28*0.001)*$B31),IF(E$27="mg/kg DM",(((E$28*0.001)*($B$28/100))*$B31),"0")))))))*1.205</f>
        <v>1.2411500000000002</v>
      </c>
      <c r="F31" s="65">
        <f>(IF(F$27="%w/w SAR",((F$28*10)*$B31),IF(F$27="%w/w DM",(((F$28*10)*($B$28/100))*$B31),IF(F$27="kg/t SAR",(F$28*$B31),IF(F$27="kg/t DM",((F$28*($B$28/100))*$B31),IF(F$27="mg/kg SAR",((F$28*0.001)*$B31),IF(F$27="mg/kg DM",(((F$28*0.001)*($B$28/100))*$B31),"0")))))))*1.658</f>
        <v>6.028322199999999</v>
      </c>
      <c r="G31" s="65">
        <f t="shared" ref="G31:P46" si="5">IF(G$27="%w/w SAR",((G$28*10)*$B31),IF(G$27="%w/w DM",(((G$28*10)*($B$28/100))*$B31),IF(G$27="kg/t SAR",(G$28*$B31),IF(G$27="kg/t DM",((G$28*($B$28/100))*$B31),IF(G$27="mg/kg SAR",((G$28*0.001)*$B31),IF(G$27="mg/kg DM",(((G$28*0.001)*($B$28/100))*$B31),0))))))</f>
        <v>8.8579999999999988</v>
      </c>
      <c r="H31" s="65">
        <f t="shared" si="5"/>
        <v>3.7079999999999997</v>
      </c>
      <c r="I31" s="65">
        <f t="shared" si="5"/>
        <v>0.58298000000000005</v>
      </c>
      <c r="J31" s="65">
        <f t="shared" si="5"/>
        <v>1.1948E-2</v>
      </c>
      <c r="K31" s="65">
        <f t="shared" si="5"/>
        <v>9.9909999999999999E-3</v>
      </c>
      <c r="L31" s="65">
        <f t="shared" si="5"/>
        <v>0.33268999999999999</v>
      </c>
      <c r="M31" s="65">
        <f t="shared" si="5"/>
        <v>0.14832000000000001</v>
      </c>
      <c r="N31" s="65">
        <f t="shared" si="5"/>
        <v>35.123000000000005</v>
      </c>
      <c r="O31" s="65">
        <f t="shared" si="5"/>
        <v>4614.3999999999996</v>
      </c>
      <c r="P31" s="65">
        <f t="shared" si="5"/>
        <v>0</v>
      </c>
      <c r="Q31" s="65">
        <f>(IF(Q$27="%w/w SAR",((Q$28*10)*$B31),IF(Q$27="%w/w DM",(((Q$28*10)*($B$28/100))*$B31),IF(Q$27="kg/t SAR",(Q$28*$B31),IF(Q$27="kg/t DM",((Q$28*($B$28/100))*$B31),IF(Q$27="mg/kg SAR",((Q$28*0.001)*$B31),IF(Q$27="mg/kg DM",(((Q$28*0.001)*($B$28/100))*$B31),0)))))))*2.5</f>
        <v>109.69499999999999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0.26368000000000003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250</v>
      </c>
      <c r="C32" s="65">
        <f t="shared" ref="C32:C50" si="6">IF(C$27="%w/w SAR",((C$28*10)*$B32),IF(C$27="%w/w DM",(((C$28*10)*($B$28/100))*$B32),IF(C$27="kg/t SAR",(C$28*$B32),IF(C$27="kg/t DM",((C$28*($B$28/100))*$B32),IF(C$27="mg/kg SAR",((C$28*0.001)*$B32),IF(C$27="mg/kg DM",(((C$28*0.001)*($B$28/100))*$B32),0))))))</f>
        <v>61.181999999999995</v>
      </c>
      <c r="D32" s="65">
        <f t="shared" ref="D32:D50" si="7">(IF(D$27="%w/w SAR",((D$28*10)*$B32),IF(D$27="%w/w DM",(((D$28*10)*($B$28/100))*$B32),IF(D$27="kg/t SAR",(D$28*$B32),IF(D$27="kg/t DM",((D$28*($B$28/100))*$B32),IF(D$27="mg/kg SAR",((D$28*0.001)*$B32),IF(D$27="mg/kg DM",(((D$28*0.001)*($B$28/100))*$B32),"0")))))))*2.291</f>
        <v>26.664949</v>
      </c>
      <c r="E32" s="65">
        <f t="shared" ref="E32:E50" si="8">(IF(E$27="%w/w SAR",((E$28*10)*$B32),IF(E$27="%w/w DM",(((E$28*10)*($B$28/100))*$B32),IF(E$27="kg/t SAR",(E$28*$B32),IF(E$27="kg/t DM",((E$28*($B$28/100))*$B32),IF(E$27="mg/kg SAR",((E$28*0.001)*$B32),IF(E$27="mg/kg DM",(((E$28*0.001)*($B$28/100))*$B32),"0")))))))*1.205</f>
        <v>1.2411500000000002</v>
      </c>
      <c r="F32" s="65">
        <f t="shared" ref="F32:F50" si="9">(IF(F$27="%w/w SAR",((F$28*10)*$B32),IF(F$27="%w/w DM",(((F$28*10)*($B$28/100))*$B32),IF(F$27="kg/t SAR",(F$28*$B32),IF(F$27="kg/t DM",((F$28*($B$28/100))*$B32),IF(F$27="mg/kg SAR",((F$28*0.001)*$B32),IF(F$27="mg/kg DM",(((F$28*0.001)*($B$28/100))*$B32),"0")))))))*1.658</f>
        <v>6.028322199999999</v>
      </c>
      <c r="G32" s="65">
        <f t="shared" si="5"/>
        <v>8.8579999999999988</v>
      </c>
      <c r="H32" s="65">
        <f t="shared" si="5"/>
        <v>3.7079999999999997</v>
      </c>
      <c r="I32" s="65">
        <f t="shared" si="5"/>
        <v>0.58298000000000005</v>
      </c>
      <c r="J32" s="65">
        <f t="shared" si="5"/>
        <v>1.1948E-2</v>
      </c>
      <c r="K32" s="65">
        <f t="shared" si="5"/>
        <v>9.9909999999999999E-3</v>
      </c>
      <c r="L32" s="65">
        <f t="shared" si="5"/>
        <v>0.33268999999999999</v>
      </c>
      <c r="M32" s="65">
        <f t="shared" si="5"/>
        <v>0.14832000000000001</v>
      </c>
      <c r="N32" s="65">
        <f t="shared" si="5"/>
        <v>35.123000000000005</v>
      </c>
      <c r="O32" s="65">
        <f t="shared" si="5"/>
        <v>4614.3999999999996</v>
      </c>
      <c r="P32" s="65">
        <f t="shared" si="5"/>
        <v>0</v>
      </c>
      <c r="Q32" s="65">
        <f t="shared" ref="Q32:Q50" si="10">(IF(Q$27="%w/w SAR",((Q$28*10)*$B32),IF(Q$27="%w/w DM",(((Q$28*10)*($B$28/100))*$B32),IF(Q$27="kg/t SAR",(Q$28*$B32),IF(Q$27="kg/t DM",((Q$28*($B$28/100))*$B32),IF(Q$27="mg/kg SAR",((Q$28*0.001)*$B32),IF(Q$27="mg/kg DM",(((Q$28*0.001)*($B$28/100))*$B32),0)))))))*2.5</f>
        <v>109.69499999999999</v>
      </c>
      <c r="R32" s="65">
        <f t="shared" ref="R32:U50" si="11">IF(R$27="%w/w SAR",((R$28*10)*$B32),IF(R$27="%w/w DM",(((R$28*10)*($B$28/100))*$B32),IF(R$27="kg/t SAR",(R$28*$B32),IF(R$27="kg/t DM",((R$28*($B$28/100))*$B32),IF(R$27="mg/kg SAR",((R$28*0.001)*$B32),IF(R$27="mg/kg DM",(((R$28*0.001)*($B$28/100))*$B32),0))))))</f>
        <v>0</v>
      </c>
      <c r="S32" s="65">
        <f t="shared" si="11"/>
        <v>0.26368000000000003</v>
      </c>
      <c r="T32" s="65">
        <f t="shared" si="11"/>
        <v>0</v>
      </c>
      <c r="U32" s="126">
        <f t="shared" si="11"/>
        <v>0</v>
      </c>
    </row>
    <row r="33" spans="1:21" s="48" customFormat="1" x14ac:dyDescent="0.25">
      <c r="A33" s="125">
        <f>E8</f>
        <v>3</v>
      </c>
      <c r="B33" s="11">
        <v>250</v>
      </c>
      <c r="C33" s="65">
        <f t="shared" si="6"/>
        <v>61.181999999999995</v>
      </c>
      <c r="D33" s="65">
        <f t="shared" si="7"/>
        <v>26.664949</v>
      </c>
      <c r="E33" s="65">
        <f t="shared" si="8"/>
        <v>1.2411500000000002</v>
      </c>
      <c r="F33" s="65">
        <f t="shared" si="9"/>
        <v>6.028322199999999</v>
      </c>
      <c r="G33" s="65">
        <f t="shared" si="5"/>
        <v>8.8579999999999988</v>
      </c>
      <c r="H33" s="65">
        <f t="shared" si="5"/>
        <v>3.7079999999999997</v>
      </c>
      <c r="I33" s="65">
        <f t="shared" si="5"/>
        <v>0.58298000000000005</v>
      </c>
      <c r="J33" s="65">
        <f t="shared" si="5"/>
        <v>1.1948E-2</v>
      </c>
      <c r="K33" s="65">
        <f t="shared" si="5"/>
        <v>9.9909999999999999E-3</v>
      </c>
      <c r="L33" s="65">
        <f t="shared" si="5"/>
        <v>0.33268999999999999</v>
      </c>
      <c r="M33" s="65">
        <f t="shared" si="5"/>
        <v>0.14832000000000001</v>
      </c>
      <c r="N33" s="65">
        <f t="shared" si="5"/>
        <v>35.123000000000005</v>
      </c>
      <c r="O33" s="65">
        <f t="shared" si="5"/>
        <v>4614.3999999999996</v>
      </c>
      <c r="P33" s="65">
        <f t="shared" si="5"/>
        <v>0</v>
      </c>
      <c r="Q33" s="65">
        <f t="shared" si="10"/>
        <v>109.69499999999999</v>
      </c>
      <c r="R33" s="65">
        <f t="shared" si="11"/>
        <v>0</v>
      </c>
      <c r="S33" s="65">
        <f t="shared" si="11"/>
        <v>0.26368000000000003</v>
      </c>
      <c r="T33" s="65">
        <f t="shared" si="11"/>
        <v>0</v>
      </c>
      <c r="U33" s="126">
        <f t="shared" si="11"/>
        <v>0</v>
      </c>
    </row>
    <row r="34" spans="1:21" s="48" customFormat="1" x14ac:dyDescent="0.25">
      <c r="A34" s="125">
        <f>F8</f>
        <v>5</v>
      </c>
      <c r="B34" s="11">
        <v>250</v>
      </c>
      <c r="C34" s="65">
        <f t="shared" si="6"/>
        <v>61.181999999999995</v>
      </c>
      <c r="D34" s="65">
        <f t="shared" si="7"/>
        <v>26.664949</v>
      </c>
      <c r="E34" s="65">
        <f t="shared" si="8"/>
        <v>1.2411500000000002</v>
      </c>
      <c r="F34" s="65">
        <f t="shared" si="9"/>
        <v>6.028322199999999</v>
      </c>
      <c r="G34" s="65">
        <f t="shared" si="5"/>
        <v>8.8579999999999988</v>
      </c>
      <c r="H34" s="65">
        <f t="shared" si="5"/>
        <v>3.7079999999999997</v>
      </c>
      <c r="I34" s="65">
        <f t="shared" si="5"/>
        <v>0.58298000000000005</v>
      </c>
      <c r="J34" s="65">
        <f t="shared" si="5"/>
        <v>1.1948E-2</v>
      </c>
      <c r="K34" s="65">
        <f t="shared" si="5"/>
        <v>9.9909999999999999E-3</v>
      </c>
      <c r="L34" s="65">
        <f t="shared" si="5"/>
        <v>0.33268999999999999</v>
      </c>
      <c r="M34" s="65">
        <f t="shared" si="5"/>
        <v>0.14832000000000001</v>
      </c>
      <c r="N34" s="65">
        <f t="shared" si="5"/>
        <v>35.123000000000005</v>
      </c>
      <c r="O34" s="65">
        <f t="shared" si="5"/>
        <v>4614.3999999999996</v>
      </c>
      <c r="P34" s="65">
        <f t="shared" si="5"/>
        <v>0</v>
      </c>
      <c r="Q34" s="65">
        <f t="shared" si="10"/>
        <v>109.69499999999999</v>
      </c>
      <c r="R34" s="65">
        <f t="shared" si="11"/>
        <v>0</v>
      </c>
      <c r="S34" s="65">
        <f t="shared" si="11"/>
        <v>0.26368000000000003</v>
      </c>
      <c r="T34" s="65">
        <f t="shared" si="11"/>
        <v>0</v>
      </c>
      <c r="U34" s="126">
        <f t="shared" si="11"/>
        <v>0</v>
      </c>
    </row>
    <row r="35" spans="1:21" s="48" customFormat="1" x14ac:dyDescent="0.25">
      <c r="A35" s="125">
        <f>G8</f>
        <v>7</v>
      </c>
      <c r="B35" s="11">
        <v>250</v>
      </c>
      <c r="C35" s="65">
        <f t="shared" si="6"/>
        <v>61.181999999999995</v>
      </c>
      <c r="D35" s="65">
        <f t="shared" si="7"/>
        <v>26.664949</v>
      </c>
      <c r="E35" s="65">
        <f t="shared" si="8"/>
        <v>1.2411500000000002</v>
      </c>
      <c r="F35" s="65">
        <f t="shared" si="9"/>
        <v>6.028322199999999</v>
      </c>
      <c r="G35" s="65">
        <f t="shared" si="5"/>
        <v>8.8579999999999988</v>
      </c>
      <c r="H35" s="65">
        <f t="shared" si="5"/>
        <v>3.7079999999999997</v>
      </c>
      <c r="I35" s="65">
        <f t="shared" si="5"/>
        <v>0.58298000000000005</v>
      </c>
      <c r="J35" s="65">
        <f t="shared" si="5"/>
        <v>1.1948E-2</v>
      </c>
      <c r="K35" s="65">
        <f t="shared" si="5"/>
        <v>9.9909999999999999E-3</v>
      </c>
      <c r="L35" s="65">
        <f t="shared" si="5"/>
        <v>0.33268999999999999</v>
      </c>
      <c r="M35" s="65">
        <f t="shared" si="5"/>
        <v>0.14832000000000001</v>
      </c>
      <c r="N35" s="65">
        <f t="shared" si="5"/>
        <v>35.123000000000005</v>
      </c>
      <c r="O35" s="65">
        <f t="shared" si="5"/>
        <v>4614.3999999999996</v>
      </c>
      <c r="P35" s="65">
        <f t="shared" si="5"/>
        <v>0</v>
      </c>
      <c r="Q35" s="65">
        <f t="shared" si="10"/>
        <v>109.69499999999999</v>
      </c>
      <c r="R35" s="65">
        <f t="shared" si="11"/>
        <v>0</v>
      </c>
      <c r="S35" s="65">
        <f t="shared" si="11"/>
        <v>0.26368000000000003</v>
      </c>
      <c r="T35" s="65">
        <f t="shared" si="11"/>
        <v>0</v>
      </c>
      <c r="U35" s="126">
        <f t="shared" si="11"/>
        <v>0</v>
      </c>
    </row>
    <row r="36" spans="1:21" s="48" customFormat="1" x14ac:dyDescent="0.25">
      <c r="A36" s="125">
        <f>H8</f>
        <v>11</v>
      </c>
      <c r="B36" s="11">
        <v>250</v>
      </c>
      <c r="C36" s="65">
        <f t="shared" si="6"/>
        <v>61.181999999999995</v>
      </c>
      <c r="D36" s="65">
        <f t="shared" si="7"/>
        <v>26.664949</v>
      </c>
      <c r="E36" s="65">
        <f t="shared" si="8"/>
        <v>1.2411500000000002</v>
      </c>
      <c r="F36" s="65">
        <f t="shared" si="9"/>
        <v>6.028322199999999</v>
      </c>
      <c r="G36" s="65">
        <f t="shared" si="5"/>
        <v>8.8579999999999988</v>
      </c>
      <c r="H36" s="65">
        <f t="shared" si="5"/>
        <v>3.7079999999999997</v>
      </c>
      <c r="I36" s="65">
        <f t="shared" si="5"/>
        <v>0.58298000000000005</v>
      </c>
      <c r="J36" s="65">
        <f t="shared" si="5"/>
        <v>1.1948E-2</v>
      </c>
      <c r="K36" s="65">
        <f t="shared" si="5"/>
        <v>9.9909999999999999E-3</v>
      </c>
      <c r="L36" s="65">
        <f t="shared" si="5"/>
        <v>0.33268999999999999</v>
      </c>
      <c r="M36" s="65">
        <f t="shared" si="5"/>
        <v>0.14832000000000001</v>
      </c>
      <c r="N36" s="65">
        <f t="shared" si="5"/>
        <v>35.123000000000005</v>
      </c>
      <c r="O36" s="65">
        <f t="shared" si="5"/>
        <v>4614.3999999999996</v>
      </c>
      <c r="P36" s="65">
        <f t="shared" si="5"/>
        <v>0</v>
      </c>
      <c r="Q36" s="65">
        <f t="shared" si="10"/>
        <v>109.69499999999999</v>
      </c>
      <c r="R36" s="65">
        <f t="shared" si="11"/>
        <v>0</v>
      </c>
      <c r="S36" s="65">
        <f t="shared" si="11"/>
        <v>0.26368000000000003</v>
      </c>
      <c r="T36" s="65">
        <f t="shared" si="11"/>
        <v>0</v>
      </c>
      <c r="U36" s="126">
        <f t="shared" si="11"/>
        <v>0</v>
      </c>
    </row>
    <row r="37" spans="1:21" s="48" customFormat="1" x14ac:dyDescent="0.25">
      <c r="A37" s="125">
        <f>I8</f>
        <v>12</v>
      </c>
      <c r="B37" s="11">
        <v>250</v>
      </c>
      <c r="C37" s="65">
        <f t="shared" si="6"/>
        <v>61.181999999999995</v>
      </c>
      <c r="D37" s="65">
        <f t="shared" si="7"/>
        <v>26.664949</v>
      </c>
      <c r="E37" s="65">
        <f t="shared" si="8"/>
        <v>1.2411500000000002</v>
      </c>
      <c r="F37" s="65">
        <f t="shared" si="9"/>
        <v>6.028322199999999</v>
      </c>
      <c r="G37" s="65">
        <f t="shared" si="5"/>
        <v>8.8579999999999988</v>
      </c>
      <c r="H37" s="65">
        <f t="shared" si="5"/>
        <v>3.7079999999999997</v>
      </c>
      <c r="I37" s="65">
        <f t="shared" si="5"/>
        <v>0.58298000000000005</v>
      </c>
      <c r="J37" s="65">
        <f t="shared" si="5"/>
        <v>1.1948E-2</v>
      </c>
      <c r="K37" s="65">
        <f t="shared" si="5"/>
        <v>9.9909999999999999E-3</v>
      </c>
      <c r="L37" s="65">
        <f t="shared" si="5"/>
        <v>0.33268999999999999</v>
      </c>
      <c r="M37" s="65">
        <f t="shared" si="5"/>
        <v>0.14832000000000001</v>
      </c>
      <c r="N37" s="65">
        <f t="shared" si="5"/>
        <v>35.123000000000005</v>
      </c>
      <c r="O37" s="65">
        <f t="shared" si="5"/>
        <v>4614.3999999999996</v>
      </c>
      <c r="P37" s="65">
        <f t="shared" si="5"/>
        <v>0</v>
      </c>
      <c r="Q37" s="65">
        <f t="shared" si="10"/>
        <v>109.69499999999999</v>
      </c>
      <c r="R37" s="65">
        <f t="shared" si="11"/>
        <v>0</v>
      </c>
      <c r="S37" s="65">
        <f t="shared" si="11"/>
        <v>0.26368000000000003</v>
      </c>
      <c r="T37" s="65">
        <f t="shared" si="11"/>
        <v>0</v>
      </c>
      <c r="U37" s="126">
        <f t="shared" si="11"/>
        <v>0</v>
      </c>
    </row>
    <row r="38" spans="1:21" s="48" customFormat="1" x14ac:dyDescent="0.25">
      <c r="A38" s="125">
        <f>J8</f>
        <v>13</v>
      </c>
      <c r="B38" s="11">
        <v>250</v>
      </c>
      <c r="C38" s="65">
        <f t="shared" si="6"/>
        <v>61.181999999999995</v>
      </c>
      <c r="D38" s="65">
        <f t="shared" si="7"/>
        <v>26.664949</v>
      </c>
      <c r="E38" s="65">
        <f t="shared" si="8"/>
        <v>1.2411500000000002</v>
      </c>
      <c r="F38" s="65">
        <f t="shared" si="9"/>
        <v>6.028322199999999</v>
      </c>
      <c r="G38" s="65">
        <f t="shared" si="5"/>
        <v>8.8579999999999988</v>
      </c>
      <c r="H38" s="65">
        <f t="shared" si="5"/>
        <v>3.7079999999999997</v>
      </c>
      <c r="I38" s="65">
        <f t="shared" si="5"/>
        <v>0.58298000000000005</v>
      </c>
      <c r="J38" s="65">
        <f t="shared" si="5"/>
        <v>1.1948E-2</v>
      </c>
      <c r="K38" s="65">
        <f t="shared" si="5"/>
        <v>9.9909999999999999E-3</v>
      </c>
      <c r="L38" s="65">
        <f t="shared" si="5"/>
        <v>0.33268999999999999</v>
      </c>
      <c r="M38" s="65">
        <f t="shared" si="5"/>
        <v>0.14832000000000001</v>
      </c>
      <c r="N38" s="65">
        <f t="shared" si="5"/>
        <v>35.123000000000005</v>
      </c>
      <c r="O38" s="65">
        <f t="shared" si="5"/>
        <v>4614.3999999999996</v>
      </c>
      <c r="P38" s="65">
        <f t="shared" si="5"/>
        <v>0</v>
      </c>
      <c r="Q38" s="65">
        <f t="shared" si="10"/>
        <v>109.69499999999999</v>
      </c>
      <c r="R38" s="65">
        <f t="shared" si="11"/>
        <v>0</v>
      </c>
      <c r="S38" s="65">
        <f t="shared" si="11"/>
        <v>0.26368000000000003</v>
      </c>
      <c r="T38" s="65">
        <f t="shared" si="11"/>
        <v>0</v>
      </c>
      <c r="U38" s="126">
        <f t="shared" si="11"/>
        <v>0</v>
      </c>
    </row>
    <row r="39" spans="1:21" s="48" customFormat="1" x14ac:dyDescent="0.25">
      <c r="A39" s="125">
        <f>K8</f>
        <v>14</v>
      </c>
      <c r="B39" s="11">
        <v>250</v>
      </c>
      <c r="C39" s="65">
        <f t="shared" si="6"/>
        <v>61.181999999999995</v>
      </c>
      <c r="D39" s="65">
        <f t="shared" si="7"/>
        <v>26.664949</v>
      </c>
      <c r="E39" s="65">
        <f t="shared" si="8"/>
        <v>1.2411500000000002</v>
      </c>
      <c r="F39" s="65">
        <f t="shared" si="9"/>
        <v>6.028322199999999</v>
      </c>
      <c r="G39" s="65">
        <f t="shared" si="5"/>
        <v>8.8579999999999988</v>
      </c>
      <c r="H39" s="65">
        <f t="shared" si="5"/>
        <v>3.7079999999999997</v>
      </c>
      <c r="I39" s="65">
        <f t="shared" si="5"/>
        <v>0.58298000000000005</v>
      </c>
      <c r="J39" s="65">
        <f t="shared" si="5"/>
        <v>1.1948E-2</v>
      </c>
      <c r="K39" s="65">
        <f t="shared" si="5"/>
        <v>9.9909999999999999E-3</v>
      </c>
      <c r="L39" s="65">
        <f t="shared" si="5"/>
        <v>0.33268999999999999</v>
      </c>
      <c r="M39" s="65">
        <f t="shared" si="5"/>
        <v>0.14832000000000001</v>
      </c>
      <c r="N39" s="65">
        <f t="shared" si="5"/>
        <v>35.123000000000005</v>
      </c>
      <c r="O39" s="65">
        <f t="shared" si="5"/>
        <v>4614.3999999999996</v>
      </c>
      <c r="P39" s="65">
        <f t="shared" si="5"/>
        <v>0</v>
      </c>
      <c r="Q39" s="65">
        <f t="shared" si="10"/>
        <v>109.69499999999999</v>
      </c>
      <c r="R39" s="65">
        <f t="shared" si="11"/>
        <v>0</v>
      </c>
      <c r="S39" s="65">
        <f t="shared" si="11"/>
        <v>0.26368000000000003</v>
      </c>
      <c r="T39" s="65">
        <f t="shared" si="11"/>
        <v>0</v>
      </c>
      <c r="U39" s="126">
        <f t="shared" si="11"/>
        <v>0</v>
      </c>
    </row>
    <row r="40" spans="1:21" s="48" customFormat="1" x14ac:dyDescent="0.25">
      <c r="A40" s="125">
        <f>L8</f>
        <v>15</v>
      </c>
      <c r="B40" s="11">
        <v>250</v>
      </c>
      <c r="C40" s="65">
        <f t="shared" si="6"/>
        <v>61.181999999999995</v>
      </c>
      <c r="D40" s="65">
        <f t="shared" si="7"/>
        <v>26.664949</v>
      </c>
      <c r="E40" s="65">
        <f t="shared" si="8"/>
        <v>1.2411500000000002</v>
      </c>
      <c r="F40" s="65">
        <f t="shared" si="9"/>
        <v>6.028322199999999</v>
      </c>
      <c r="G40" s="65">
        <f t="shared" si="5"/>
        <v>8.8579999999999988</v>
      </c>
      <c r="H40" s="65">
        <f t="shared" si="5"/>
        <v>3.7079999999999997</v>
      </c>
      <c r="I40" s="65">
        <f t="shared" si="5"/>
        <v>0.58298000000000005</v>
      </c>
      <c r="J40" s="65">
        <f t="shared" si="5"/>
        <v>1.1948E-2</v>
      </c>
      <c r="K40" s="65">
        <f t="shared" si="5"/>
        <v>9.9909999999999999E-3</v>
      </c>
      <c r="L40" s="65">
        <f t="shared" si="5"/>
        <v>0.33268999999999999</v>
      </c>
      <c r="M40" s="65">
        <f t="shared" si="5"/>
        <v>0.14832000000000001</v>
      </c>
      <c r="N40" s="65">
        <f t="shared" si="5"/>
        <v>35.123000000000005</v>
      </c>
      <c r="O40" s="65">
        <f t="shared" si="5"/>
        <v>4614.3999999999996</v>
      </c>
      <c r="P40" s="65">
        <f t="shared" si="5"/>
        <v>0</v>
      </c>
      <c r="Q40" s="65">
        <f t="shared" si="10"/>
        <v>109.69499999999999</v>
      </c>
      <c r="R40" s="65">
        <f t="shared" si="11"/>
        <v>0</v>
      </c>
      <c r="S40" s="65">
        <f t="shared" si="11"/>
        <v>0.26368000000000003</v>
      </c>
      <c r="T40" s="65">
        <f t="shared" si="11"/>
        <v>0</v>
      </c>
      <c r="U40" s="126">
        <f t="shared" si="11"/>
        <v>0</v>
      </c>
    </row>
    <row r="41" spans="1:21" s="48" customFormat="1" x14ac:dyDescent="0.25">
      <c r="A41" s="125">
        <f>M8</f>
        <v>17</v>
      </c>
      <c r="B41" s="11">
        <v>250</v>
      </c>
      <c r="C41" s="65">
        <f t="shared" si="6"/>
        <v>61.181999999999995</v>
      </c>
      <c r="D41" s="65">
        <f t="shared" si="7"/>
        <v>26.664949</v>
      </c>
      <c r="E41" s="65">
        <f t="shared" si="8"/>
        <v>1.2411500000000002</v>
      </c>
      <c r="F41" s="65">
        <f t="shared" si="9"/>
        <v>6.028322199999999</v>
      </c>
      <c r="G41" s="65">
        <f t="shared" si="5"/>
        <v>8.8579999999999988</v>
      </c>
      <c r="H41" s="65">
        <f t="shared" si="5"/>
        <v>3.7079999999999997</v>
      </c>
      <c r="I41" s="65">
        <f t="shared" si="5"/>
        <v>0.58298000000000005</v>
      </c>
      <c r="J41" s="65">
        <f t="shared" si="5"/>
        <v>1.1948E-2</v>
      </c>
      <c r="K41" s="65">
        <f t="shared" si="5"/>
        <v>9.9909999999999999E-3</v>
      </c>
      <c r="L41" s="65">
        <f t="shared" si="5"/>
        <v>0.33268999999999999</v>
      </c>
      <c r="M41" s="65">
        <f t="shared" si="5"/>
        <v>0.14832000000000001</v>
      </c>
      <c r="N41" s="65">
        <f t="shared" si="5"/>
        <v>35.123000000000005</v>
      </c>
      <c r="O41" s="65">
        <f t="shared" si="5"/>
        <v>4614.3999999999996</v>
      </c>
      <c r="P41" s="65">
        <f t="shared" si="5"/>
        <v>0</v>
      </c>
      <c r="Q41" s="65">
        <f t="shared" si="10"/>
        <v>109.69499999999999</v>
      </c>
      <c r="R41" s="65">
        <f t="shared" si="11"/>
        <v>0</v>
      </c>
      <c r="S41" s="65">
        <f t="shared" si="11"/>
        <v>0.26368000000000003</v>
      </c>
      <c r="T41" s="65">
        <f t="shared" si="11"/>
        <v>0</v>
      </c>
      <c r="U41" s="126">
        <f t="shared" si="11"/>
        <v>0</v>
      </c>
    </row>
    <row r="42" spans="1:21" s="48" customFormat="1" x14ac:dyDescent="0.25">
      <c r="A42" s="125">
        <f>N8</f>
        <v>18</v>
      </c>
      <c r="B42" s="11">
        <v>250</v>
      </c>
      <c r="C42" s="65">
        <f t="shared" si="6"/>
        <v>61.181999999999995</v>
      </c>
      <c r="D42" s="65">
        <f t="shared" si="7"/>
        <v>26.664949</v>
      </c>
      <c r="E42" s="65">
        <f t="shared" si="8"/>
        <v>1.2411500000000002</v>
      </c>
      <c r="F42" s="65">
        <f t="shared" si="9"/>
        <v>6.028322199999999</v>
      </c>
      <c r="G42" s="65">
        <f t="shared" si="5"/>
        <v>8.8579999999999988</v>
      </c>
      <c r="H42" s="65">
        <f t="shared" si="5"/>
        <v>3.7079999999999997</v>
      </c>
      <c r="I42" s="65">
        <f t="shared" si="5"/>
        <v>0.58298000000000005</v>
      </c>
      <c r="J42" s="65">
        <f t="shared" si="5"/>
        <v>1.1948E-2</v>
      </c>
      <c r="K42" s="65">
        <f t="shared" si="5"/>
        <v>9.9909999999999999E-3</v>
      </c>
      <c r="L42" s="65">
        <f t="shared" si="5"/>
        <v>0.33268999999999999</v>
      </c>
      <c r="M42" s="65">
        <f t="shared" si="5"/>
        <v>0.14832000000000001</v>
      </c>
      <c r="N42" s="65">
        <f t="shared" si="5"/>
        <v>35.123000000000005</v>
      </c>
      <c r="O42" s="65">
        <f t="shared" si="5"/>
        <v>4614.3999999999996</v>
      </c>
      <c r="P42" s="65">
        <f t="shared" si="5"/>
        <v>0</v>
      </c>
      <c r="Q42" s="65">
        <f t="shared" si="10"/>
        <v>109.69499999999999</v>
      </c>
      <c r="R42" s="65">
        <f t="shared" si="11"/>
        <v>0</v>
      </c>
      <c r="S42" s="65">
        <f t="shared" si="11"/>
        <v>0.26368000000000003</v>
      </c>
      <c r="T42" s="65">
        <f t="shared" si="11"/>
        <v>0</v>
      </c>
      <c r="U42" s="126">
        <f t="shared" si="11"/>
        <v>0</v>
      </c>
    </row>
    <row r="43" spans="1:21" s="48" customFormat="1" x14ac:dyDescent="0.25">
      <c r="A43" s="125">
        <f>O8</f>
        <v>19</v>
      </c>
      <c r="B43" s="11">
        <v>250</v>
      </c>
      <c r="C43" s="65">
        <f t="shared" si="6"/>
        <v>61.181999999999995</v>
      </c>
      <c r="D43" s="65">
        <f t="shared" si="7"/>
        <v>26.664949</v>
      </c>
      <c r="E43" s="65">
        <f t="shared" si="8"/>
        <v>1.2411500000000002</v>
      </c>
      <c r="F43" s="65">
        <f t="shared" si="9"/>
        <v>6.028322199999999</v>
      </c>
      <c r="G43" s="65">
        <f t="shared" si="5"/>
        <v>8.8579999999999988</v>
      </c>
      <c r="H43" s="65">
        <f t="shared" si="5"/>
        <v>3.7079999999999997</v>
      </c>
      <c r="I43" s="65">
        <f t="shared" si="5"/>
        <v>0.58298000000000005</v>
      </c>
      <c r="J43" s="65">
        <f t="shared" si="5"/>
        <v>1.1948E-2</v>
      </c>
      <c r="K43" s="65">
        <f t="shared" si="5"/>
        <v>9.9909999999999999E-3</v>
      </c>
      <c r="L43" s="65">
        <f t="shared" si="5"/>
        <v>0.33268999999999999</v>
      </c>
      <c r="M43" s="65">
        <f t="shared" si="5"/>
        <v>0.14832000000000001</v>
      </c>
      <c r="N43" s="65">
        <f t="shared" si="5"/>
        <v>35.123000000000005</v>
      </c>
      <c r="O43" s="65">
        <f t="shared" si="5"/>
        <v>4614.3999999999996</v>
      </c>
      <c r="P43" s="65">
        <f t="shared" si="5"/>
        <v>0</v>
      </c>
      <c r="Q43" s="65">
        <f t="shared" si="10"/>
        <v>109.69499999999999</v>
      </c>
      <c r="R43" s="65">
        <f t="shared" si="11"/>
        <v>0</v>
      </c>
      <c r="S43" s="65">
        <f t="shared" si="11"/>
        <v>0.26368000000000003</v>
      </c>
      <c r="T43" s="65">
        <f t="shared" si="11"/>
        <v>0</v>
      </c>
      <c r="U43" s="126">
        <f t="shared" si="11"/>
        <v>0</v>
      </c>
    </row>
    <row r="44" spans="1:21" s="48" customFormat="1" x14ac:dyDescent="0.25">
      <c r="A44" s="125">
        <f>P8</f>
        <v>20</v>
      </c>
      <c r="B44" s="11">
        <v>250</v>
      </c>
      <c r="C44" s="65">
        <f t="shared" si="6"/>
        <v>61.181999999999995</v>
      </c>
      <c r="D44" s="65">
        <f t="shared" si="7"/>
        <v>26.664949</v>
      </c>
      <c r="E44" s="65">
        <f t="shared" si="8"/>
        <v>1.2411500000000002</v>
      </c>
      <c r="F44" s="65">
        <f t="shared" si="9"/>
        <v>6.028322199999999</v>
      </c>
      <c r="G44" s="65">
        <f t="shared" si="5"/>
        <v>8.8579999999999988</v>
      </c>
      <c r="H44" s="65">
        <f t="shared" si="5"/>
        <v>3.7079999999999997</v>
      </c>
      <c r="I44" s="65">
        <f t="shared" si="5"/>
        <v>0.58298000000000005</v>
      </c>
      <c r="J44" s="65">
        <f t="shared" si="5"/>
        <v>1.1948E-2</v>
      </c>
      <c r="K44" s="65">
        <f t="shared" si="5"/>
        <v>9.9909999999999999E-3</v>
      </c>
      <c r="L44" s="65">
        <f t="shared" si="5"/>
        <v>0.33268999999999999</v>
      </c>
      <c r="M44" s="65">
        <f t="shared" si="5"/>
        <v>0.14832000000000001</v>
      </c>
      <c r="N44" s="65">
        <f t="shared" si="5"/>
        <v>35.123000000000005</v>
      </c>
      <c r="O44" s="65">
        <f t="shared" si="5"/>
        <v>4614.3999999999996</v>
      </c>
      <c r="P44" s="65">
        <f t="shared" si="5"/>
        <v>0</v>
      </c>
      <c r="Q44" s="65">
        <f t="shared" si="10"/>
        <v>109.69499999999999</v>
      </c>
      <c r="R44" s="65">
        <f t="shared" si="11"/>
        <v>0</v>
      </c>
      <c r="S44" s="65">
        <f t="shared" si="11"/>
        <v>0.26368000000000003</v>
      </c>
      <c r="T44" s="65">
        <f t="shared" si="11"/>
        <v>0</v>
      </c>
      <c r="U44" s="126">
        <f t="shared" si="11"/>
        <v>0</v>
      </c>
    </row>
    <row r="45" spans="1:21" s="48" customFormat="1" x14ac:dyDescent="0.25">
      <c r="A45" s="125">
        <f>Q8</f>
        <v>21</v>
      </c>
      <c r="B45" s="11">
        <v>250</v>
      </c>
      <c r="C45" s="65">
        <f t="shared" si="6"/>
        <v>61.181999999999995</v>
      </c>
      <c r="D45" s="65">
        <f t="shared" si="7"/>
        <v>26.664949</v>
      </c>
      <c r="E45" s="65">
        <f t="shared" si="8"/>
        <v>1.2411500000000002</v>
      </c>
      <c r="F45" s="65">
        <f t="shared" si="9"/>
        <v>6.028322199999999</v>
      </c>
      <c r="G45" s="65">
        <f t="shared" si="5"/>
        <v>8.8579999999999988</v>
      </c>
      <c r="H45" s="65">
        <f t="shared" si="5"/>
        <v>3.7079999999999997</v>
      </c>
      <c r="I45" s="65">
        <f t="shared" si="5"/>
        <v>0.58298000000000005</v>
      </c>
      <c r="J45" s="65">
        <f t="shared" si="5"/>
        <v>1.1948E-2</v>
      </c>
      <c r="K45" s="65">
        <f t="shared" si="5"/>
        <v>9.9909999999999999E-3</v>
      </c>
      <c r="L45" s="65">
        <f t="shared" si="5"/>
        <v>0.33268999999999999</v>
      </c>
      <c r="M45" s="65">
        <f t="shared" si="5"/>
        <v>0.14832000000000001</v>
      </c>
      <c r="N45" s="65">
        <f t="shared" si="5"/>
        <v>35.123000000000005</v>
      </c>
      <c r="O45" s="65">
        <f t="shared" si="5"/>
        <v>4614.3999999999996</v>
      </c>
      <c r="P45" s="65">
        <f t="shared" si="5"/>
        <v>0</v>
      </c>
      <c r="Q45" s="65">
        <f t="shared" si="10"/>
        <v>109.69499999999999</v>
      </c>
      <c r="R45" s="65">
        <f t="shared" si="11"/>
        <v>0</v>
      </c>
      <c r="S45" s="65">
        <f t="shared" si="11"/>
        <v>0.26368000000000003</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x14ac:dyDescent="0.2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Grass</v>
      </c>
      <c r="P58" s="10" t="str">
        <f>Q16&amp;" I "&amp;(VLOOKUP(Q14,Table2458[],6,FALSE))</f>
        <v>Medium/Clay I Grass</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f>VLOOKUP(P$14,Table2458[],5,FALSE)</f>
        <v>6.2</v>
      </c>
      <c r="P59" s="64">
        <f>VLOOKUP(Q$14,Table2458[],5,FALSE)</f>
        <v>6.2</v>
      </c>
      <c r="Q59" s="64" t="e">
        <f>VLOOKUP(R$14,Table2458[],5,FALSE)</f>
        <v>#N/A</v>
      </c>
      <c r="R59" s="64" t="e">
        <f>VLOOKUP(S$14,Table2458[],5,FALSE)</f>
        <v>#N/A</v>
      </c>
      <c r="S59" s="64" t="e">
        <f>VLOOKUP(T$14,Table2458[],5,FALSE)</f>
        <v>#N/A</v>
      </c>
      <c r="T59" s="64" t="e">
        <f>VLOOKUP(U$14,Table2458[],5,FALSE)</f>
        <v>#N/A</v>
      </c>
      <c r="U59" s="64" t="e">
        <f>VLOOKUP(V$14,Table2458[],5,FALSE)</f>
        <v>#N/A</v>
      </c>
    </row>
    <row r="60" spans="1:21" x14ac:dyDescent="0.2">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1" x14ac:dyDescent="0.2">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32" sqref="A32"/>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Bala!C1:D1</f>
        <v>PAN-030515</v>
      </c>
      <c r="D1" s="173"/>
      <c r="E1" s="106" t="s">
        <v>45</v>
      </c>
      <c r="F1" s="113">
        <f>Bala!F1</f>
        <v>50</v>
      </c>
      <c r="G1" s="162" t="s">
        <v>43</v>
      </c>
      <c r="H1" s="163"/>
      <c r="I1" s="109">
        <v>6.8</v>
      </c>
      <c r="J1" s="130" t="s">
        <v>153</v>
      </c>
      <c r="K1" s="131"/>
      <c r="L1" s="109">
        <v>178</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Bala!C2:D2</f>
        <v>EPR/GP3792SK</v>
      </c>
      <c r="D2" s="169"/>
      <c r="E2" s="96" t="s">
        <v>109</v>
      </c>
      <c r="F2" s="110" t="s">
        <v>165</v>
      </c>
      <c r="G2" s="164" t="s">
        <v>110</v>
      </c>
      <c r="H2" s="165"/>
      <c r="I2" s="110"/>
      <c r="J2" s="132" t="s">
        <v>158</v>
      </c>
      <c r="K2" s="133"/>
      <c r="L2" s="110">
        <v>0.90200000000000002</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Bala!C3:D3</f>
        <v>ByProduct Recovery Ltd</v>
      </c>
      <c r="D3" s="169"/>
      <c r="E3" s="96" t="s">
        <v>108</v>
      </c>
      <c r="F3" s="111" t="s">
        <v>78</v>
      </c>
      <c r="G3" s="132" t="s">
        <v>159</v>
      </c>
      <c r="H3" s="133"/>
      <c r="I3" s="110"/>
      <c r="J3" s="134" t="s">
        <v>154</v>
      </c>
      <c r="K3" s="135"/>
      <c r="L3" s="110">
        <f>(L1/(L2*10000))*100</f>
        <v>1.9733924611973392</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Bala!C4:D4</f>
        <v>Henllys, Llanfair TH, Abergele, Conwys, LL22 8TF</v>
      </c>
      <c r="D4" s="171"/>
      <c r="E4" s="99" t="s">
        <v>1</v>
      </c>
      <c r="F4" s="110" t="s">
        <v>172</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Bala!C5:D5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f>Bala!C8</f>
        <v>1</v>
      </c>
      <c r="D8" s="49">
        <f>Bala!D8</f>
        <v>2</v>
      </c>
      <c r="E8" s="49">
        <f>Bala!E8</f>
        <v>3</v>
      </c>
      <c r="F8" s="49">
        <f>Bala!F8</f>
        <v>5</v>
      </c>
      <c r="G8" s="49">
        <f>Bala!G8</f>
        <v>7</v>
      </c>
      <c r="H8" s="49">
        <f>Bala!H8</f>
        <v>11</v>
      </c>
      <c r="I8" s="49">
        <f>Bala!I8</f>
        <v>12</v>
      </c>
      <c r="J8" s="49">
        <f>Bala!J8</f>
        <v>13</v>
      </c>
      <c r="K8" s="49">
        <f>Bala!K8</f>
        <v>14</v>
      </c>
      <c r="L8" s="49">
        <f>Bala!L8</f>
        <v>15</v>
      </c>
      <c r="M8" s="49">
        <f>Bala!M8</f>
        <v>17</v>
      </c>
      <c r="N8" s="49">
        <f>Bala!N8</f>
        <v>18</v>
      </c>
      <c r="O8" s="49">
        <f>Bala!O8</f>
        <v>19</v>
      </c>
      <c r="P8" s="49">
        <f>Bala!P8</f>
        <v>20</v>
      </c>
      <c r="Q8" s="49">
        <f>Bala!Q8</f>
        <v>21</v>
      </c>
      <c r="R8" s="49">
        <f>Bala!R8</f>
        <v>0</v>
      </c>
      <c r="S8" s="49">
        <f>Bala!S8</f>
        <v>0</v>
      </c>
      <c r="T8" s="49">
        <f>Bala!T8</f>
        <v>0</v>
      </c>
      <c r="U8" s="49">
        <f>Bala!U8</f>
        <v>0</v>
      </c>
      <c r="V8" s="102">
        <f>Bala!V8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f>Bala!C9</f>
        <v>0</v>
      </c>
      <c r="D9" s="49">
        <f>Bala!D9</f>
        <v>0</v>
      </c>
      <c r="E9" s="49">
        <f>Bala!E9</f>
        <v>0</v>
      </c>
      <c r="F9" s="49">
        <f>Bala!F9</f>
        <v>0</v>
      </c>
      <c r="G9" s="49">
        <f>Bala!G9</f>
        <v>0</v>
      </c>
      <c r="H9" s="49">
        <f>Bala!H9</f>
        <v>0</v>
      </c>
      <c r="I9" s="49">
        <f>Bala!I9</f>
        <v>0</v>
      </c>
      <c r="J9" s="49">
        <f>Bala!J9</f>
        <v>0</v>
      </c>
      <c r="K9" s="49">
        <f>Bala!K9</f>
        <v>0</v>
      </c>
      <c r="L9" s="49">
        <f>Bala!L9</f>
        <v>0</v>
      </c>
      <c r="M9" s="49">
        <f>Bala!M9</f>
        <v>0</v>
      </c>
      <c r="N9" s="49">
        <f>Bala!N9</f>
        <v>0</v>
      </c>
      <c r="O9" s="49">
        <f>Bala!O9</f>
        <v>0</v>
      </c>
      <c r="P9" s="49">
        <f>Bala!P9</f>
        <v>0</v>
      </c>
      <c r="Q9" s="49">
        <f>Bala!Q9</f>
        <v>0</v>
      </c>
      <c r="R9" s="49">
        <f>Bala!R9</f>
        <v>0</v>
      </c>
      <c r="S9" s="49">
        <f>Bala!S9</f>
        <v>0</v>
      </c>
      <c r="T9" s="49">
        <f>Bala!T9</f>
        <v>0</v>
      </c>
      <c r="U9" s="49">
        <f>Bala!U9</f>
        <v>0</v>
      </c>
      <c r="V9" s="102">
        <f>Bala!V9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Bala!C10</f>
        <v>6.2</v>
      </c>
      <c r="D10" s="49">
        <f>Bala!D10</f>
        <v>6.4</v>
      </c>
      <c r="E10" s="49">
        <f>Bala!E10</f>
        <v>5.6</v>
      </c>
      <c r="F10" s="49">
        <f>Bala!F10</f>
        <v>5.5</v>
      </c>
      <c r="G10" s="49">
        <f>Bala!G10</f>
        <v>6.3</v>
      </c>
      <c r="H10" s="49">
        <f>Bala!H10</f>
        <v>5.5</v>
      </c>
      <c r="I10" s="49">
        <f>Bala!I10</f>
        <v>5.6</v>
      </c>
      <c r="J10" s="49">
        <f>Bala!J10</f>
        <v>6.4</v>
      </c>
      <c r="K10" s="49">
        <f>Bala!K10</f>
        <v>6.3</v>
      </c>
      <c r="L10" s="49">
        <f>Bala!L10</f>
        <v>5.7</v>
      </c>
      <c r="M10" s="49">
        <f>Bala!M10</f>
        <v>5.9</v>
      </c>
      <c r="N10" s="49">
        <f>Bala!N10</f>
        <v>6</v>
      </c>
      <c r="O10" s="49">
        <f>Bala!O10</f>
        <v>6.2</v>
      </c>
      <c r="P10" s="49">
        <f>Bala!P10</f>
        <v>5.8</v>
      </c>
      <c r="Q10" s="49">
        <f>Bala!Q10</f>
        <v>5.9</v>
      </c>
      <c r="R10" s="49">
        <f>Bala!R10</f>
        <v>0</v>
      </c>
      <c r="S10" s="49">
        <f>Bala!S10</f>
        <v>0</v>
      </c>
      <c r="T10" s="49">
        <f>Bala!T10</f>
        <v>0</v>
      </c>
      <c r="U10" s="49">
        <f>Bala!U10</f>
        <v>0</v>
      </c>
      <c r="V10" s="102">
        <f>Bala!V10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Bala!C11</f>
        <v>2</v>
      </c>
      <c r="D11" s="49">
        <f>Bala!D11</f>
        <v>1</v>
      </c>
      <c r="E11" s="49">
        <f>Bala!E11</f>
        <v>2</v>
      </c>
      <c r="F11" s="49">
        <f>Bala!F11</f>
        <v>1</v>
      </c>
      <c r="G11" s="49">
        <f>Bala!G11</f>
        <v>0</v>
      </c>
      <c r="H11" s="49">
        <f>Bala!H11</f>
        <v>2</v>
      </c>
      <c r="I11" s="49">
        <f>Bala!I11</f>
        <v>2</v>
      </c>
      <c r="J11" s="49">
        <f>Bala!J11</f>
        <v>2</v>
      </c>
      <c r="K11" s="49">
        <f>Bala!K11</f>
        <v>2</v>
      </c>
      <c r="L11" s="49">
        <f>Bala!L11</f>
        <v>1</v>
      </c>
      <c r="M11" s="49">
        <f>Bala!M11</f>
        <v>2</v>
      </c>
      <c r="N11" s="49">
        <f>Bala!N11</f>
        <v>2</v>
      </c>
      <c r="O11" s="49">
        <f>Bala!O11</f>
        <v>1</v>
      </c>
      <c r="P11" s="49">
        <f>Bala!P11</f>
        <v>1</v>
      </c>
      <c r="Q11" s="49">
        <f>Bala!Q11</f>
        <v>1</v>
      </c>
      <c r="R11" s="49">
        <f>Bala!R11</f>
        <v>0</v>
      </c>
      <c r="S11" s="49">
        <f>Bala!S11</f>
        <v>0</v>
      </c>
      <c r="T11" s="49">
        <f>Bala!T11</f>
        <v>0</v>
      </c>
      <c r="U11" s="49">
        <f>Bala!U11</f>
        <v>0</v>
      </c>
      <c r="V11" s="102">
        <f>Bala!V11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Bala!C12</f>
        <v>0</v>
      </c>
      <c r="D12" s="49">
        <f>Bala!D12</f>
        <v>1</v>
      </c>
      <c r="E12" s="49">
        <f>Bala!E12</f>
        <v>2</v>
      </c>
      <c r="F12" s="49">
        <f>Bala!F12</f>
        <v>1</v>
      </c>
      <c r="G12" s="49">
        <f>Bala!G12</f>
        <v>1</v>
      </c>
      <c r="H12" s="49">
        <f>Bala!H12</f>
        <v>1</v>
      </c>
      <c r="I12" s="49">
        <f>Bala!I12</f>
        <v>2</v>
      </c>
      <c r="J12" s="49">
        <f>Bala!J12</f>
        <v>2</v>
      </c>
      <c r="K12" s="49">
        <f>Bala!K12</f>
        <v>1</v>
      </c>
      <c r="L12" s="49">
        <f>Bala!L12</f>
        <v>1</v>
      </c>
      <c r="M12" s="49">
        <f>Bala!M12</f>
        <v>2</v>
      </c>
      <c r="N12" s="49">
        <f>Bala!N12</f>
        <v>2</v>
      </c>
      <c r="O12" s="49">
        <f>Bala!O12</f>
        <v>1</v>
      </c>
      <c r="P12" s="49">
        <f>Bala!P12</f>
        <v>1</v>
      </c>
      <c r="Q12" s="49">
        <f>Bala!Q12</f>
        <v>1</v>
      </c>
      <c r="R12" s="49">
        <f>Bala!R12</f>
        <v>0</v>
      </c>
      <c r="S12" s="49">
        <f>Bala!S12</f>
        <v>0</v>
      </c>
      <c r="T12" s="49">
        <f>Bala!T12</f>
        <v>0</v>
      </c>
      <c r="U12" s="49">
        <f>Bala!U12</f>
        <v>0</v>
      </c>
      <c r="V12" s="102">
        <f>Bala!V12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Bala!C13</f>
        <v>2</v>
      </c>
      <c r="D13" s="49">
        <f>Bala!D13</f>
        <v>3</v>
      </c>
      <c r="E13" s="49">
        <f>Bala!E13</f>
        <v>2</v>
      </c>
      <c r="F13" s="49">
        <f>Bala!F13</f>
        <v>2</v>
      </c>
      <c r="G13" s="49">
        <f>Bala!G13</f>
        <v>2</v>
      </c>
      <c r="H13" s="49">
        <f>Bala!H13</f>
        <v>2</v>
      </c>
      <c r="I13" s="49">
        <f>Bala!I13</f>
        <v>2</v>
      </c>
      <c r="J13" s="49">
        <f>Bala!J13</f>
        <v>2</v>
      </c>
      <c r="K13" s="49">
        <f>Bala!K13</f>
        <v>2</v>
      </c>
      <c r="L13" s="49">
        <f>Bala!L13</f>
        <v>2</v>
      </c>
      <c r="M13" s="49">
        <f>Bala!M13</f>
        <v>2</v>
      </c>
      <c r="N13" s="49">
        <f>Bala!N13</f>
        <v>2</v>
      </c>
      <c r="O13" s="49">
        <f>Bala!O13</f>
        <v>2</v>
      </c>
      <c r="P13" s="49">
        <f>Bala!P13</f>
        <v>2</v>
      </c>
      <c r="Q13" s="49">
        <f>Bala!Q13</f>
        <v>2</v>
      </c>
      <c r="R13" s="49">
        <f>Bala!R13</f>
        <v>0</v>
      </c>
      <c r="S13" s="49">
        <f>Bala!S13</f>
        <v>0</v>
      </c>
      <c r="T13" s="49">
        <f>Bala!T13</f>
        <v>0</v>
      </c>
      <c r="U13" s="49">
        <f>Bala!U13</f>
        <v>0</v>
      </c>
      <c r="V13" s="102">
        <f>Bala!V13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Bala!C14</f>
        <v xml:space="preserve">Grass Silage (25% DM) </v>
      </c>
      <c r="D14" s="83" t="str">
        <f>Bala!D14</f>
        <v xml:space="preserve">Grass Silage (25% DM) </v>
      </c>
      <c r="E14" s="83" t="str">
        <f>Bala!E14</f>
        <v xml:space="preserve">Grass Silage (25% DM) </v>
      </c>
      <c r="F14" s="83" t="str">
        <f>Bala!F14</f>
        <v xml:space="preserve">Grass Silage (25% DM) </v>
      </c>
      <c r="G14" s="83" t="str">
        <f>Bala!G14</f>
        <v xml:space="preserve">Grass Silage (25% DM) </v>
      </c>
      <c r="H14" s="83" t="str">
        <f>Bala!H14</f>
        <v xml:space="preserve">Grass Silage (25% DM) </v>
      </c>
      <c r="I14" s="83" t="str">
        <f>Bala!I14</f>
        <v xml:space="preserve">Grass Silage (25% DM) </v>
      </c>
      <c r="J14" s="83" t="str">
        <f>Bala!J14</f>
        <v xml:space="preserve">Grass Silage (25% DM) </v>
      </c>
      <c r="K14" s="83" t="str">
        <f>Bala!K14</f>
        <v xml:space="preserve">Grass Silage (25% DM) </v>
      </c>
      <c r="L14" s="83" t="str">
        <f>Bala!L14</f>
        <v xml:space="preserve">Grass Silage (25% DM) </v>
      </c>
      <c r="M14" s="83" t="str">
        <f>Bala!M14</f>
        <v xml:space="preserve">Grass Silage (25% DM) </v>
      </c>
      <c r="N14" s="83" t="str">
        <f>Bala!N14</f>
        <v xml:space="preserve">Grass Silage (25% DM) </v>
      </c>
      <c r="O14" s="83" t="str">
        <f>Bala!O14</f>
        <v xml:space="preserve">Grass Silage (25% DM) </v>
      </c>
      <c r="P14" s="83" t="str">
        <f>Bala!P14</f>
        <v xml:space="preserve">Grass Silage (25% DM) </v>
      </c>
      <c r="Q14" s="83" t="str">
        <f>Bala!Q14</f>
        <v xml:space="preserve">Grass Silage (25% DM) </v>
      </c>
      <c r="R14" s="83">
        <f>Bala!R14</f>
        <v>0</v>
      </c>
      <c r="S14" s="83">
        <f>Bala!S14</f>
        <v>0</v>
      </c>
      <c r="T14" s="83">
        <f>Bala!T14</f>
        <v>0</v>
      </c>
      <c r="U14" s="83">
        <f>Bala!U14</f>
        <v>0</v>
      </c>
      <c r="V14" s="103">
        <f>Bala!V14</f>
        <v>0</v>
      </c>
      <c r="AD14" s="22" t="s">
        <v>138</v>
      </c>
      <c r="AE14" s="22">
        <v>6</v>
      </c>
      <c r="AI14" s="43" t="s">
        <v>119</v>
      </c>
      <c r="AJ14" s="44">
        <v>0.8</v>
      </c>
      <c r="AK14" s="45">
        <v>1.7</v>
      </c>
      <c r="AL14" s="9">
        <v>12</v>
      </c>
      <c r="AM14" s="9">
        <v>6.7</v>
      </c>
      <c r="AN14" s="9" t="s">
        <v>135</v>
      </c>
    </row>
    <row r="15" spans="1:41" x14ac:dyDescent="0.2">
      <c r="A15" s="148" t="s">
        <v>9</v>
      </c>
      <c r="B15" s="149"/>
      <c r="C15" s="49">
        <f>Bala!C15</f>
        <v>38</v>
      </c>
      <c r="D15" s="49">
        <f>Bala!D15</f>
        <v>38</v>
      </c>
      <c r="E15" s="49">
        <f>Bala!E15</f>
        <v>38</v>
      </c>
      <c r="F15" s="49">
        <f>Bala!F15</f>
        <v>38</v>
      </c>
      <c r="G15" s="49">
        <f>Bala!G15</f>
        <v>38</v>
      </c>
      <c r="H15" s="49">
        <f>Bala!H15</f>
        <v>38</v>
      </c>
      <c r="I15" s="49">
        <f>Bala!I15</f>
        <v>38</v>
      </c>
      <c r="J15" s="49">
        <f>Bala!J15</f>
        <v>38</v>
      </c>
      <c r="K15" s="49">
        <f>Bala!K15</f>
        <v>38</v>
      </c>
      <c r="L15" s="49">
        <f>Bala!L15</f>
        <v>38</v>
      </c>
      <c r="M15" s="49">
        <f>Bala!M15</f>
        <v>38</v>
      </c>
      <c r="N15" s="49">
        <f>Bala!N15</f>
        <v>38</v>
      </c>
      <c r="O15" s="49">
        <f>Bala!O15</f>
        <v>38</v>
      </c>
      <c r="P15" s="49">
        <f>Bala!P15</f>
        <v>38</v>
      </c>
      <c r="Q15" s="49">
        <f>Bala!Q15</f>
        <v>38</v>
      </c>
      <c r="R15" s="49">
        <f>Bala!R15</f>
        <v>0</v>
      </c>
      <c r="S15" s="49">
        <f>Bala!S15</f>
        <v>0</v>
      </c>
      <c r="T15" s="49">
        <f>Bala!T15</f>
        <v>0</v>
      </c>
      <c r="U15" s="49">
        <f>Bala!U15</f>
        <v>0</v>
      </c>
      <c r="V15" s="102">
        <f>Bala!V15</f>
        <v>0</v>
      </c>
      <c r="AD15" s="22" t="s">
        <v>144</v>
      </c>
      <c r="AE15" s="22">
        <v>7</v>
      </c>
      <c r="AI15" s="43" t="s">
        <v>101</v>
      </c>
      <c r="AJ15" s="51">
        <v>1.8</v>
      </c>
      <c r="AK15" s="45">
        <v>5.4</v>
      </c>
      <c r="AL15" s="9">
        <v>13</v>
      </c>
      <c r="AM15" s="9">
        <v>6.7</v>
      </c>
      <c r="AN15" s="9" t="s">
        <v>135</v>
      </c>
    </row>
    <row r="16" spans="1:41" ht="13.5" thickBot="1" x14ac:dyDescent="0.25">
      <c r="A16" s="152" t="s">
        <v>44</v>
      </c>
      <c r="B16" s="153"/>
      <c r="C16" s="104" t="str">
        <f>Bala!C16</f>
        <v>Medium/Clay</v>
      </c>
      <c r="D16" s="104" t="str">
        <f>Bala!D16</f>
        <v>Medium/Clay</v>
      </c>
      <c r="E16" s="104" t="str">
        <f>Bala!E16</f>
        <v>Medium/Clay</v>
      </c>
      <c r="F16" s="104" t="str">
        <f>Bala!F16</f>
        <v>Medium/Clay</v>
      </c>
      <c r="G16" s="104" t="str">
        <f>Bala!G16</f>
        <v>Medium/Clay</v>
      </c>
      <c r="H16" s="104" t="str">
        <f>Bala!H16</f>
        <v>Medium/Clay</v>
      </c>
      <c r="I16" s="104" t="str">
        <f>Bala!I16</f>
        <v>Medium/Clay</v>
      </c>
      <c r="J16" s="104" t="str">
        <f>Bala!J16</f>
        <v>Medium/Clay</v>
      </c>
      <c r="K16" s="104" t="str">
        <f>Bala!K16</f>
        <v>Medium/Clay</v>
      </c>
      <c r="L16" s="104" t="str">
        <f>Bala!L16</f>
        <v>Medium/Clay</v>
      </c>
      <c r="M16" s="104" t="str">
        <f>Bala!M16</f>
        <v>Medium/Clay</v>
      </c>
      <c r="N16" s="104" t="str">
        <f>Bala!N16</f>
        <v>Medium/Clay</v>
      </c>
      <c r="O16" s="104" t="str">
        <f>Bala!O16</f>
        <v>Medium/Clay</v>
      </c>
      <c r="P16" s="104" t="str">
        <f>Bala!P16</f>
        <v>Medium/Clay</v>
      </c>
      <c r="Q16" s="104" t="str">
        <f>Bala!Q16</f>
        <v>Medium/Clay</v>
      </c>
      <c r="R16" s="104">
        <f>Bala!R16</f>
        <v>0</v>
      </c>
      <c r="S16" s="104">
        <f>Bala!S16</f>
        <v>0</v>
      </c>
      <c r="T16" s="104">
        <f>Bala!T16</f>
        <v>0</v>
      </c>
      <c r="U16" s="104">
        <f>Bala!U16</f>
        <v>0</v>
      </c>
      <c r="V16" s="105">
        <f>Bala!V16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66.401198500000007</v>
      </c>
      <c r="D18" s="12">
        <f>$D32</f>
        <v>66.401198500000007</v>
      </c>
      <c r="E18" s="12">
        <f>$D33</f>
        <v>0</v>
      </c>
      <c r="F18" s="12">
        <f>$D34</f>
        <v>0</v>
      </c>
      <c r="G18" s="12">
        <f>$D35</f>
        <v>66.401198500000007</v>
      </c>
      <c r="H18" s="12">
        <f>$D36</f>
        <v>0</v>
      </c>
      <c r="I18" s="12">
        <f>$D37</f>
        <v>0</v>
      </c>
      <c r="J18" s="12">
        <f>$D38</f>
        <v>66.401198500000007</v>
      </c>
      <c r="K18" s="12">
        <f>$D39</f>
        <v>66.401198500000007</v>
      </c>
      <c r="L18" s="12">
        <f>$D40</f>
        <v>0</v>
      </c>
      <c r="M18" s="12">
        <f>$D41</f>
        <v>0</v>
      </c>
      <c r="N18" s="12">
        <f>$D42</f>
        <v>66.401198500000007</v>
      </c>
      <c r="O18" s="12">
        <f>$D43</f>
        <v>66.401198500000007</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1.8011985000000124</v>
      </c>
      <c r="D19" s="12">
        <f t="shared" ref="D19:V19" si="1">D18-D17</f>
        <v>1.8011985000000124</v>
      </c>
      <c r="E19" s="12">
        <f t="shared" si="1"/>
        <v>-64.599999999999994</v>
      </c>
      <c r="F19" s="12">
        <f t="shared" si="1"/>
        <v>-64.599999999999994</v>
      </c>
      <c r="G19" s="12">
        <f t="shared" si="1"/>
        <v>1.8011985000000124</v>
      </c>
      <c r="H19" s="12">
        <f t="shared" si="1"/>
        <v>-64.599999999999994</v>
      </c>
      <c r="I19" s="12">
        <f t="shared" si="1"/>
        <v>-64.599999999999994</v>
      </c>
      <c r="J19" s="12">
        <f t="shared" si="1"/>
        <v>1.8011985000000124</v>
      </c>
      <c r="K19" s="12">
        <f t="shared" si="1"/>
        <v>1.8011985000000124</v>
      </c>
      <c r="L19" s="12">
        <f t="shared" si="1"/>
        <v>-64.599999999999994</v>
      </c>
      <c r="M19" s="12">
        <f t="shared" si="1"/>
        <v>-64.599999999999994</v>
      </c>
      <c r="N19" s="12">
        <f t="shared" si="1"/>
        <v>1.8011985000000124</v>
      </c>
      <c r="O19" s="12">
        <f t="shared" si="1"/>
        <v>1.8011985000000124</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INCREASE</v>
      </c>
      <c r="D20" s="18" t="str">
        <f>IF($B32="","",IF(D$19&gt;=0,"INCREASE","DECREASE"))</f>
        <v>INCREASE</v>
      </c>
      <c r="E20" s="18" t="str">
        <f>IF($B33="","",IF(E$19&gt;=0,"INCREASE","DECREASE"))</f>
        <v>DECREASE</v>
      </c>
      <c r="F20" s="18" t="str">
        <f>IF($B34="","",IF(F$19&gt;=0,"INCREASE","DECREASE"))</f>
        <v>DECREASE</v>
      </c>
      <c r="G20" s="18" t="str">
        <f>IF($B35="","",IF(G$19&gt;=0,"INCREASE","DECREASE"))</f>
        <v>INCREASE</v>
      </c>
      <c r="H20" s="18" t="str">
        <f>IF($B36="","",IF(H$19&gt;=0,"INCREASE","DECREASE"))</f>
        <v>DECREASE</v>
      </c>
      <c r="I20" s="18" t="str">
        <f>IF($B37="","",IF(I$19&gt;=0,"INCREASE","DECREASE"))</f>
        <v>DECREASE</v>
      </c>
      <c r="J20" s="18" t="str">
        <f>IF($B38="","",IF(J$19&gt;=0,"INCREASE","DECREASE"))</f>
        <v>INCREASE</v>
      </c>
      <c r="K20" s="18" t="str">
        <f>IF($B39="","",IF(K$19&gt;=0,"INCREASE","DECREASE"))</f>
        <v>INCREASE</v>
      </c>
      <c r="L20" s="18" t="str">
        <f>IF($B40="","",IF(L$19&gt;=0,"INCREASE","DECREASE"))</f>
        <v>DECREASE</v>
      </c>
      <c r="M20" s="18" t="str">
        <f>IF($B41="","",IF(M$19&gt;=0,"INCREASE","DECREASE"))</f>
        <v>DECREASE</v>
      </c>
      <c r="N20" s="18" t="str">
        <f>IF($B42="","",IF(N$19&gt;=0,"INCREASE","DECREASE"))</f>
        <v>INCREASE</v>
      </c>
      <c r="O20" s="18" t="str">
        <f>IF($B43="","",IF(O$19&gt;=0,"INCREASE","DECREASE"))</f>
        <v>INCREASE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0.898960125</v>
      </c>
      <c r="D22" s="12">
        <f>$E32</f>
        <v>0.898960125</v>
      </c>
      <c r="E22" s="12">
        <f>$E33</f>
        <v>0</v>
      </c>
      <c r="F22" s="12">
        <f>$E34</f>
        <v>0</v>
      </c>
      <c r="G22" s="12">
        <f>$E35</f>
        <v>0.898960125</v>
      </c>
      <c r="H22" s="12">
        <f>$E36</f>
        <v>0</v>
      </c>
      <c r="I22" s="12">
        <f>$E37</f>
        <v>0</v>
      </c>
      <c r="J22" s="12">
        <f>$E38</f>
        <v>0.898960125</v>
      </c>
      <c r="K22" s="12">
        <f>$E39</f>
        <v>0.898960125</v>
      </c>
      <c r="L22" s="12">
        <f>$E40</f>
        <v>0</v>
      </c>
      <c r="M22" s="12">
        <f>$E41</f>
        <v>0</v>
      </c>
      <c r="N22" s="12">
        <f>$E42</f>
        <v>0.898960125</v>
      </c>
      <c r="O22" s="12">
        <f>$E43</f>
        <v>0.898960125</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-227.101039875</v>
      </c>
      <c r="D23" s="12">
        <f t="shared" ref="D23:V23" si="3">D22-D21</f>
        <v>-227.101039875</v>
      </c>
      <c r="E23" s="12">
        <f t="shared" si="3"/>
        <v>-228</v>
      </c>
      <c r="F23" s="12">
        <f t="shared" si="3"/>
        <v>-228</v>
      </c>
      <c r="G23" s="12">
        <f t="shared" si="3"/>
        <v>-227.101039875</v>
      </c>
      <c r="H23" s="12">
        <f t="shared" si="3"/>
        <v>-228</v>
      </c>
      <c r="I23" s="12">
        <f t="shared" si="3"/>
        <v>-228</v>
      </c>
      <c r="J23" s="12">
        <f t="shared" si="3"/>
        <v>-227.101039875</v>
      </c>
      <c r="K23" s="12">
        <f t="shared" si="3"/>
        <v>-227.101039875</v>
      </c>
      <c r="L23" s="12">
        <f t="shared" si="3"/>
        <v>-228</v>
      </c>
      <c r="M23" s="12">
        <f t="shared" si="3"/>
        <v>-228</v>
      </c>
      <c r="N23" s="12">
        <f t="shared" si="3"/>
        <v>-227.101039875</v>
      </c>
      <c r="O23" s="12">
        <f t="shared" si="3"/>
        <v>-227.101039875</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3.43</v>
      </c>
      <c r="C28" s="11">
        <v>0.90200000000000002</v>
      </c>
      <c r="D28" s="11">
        <v>0.33800000000000002</v>
      </c>
      <c r="E28" s="11">
        <v>8.6999999999999994E-3</v>
      </c>
      <c r="F28" s="11">
        <v>992</v>
      </c>
      <c r="G28" s="11">
        <v>27.2</v>
      </c>
      <c r="H28" s="11">
        <v>105</v>
      </c>
      <c r="I28" s="11">
        <v>3.8</v>
      </c>
      <c r="J28" s="11">
        <v>0.27</v>
      </c>
      <c r="K28" s="15">
        <v>1.17</v>
      </c>
      <c r="L28" s="11">
        <v>8.5</v>
      </c>
      <c r="M28" s="11">
        <v>1.99</v>
      </c>
      <c r="N28" s="11">
        <v>183000</v>
      </c>
      <c r="O28" s="11">
        <v>3260</v>
      </c>
      <c r="P28" s="11"/>
      <c r="Q28" s="11">
        <v>11800</v>
      </c>
      <c r="R28" s="11"/>
      <c r="S28" s="11">
        <v>9.1</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250</v>
      </c>
      <c r="C31" s="65">
        <f>IF(C$27="%w/w SAR",((C$28*10)*$B31),IF(C$27="%w/w DM",(((C$28*10)*($B$28/100))*$B31),IF(C$27="kg/t SAR",(C$28*$B31),IF(C$27="kg/t DM",((C$28*($B$28/100))*$B31),IF(C$27="mg/kg SAR",((C$28*0.001)*$B31),IF(C$27="mg/kg DM",(((C$28*0.001)*($B$28/100))*$B31),0))))))</f>
        <v>77.346500000000006</v>
      </c>
      <c r="D31" s="65">
        <f>(IF(D$27="%w/w SAR",((D$28*10)*$B31),IF(D$27="%w/w DM",(((D$28*10)*($B$28/100))*$B31),IF(D$27="kg/t SAR",(D$28*$B31),IF(D$27="kg/t DM",((D$28*($B$28/100))*$B31),IF(D$27="mg/kg SAR",((D$28*0.001)*$B31),IF(D$27="mg/kg DM",(((D$28*0.001)*($B$28/100))*$B31),"0")))))))*2.291</f>
        <v>66.401198500000007</v>
      </c>
      <c r="E31" s="65">
        <f>(IF(E$27="%w/w SAR",((E$28*10)*$B31),IF(E$27="%w/w DM",(((E$28*10)*($B$28/100))*$B31),IF(E$27="kg/t SAR",(E$28*$B31),IF(E$27="kg/t DM",((E$28*($B$28/100))*$B31),IF(E$27="mg/kg SAR",((E$28*0.001)*$B31),IF(E$27="mg/kg DM",(((E$28*0.001)*($B$28/100))*$B31),"0")))))))*1.205</f>
        <v>0.898960125</v>
      </c>
      <c r="F31" s="65">
        <f>(IF(F$27="%w/w SAR",((F$28*10)*$B31),IF(F$27="%w/w DM",(((F$28*10)*($B$28/100))*$B31),IF(F$27="kg/t SAR",(F$28*$B31),IF(F$27="kg/t DM",((F$28*($B$28/100))*$B31),IF(F$27="mg/kg SAR",((F$28*0.001)*$B31),IF(F$27="mg/kg DM",(((F$28*0.001)*($B$28/100))*$B31),"0")))))))*1.658</f>
        <v>14.103611200000001</v>
      </c>
      <c r="G31" s="65">
        <f t="shared" ref="G31:P46" si="5">IF(G$27="%w/w SAR",((G$28*10)*$B31),IF(G$27="%w/w DM",(((G$28*10)*($B$28/100))*$B31),IF(G$27="kg/t SAR",(G$28*$B31),IF(G$27="kg/t DM",((G$28*($B$28/100))*$B31),IF(G$27="mg/kg SAR",((G$28*0.001)*$B31),IF(G$27="mg/kg DM",(((G$28*0.001)*($B$28/100))*$B31),0))))))</f>
        <v>0.23324</v>
      </c>
      <c r="H31" s="65">
        <f t="shared" si="5"/>
        <v>0.90037500000000004</v>
      </c>
      <c r="I31" s="65">
        <f t="shared" si="5"/>
        <v>3.2585000000000003E-2</v>
      </c>
      <c r="J31" s="65">
        <f t="shared" si="5"/>
        <v>2.3152500000000005E-3</v>
      </c>
      <c r="K31" s="65">
        <f t="shared" si="5"/>
        <v>1.0032750000000002E-2</v>
      </c>
      <c r="L31" s="65">
        <f t="shared" si="5"/>
        <v>7.2887500000000022E-2</v>
      </c>
      <c r="M31" s="65">
        <f t="shared" si="5"/>
        <v>1.7064250000000003E-2</v>
      </c>
      <c r="N31" s="65">
        <f t="shared" si="5"/>
        <v>1569.2250000000001</v>
      </c>
      <c r="O31" s="65">
        <f t="shared" si="5"/>
        <v>27.954500000000003</v>
      </c>
      <c r="P31" s="65">
        <f t="shared" si="5"/>
        <v>0</v>
      </c>
      <c r="Q31" s="65">
        <f>(IF(Q$27="%w/w SAR",((Q$28*10)*$B31),IF(Q$27="%w/w DM",(((Q$28*10)*($B$28/100))*$B31),IF(Q$27="kg/t SAR",(Q$28*$B31),IF(Q$27="kg/t DM",((Q$28*($B$28/100))*$B31),IF(Q$27="mg/kg SAR",((Q$28*0.001)*$B31),IF(Q$27="mg/kg DM",(((Q$28*0.001)*($B$28/100))*$B31),0)))))))*2.5</f>
        <v>252.96250000000009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7.8032500000000005E-2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250</v>
      </c>
      <c r="C32" s="65">
        <f t="shared" ref="C32:C50" si="6">IF(C$27="%w/w SAR",((C$28*10)*$B32),IF(C$27="%w/w DM",(((C$28*10)*($B$28/100))*$B32),IF(C$27="kg/t SAR",(C$28*$B32),IF(C$27="kg/t DM",((C$28*($B$28/100))*$B32),IF(C$27="mg/kg SAR",((C$28*0.001)*$B32),IF(C$27="mg/kg DM",(((C$28*0.001)*($B$28/100))*$B32),0))))))</f>
        <v>77.346500000000006</v>
      </c>
      <c r="D32" s="65">
        <f t="shared" ref="D32:D50" si="7">(IF(D$27="%w/w SAR",((D$28*10)*$B32),IF(D$27="%w/w DM",(((D$28*10)*($B$28/100))*$B32),IF(D$27="kg/t SAR",(D$28*$B32),IF(D$27="kg/t DM",((D$28*($B$28/100))*$B32),IF(D$27="mg/kg SAR",((D$28*0.001)*$B32),IF(D$27="mg/kg DM",(((D$28*0.001)*($B$28/100))*$B32),"0")))))))*2.291</f>
        <v>66.401198500000007</v>
      </c>
      <c r="E32" s="65">
        <f t="shared" ref="E32:E50" si="8">(IF(E$27="%w/w SAR",((E$28*10)*$B32),IF(E$27="%w/w DM",(((E$28*10)*($B$28/100))*$B32),IF(E$27="kg/t SAR",(E$28*$B32),IF(E$27="kg/t DM",((E$28*($B$28/100))*$B32),IF(E$27="mg/kg SAR",((E$28*0.001)*$B32),IF(E$27="mg/kg DM",(((E$28*0.001)*($B$28/100))*$B32),"0")))))))*1.205</f>
        <v>0.898960125</v>
      </c>
      <c r="F32" s="65">
        <f t="shared" ref="F32:F50" si="9">(IF(F$27="%w/w SAR",((F$28*10)*$B32),IF(F$27="%w/w DM",(((F$28*10)*($B$28/100))*$B32),IF(F$27="kg/t SAR",(F$28*$B32),IF(F$27="kg/t DM",((F$28*($B$28/100))*$B32),IF(F$27="mg/kg SAR",((F$28*0.001)*$B32),IF(F$27="mg/kg DM",(((F$28*0.001)*($B$28/100))*$B32),"0")))))))*1.658</f>
        <v>14.103611200000001</v>
      </c>
      <c r="G32" s="65">
        <f t="shared" si="5"/>
        <v>0.23324</v>
      </c>
      <c r="H32" s="65">
        <f t="shared" si="5"/>
        <v>0.90037500000000004</v>
      </c>
      <c r="I32" s="65">
        <f t="shared" si="5"/>
        <v>3.2585000000000003E-2</v>
      </c>
      <c r="J32" s="65">
        <f t="shared" si="5"/>
        <v>2.3152500000000005E-3</v>
      </c>
      <c r="K32" s="65">
        <f t="shared" si="5"/>
        <v>1.0032750000000002E-2</v>
      </c>
      <c r="L32" s="65">
        <f t="shared" si="5"/>
        <v>7.2887500000000022E-2</v>
      </c>
      <c r="M32" s="65">
        <f t="shared" si="5"/>
        <v>1.7064250000000003E-2</v>
      </c>
      <c r="N32" s="65">
        <f t="shared" si="5"/>
        <v>1569.2250000000001</v>
      </c>
      <c r="O32" s="65">
        <f t="shared" si="5"/>
        <v>27.954500000000003</v>
      </c>
      <c r="P32" s="65">
        <f t="shared" si="5"/>
        <v>0</v>
      </c>
      <c r="Q32" s="65">
        <f t="shared" ref="Q32:Q50" si="10">(IF(Q$27="%w/w SAR",((Q$28*10)*$B32),IF(Q$27="%w/w DM",(((Q$28*10)*($B$28/100))*$B32),IF(Q$27="kg/t SAR",(Q$28*$B32),IF(Q$27="kg/t DM",((Q$28*($B$28/100))*$B32),IF(Q$27="mg/kg SAR",((Q$28*0.001)*$B32),IF(Q$27="mg/kg DM",(((Q$28*0.001)*($B$28/100))*$B32),0)))))))*2.5</f>
        <v>252.96250000000009</v>
      </c>
      <c r="R32" s="65">
        <f t="shared" ref="R32:U50" si="11">IF(R$27="%w/w SAR",((R$28*10)*$B32),IF(R$27="%w/w DM",(((R$28*10)*($B$28/100))*$B32),IF(R$27="kg/t SAR",(R$28*$B32),IF(R$27="kg/t DM",((R$28*($B$28/100))*$B32),IF(R$27="mg/kg SAR",((R$28*0.001)*$B32),IF(R$27="mg/kg DM",(((R$28*0.001)*($B$28/100))*$B32),0))))))</f>
        <v>0</v>
      </c>
      <c r="S32" s="65">
        <f t="shared" si="11"/>
        <v>7.8032500000000005E-2</v>
      </c>
      <c r="T32" s="65">
        <f t="shared" si="11"/>
        <v>0</v>
      </c>
      <c r="U32" s="126">
        <f t="shared" si="11"/>
        <v>0</v>
      </c>
    </row>
    <row r="33" spans="1:21" s="48" customFormat="1" x14ac:dyDescent="0.25">
      <c r="A33" s="125">
        <f>E8</f>
        <v>3</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5</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7</v>
      </c>
      <c r="B35" s="11">
        <v>250</v>
      </c>
      <c r="C35" s="65">
        <f t="shared" si="6"/>
        <v>77.346500000000006</v>
      </c>
      <c r="D35" s="65">
        <f t="shared" si="7"/>
        <v>66.401198500000007</v>
      </c>
      <c r="E35" s="65">
        <f t="shared" si="8"/>
        <v>0.898960125</v>
      </c>
      <c r="F35" s="65">
        <f t="shared" si="9"/>
        <v>14.103611200000001</v>
      </c>
      <c r="G35" s="65">
        <f t="shared" si="5"/>
        <v>0.23324</v>
      </c>
      <c r="H35" s="65">
        <f t="shared" si="5"/>
        <v>0.90037500000000004</v>
      </c>
      <c r="I35" s="65">
        <f t="shared" si="5"/>
        <v>3.2585000000000003E-2</v>
      </c>
      <c r="J35" s="65">
        <f t="shared" si="5"/>
        <v>2.3152500000000005E-3</v>
      </c>
      <c r="K35" s="65">
        <f t="shared" si="5"/>
        <v>1.0032750000000002E-2</v>
      </c>
      <c r="L35" s="65">
        <f t="shared" si="5"/>
        <v>7.2887500000000022E-2</v>
      </c>
      <c r="M35" s="65">
        <f t="shared" si="5"/>
        <v>1.7064250000000003E-2</v>
      </c>
      <c r="N35" s="65">
        <f t="shared" si="5"/>
        <v>1569.2250000000001</v>
      </c>
      <c r="O35" s="65">
        <f t="shared" si="5"/>
        <v>27.954500000000003</v>
      </c>
      <c r="P35" s="65">
        <f t="shared" si="5"/>
        <v>0</v>
      </c>
      <c r="Q35" s="65">
        <f t="shared" si="10"/>
        <v>252.96250000000009</v>
      </c>
      <c r="R35" s="65">
        <f t="shared" si="11"/>
        <v>0</v>
      </c>
      <c r="S35" s="65">
        <f t="shared" si="11"/>
        <v>7.8032500000000005E-2</v>
      </c>
      <c r="T35" s="65">
        <f t="shared" si="11"/>
        <v>0</v>
      </c>
      <c r="U35" s="126">
        <f t="shared" si="11"/>
        <v>0</v>
      </c>
    </row>
    <row r="36" spans="1:21" s="48" customFormat="1" x14ac:dyDescent="0.25">
      <c r="A36" s="125">
        <f>H8</f>
        <v>11</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12</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13</v>
      </c>
      <c r="B38" s="11">
        <v>250</v>
      </c>
      <c r="C38" s="65">
        <f t="shared" si="6"/>
        <v>77.346500000000006</v>
      </c>
      <c r="D38" s="65">
        <f t="shared" si="7"/>
        <v>66.401198500000007</v>
      </c>
      <c r="E38" s="65">
        <f t="shared" si="8"/>
        <v>0.898960125</v>
      </c>
      <c r="F38" s="65">
        <f t="shared" si="9"/>
        <v>14.103611200000001</v>
      </c>
      <c r="G38" s="65">
        <f t="shared" si="5"/>
        <v>0.23324</v>
      </c>
      <c r="H38" s="65">
        <f t="shared" si="5"/>
        <v>0.90037500000000004</v>
      </c>
      <c r="I38" s="65">
        <f t="shared" si="5"/>
        <v>3.2585000000000003E-2</v>
      </c>
      <c r="J38" s="65">
        <f t="shared" si="5"/>
        <v>2.3152500000000005E-3</v>
      </c>
      <c r="K38" s="65">
        <f t="shared" si="5"/>
        <v>1.0032750000000002E-2</v>
      </c>
      <c r="L38" s="65">
        <f t="shared" si="5"/>
        <v>7.2887500000000022E-2</v>
      </c>
      <c r="M38" s="65">
        <f t="shared" si="5"/>
        <v>1.7064250000000003E-2</v>
      </c>
      <c r="N38" s="65">
        <f t="shared" si="5"/>
        <v>1569.2250000000001</v>
      </c>
      <c r="O38" s="65">
        <f t="shared" si="5"/>
        <v>27.954500000000003</v>
      </c>
      <c r="P38" s="65">
        <f t="shared" si="5"/>
        <v>0</v>
      </c>
      <c r="Q38" s="65">
        <f t="shared" si="10"/>
        <v>252.96250000000009</v>
      </c>
      <c r="R38" s="65">
        <f t="shared" si="11"/>
        <v>0</v>
      </c>
      <c r="S38" s="65">
        <f t="shared" si="11"/>
        <v>7.8032500000000005E-2</v>
      </c>
      <c r="T38" s="65">
        <f t="shared" si="11"/>
        <v>0</v>
      </c>
      <c r="U38" s="126">
        <f t="shared" si="11"/>
        <v>0</v>
      </c>
    </row>
    <row r="39" spans="1:21" s="48" customFormat="1" x14ac:dyDescent="0.25">
      <c r="A39" s="125">
        <f>K8</f>
        <v>14</v>
      </c>
      <c r="B39" s="11">
        <v>250</v>
      </c>
      <c r="C39" s="65">
        <f t="shared" si="6"/>
        <v>77.346500000000006</v>
      </c>
      <c r="D39" s="65">
        <f t="shared" si="7"/>
        <v>66.401198500000007</v>
      </c>
      <c r="E39" s="65">
        <f t="shared" si="8"/>
        <v>0.898960125</v>
      </c>
      <c r="F39" s="65">
        <f t="shared" si="9"/>
        <v>14.103611200000001</v>
      </c>
      <c r="G39" s="65">
        <f t="shared" si="5"/>
        <v>0.23324</v>
      </c>
      <c r="H39" s="65">
        <f t="shared" si="5"/>
        <v>0.90037500000000004</v>
      </c>
      <c r="I39" s="65">
        <f t="shared" si="5"/>
        <v>3.2585000000000003E-2</v>
      </c>
      <c r="J39" s="65">
        <f t="shared" si="5"/>
        <v>2.3152500000000005E-3</v>
      </c>
      <c r="K39" s="65">
        <f t="shared" si="5"/>
        <v>1.0032750000000002E-2</v>
      </c>
      <c r="L39" s="65">
        <f t="shared" si="5"/>
        <v>7.2887500000000022E-2</v>
      </c>
      <c r="M39" s="65">
        <f t="shared" si="5"/>
        <v>1.7064250000000003E-2</v>
      </c>
      <c r="N39" s="65">
        <f t="shared" si="5"/>
        <v>1569.2250000000001</v>
      </c>
      <c r="O39" s="65">
        <f t="shared" si="5"/>
        <v>27.954500000000003</v>
      </c>
      <c r="P39" s="65">
        <f t="shared" si="5"/>
        <v>0</v>
      </c>
      <c r="Q39" s="65">
        <f t="shared" si="10"/>
        <v>252.96250000000009</v>
      </c>
      <c r="R39" s="65">
        <f t="shared" si="11"/>
        <v>0</v>
      </c>
      <c r="S39" s="65">
        <f t="shared" si="11"/>
        <v>7.8032500000000005E-2</v>
      </c>
      <c r="T39" s="65">
        <f t="shared" si="11"/>
        <v>0</v>
      </c>
      <c r="U39" s="126">
        <f t="shared" si="11"/>
        <v>0</v>
      </c>
    </row>
    <row r="40" spans="1:21" s="48" customFormat="1" x14ac:dyDescent="0.25">
      <c r="A40" s="125">
        <f>L8</f>
        <v>15</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17</v>
      </c>
      <c r="B41" s="11">
        <v>0</v>
      </c>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18</v>
      </c>
      <c r="B42" s="11">
        <v>250</v>
      </c>
      <c r="C42" s="65">
        <f t="shared" si="6"/>
        <v>77.346500000000006</v>
      </c>
      <c r="D42" s="65">
        <f t="shared" si="7"/>
        <v>66.401198500000007</v>
      </c>
      <c r="E42" s="65">
        <f t="shared" si="8"/>
        <v>0.898960125</v>
      </c>
      <c r="F42" s="65">
        <f t="shared" si="9"/>
        <v>14.103611200000001</v>
      </c>
      <c r="G42" s="65">
        <f t="shared" si="5"/>
        <v>0.23324</v>
      </c>
      <c r="H42" s="65">
        <f t="shared" si="5"/>
        <v>0.90037500000000004</v>
      </c>
      <c r="I42" s="65">
        <f t="shared" si="5"/>
        <v>3.2585000000000003E-2</v>
      </c>
      <c r="J42" s="65">
        <f t="shared" si="5"/>
        <v>2.3152500000000005E-3</v>
      </c>
      <c r="K42" s="65">
        <f t="shared" si="5"/>
        <v>1.0032750000000002E-2</v>
      </c>
      <c r="L42" s="65">
        <f t="shared" si="5"/>
        <v>7.2887500000000022E-2</v>
      </c>
      <c r="M42" s="65">
        <f t="shared" si="5"/>
        <v>1.7064250000000003E-2</v>
      </c>
      <c r="N42" s="65">
        <f t="shared" si="5"/>
        <v>1569.2250000000001</v>
      </c>
      <c r="O42" s="65">
        <f t="shared" si="5"/>
        <v>27.954500000000003</v>
      </c>
      <c r="P42" s="65">
        <f t="shared" si="5"/>
        <v>0</v>
      </c>
      <c r="Q42" s="65">
        <f t="shared" si="10"/>
        <v>252.96250000000009</v>
      </c>
      <c r="R42" s="65">
        <f t="shared" si="11"/>
        <v>0</v>
      </c>
      <c r="S42" s="65">
        <f t="shared" si="11"/>
        <v>7.8032500000000005E-2</v>
      </c>
      <c r="T42" s="65">
        <f t="shared" si="11"/>
        <v>0</v>
      </c>
      <c r="U42" s="126">
        <f t="shared" si="11"/>
        <v>0</v>
      </c>
    </row>
    <row r="43" spans="1:21" s="48" customFormat="1" x14ac:dyDescent="0.25">
      <c r="A43" s="125">
        <f>O8</f>
        <v>19</v>
      </c>
      <c r="B43" s="11">
        <v>250</v>
      </c>
      <c r="C43" s="65">
        <f t="shared" si="6"/>
        <v>77.346500000000006</v>
      </c>
      <c r="D43" s="65">
        <f t="shared" si="7"/>
        <v>66.401198500000007</v>
      </c>
      <c r="E43" s="65">
        <f t="shared" si="8"/>
        <v>0.898960125</v>
      </c>
      <c r="F43" s="65">
        <f t="shared" si="9"/>
        <v>14.103611200000001</v>
      </c>
      <c r="G43" s="65">
        <f t="shared" si="5"/>
        <v>0.23324</v>
      </c>
      <c r="H43" s="65">
        <f t="shared" si="5"/>
        <v>0.90037500000000004</v>
      </c>
      <c r="I43" s="65">
        <f t="shared" si="5"/>
        <v>3.2585000000000003E-2</v>
      </c>
      <c r="J43" s="65">
        <f t="shared" si="5"/>
        <v>2.3152500000000005E-3</v>
      </c>
      <c r="K43" s="65">
        <f t="shared" si="5"/>
        <v>1.0032750000000002E-2</v>
      </c>
      <c r="L43" s="65">
        <f t="shared" si="5"/>
        <v>7.2887500000000022E-2</v>
      </c>
      <c r="M43" s="65">
        <f t="shared" si="5"/>
        <v>1.7064250000000003E-2</v>
      </c>
      <c r="N43" s="65">
        <f t="shared" si="5"/>
        <v>1569.2250000000001</v>
      </c>
      <c r="O43" s="65">
        <f t="shared" si="5"/>
        <v>27.954500000000003</v>
      </c>
      <c r="P43" s="65">
        <f t="shared" si="5"/>
        <v>0</v>
      </c>
      <c r="Q43" s="65">
        <f t="shared" si="10"/>
        <v>252.96250000000009</v>
      </c>
      <c r="R43" s="65">
        <f t="shared" si="11"/>
        <v>0</v>
      </c>
      <c r="S43" s="65">
        <f t="shared" si="11"/>
        <v>7.8032500000000005E-2</v>
      </c>
      <c r="T43" s="65">
        <f t="shared" si="11"/>
        <v>0</v>
      </c>
      <c r="U43" s="126">
        <f t="shared" si="11"/>
        <v>0</v>
      </c>
    </row>
    <row r="44" spans="1:21" s="48" customFormat="1" x14ac:dyDescent="0.25">
      <c r="A44" s="125">
        <f>P8</f>
        <v>20</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21</v>
      </c>
      <c r="B45" s="11">
        <v>0</v>
      </c>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x14ac:dyDescent="0.2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Grass</v>
      </c>
      <c r="P58" s="10" t="str">
        <f>Q16&amp;" I "&amp;(VLOOKUP(Q14,Table24581113[],6,FALSE))</f>
        <v>Medium/Clay I Grass</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f>VLOOKUP(P$14,Table24581113[],5,FALSE)</f>
        <v>6.2</v>
      </c>
      <c r="P59" s="64">
        <f>VLOOKUP(Q$14,Table24581113[],5,FALSE)</f>
        <v>6.2</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x14ac:dyDescent="0.2">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0</v>
      </c>
      <c r="E62" s="65">
        <f>B34</f>
        <v>0</v>
      </c>
      <c r="F62" s="65">
        <f>B35</f>
        <v>250</v>
      </c>
      <c r="G62" s="65">
        <f>B36</f>
        <v>0</v>
      </c>
      <c r="H62" s="65">
        <f>B37</f>
        <v>0</v>
      </c>
      <c r="I62" s="65">
        <f>B38</f>
        <v>250</v>
      </c>
      <c r="J62" s="65">
        <f>B39</f>
        <v>250</v>
      </c>
      <c r="K62" s="65">
        <f>B40</f>
        <v>0</v>
      </c>
      <c r="L62" s="65">
        <f>B41</f>
        <v>0</v>
      </c>
      <c r="M62" s="65">
        <f>B42</f>
        <v>250</v>
      </c>
      <c r="N62" s="65">
        <f>B43</f>
        <v>250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1" x14ac:dyDescent="0.2">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7" sqref="A17:B17"/>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Bala!C1:D1</f>
        <v>PAN-030515</v>
      </c>
      <c r="D1" s="173"/>
      <c r="E1" s="106" t="s">
        <v>45</v>
      </c>
      <c r="F1" s="113">
        <f>Bala!F1</f>
        <v>50</v>
      </c>
      <c r="G1" s="162" t="s">
        <v>43</v>
      </c>
      <c r="H1" s="163"/>
      <c r="I1" s="109">
        <v>6.8</v>
      </c>
      <c r="J1" s="130" t="s">
        <v>153</v>
      </c>
      <c r="K1" s="131"/>
      <c r="L1" s="109">
        <v>227</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Bala!C2:D2</f>
        <v>EPR/GP3792SK</v>
      </c>
      <c r="D2" s="169"/>
      <c r="E2" s="96" t="s">
        <v>109</v>
      </c>
      <c r="F2" s="110" t="s">
        <v>165</v>
      </c>
      <c r="G2" s="164" t="s">
        <v>110</v>
      </c>
      <c r="H2" s="165"/>
      <c r="I2" s="110"/>
      <c r="J2" s="132" t="s">
        <v>158</v>
      </c>
      <c r="K2" s="133"/>
      <c r="L2" s="110">
        <v>0.85799999999999998</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Bala!C3:D3</f>
        <v>ByProduct Recovery Ltd</v>
      </c>
      <c r="D3" s="169"/>
      <c r="E3" s="96" t="s">
        <v>108</v>
      </c>
      <c r="F3" s="111" t="s">
        <v>78</v>
      </c>
      <c r="G3" s="132" t="s">
        <v>159</v>
      </c>
      <c r="H3" s="133"/>
      <c r="I3" s="110"/>
      <c r="J3" s="134" t="s">
        <v>154</v>
      </c>
      <c r="K3" s="135"/>
      <c r="L3" s="110">
        <f>(L1/(L2*10000))*100</f>
        <v>2.6456876456876457</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Bala!C4:D4</f>
        <v>Henllys, Llanfair TH, Abergele, Conwys, LL22 8TF</v>
      </c>
      <c r="D4" s="171"/>
      <c r="E4" s="99" t="s">
        <v>1</v>
      </c>
      <c r="F4" s="110" t="s">
        <v>173</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Bala!C5:D5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f>Bala!C8</f>
        <v>1</v>
      </c>
      <c r="D8" s="49">
        <f>Bala!D8</f>
        <v>2</v>
      </c>
      <c r="E8" s="49">
        <f>Bala!E8</f>
        <v>3</v>
      </c>
      <c r="F8" s="49">
        <f>Bala!F8</f>
        <v>5</v>
      </c>
      <c r="G8" s="49">
        <f>Bala!G8</f>
        <v>7</v>
      </c>
      <c r="H8" s="49">
        <f>Bala!H8</f>
        <v>11</v>
      </c>
      <c r="I8" s="49">
        <f>Bala!I8</f>
        <v>12</v>
      </c>
      <c r="J8" s="49">
        <f>Bala!J8</f>
        <v>13</v>
      </c>
      <c r="K8" s="49">
        <f>Bala!K8</f>
        <v>14</v>
      </c>
      <c r="L8" s="49">
        <f>Bala!L8</f>
        <v>15</v>
      </c>
      <c r="M8" s="49">
        <f>Bala!M8</f>
        <v>17</v>
      </c>
      <c r="N8" s="49">
        <f>Bala!N8</f>
        <v>18</v>
      </c>
      <c r="O8" s="49">
        <f>Bala!O8</f>
        <v>19</v>
      </c>
      <c r="P8" s="49">
        <f>Bala!P8</f>
        <v>20</v>
      </c>
      <c r="Q8" s="49">
        <f>Bala!Q8</f>
        <v>21</v>
      </c>
      <c r="R8" s="49">
        <f>Bala!R8</f>
        <v>0</v>
      </c>
      <c r="S8" s="49">
        <f>Bala!S8</f>
        <v>0</v>
      </c>
      <c r="T8" s="49">
        <f>Bala!T8</f>
        <v>0</v>
      </c>
      <c r="U8" s="49">
        <f>Bala!U8</f>
        <v>0</v>
      </c>
      <c r="V8" s="102">
        <f>Bala!V8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f>Bala!C9</f>
        <v>0</v>
      </c>
      <c r="D9" s="49">
        <f>Bala!D9</f>
        <v>0</v>
      </c>
      <c r="E9" s="49">
        <f>Bala!E9</f>
        <v>0</v>
      </c>
      <c r="F9" s="49">
        <f>Bala!F9</f>
        <v>0</v>
      </c>
      <c r="G9" s="49">
        <f>Bala!G9</f>
        <v>0</v>
      </c>
      <c r="H9" s="49">
        <f>Bala!H9</f>
        <v>0</v>
      </c>
      <c r="I9" s="49">
        <f>Bala!I9</f>
        <v>0</v>
      </c>
      <c r="J9" s="49">
        <f>Bala!J9</f>
        <v>0</v>
      </c>
      <c r="K9" s="49">
        <f>Bala!K9</f>
        <v>0</v>
      </c>
      <c r="L9" s="49">
        <f>Bala!L9</f>
        <v>0</v>
      </c>
      <c r="M9" s="49">
        <f>Bala!M9</f>
        <v>0</v>
      </c>
      <c r="N9" s="49">
        <f>Bala!N9</f>
        <v>0</v>
      </c>
      <c r="O9" s="49">
        <f>Bala!O9</f>
        <v>0</v>
      </c>
      <c r="P9" s="49">
        <f>Bala!P9</f>
        <v>0</v>
      </c>
      <c r="Q9" s="49">
        <f>Bala!Q9</f>
        <v>0</v>
      </c>
      <c r="R9" s="49">
        <f>Bala!R9</f>
        <v>0</v>
      </c>
      <c r="S9" s="49">
        <f>Bala!S9</f>
        <v>0</v>
      </c>
      <c r="T9" s="49">
        <f>Bala!T9</f>
        <v>0</v>
      </c>
      <c r="U9" s="49">
        <f>Bala!U9</f>
        <v>0</v>
      </c>
      <c r="V9" s="102">
        <f>Bala!V9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Bala!C10</f>
        <v>6.2</v>
      </c>
      <c r="D10" s="49">
        <f>Bala!D10</f>
        <v>6.4</v>
      </c>
      <c r="E10" s="49">
        <f>Bala!E10</f>
        <v>5.6</v>
      </c>
      <c r="F10" s="49">
        <f>Bala!F10</f>
        <v>5.5</v>
      </c>
      <c r="G10" s="49">
        <f>Bala!G10</f>
        <v>6.3</v>
      </c>
      <c r="H10" s="49">
        <f>Bala!H10</f>
        <v>5.5</v>
      </c>
      <c r="I10" s="49">
        <f>Bala!I10</f>
        <v>5.6</v>
      </c>
      <c r="J10" s="49">
        <f>Bala!J10</f>
        <v>6.4</v>
      </c>
      <c r="K10" s="49">
        <f>Bala!K10</f>
        <v>6.3</v>
      </c>
      <c r="L10" s="49">
        <f>Bala!L10</f>
        <v>5.7</v>
      </c>
      <c r="M10" s="49">
        <f>Bala!M10</f>
        <v>5.9</v>
      </c>
      <c r="N10" s="49">
        <f>Bala!N10</f>
        <v>6</v>
      </c>
      <c r="O10" s="49">
        <f>Bala!O10</f>
        <v>6.2</v>
      </c>
      <c r="P10" s="49">
        <f>Bala!P10</f>
        <v>5.8</v>
      </c>
      <c r="Q10" s="49">
        <f>Bala!Q10</f>
        <v>5.9</v>
      </c>
      <c r="R10" s="49">
        <f>Bala!R10</f>
        <v>0</v>
      </c>
      <c r="S10" s="49">
        <f>Bala!S10</f>
        <v>0</v>
      </c>
      <c r="T10" s="49">
        <f>Bala!T10</f>
        <v>0</v>
      </c>
      <c r="U10" s="49">
        <f>Bala!U10</f>
        <v>0</v>
      </c>
      <c r="V10" s="102">
        <f>Bala!V10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Bala!C11</f>
        <v>2</v>
      </c>
      <c r="D11" s="49">
        <f>Bala!D11</f>
        <v>1</v>
      </c>
      <c r="E11" s="49">
        <f>Bala!E11</f>
        <v>2</v>
      </c>
      <c r="F11" s="49">
        <f>Bala!F11</f>
        <v>1</v>
      </c>
      <c r="G11" s="49">
        <f>Bala!G11</f>
        <v>0</v>
      </c>
      <c r="H11" s="49">
        <f>Bala!H11</f>
        <v>2</v>
      </c>
      <c r="I11" s="49">
        <f>Bala!I11</f>
        <v>2</v>
      </c>
      <c r="J11" s="49">
        <f>Bala!J11</f>
        <v>2</v>
      </c>
      <c r="K11" s="49">
        <f>Bala!K11</f>
        <v>2</v>
      </c>
      <c r="L11" s="49">
        <f>Bala!L11</f>
        <v>1</v>
      </c>
      <c r="M11" s="49">
        <f>Bala!M11</f>
        <v>2</v>
      </c>
      <c r="N11" s="49">
        <f>Bala!N11</f>
        <v>2</v>
      </c>
      <c r="O11" s="49">
        <f>Bala!O11</f>
        <v>1</v>
      </c>
      <c r="P11" s="49">
        <f>Bala!P11</f>
        <v>1</v>
      </c>
      <c r="Q11" s="49">
        <f>Bala!Q11</f>
        <v>1</v>
      </c>
      <c r="R11" s="49">
        <f>Bala!R11</f>
        <v>0</v>
      </c>
      <c r="S11" s="49">
        <f>Bala!S11</f>
        <v>0</v>
      </c>
      <c r="T11" s="49">
        <f>Bala!T11</f>
        <v>0</v>
      </c>
      <c r="U11" s="49">
        <f>Bala!U11</f>
        <v>0</v>
      </c>
      <c r="V11" s="102">
        <f>Bala!V11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Bala!C12</f>
        <v>0</v>
      </c>
      <c r="D12" s="49">
        <f>Bala!D12</f>
        <v>1</v>
      </c>
      <c r="E12" s="49">
        <f>Bala!E12</f>
        <v>2</v>
      </c>
      <c r="F12" s="49">
        <f>Bala!F12</f>
        <v>1</v>
      </c>
      <c r="G12" s="49">
        <f>Bala!G12</f>
        <v>1</v>
      </c>
      <c r="H12" s="49">
        <f>Bala!H12</f>
        <v>1</v>
      </c>
      <c r="I12" s="49">
        <f>Bala!I12</f>
        <v>2</v>
      </c>
      <c r="J12" s="49">
        <f>Bala!J12</f>
        <v>2</v>
      </c>
      <c r="K12" s="49">
        <f>Bala!K12</f>
        <v>1</v>
      </c>
      <c r="L12" s="49">
        <f>Bala!L12</f>
        <v>1</v>
      </c>
      <c r="M12" s="49">
        <f>Bala!M12</f>
        <v>2</v>
      </c>
      <c r="N12" s="49">
        <f>Bala!N12</f>
        <v>2</v>
      </c>
      <c r="O12" s="49">
        <f>Bala!O12</f>
        <v>1</v>
      </c>
      <c r="P12" s="49">
        <f>Bala!P12</f>
        <v>1</v>
      </c>
      <c r="Q12" s="49">
        <f>Bala!Q12</f>
        <v>1</v>
      </c>
      <c r="R12" s="49">
        <f>Bala!R12</f>
        <v>0</v>
      </c>
      <c r="S12" s="49">
        <f>Bala!S12</f>
        <v>0</v>
      </c>
      <c r="T12" s="49">
        <f>Bala!T12</f>
        <v>0</v>
      </c>
      <c r="U12" s="49">
        <f>Bala!U12</f>
        <v>0</v>
      </c>
      <c r="V12" s="102">
        <f>Bala!V12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Bala!C13</f>
        <v>2</v>
      </c>
      <c r="D13" s="49">
        <f>Bala!D13</f>
        <v>3</v>
      </c>
      <c r="E13" s="49">
        <f>Bala!E13</f>
        <v>2</v>
      </c>
      <c r="F13" s="49">
        <f>Bala!F13</f>
        <v>2</v>
      </c>
      <c r="G13" s="49">
        <f>Bala!G13</f>
        <v>2</v>
      </c>
      <c r="H13" s="49">
        <f>Bala!H13</f>
        <v>2</v>
      </c>
      <c r="I13" s="49">
        <f>Bala!I13</f>
        <v>2</v>
      </c>
      <c r="J13" s="49">
        <f>Bala!J13</f>
        <v>2</v>
      </c>
      <c r="K13" s="49">
        <f>Bala!K13</f>
        <v>2</v>
      </c>
      <c r="L13" s="49">
        <f>Bala!L13</f>
        <v>2</v>
      </c>
      <c r="M13" s="49">
        <f>Bala!M13</f>
        <v>2</v>
      </c>
      <c r="N13" s="49">
        <f>Bala!N13</f>
        <v>2</v>
      </c>
      <c r="O13" s="49">
        <f>Bala!O13</f>
        <v>2</v>
      </c>
      <c r="P13" s="49">
        <f>Bala!P13</f>
        <v>2</v>
      </c>
      <c r="Q13" s="49">
        <f>Bala!Q13</f>
        <v>2</v>
      </c>
      <c r="R13" s="49">
        <f>Bala!R13</f>
        <v>0</v>
      </c>
      <c r="S13" s="49">
        <f>Bala!S13</f>
        <v>0</v>
      </c>
      <c r="T13" s="49">
        <f>Bala!T13</f>
        <v>0</v>
      </c>
      <c r="U13" s="49">
        <f>Bala!U13</f>
        <v>0</v>
      </c>
      <c r="V13" s="102">
        <f>Bala!V13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Bala!C14</f>
        <v xml:space="preserve">Grass Silage (25% DM) </v>
      </c>
      <c r="D14" s="83" t="str">
        <f>Bala!D14</f>
        <v xml:space="preserve">Grass Silage (25% DM) </v>
      </c>
      <c r="E14" s="83" t="str">
        <f>Bala!E14</f>
        <v xml:space="preserve">Grass Silage (25% DM) </v>
      </c>
      <c r="F14" s="83" t="str">
        <f>Bala!F14</f>
        <v xml:space="preserve">Grass Silage (25% DM) </v>
      </c>
      <c r="G14" s="83" t="str">
        <f>Bala!G14</f>
        <v xml:space="preserve">Grass Silage (25% DM) </v>
      </c>
      <c r="H14" s="83" t="str">
        <f>Bala!H14</f>
        <v xml:space="preserve">Grass Silage (25% DM) </v>
      </c>
      <c r="I14" s="83" t="str">
        <f>Bala!I14</f>
        <v xml:space="preserve">Grass Silage (25% DM) </v>
      </c>
      <c r="J14" s="83" t="str">
        <f>Bala!J14</f>
        <v xml:space="preserve">Grass Silage (25% DM) </v>
      </c>
      <c r="K14" s="83" t="str">
        <f>Bala!K14</f>
        <v xml:space="preserve">Grass Silage (25% DM) </v>
      </c>
      <c r="L14" s="83" t="str">
        <f>Bala!L14</f>
        <v xml:space="preserve">Grass Silage (25% DM) </v>
      </c>
      <c r="M14" s="83" t="str">
        <f>Bala!M14</f>
        <v xml:space="preserve">Grass Silage (25% DM) </v>
      </c>
      <c r="N14" s="83" t="str">
        <f>Bala!N14</f>
        <v xml:space="preserve">Grass Silage (25% DM) </v>
      </c>
      <c r="O14" s="83" t="str">
        <f>Bala!O14</f>
        <v xml:space="preserve">Grass Silage (25% DM) </v>
      </c>
      <c r="P14" s="83" t="str">
        <f>Bala!P14</f>
        <v xml:space="preserve">Grass Silage (25% DM) </v>
      </c>
      <c r="Q14" s="83" t="str">
        <f>Bala!Q14</f>
        <v xml:space="preserve">Grass Silage (25% DM) </v>
      </c>
      <c r="R14" s="83">
        <f>Bala!R14</f>
        <v>0</v>
      </c>
      <c r="S14" s="83">
        <f>Bala!S14</f>
        <v>0</v>
      </c>
      <c r="T14" s="83">
        <f>Bala!T14</f>
        <v>0</v>
      </c>
      <c r="U14" s="83">
        <f>Bala!U14</f>
        <v>0</v>
      </c>
      <c r="V14" s="103">
        <f>Bala!V14</f>
        <v>0</v>
      </c>
      <c r="AD14" s="22" t="s">
        <v>138</v>
      </c>
      <c r="AE14" s="22">
        <v>6</v>
      </c>
      <c r="AI14" s="43" t="s">
        <v>119</v>
      </c>
      <c r="AJ14" s="44">
        <v>0.8</v>
      </c>
      <c r="AK14" s="45">
        <v>1.7</v>
      </c>
      <c r="AL14" s="9">
        <v>12</v>
      </c>
      <c r="AM14" s="9">
        <v>6.7</v>
      </c>
      <c r="AN14" s="9" t="s">
        <v>135</v>
      </c>
    </row>
    <row r="15" spans="1:41" x14ac:dyDescent="0.2">
      <c r="A15" s="148" t="s">
        <v>9</v>
      </c>
      <c r="B15" s="149"/>
      <c r="C15" s="49">
        <f>Bala!C15</f>
        <v>38</v>
      </c>
      <c r="D15" s="49">
        <f>Bala!D15</f>
        <v>38</v>
      </c>
      <c r="E15" s="49">
        <f>Bala!E15</f>
        <v>38</v>
      </c>
      <c r="F15" s="49">
        <f>Bala!F15</f>
        <v>38</v>
      </c>
      <c r="G15" s="49">
        <f>Bala!G15</f>
        <v>38</v>
      </c>
      <c r="H15" s="49">
        <f>Bala!H15</f>
        <v>38</v>
      </c>
      <c r="I15" s="49">
        <f>Bala!I15</f>
        <v>38</v>
      </c>
      <c r="J15" s="49">
        <f>Bala!J15</f>
        <v>38</v>
      </c>
      <c r="K15" s="49">
        <f>Bala!K15</f>
        <v>38</v>
      </c>
      <c r="L15" s="49">
        <f>Bala!L15</f>
        <v>38</v>
      </c>
      <c r="M15" s="49">
        <f>Bala!M15</f>
        <v>38</v>
      </c>
      <c r="N15" s="49">
        <f>Bala!N15</f>
        <v>38</v>
      </c>
      <c r="O15" s="49">
        <f>Bala!O15</f>
        <v>38</v>
      </c>
      <c r="P15" s="49">
        <f>Bala!P15</f>
        <v>38</v>
      </c>
      <c r="Q15" s="49">
        <f>Bala!Q15</f>
        <v>38</v>
      </c>
      <c r="R15" s="49">
        <f>Bala!R15</f>
        <v>0</v>
      </c>
      <c r="S15" s="49">
        <f>Bala!S15</f>
        <v>0</v>
      </c>
      <c r="T15" s="49">
        <f>Bala!T15</f>
        <v>0</v>
      </c>
      <c r="U15" s="49">
        <f>Bala!U15</f>
        <v>0</v>
      </c>
      <c r="V15" s="102">
        <f>Bala!V15</f>
        <v>0</v>
      </c>
      <c r="AD15" s="22" t="s">
        <v>144</v>
      </c>
      <c r="AE15" s="22">
        <v>7</v>
      </c>
      <c r="AI15" s="43" t="s">
        <v>101</v>
      </c>
      <c r="AJ15" s="51">
        <v>1.8</v>
      </c>
      <c r="AK15" s="45">
        <v>5.4</v>
      </c>
      <c r="AL15" s="9">
        <v>13</v>
      </c>
      <c r="AM15" s="9">
        <v>6.7</v>
      </c>
      <c r="AN15" s="9" t="s">
        <v>135</v>
      </c>
    </row>
    <row r="16" spans="1:41" ht="13.5" thickBot="1" x14ac:dyDescent="0.25">
      <c r="A16" s="152" t="s">
        <v>44</v>
      </c>
      <c r="B16" s="153"/>
      <c r="C16" s="104" t="str">
        <f>Bala!C16</f>
        <v>Medium/Clay</v>
      </c>
      <c r="D16" s="104" t="str">
        <f>Bala!D16</f>
        <v>Medium/Clay</v>
      </c>
      <c r="E16" s="104" t="str">
        <f>Bala!E16</f>
        <v>Medium/Clay</v>
      </c>
      <c r="F16" s="104" t="str">
        <f>Bala!F16</f>
        <v>Medium/Clay</v>
      </c>
      <c r="G16" s="104" t="str">
        <f>Bala!G16</f>
        <v>Medium/Clay</v>
      </c>
      <c r="H16" s="104" t="str">
        <f>Bala!H16</f>
        <v>Medium/Clay</v>
      </c>
      <c r="I16" s="104" t="str">
        <f>Bala!I16</f>
        <v>Medium/Clay</v>
      </c>
      <c r="J16" s="104" t="str">
        <f>Bala!J16</f>
        <v>Medium/Clay</v>
      </c>
      <c r="K16" s="104" t="str">
        <f>Bala!K16</f>
        <v>Medium/Clay</v>
      </c>
      <c r="L16" s="104" t="str">
        <f>Bala!L16</f>
        <v>Medium/Clay</v>
      </c>
      <c r="M16" s="104" t="str">
        <f>Bala!M16</f>
        <v>Medium/Clay</v>
      </c>
      <c r="N16" s="104" t="str">
        <f>Bala!N16</f>
        <v>Medium/Clay</v>
      </c>
      <c r="O16" s="104" t="str">
        <f>Bala!O16</f>
        <v>Medium/Clay</v>
      </c>
      <c r="P16" s="104" t="str">
        <f>Bala!P16</f>
        <v>Medium/Clay</v>
      </c>
      <c r="Q16" s="104" t="str">
        <f>Bala!Q16</f>
        <v>Medium/Clay</v>
      </c>
      <c r="R16" s="104">
        <f>Bala!R16</f>
        <v>0</v>
      </c>
      <c r="S16" s="104">
        <f>Bala!S16</f>
        <v>0</v>
      </c>
      <c r="T16" s="104">
        <f>Bala!T16</f>
        <v>0</v>
      </c>
      <c r="U16" s="104">
        <f>Bala!U16</f>
        <v>0</v>
      </c>
      <c r="V16" s="105">
        <f>Bala!V16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75.093188352000027</v>
      </c>
      <c r="D18" s="12">
        <f>$D32</f>
        <v>83.809362000000021</v>
      </c>
      <c r="E18" s="12">
        <f>$D33</f>
        <v>0</v>
      </c>
      <c r="F18" s="12">
        <f>$D34</f>
        <v>0</v>
      </c>
      <c r="G18" s="12">
        <f>$D35</f>
        <v>83.809362000000021</v>
      </c>
      <c r="H18" s="12">
        <f>$D36</f>
        <v>0</v>
      </c>
      <c r="I18" s="12">
        <f>$D37</f>
        <v>0</v>
      </c>
      <c r="J18" s="12">
        <f>$D38</f>
        <v>75.093188352000027</v>
      </c>
      <c r="K18" s="12">
        <f>$D39</f>
        <v>75.093188352000027</v>
      </c>
      <c r="L18" s="12">
        <f>$D40</f>
        <v>0</v>
      </c>
      <c r="M18" s="12">
        <f>$D41</f>
        <v>0</v>
      </c>
      <c r="N18" s="12">
        <f>$D42</f>
        <v>75.093188352000027</v>
      </c>
      <c r="O18" s="12">
        <f>$D43</f>
        <v>83.809362000000021</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10.493188352000033</v>
      </c>
      <c r="D19" s="12">
        <f t="shared" ref="D19:V19" si="1">D18-D17</f>
        <v>19.209362000000027</v>
      </c>
      <c r="E19" s="12">
        <f t="shared" si="1"/>
        <v>-64.599999999999994</v>
      </c>
      <c r="F19" s="12">
        <f t="shared" si="1"/>
        <v>-64.599999999999994</v>
      </c>
      <c r="G19" s="12">
        <f t="shared" si="1"/>
        <v>19.209362000000027</v>
      </c>
      <c r="H19" s="12">
        <f t="shared" si="1"/>
        <v>-64.599999999999994</v>
      </c>
      <c r="I19" s="12">
        <f t="shared" si="1"/>
        <v>-64.599999999999994</v>
      </c>
      <c r="J19" s="12">
        <f t="shared" si="1"/>
        <v>10.493188352000033</v>
      </c>
      <c r="K19" s="12">
        <f t="shared" si="1"/>
        <v>10.493188352000033</v>
      </c>
      <c r="L19" s="12">
        <f t="shared" si="1"/>
        <v>-64.599999999999994</v>
      </c>
      <c r="M19" s="12">
        <f t="shared" si="1"/>
        <v>-64.599999999999994</v>
      </c>
      <c r="N19" s="12">
        <f t="shared" si="1"/>
        <v>10.493188352000033</v>
      </c>
      <c r="O19" s="12">
        <f t="shared" si="1"/>
        <v>19.209362000000027</v>
      </c>
      <c r="P19" s="12">
        <f t="shared" si="1"/>
        <v>-64.599999999999994</v>
      </c>
      <c r="Q19" s="12">
        <f t="shared" si="1"/>
        <v>-64.599999999999994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INCREASE</v>
      </c>
      <c r="D20" s="18" t="str">
        <f>IF($B32="","",IF(D$19&gt;=0,"INCREASE","DECREASE"))</f>
        <v>INCREASE</v>
      </c>
      <c r="E20" s="18" t="str">
        <f>IF($B33="","",IF(E$19&gt;=0,"INCREASE","DECREASE"))</f>
        <v>DECREASE</v>
      </c>
      <c r="F20" s="18" t="str">
        <f>IF($B34="","",IF(F$19&gt;=0,"INCREASE","DECREASE"))</f>
        <v>DECREASE</v>
      </c>
      <c r="G20" s="18" t="str">
        <f>IF($B35="","",IF(G$19&gt;=0,"INCREASE","DECREASE"))</f>
        <v>INCREASE</v>
      </c>
      <c r="H20" s="18" t="str">
        <f>IF($B36="","",IF(H$19&gt;=0,"INCREASE","DECREASE"))</f>
        <v>DECREASE</v>
      </c>
      <c r="I20" s="18" t="str">
        <f>IF($B37="","",IF(I$19&gt;=0,"INCREASE","DECREASE"))</f>
        <v>DECREASE</v>
      </c>
      <c r="J20" s="18" t="str">
        <f>IF($B38="","",IF(J$19&gt;=0,"INCREASE","DECREASE"))</f>
        <v>INCREASE</v>
      </c>
      <c r="K20" s="18" t="str">
        <f>IF($B39="","",IF(K$19&gt;=0,"INCREASE","DECREASE"))</f>
        <v>INCREASE</v>
      </c>
      <c r="L20" s="18" t="str">
        <f>IF($B40="","",IF(L$19&gt;=0,"INCREASE","DECREASE"))</f>
        <v>DECREASE</v>
      </c>
      <c r="M20" s="18" t="str">
        <f>IF($B41="","",IF(M$19&gt;=0,"INCREASE","DECREASE"))</f>
        <v>DECREASE</v>
      </c>
      <c r="N20" s="18" t="str">
        <f>IF($B42="","",IF(N$19&gt;=0,"INCREASE","DECREASE"))</f>
        <v>INCREASE</v>
      </c>
      <c r="O20" s="18" t="str">
        <f>IF($B43="","",IF(O$19&gt;=0,"INCREASE","DECREASE"))</f>
        <v>INCREASE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1.4467711999999999</v>
      </c>
      <c r="D22" s="12">
        <f>$E32</f>
        <v>1.6147000000000002</v>
      </c>
      <c r="E22" s="12">
        <f>$E33</f>
        <v>0</v>
      </c>
      <c r="F22" s="12">
        <f>$E34</f>
        <v>0</v>
      </c>
      <c r="G22" s="12">
        <f>$E35</f>
        <v>1.6147000000000002</v>
      </c>
      <c r="H22" s="12">
        <f>$E36</f>
        <v>0</v>
      </c>
      <c r="I22" s="12">
        <f>$E37</f>
        <v>0</v>
      </c>
      <c r="J22" s="12">
        <f>$E38</f>
        <v>1.4467711999999999</v>
      </c>
      <c r="K22" s="12">
        <f>$E39</f>
        <v>1.4467711999999999</v>
      </c>
      <c r="L22" s="12">
        <f>$E40</f>
        <v>0</v>
      </c>
      <c r="M22" s="12">
        <f>$E41</f>
        <v>0</v>
      </c>
      <c r="N22" s="12">
        <f>$E42</f>
        <v>1.4467711999999999</v>
      </c>
      <c r="O22" s="12">
        <f>$E43</f>
        <v>1.6147000000000002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-226.5532288</v>
      </c>
      <c r="D23" s="12">
        <f t="shared" ref="D23:V23" si="3">D22-D21</f>
        <v>-226.3853</v>
      </c>
      <c r="E23" s="12">
        <f t="shared" si="3"/>
        <v>-228</v>
      </c>
      <c r="F23" s="12">
        <f t="shared" si="3"/>
        <v>-228</v>
      </c>
      <c r="G23" s="12">
        <f t="shared" si="3"/>
        <v>-226.3853</v>
      </c>
      <c r="H23" s="12">
        <f t="shared" si="3"/>
        <v>-228</v>
      </c>
      <c r="I23" s="12">
        <f t="shared" si="3"/>
        <v>-228</v>
      </c>
      <c r="J23" s="12">
        <f t="shared" si="3"/>
        <v>-226.5532288</v>
      </c>
      <c r="K23" s="12">
        <f t="shared" si="3"/>
        <v>-226.5532288</v>
      </c>
      <c r="L23" s="12">
        <f t="shared" si="3"/>
        <v>-228</v>
      </c>
      <c r="M23" s="12">
        <f t="shared" si="3"/>
        <v>-228</v>
      </c>
      <c r="N23" s="12">
        <f t="shared" si="3"/>
        <v>-226.5532288</v>
      </c>
      <c r="O23" s="12">
        <f t="shared" si="3"/>
        <v>-226.3853</v>
      </c>
      <c r="P23" s="12">
        <f t="shared" si="3"/>
        <v>-228</v>
      </c>
      <c r="Q23" s="12">
        <f t="shared" si="3"/>
        <v>-228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2.68</v>
      </c>
      <c r="C28" s="11">
        <v>0.85799999999999998</v>
      </c>
      <c r="D28" s="11">
        <v>0.54600000000000004</v>
      </c>
      <c r="E28" s="11">
        <v>0.02</v>
      </c>
      <c r="F28" s="11">
        <v>1070</v>
      </c>
      <c r="G28" s="11">
        <v>34.700000000000003</v>
      </c>
      <c r="H28" s="11">
        <v>99.7</v>
      </c>
      <c r="I28" s="11">
        <v>4.84</v>
      </c>
      <c r="J28" s="11">
        <v>0.35</v>
      </c>
      <c r="K28" s="15">
        <v>1.49</v>
      </c>
      <c r="L28" s="11">
        <v>7.9</v>
      </c>
      <c r="M28" s="11">
        <v>4.5599999999999996</v>
      </c>
      <c r="N28" s="11">
        <v>217000</v>
      </c>
      <c r="O28" s="11">
        <v>9250</v>
      </c>
      <c r="P28" s="11"/>
      <c r="Q28" s="11">
        <v>13000</v>
      </c>
      <c r="R28" s="11"/>
      <c r="S28" s="11">
        <v>47.7</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224</v>
      </c>
      <c r="C31" s="65">
        <f>IF(C$27="%w/w SAR",((C$28*10)*$B31),IF(C$27="%w/w DM",(((C$28*10)*($B$28/100))*$B31),IF(C$27="kg/t SAR",(C$28*$B31),IF(C$27="kg/t DM",((C$28*($B$28/100))*$B31),IF(C$27="mg/kg SAR",((C$28*0.001)*$B31),IF(C$27="mg/kg DM",(((C$28*0.001)*($B$28/100))*$B31),0))))))</f>
        <v>51.507456000000005</v>
      </c>
      <c r="D31" s="65">
        <f>(IF(D$27="%w/w SAR",((D$28*10)*$B31),IF(D$27="%w/w DM",(((D$28*10)*($B$28/100))*$B31),IF(D$27="kg/t SAR",(D$28*$B31),IF(D$27="kg/t DM",((D$28*($B$28/100))*$B31),IF(D$27="mg/kg SAR",((D$28*0.001)*$B31),IF(D$27="mg/kg DM",(((D$28*0.001)*($B$28/100))*$B31),"0")))))))*2.291</f>
        <v>75.093188352000027</v>
      </c>
      <c r="E31" s="65">
        <f>(IF(E$27="%w/w SAR",((E$28*10)*$B31),IF(E$27="%w/w DM",(((E$28*10)*($B$28/100))*$B31),IF(E$27="kg/t SAR",(E$28*$B31),IF(E$27="kg/t DM",((E$28*($B$28/100))*$B31),IF(E$27="mg/kg SAR",((E$28*0.001)*$B31),IF(E$27="mg/kg DM",(((E$28*0.001)*($B$28/100))*$B31),"0")))))))*1.205</f>
        <v>1.4467711999999999</v>
      </c>
      <c r="F31" s="65">
        <f>(IF(F$27="%w/w SAR",((F$28*10)*$B31),IF(F$27="%w/w DM",(((F$28*10)*($B$28/100))*$B31),IF(F$27="kg/t SAR",(F$28*$B31),IF(F$27="kg/t DM",((F$28*($B$28/100))*$B31),IF(F$27="mg/kg SAR",((F$28*0.001)*$B31),IF(F$27="mg/kg DM",(((F$28*0.001)*($B$28/100))*$B31),"0")))))))*1.658</f>
        <v>10.650036992</v>
      </c>
      <c r="G31" s="65">
        <f t="shared" ref="G31:P46" si="5">IF(G$27="%w/w SAR",((G$28*10)*$B31),IF(G$27="%w/w DM",(((G$28*10)*($B$28/100))*$B31),IF(G$27="kg/t SAR",(G$28*$B31),IF(G$27="kg/t DM",((G$28*($B$28/100))*$B31),IF(G$27="mg/kg SAR",((G$28*0.001)*$B31),IF(G$27="mg/kg DM",(((G$28*0.001)*($B$28/100))*$B31),0))))))</f>
        <v>0.20831104</v>
      </c>
      <c r="H31" s="65">
        <f t="shared" si="5"/>
        <v>0.59851904000000011</v>
      </c>
      <c r="I31" s="65">
        <f t="shared" si="5"/>
        <v>2.9055488000000001E-2</v>
      </c>
      <c r="J31" s="65">
        <f t="shared" si="5"/>
        <v>2.1011200000000002E-3</v>
      </c>
      <c r="K31" s="65">
        <f t="shared" si="5"/>
        <v>8.9447680000000005E-3</v>
      </c>
      <c r="L31" s="65">
        <f t="shared" si="5"/>
        <v>4.7425280000000007E-2</v>
      </c>
      <c r="M31" s="65">
        <f t="shared" si="5"/>
        <v>2.7374592000000003E-2</v>
      </c>
      <c r="N31" s="65">
        <f t="shared" si="5"/>
        <v>1302.6943999999999</v>
      </c>
      <c r="O31" s="65">
        <f t="shared" si="5"/>
        <v>55.529600000000002</v>
      </c>
      <c r="P31" s="65">
        <f t="shared" si="5"/>
        <v>0</v>
      </c>
      <c r="Q31" s="65">
        <f>(IF(Q$27="%w/w SAR",((Q$28*10)*$B31),IF(Q$27="%w/w DM",(((Q$28*10)*($B$28/100))*$B31),IF(Q$27="kg/t SAR",(Q$28*$B31),IF(Q$27="kg/t DM",((Q$28*($B$28/100))*$B31),IF(Q$27="mg/kg SAR",((Q$28*0.001)*$B31),IF(Q$27="mg/kg DM",(((Q$28*0.001)*($B$28/100))*$B31),0)))))))*2.5</f>
        <v>195.10400000000001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0.28635264000000005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250</v>
      </c>
      <c r="C32" s="65">
        <f t="shared" ref="C32:C50" si="6">IF(C$27="%w/w SAR",((C$28*10)*$B32),IF(C$27="%w/w DM",(((C$28*10)*($B$28/100))*$B32),IF(C$27="kg/t SAR",(C$28*$B32),IF(C$27="kg/t DM",((C$28*($B$28/100))*$B32),IF(C$27="mg/kg SAR",((C$28*0.001)*$B32),IF(C$27="mg/kg DM",(((C$28*0.001)*($B$28/100))*$B32),0))))))</f>
        <v>57.486000000000004</v>
      </c>
      <c r="D32" s="65">
        <f t="shared" ref="D32:D50" si="7">(IF(D$27="%w/w SAR",((D$28*10)*$B32),IF(D$27="%w/w DM",(((D$28*10)*($B$28/100))*$B32),IF(D$27="kg/t SAR",(D$28*$B32),IF(D$27="kg/t DM",((D$28*($B$28/100))*$B32),IF(D$27="mg/kg SAR",((D$28*0.001)*$B32),IF(D$27="mg/kg DM",(((D$28*0.001)*($B$28/100))*$B32),"0")))))))*2.291</f>
        <v>83.809362000000021</v>
      </c>
      <c r="E32" s="65">
        <f t="shared" ref="E32:E50" si="8">(IF(E$27="%w/w SAR",((E$28*10)*$B32),IF(E$27="%w/w DM",(((E$28*10)*($B$28/100))*$B32),IF(E$27="kg/t SAR",(E$28*$B32),IF(E$27="kg/t DM",((E$28*($B$28/100))*$B32),IF(E$27="mg/kg SAR",((E$28*0.001)*$B32),IF(E$27="mg/kg DM",(((E$28*0.001)*($B$28/100))*$B32),"0")))))))*1.205</f>
        <v>1.6147000000000002</v>
      </c>
      <c r="F32" s="65">
        <f t="shared" ref="F32:F50" si="9">(IF(F$27="%w/w SAR",((F$28*10)*$B32),IF(F$27="%w/w DM",(((F$28*10)*($B$28/100))*$B32),IF(F$27="kg/t SAR",(F$28*$B32),IF(F$27="kg/t DM",((F$28*($B$28/100))*$B32),IF(F$27="mg/kg SAR",((F$28*0.001)*$B32),IF(F$27="mg/kg DM",(((F$28*0.001)*($B$28/100))*$B32),"0")))))))*1.658</f>
        <v>11.886202000000001</v>
      </c>
      <c r="G32" s="65">
        <f t="shared" si="5"/>
        <v>0.23249000000000003</v>
      </c>
      <c r="H32" s="65">
        <f t="shared" si="5"/>
        <v>0.66799000000000019</v>
      </c>
      <c r="I32" s="65">
        <f t="shared" si="5"/>
        <v>3.2427999999999998E-2</v>
      </c>
      <c r="J32" s="65">
        <f t="shared" si="5"/>
        <v>2.3449999999999999E-3</v>
      </c>
      <c r="K32" s="65">
        <f t="shared" si="5"/>
        <v>9.9830000000000006E-3</v>
      </c>
      <c r="L32" s="65">
        <f t="shared" si="5"/>
        <v>5.2930000000000012E-2</v>
      </c>
      <c r="M32" s="65">
        <f t="shared" si="5"/>
        <v>3.0552000000000003E-2</v>
      </c>
      <c r="N32" s="65">
        <f t="shared" si="5"/>
        <v>1453.8999999999999</v>
      </c>
      <c r="O32" s="65">
        <f t="shared" si="5"/>
        <v>61.975000000000001</v>
      </c>
      <c r="P32" s="65">
        <f t="shared" si="5"/>
        <v>0</v>
      </c>
      <c r="Q32" s="65">
        <f t="shared" ref="Q32:Q50" si="10">(IF(Q$27="%w/w SAR",((Q$28*10)*$B32),IF(Q$27="%w/w DM",(((Q$28*10)*($B$28/100))*$B32),IF(Q$27="kg/t SAR",(Q$28*$B32),IF(Q$27="kg/t DM",((Q$28*($B$28/100))*$B32),IF(Q$27="mg/kg SAR",((Q$28*0.001)*$B32),IF(Q$27="mg/kg DM",(((Q$28*0.001)*($B$28/100))*$B32),0)))))))*2.5</f>
        <v>217.75</v>
      </c>
      <c r="R32" s="65">
        <f t="shared" ref="R32:U50" si="11">IF(R$27="%w/w SAR",((R$28*10)*$B32),IF(R$27="%w/w DM",(((R$28*10)*($B$28/100))*$B32),IF(R$27="kg/t SAR",(R$28*$B32),IF(R$27="kg/t DM",((R$28*($B$28/100))*$B32),IF(R$27="mg/kg SAR",((R$28*0.001)*$B32),IF(R$27="mg/kg DM",(((R$28*0.001)*($B$28/100))*$B32),0))))))</f>
        <v>0</v>
      </c>
      <c r="S32" s="65">
        <f t="shared" si="11"/>
        <v>0.3195900000000001</v>
      </c>
      <c r="T32" s="65">
        <f t="shared" si="11"/>
        <v>0</v>
      </c>
      <c r="U32" s="126">
        <f t="shared" si="11"/>
        <v>0</v>
      </c>
    </row>
    <row r="33" spans="1:21" s="48" customFormat="1" x14ac:dyDescent="0.25">
      <c r="A33" s="125">
        <f>E8</f>
        <v>3</v>
      </c>
      <c r="B33" s="11">
        <v>0</v>
      </c>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x14ac:dyDescent="0.25">
      <c r="A34" s="125">
        <f>F8</f>
        <v>5</v>
      </c>
      <c r="B34" s="11">
        <v>0</v>
      </c>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x14ac:dyDescent="0.25">
      <c r="A35" s="125">
        <f>G8</f>
        <v>7</v>
      </c>
      <c r="B35" s="11">
        <v>250</v>
      </c>
      <c r="C35" s="65">
        <f t="shared" si="6"/>
        <v>57.486000000000004</v>
      </c>
      <c r="D35" s="65">
        <f t="shared" si="7"/>
        <v>83.809362000000021</v>
      </c>
      <c r="E35" s="65">
        <f t="shared" si="8"/>
        <v>1.6147000000000002</v>
      </c>
      <c r="F35" s="65">
        <f t="shared" si="9"/>
        <v>11.886202000000001</v>
      </c>
      <c r="G35" s="65">
        <f t="shared" si="5"/>
        <v>0.23249000000000003</v>
      </c>
      <c r="H35" s="65">
        <f t="shared" si="5"/>
        <v>0.66799000000000019</v>
      </c>
      <c r="I35" s="65">
        <f t="shared" si="5"/>
        <v>3.2427999999999998E-2</v>
      </c>
      <c r="J35" s="65">
        <f t="shared" si="5"/>
        <v>2.3449999999999999E-3</v>
      </c>
      <c r="K35" s="65">
        <f t="shared" si="5"/>
        <v>9.9830000000000006E-3</v>
      </c>
      <c r="L35" s="65">
        <f t="shared" si="5"/>
        <v>5.2930000000000012E-2</v>
      </c>
      <c r="M35" s="65">
        <f t="shared" si="5"/>
        <v>3.0552000000000003E-2</v>
      </c>
      <c r="N35" s="65">
        <f t="shared" si="5"/>
        <v>1453.8999999999999</v>
      </c>
      <c r="O35" s="65">
        <f t="shared" si="5"/>
        <v>61.975000000000001</v>
      </c>
      <c r="P35" s="65">
        <f t="shared" si="5"/>
        <v>0</v>
      </c>
      <c r="Q35" s="65">
        <f t="shared" si="10"/>
        <v>217.75</v>
      </c>
      <c r="R35" s="65">
        <f t="shared" si="11"/>
        <v>0</v>
      </c>
      <c r="S35" s="65">
        <f t="shared" si="11"/>
        <v>0.3195900000000001</v>
      </c>
      <c r="T35" s="65">
        <f t="shared" si="11"/>
        <v>0</v>
      </c>
      <c r="U35" s="126">
        <f t="shared" si="11"/>
        <v>0</v>
      </c>
    </row>
    <row r="36" spans="1:21" s="48" customFormat="1" x14ac:dyDescent="0.25">
      <c r="A36" s="125">
        <f>H8</f>
        <v>11</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f>I8</f>
        <v>12</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x14ac:dyDescent="0.25">
      <c r="A38" s="125">
        <f>J8</f>
        <v>13</v>
      </c>
      <c r="B38" s="11">
        <v>224</v>
      </c>
      <c r="C38" s="65">
        <f t="shared" si="6"/>
        <v>51.507456000000005</v>
      </c>
      <c r="D38" s="65">
        <f t="shared" si="7"/>
        <v>75.093188352000027</v>
      </c>
      <c r="E38" s="65">
        <f t="shared" si="8"/>
        <v>1.4467711999999999</v>
      </c>
      <c r="F38" s="65">
        <f t="shared" si="9"/>
        <v>10.650036992</v>
      </c>
      <c r="G38" s="65">
        <f t="shared" si="5"/>
        <v>0.20831104</v>
      </c>
      <c r="H38" s="65">
        <f t="shared" si="5"/>
        <v>0.59851904000000011</v>
      </c>
      <c r="I38" s="65">
        <f t="shared" si="5"/>
        <v>2.9055488000000001E-2</v>
      </c>
      <c r="J38" s="65">
        <f t="shared" si="5"/>
        <v>2.1011200000000002E-3</v>
      </c>
      <c r="K38" s="65">
        <f t="shared" si="5"/>
        <v>8.9447680000000005E-3</v>
      </c>
      <c r="L38" s="65">
        <f t="shared" si="5"/>
        <v>4.7425280000000007E-2</v>
      </c>
      <c r="M38" s="65">
        <f t="shared" si="5"/>
        <v>2.7374592000000003E-2</v>
      </c>
      <c r="N38" s="65">
        <f t="shared" si="5"/>
        <v>1302.6943999999999</v>
      </c>
      <c r="O38" s="65">
        <f t="shared" si="5"/>
        <v>55.529600000000002</v>
      </c>
      <c r="P38" s="65">
        <f t="shared" si="5"/>
        <v>0</v>
      </c>
      <c r="Q38" s="65">
        <f t="shared" si="10"/>
        <v>195.10400000000001</v>
      </c>
      <c r="R38" s="65">
        <f t="shared" si="11"/>
        <v>0</v>
      </c>
      <c r="S38" s="65">
        <f t="shared" si="11"/>
        <v>0.28635264000000005</v>
      </c>
      <c r="T38" s="65">
        <f t="shared" si="11"/>
        <v>0</v>
      </c>
      <c r="U38" s="126">
        <f t="shared" si="11"/>
        <v>0</v>
      </c>
    </row>
    <row r="39" spans="1:21" s="48" customFormat="1" x14ac:dyDescent="0.25">
      <c r="A39" s="125">
        <f>K8</f>
        <v>14</v>
      </c>
      <c r="B39" s="11">
        <v>224</v>
      </c>
      <c r="C39" s="65">
        <f t="shared" si="6"/>
        <v>51.507456000000005</v>
      </c>
      <c r="D39" s="65">
        <f t="shared" si="7"/>
        <v>75.093188352000027</v>
      </c>
      <c r="E39" s="65">
        <f t="shared" si="8"/>
        <v>1.4467711999999999</v>
      </c>
      <c r="F39" s="65">
        <f t="shared" si="9"/>
        <v>10.650036992</v>
      </c>
      <c r="G39" s="65">
        <f t="shared" si="5"/>
        <v>0.20831104</v>
      </c>
      <c r="H39" s="65">
        <f t="shared" si="5"/>
        <v>0.59851904000000011</v>
      </c>
      <c r="I39" s="65">
        <f t="shared" si="5"/>
        <v>2.9055488000000001E-2</v>
      </c>
      <c r="J39" s="65">
        <f t="shared" si="5"/>
        <v>2.1011200000000002E-3</v>
      </c>
      <c r="K39" s="65">
        <f t="shared" si="5"/>
        <v>8.9447680000000005E-3</v>
      </c>
      <c r="L39" s="65">
        <f t="shared" si="5"/>
        <v>4.7425280000000007E-2</v>
      </c>
      <c r="M39" s="65">
        <f t="shared" si="5"/>
        <v>2.7374592000000003E-2</v>
      </c>
      <c r="N39" s="65">
        <f t="shared" si="5"/>
        <v>1302.6943999999999</v>
      </c>
      <c r="O39" s="65">
        <f t="shared" si="5"/>
        <v>55.529600000000002</v>
      </c>
      <c r="P39" s="65">
        <f t="shared" si="5"/>
        <v>0</v>
      </c>
      <c r="Q39" s="65">
        <f t="shared" si="10"/>
        <v>195.10400000000001</v>
      </c>
      <c r="R39" s="65">
        <f t="shared" si="11"/>
        <v>0</v>
      </c>
      <c r="S39" s="65">
        <f t="shared" si="11"/>
        <v>0.28635264000000005</v>
      </c>
      <c r="T39" s="65">
        <f t="shared" si="11"/>
        <v>0</v>
      </c>
      <c r="U39" s="126">
        <f t="shared" si="11"/>
        <v>0</v>
      </c>
    </row>
    <row r="40" spans="1:21" s="48" customFormat="1" x14ac:dyDescent="0.25">
      <c r="A40" s="125">
        <f>L8</f>
        <v>15</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x14ac:dyDescent="0.25">
      <c r="A41" s="125">
        <f>M8</f>
        <v>17</v>
      </c>
      <c r="B41" s="11">
        <v>0</v>
      </c>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x14ac:dyDescent="0.25">
      <c r="A42" s="125">
        <f>N8</f>
        <v>18</v>
      </c>
      <c r="B42" s="11">
        <v>224</v>
      </c>
      <c r="C42" s="65">
        <f t="shared" si="6"/>
        <v>51.507456000000005</v>
      </c>
      <c r="D42" s="65">
        <f t="shared" si="7"/>
        <v>75.093188352000027</v>
      </c>
      <c r="E42" s="65">
        <f t="shared" si="8"/>
        <v>1.4467711999999999</v>
      </c>
      <c r="F42" s="65">
        <f t="shared" si="9"/>
        <v>10.650036992</v>
      </c>
      <c r="G42" s="65">
        <f t="shared" si="5"/>
        <v>0.20831104</v>
      </c>
      <c r="H42" s="65">
        <f t="shared" si="5"/>
        <v>0.59851904000000011</v>
      </c>
      <c r="I42" s="65">
        <f t="shared" si="5"/>
        <v>2.9055488000000001E-2</v>
      </c>
      <c r="J42" s="65">
        <f t="shared" si="5"/>
        <v>2.1011200000000002E-3</v>
      </c>
      <c r="K42" s="65">
        <f t="shared" si="5"/>
        <v>8.9447680000000005E-3</v>
      </c>
      <c r="L42" s="65">
        <f t="shared" si="5"/>
        <v>4.7425280000000007E-2</v>
      </c>
      <c r="M42" s="65">
        <f t="shared" si="5"/>
        <v>2.7374592000000003E-2</v>
      </c>
      <c r="N42" s="65">
        <f t="shared" si="5"/>
        <v>1302.6943999999999</v>
      </c>
      <c r="O42" s="65">
        <f t="shared" si="5"/>
        <v>55.529600000000002</v>
      </c>
      <c r="P42" s="65">
        <f t="shared" si="5"/>
        <v>0</v>
      </c>
      <c r="Q42" s="65">
        <f t="shared" si="10"/>
        <v>195.10400000000001</v>
      </c>
      <c r="R42" s="65">
        <f t="shared" si="11"/>
        <v>0</v>
      </c>
      <c r="S42" s="65">
        <f t="shared" si="11"/>
        <v>0.28635264000000005</v>
      </c>
      <c r="T42" s="65">
        <f t="shared" si="11"/>
        <v>0</v>
      </c>
      <c r="U42" s="126">
        <f t="shared" si="11"/>
        <v>0</v>
      </c>
    </row>
    <row r="43" spans="1:21" s="48" customFormat="1" x14ac:dyDescent="0.25">
      <c r="A43" s="125">
        <f>O8</f>
        <v>19</v>
      </c>
      <c r="B43" s="11">
        <v>250</v>
      </c>
      <c r="C43" s="65">
        <f t="shared" si="6"/>
        <v>57.486000000000004</v>
      </c>
      <c r="D43" s="65">
        <f t="shared" si="7"/>
        <v>83.809362000000021</v>
      </c>
      <c r="E43" s="65">
        <f t="shared" si="8"/>
        <v>1.6147000000000002</v>
      </c>
      <c r="F43" s="65">
        <f t="shared" si="9"/>
        <v>11.886202000000001</v>
      </c>
      <c r="G43" s="65">
        <f t="shared" si="5"/>
        <v>0.23249000000000003</v>
      </c>
      <c r="H43" s="65">
        <f t="shared" si="5"/>
        <v>0.66799000000000019</v>
      </c>
      <c r="I43" s="65">
        <f t="shared" si="5"/>
        <v>3.2427999999999998E-2</v>
      </c>
      <c r="J43" s="65">
        <f t="shared" si="5"/>
        <v>2.3449999999999999E-3</v>
      </c>
      <c r="K43" s="65">
        <f t="shared" si="5"/>
        <v>9.9830000000000006E-3</v>
      </c>
      <c r="L43" s="65">
        <f t="shared" si="5"/>
        <v>5.2930000000000012E-2</v>
      </c>
      <c r="M43" s="65">
        <f t="shared" si="5"/>
        <v>3.0552000000000003E-2</v>
      </c>
      <c r="N43" s="65">
        <f t="shared" si="5"/>
        <v>1453.8999999999999</v>
      </c>
      <c r="O43" s="65">
        <f t="shared" si="5"/>
        <v>61.975000000000001</v>
      </c>
      <c r="P43" s="65">
        <f t="shared" si="5"/>
        <v>0</v>
      </c>
      <c r="Q43" s="65">
        <f t="shared" si="10"/>
        <v>217.75</v>
      </c>
      <c r="R43" s="65">
        <f t="shared" si="11"/>
        <v>0</v>
      </c>
      <c r="S43" s="65">
        <f t="shared" si="11"/>
        <v>0.3195900000000001</v>
      </c>
      <c r="T43" s="65">
        <f t="shared" si="11"/>
        <v>0</v>
      </c>
      <c r="U43" s="126">
        <f t="shared" si="11"/>
        <v>0</v>
      </c>
    </row>
    <row r="44" spans="1:21" s="48" customFormat="1" x14ac:dyDescent="0.25">
      <c r="A44" s="125">
        <f>P8</f>
        <v>20</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21</v>
      </c>
      <c r="B45" s="11">
        <v>0</v>
      </c>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x14ac:dyDescent="0.2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Grass</v>
      </c>
      <c r="P58" s="10" t="str">
        <f>Q16&amp;" I "&amp;(VLOOKUP(Q14,Table24567[],6,FALSE))</f>
        <v>Medium/Clay I Grass</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f>VLOOKUP(P$14,Table24567[],5,FALSE)</f>
        <v>6.2</v>
      </c>
      <c r="P59" s="64">
        <f>VLOOKUP(Q$14,Table24567[],5,FALSE)</f>
        <v>6.2</v>
      </c>
      <c r="Q59" s="64" t="e">
        <f>VLOOKUP(R$14,Table24567[],5,FALSE)</f>
        <v>#N/A</v>
      </c>
      <c r="R59" s="64" t="e">
        <f>VLOOKUP(S$14,Table24567[],5,FALSE)</f>
        <v>#N/A</v>
      </c>
      <c r="S59" s="64" t="e">
        <f>VLOOKUP(T$14,Table24567[],5,FALSE)</f>
        <v>#N/A</v>
      </c>
      <c r="T59" s="64" t="e">
        <f>VLOOKUP(U$14,Table24567[],5,FALSE)</f>
        <v>#N/A</v>
      </c>
      <c r="U59" s="64" t="e">
        <f>VLOOKUP(V$14,Table24567[],5,FALSE)</f>
        <v>#N/A</v>
      </c>
    </row>
    <row r="60" spans="1:21" x14ac:dyDescent="0.2">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x14ac:dyDescent="0.2">
      <c r="A62" s="87" t="s">
        <v>134</v>
      </c>
      <c r="B62" s="65">
        <f>B31</f>
        <v>224</v>
      </c>
      <c r="C62" s="65">
        <f>B32</f>
        <v>250</v>
      </c>
      <c r="D62" s="65">
        <f>B33</f>
        <v>0</v>
      </c>
      <c r="E62" s="65">
        <f>B34</f>
        <v>0</v>
      </c>
      <c r="F62" s="65">
        <f>B35</f>
        <v>250</v>
      </c>
      <c r="G62" s="65">
        <f>B36</f>
        <v>0</v>
      </c>
      <c r="H62" s="65">
        <f>B37</f>
        <v>0</v>
      </c>
      <c r="I62" s="65">
        <f>B38</f>
        <v>224</v>
      </c>
      <c r="J62" s="65">
        <f>B39</f>
        <v>224</v>
      </c>
      <c r="K62" s="65">
        <f>B40</f>
        <v>0</v>
      </c>
      <c r="L62" s="65">
        <f>B41</f>
        <v>0</v>
      </c>
      <c r="M62" s="65">
        <f>B42</f>
        <v>224</v>
      </c>
      <c r="N62" s="65">
        <f>B43</f>
        <v>250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1" x14ac:dyDescent="0.2">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H36" sqref="H36"/>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Bala!C1:D1</f>
        <v>PAN-030515</v>
      </c>
      <c r="D1" s="173"/>
      <c r="E1" s="106" t="s">
        <v>45</v>
      </c>
      <c r="F1" s="113">
        <f>Bala!F1</f>
        <v>50</v>
      </c>
      <c r="G1" s="162" t="s">
        <v>43</v>
      </c>
      <c r="H1" s="163"/>
      <c r="I1" s="109">
        <v>6.2</v>
      </c>
      <c r="J1" s="130" t="s">
        <v>153</v>
      </c>
      <c r="K1" s="131"/>
      <c r="L1" s="109">
        <v>139</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Bala!C2:D2</f>
        <v>EPR/GP3792SK</v>
      </c>
      <c r="D2" s="169"/>
      <c r="E2" s="96" t="s">
        <v>109</v>
      </c>
      <c r="F2" s="110" t="s">
        <v>165</v>
      </c>
      <c r="G2" s="164" t="s">
        <v>110</v>
      </c>
      <c r="H2" s="165"/>
      <c r="I2" s="110"/>
      <c r="J2" s="132" t="s">
        <v>158</v>
      </c>
      <c r="K2" s="133"/>
      <c r="L2" s="110">
        <v>0.61599999999999999</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Bala!C3:D3</f>
        <v>ByProduct Recovery Ltd</v>
      </c>
      <c r="D3" s="169"/>
      <c r="E3" s="96" t="s">
        <v>108</v>
      </c>
      <c r="F3" s="111" t="s">
        <v>78</v>
      </c>
      <c r="G3" s="132" t="s">
        <v>159</v>
      </c>
      <c r="H3" s="133"/>
      <c r="I3" s="110"/>
      <c r="J3" s="134" t="s">
        <v>154</v>
      </c>
      <c r="K3" s="135"/>
      <c r="L3" s="110">
        <f>(L1/(L2*10000))*100</f>
        <v>2.2564935064935066</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Bala!C4:D4</f>
        <v>Henllys, Llanfair TH, Abergele, Conwys, LL22 8TF</v>
      </c>
      <c r="D4" s="171"/>
      <c r="E4" s="99" t="s">
        <v>1</v>
      </c>
      <c r="F4" s="110" t="s">
        <v>174</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Bala!C5:D5</f>
        <v>Louise Bailey</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f>Bala!C8</f>
        <v>1</v>
      </c>
      <c r="D8" s="49">
        <f>Bala!D8</f>
        <v>2</v>
      </c>
      <c r="E8" s="49">
        <f>Bala!E8</f>
        <v>3</v>
      </c>
      <c r="F8" s="49">
        <f>Bala!F8</f>
        <v>5</v>
      </c>
      <c r="G8" s="49">
        <f>Bala!G8</f>
        <v>7</v>
      </c>
      <c r="H8" s="49">
        <f>Bala!H8</f>
        <v>11</v>
      </c>
      <c r="I8" s="49">
        <f>Bala!I8</f>
        <v>12</v>
      </c>
      <c r="J8" s="49">
        <f>Bala!J8</f>
        <v>13</v>
      </c>
      <c r="K8" s="49">
        <f>Bala!K8</f>
        <v>14</v>
      </c>
      <c r="L8" s="49">
        <f>Bala!L8</f>
        <v>15</v>
      </c>
      <c r="M8" s="49">
        <f>Bala!M8</f>
        <v>17</v>
      </c>
      <c r="N8" s="49">
        <f>Bala!N8</f>
        <v>18</v>
      </c>
      <c r="O8" s="49">
        <f>Bala!O8</f>
        <v>19</v>
      </c>
      <c r="P8" s="49">
        <f>Bala!P8</f>
        <v>20</v>
      </c>
      <c r="Q8" s="49">
        <f>Bala!Q8</f>
        <v>21</v>
      </c>
      <c r="R8" s="49">
        <f>Bala!R8</f>
        <v>0</v>
      </c>
      <c r="S8" s="49">
        <f>Bala!S8</f>
        <v>0</v>
      </c>
      <c r="T8" s="49">
        <f>Bala!T8</f>
        <v>0</v>
      </c>
      <c r="U8" s="49">
        <f>Bala!U8</f>
        <v>0</v>
      </c>
      <c r="V8" s="102">
        <f>Bala!V8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f>Bala!C9</f>
        <v>0</v>
      </c>
      <c r="D9" s="49">
        <f>Bala!D9</f>
        <v>0</v>
      </c>
      <c r="E9" s="49">
        <f>Bala!E9</f>
        <v>0</v>
      </c>
      <c r="F9" s="49">
        <f>Bala!F9</f>
        <v>0</v>
      </c>
      <c r="G9" s="49">
        <f>Bala!G9</f>
        <v>0</v>
      </c>
      <c r="H9" s="49">
        <f>Bala!H9</f>
        <v>0</v>
      </c>
      <c r="I9" s="49">
        <f>Bala!I9</f>
        <v>0</v>
      </c>
      <c r="J9" s="49">
        <f>Bala!J9</f>
        <v>0</v>
      </c>
      <c r="K9" s="49">
        <f>Bala!K9</f>
        <v>0</v>
      </c>
      <c r="L9" s="49">
        <f>Bala!L9</f>
        <v>0</v>
      </c>
      <c r="M9" s="49">
        <f>Bala!M9</f>
        <v>0</v>
      </c>
      <c r="N9" s="49">
        <f>Bala!N9</f>
        <v>0</v>
      </c>
      <c r="O9" s="49">
        <f>Bala!O9</f>
        <v>0</v>
      </c>
      <c r="P9" s="49">
        <f>Bala!P9</f>
        <v>0</v>
      </c>
      <c r="Q9" s="49">
        <f>Bala!Q9</f>
        <v>0</v>
      </c>
      <c r="R9" s="49">
        <f>Bala!R9</f>
        <v>0</v>
      </c>
      <c r="S9" s="49">
        <f>Bala!S9</f>
        <v>0</v>
      </c>
      <c r="T9" s="49">
        <f>Bala!T9</f>
        <v>0</v>
      </c>
      <c r="U9" s="49">
        <f>Bala!U9</f>
        <v>0</v>
      </c>
      <c r="V9" s="102">
        <f>Bala!V9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Bala!C10</f>
        <v>6.2</v>
      </c>
      <c r="D10" s="49">
        <f>Bala!D10</f>
        <v>6.4</v>
      </c>
      <c r="E10" s="49">
        <f>Bala!E10</f>
        <v>5.6</v>
      </c>
      <c r="F10" s="49">
        <f>Bala!F10</f>
        <v>5.5</v>
      </c>
      <c r="G10" s="49">
        <f>Bala!G10</f>
        <v>6.3</v>
      </c>
      <c r="H10" s="49">
        <f>Bala!H10</f>
        <v>5.5</v>
      </c>
      <c r="I10" s="49">
        <f>Bala!I10</f>
        <v>5.6</v>
      </c>
      <c r="J10" s="49">
        <f>Bala!J10</f>
        <v>6.4</v>
      </c>
      <c r="K10" s="49">
        <f>Bala!K10</f>
        <v>6.3</v>
      </c>
      <c r="L10" s="49">
        <f>Bala!L10</f>
        <v>5.7</v>
      </c>
      <c r="M10" s="49">
        <f>Bala!M10</f>
        <v>5.9</v>
      </c>
      <c r="N10" s="49">
        <f>Bala!N10</f>
        <v>6</v>
      </c>
      <c r="O10" s="49">
        <f>Bala!O10</f>
        <v>6.2</v>
      </c>
      <c r="P10" s="49">
        <f>Bala!P10</f>
        <v>5.8</v>
      </c>
      <c r="Q10" s="49">
        <f>Bala!Q10</f>
        <v>5.9</v>
      </c>
      <c r="R10" s="49">
        <f>Bala!R10</f>
        <v>0</v>
      </c>
      <c r="S10" s="49">
        <f>Bala!S10</f>
        <v>0</v>
      </c>
      <c r="T10" s="49">
        <f>Bala!T10</f>
        <v>0</v>
      </c>
      <c r="U10" s="49">
        <f>Bala!U10</f>
        <v>0</v>
      </c>
      <c r="V10" s="102">
        <f>Bala!V10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Bala!C11</f>
        <v>2</v>
      </c>
      <c r="D11" s="49">
        <f>Bala!D11</f>
        <v>1</v>
      </c>
      <c r="E11" s="49">
        <f>Bala!E11</f>
        <v>2</v>
      </c>
      <c r="F11" s="49">
        <f>Bala!F11</f>
        <v>1</v>
      </c>
      <c r="G11" s="49">
        <f>Bala!G11</f>
        <v>0</v>
      </c>
      <c r="H11" s="49">
        <f>Bala!H11</f>
        <v>2</v>
      </c>
      <c r="I11" s="49">
        <f>Bala!I11</f>
        <v>2</v>
      </c>
      <c r="J11" s="49">
        <f>Bala!J11</f>
        <v>2</v>
      </c>
      <c r="K11" s="49">
        <f>Bala!K11</f>
        <v>2</v>
      </c>
      <c r="L11" s="49">
        <f>Bala!L11</f>
        <v>1</v>
      </c>
      <c r="M11" s="49">
        <f>Bala!M11</f>
        <v>2</v>
      </c>
      <c r="N11" s="49">
        <f>Bala!N11</f>
        <v>2</v>
      </c>
      <c r="O11" s="49">
        <f>Bala!O11</f>
        <v>1</v>
      </c>
      <c r="P11" s="49">
        <f>Bala!P11</f>
        <v>1</v>
      </c>
      <c r="Q11" s="49">
        <f>Bala!Q11</f>
        <v>1</v>
      </c>
      <c r="R11" s="49">
        <f>Bala!R11</f>
        <v>0</v>
      </c>
      <c r="S11" s="49">
        <f>Bala!S11</f>
        <v>0</v>
      </c>
      <c r="T11" s="49">
        <f>Bala!T11</f>
        <v>0</v>
      </c>
      <c r="U11" s="49">
        <f>Bala!U11</f>
        <v>0</v>
      </c>
      <c r="V11" s="102">
        <f>Bala!V11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Bala!C12</f>
        <v>0</v>
      </c>
      <c r="D12" s="49">
        <f>Bala!D12</f>
        <v>1</v>
      </c>
      <c r="E12" s="49">
        <f>Bala!E12</f>
        <v>2</v>
      </c>
      <c r="F12" s="49">
        <f>Bala!F12</f>
        <v>1</v>
      </c>
      <c r="G12" s="49">
        <f>Bala!G12</f>
        <v>1</v>
      </c>
      <c r="H12" s="49">
        <f>Bala!H12</f>
        <v>1</v>
      </c>
      <c r="I12" s="49">
        <f>Bala!I12</f>
        <v>2</v>
      </c>
      <c r="J12" s="49">
        <f>Bala!J12</f>
        <v>2</v>
      </c>
      <c r="K12" s="49">
        <f>Bala!K12</f>
        <v>1</v>
      </c>
      <c r="L12" s="49">
        <f>Bala!L12</f>
        <v>1</v>
      </c>
      <c r="M12" s="49">
        <f>Bala!M12</f>
        <v>2</v>
      </c>
      <c r="N12" s="49">
        <f>Bala!N12</f>
        <v>2</v>
      </c>
      <c r="O12" s="49">
        <f>Bala!O12</f>
        <v>1</v>
      </c>
      <c r="P12" s="49">
        <f>Bala!P12</f>
        <v>1</v>
      </c>
      <c r="Q12" s="49">
        <f>Bala!Q12</f>
        <v>1</v>
      </c>
      <c r="R12" s="49">
        <f>Bala!R12</f>
        <v>0</v>
      </c>
      <c r="S12" s="49">
        <f>Bala!S12</f>
        <v>0</v>
      </c>
      <c r="T12" s="49">
        <f>Bala!T12</f>
        <v>0</v>
      </c>
      <c r="U12" s="49">
        <f>Bala!U12</f>
        <v>0</v>
      </c>
      <c r="V12" s="102">
        <f>Bala!V12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Bala!C13</f>
        <v>2</v>
      </c>
      <c r="D13" s="49">
        <f>Bala!D13</f>
        <v>3</v>
      </c>
      <c r="E13" s="49">
        <f>Bala!E13</f>
        <v>2</v>
      </c>
      <c r="F13" s="49">
        <f>Bala!F13</f>
        <v>2</v>
      </c>
      <c r="G13" s="49">
        <f>Bala!G13</f>
        <v>2</v>
      </c>
      <c r="H13" s="49">
        <f>Bala!H13</f>
        <v>2</v>
      </c>
      <c r="I13" s="49">
        <f>Bala!I13</f>
        <v>2</v>
      </c>
      <c r="J13" s="49">
        <f>Bala!J13</f>
        <v>2</v>
      </c>
      <c r="K13" s="49">
        <f>Bala!K13</f>
        <v>2</v>
      </c>
      <c r="L13" s="49">
        <f>Bala!L13</f>
        <v>2</v>
      </c>
      <c r="M13" s="49">
        <f>Bala!M13</f>
        <v>2</v>
      </c>
      <c r="N13" s="49">
        <f>Bala!N13</f>
        <v>2</v>
      </c>
      <c r="O13" s="49">
        <f>Bala!O13</f>
        <v>2</v>
      </c>
      <c r="P13" s="49">
        <f>Bala!P13</f>
        <v>2</v>
      </c>
      <c r="Q13" s="49">
        <f>Bala!Q13</f>
        <v>2</v>
      </c>
      <c r="R13" s="49">
        <f>Bala!R13</f>
        <v>0</v>
      </c>
      <c r="S13" s="49">
        <f>Bala!S13</f>
        <v>0</v>
      </c>
      <c r="T13" s="49">
        <f>Bala!T13</f>
        <v>0</v>
      </c>
      <c r="U13" s="49">
        <f>Bala!U13</f>
        <v>0</v>
      </c>
      <c r="V13" s="102">
        <f>Bala!V13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Bala!C14</f>
        <v xml:space="preserve">Grass Silage (25% DM) </v>
      </c>
      <c r="D14" s="83" t="str">
        <f>Bala!D14</f>
        <v xml:space="preserve">Grass Silage (25% DM) </v>
      </c>
      <c r="E14" s="83" t="str">
        <f>Bala!E14</f>
        <v xml:space="preserve">Grass Silage (25% DM) </v>
      </c>
      <c r="F14" s="83" t="str">
        <f>Bala!F14</f>
        <v xml:space="preserve">Grass Silage (25% DM) </v>
      </c>
      <c r="G14" s="83" t="str">
        <f>Bala!G14</f>
        <v xml:space="preserve">Grass Silage (25% DM) </v>
      </c>
      <c r="H14" s="83" t="str">
        <f>Bala!H14</f>
        <v xml:space="preserve">Grass Silage (25% DM) </v>
      </c>
      <c r="I14" s="83" t="str">
        <f>Bala!I14</f>
        <v xml:space="preserve">Grass Silage (25% DM) </v>
      </c>
      <c r="J14" s="83" t="str">
        <f>Bala!J14</f>
        <v xml:space="preserve">Grass Silage (25% DM) </v>
      </c>
      <c r="K14" s="83" t="str">
        <f>Bala!K14</f>
        <v xml:space="preserve">Grass Silage (25% DM) </v>
      </c>
      <c r="L14" s="83" t="str">
        <f>Bala!L14</f>
        <v xml:space="preserve">Grass Silage (25% DM) </v>
      </c>
      <c r="M14" s="83" t="str">
        <f>Bala!M14</f>
        <v xml:space="preserve">Grass Silage (25% DM) </v>
      </c>
      <c r="N14" s="83" t="str">
        <f>Bala!N14</f>
        <v xml:space="preserve">Grass Silage (25% DM) </v>
      </c>
      <c r="O14" s="83" t="str">
        <f>Bala!O14</f>
        <v xml:space="preserve">Grass Silage (25% DM) </v>
      </c>
      <c r="P14" s="83" t="str">
        <f>Bala!P14</f>
        <v xml:space="preserve">Grass Silage (25% DM) </v>
      </c>
      <c r="Q14" s="83" t="str">
        <f>Bala!Q14</f>
        <v xml:space="preserve">Grass Silage (25% DM) </v>
      </c>
      <c r="R14" s="83">
        <f>Bala!R14</f>
        <v>0</v>
      </c>
      <c r="S14" s="83">
        <f>Bala!S14</f>
        <v>0</v>
      </c>
      <c r="T14" s="83">
        <f>Bala!T14</f>
        <v>0</v>
      </c>
      <c r="U14" s="83">
        <f>Bala!U14</f>
        <v>0</v>
      </c>
      <c r="V14" s="103">
        <f>Bala!V14</f>
        <v>0</v>
      </c>
      <c r="AD14" s="22" t="s">
        <v>138</v>
      </c>
      <c r="AE14" s="22">
        <v>6</v>
      </c>
      <c r="AI14" s="43" t="s">
        <v>119</v>
      </c>
      <c r="AJ14" s="44">
        <v>0.8</v>
      </c>
      <c r="AK14" s="45">
        <v>1.7</v>
      </c>
      <c r="AL14" s="9">
        <v>12</v>
      </c>
      <c r="AM14" s="9">
        <v>6.7</v>
      </c>
      <c r="AN14" s="9" t="s">
        <v>135</v>
      </c>
    </row>
    <row r="15" spans="1:41" x14ac:dyDescent="0.2">
      <c r="A15" s="148" t="s">
        <v>9</v>
      </c>
      <c r="B15" s="149"/>
      <c r="C15" s="49">
        <f>Bala!C15</f>
        <v>38</v>
      </c>
      <c r="D15" s="49">
        <f>Bala!D15</f>
        <v>38</v>
      </c>
      <c r="E15" s="49">
        <f>Bala!E15</f>
        <v>38</v>
      </c>
      <c r="F15" s="49">
        <f>Bala!F15</f>
        <v>38</v>
      </c>
      <c r="G15" s="49">
        <f>Bala!G15</f>
        <v>38</v>
      </c>
      <c r="H15" s="49">
        <f>Bala!H15</f>
        <v>38</v>
      </c>
      <c r="I15" s="49">
        <f>Bala!I15</f>
        <v>38</v>
      </c>
      <c r="J15" s="49">
        <f>Bala!J15</f>
        <v>38</v>
      </c>
      <c r="K15" s="49">
        <f>Bala!K15</f>
        <v>38</v>
      </c>
      <c r="L15" s="49">
        <f>Bala!L15</f>
        <v>38</v>
      </c>
      <c r="M15" s="49">
        <f>Bala!M15</f>
        <v>38</v>
      </c>
      <c r="N15" s="49">
        <f>Bala!N15</f>
        <v>38</v>
      </c>
      <c r="O15" s="49">
        <f>Bala!O15</f>
        <v>38</v>
      </c>
      <c r="P15" s="49">
        <f>Bala!P15</f>
        <v>38</v>
      </c>
      <c r="Q15" s="49">
        <f>Bala!Q15</f>
        <v>38</v>
      </c>
      <c r="R15" s="49">
        <f>Bala!R15</f>
        <v>0</v>
      </c>
      <c r="S15" s="49">
        <f>Bala!S15</f>
        <v>0</v>
      </c>
      <c r="T15" s="49">
        <f>Bala!T15</f>
        <v>0</v>
      </c>
      <c r="U15" s="49">
        <f>Bala!U15</f>
        <v>0</v>
      </c>
      <c r="V15" s="102">
        <f>Bala!V15</f>
        <v>0</v>
      </c>
      <c r="AD15" s="22" t="s">
        <v>144</v>
      </c>
      <c r="AE15" s="22">
        <v>7</v>
      </c>
      <c r="AI15" s="43" t="s">
        <v>101</v>
      </c>
      <c r="AJ15" s="51">
        <v>1.8</v>
      </c>
      <c r="AK15" s="45">
        <v>5.4</v>
      </c>
      <c r="AL15" s="9">
        <v>13</v>
      </c>
      <c r="AM15" s="9">
        <v>6.7</v>
      </c>
      <c r="AN15" s="9" t="s">
        <v>135</v>
      </c>
    </row>
    <row r="16" spans="1:41" ht="13.5" thickBot="1" x14ac:dyDescent="0.25">
      <c r="A16" s="152" t="s">
        <v>44</v>
      </c>
      <c r="B16" s="153"/>
      <c r="C16" s="104" t="str">
        <f>Bala!C16</f>
        <v>Medium/Clay</v>
      </c>
      <c r="D16" s="104" t="str">
        <f>Bala!D16</f>
        <v>Medium/Clay</v>
      </c>
      <c r="E16" s="104" t="str">
        <f>Bala!E16</f>
        <v>Medium/Clay</v>
      </c>
      <c r="F16" s="104" t="str">
        <f>Bala!F16</f>
        <v>Medium/Clay</v>
      </c>
      <c r="G16" s="104" t="str">
        <f>Bala!G16</f>
        <v>Medium/Clay</v>
      </c>
      <c r="H16" s="104" t="str">
        <f>Bala!H16</f>
        <v>Medium/Clay</v>
      </c>
      <c r="I16" s="104" t="str">
        <f>Bala!I16</f>
        <v>Medium/Clay</v>
      </c>
      <c r="J16" s="104" t="str">
        <f>Bala!J16</f>
        <v>Medium/Clay</v>
      </c>
      <c r="K16" s="104" t="str">
        <f>Bala!K16</f>
        <v>Medium/Clay</v>
      </c>
      <c r="L16" s="104" t="str">
        <f>Bala!L16</f>
        <v>Medium/Clay</v>
      </c>
      <c r="M16" s="104" t="str">
        <f>Bala!M16</f>
        <v>Medium/Clay</v>
      </c>
      <c r="N16" s="104" t="str">
        <f>Bala!N16</f>
        <v>Medium/Clay</v>
      </c>
      <c r="O16" s="104" t="str">
        <f>Bala!O16</f>
        <v>Medium/Clay</v>
      </c>
      <c r="P16" s="104" t="str">
        <f>Bala!P16</f>
        <v>Medium/Clay</v>
      </c>
      <c r="Q16" s="104" t="str">
        <f>Bala!Q16</f>
        <v>Medium/Clay</v>
      </c>
      <c r="R16" s="104">
        <f>Bala!R16</f>
        <v>0</v>
      </c>
      <c r="S16" s="104">
        <f>Bala!S16</f>
        <v>0</v>
      </c>
      <c r="T16" s="104">
        <f>Bala!T16</f>
        <v>0</v>
      </c>
      <c r="U16" s="104">
        <f>Bala!U16</f>
        <v>0</v>
      </c>
      <c r="V16" s="105">
        <f>Bala!V16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f t="shared" si="0"/>
        <v>64.599999999999994</v>
      </c>
      <c r="O17" s="20">
        <f t="shared" si="0"/>
        <v>64.599999999999994</v>
      </c>
      <c r="P17" s="20">
        <f t="shared" si="0"/>
        <v>64.599999999999994</v>
      </c>
      <c r="Q17" s="20">
        <f t="shared" si="0"/>
        <v>64.599999999999994</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72.32687</v>
      </c>
      <c r="D18" s="12">
        <f>$D32</f>
        <v>72.32687</v>
      </c>
      <c r="E18" s="12">
        <f>$D33</f>
        <v>72.32687</v>
      </c>
      <c r="F18" s="12">
        <f>$D34</f>
        <v>72.32687</v>
      </c>
      <c r="G18" s="12">
        <f>$D35</f>
        <v>72.32687</v>
      </c>
      <c r="H18" s="12">
        <f>$D36</f>
        <v>72.32687</v>
      </c>
      <c r="I18" s="12">
        <f>$D37</f>
        <v>72.32687</v>
      </c>
      <c r="J18" s="12">
        <f>$D38</f>
        <v>72.32687</v>
      </c>
      <c r="K18" s="12">
        <f>$D39</f>
        <v>72.32687</v>
      </c>
      <c r="L18" s="12">
        <f>$D40</f>
        <v>72.32687</v>
      </c>
      <c r="M18" s="12">
        <f>$D41</f>
        <v>72.32687</v>
      </c>
      <c r="N18" s="12">
        <f>$D42</f>
        <v>72.32687</v>
      </c>
      <c r="O18" s="12">
        <f>$D43</f>
        <v>72.32687</v>
      </c>
      <c r="P18" s="12">
        <f>$D44</f>
        <v>72.32687</v>
      </c>
      <c r="Q18" s="12">
        <f>$D45</f>
        <v>72.32687</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7.7268700000000052</v>
      </c>
      <c r="D19" s="12">
        <f t="shared" ref="D19:V19" si="1">D18-D17</f>
        <v>7.7268700000000052</v>
      </c>
      <c r="E19" s="12">
        <f t="shared" si="1"/>
        <v>7.7268700000000052</v>
      </c>
      <c r="F19" s="12">
        <f t="shared" si="1"/>
        <v>7.7268700000000052</v>
      </c>
      <c r="G19" s="12">
        <f t="shared" si="1"/>
        <v>7.7268700000000052</v>
      </c>
      <c r="H19" s="12">
        <f t="shared" si="1"/>
        <v>7.7268700000000052</v>
      </c>
      <c r="I19" s="12">
        <f t="shared" si="1"/>
        <v>7.7268700000000052</v>
      </c>
      <c r="J19" s="12">
        <f t="shared" si="1"/>
        <v>7.7268700000000052</v>
      </c>
      <c r="K19" s="12">
        <f t="shared" si="1"/>
        <v>7.7268700000000052</v>
      </c>
      <c r="L19" s="12">
        <f t="shared" si="1"/>
        <v>7.7268700000000052</v>
      </c>
      <c r="M19" s="12">
        <f t="shared" si="1"/>
        <v>7.7268700000000052</v>
      </c>
      <c r="N19" s="12">
        <f t="shared" si="1"/>
        <v>7.7268700000000052</v>
      </c>
      <c r="O19" s="12">
        <f t="shared" si="1"/>
        <v>7.7268700000000052</v>
      </c>
      <c r="P19" s="12">
        <f t="shared" si="1"/>
        <v>7.7268700000000052</v>
      </c>
      <c r="Q19" s="12">
        <f t="shared" si="1"/>
        <v>7.7268700000000052</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INCREASE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f t="shared" si="2"/>
        <v>228</v>
      </c>
      <c r="O21" s="20">
        <f t="shared" si="2"/>
        <v>228</v>
      </c>
      <c r="P21" s="20">
        <f t="shared" si="2"/>
        <v>228</v>
      </c>
      <c r="Q21" s="20">
        <f t="shared" si="2"/>
        <v>228</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1.3255000000000001</v>
      </c>
      <c r="D22" s="12">
        <f>$E32</f>
        <v>1.3255000000000001</v>
      </c>
      <c r="E22" s="12">
        <f>$E33</f>
        <v>1.3255000000000001</v>
      </c>
      <c r="F22" s="12">
        <f>$E34</f>
        <v>1.3255000000000001</v>
      </c>
      <c r="G22" s="12">
        <f>$E35</f>
        <v>1.3255000000000001</v>
      </c>
      <c r="H22" s="12">
        <f>$E36</f>
        <v>1.3255000000000001</v>
      </c>
      <c r="I22" s="12">
        <f>$E37</f>
        <v>1.3255000000000001</v>
      </c>
      <c r="J22" s="12">
        <f>$E38</f>
        <v>1.3255000000000001</v>
      </c>
      <c r="K22" s="12">
        <f>$E39</f>
        <v>1.3255000000000001</v>
      </c>
      <c r="L22" s="12">
        <f>$E40</f>
        <v>1.3255000000000001</v>
      </c>
      <c r="M22" s="12">
        <f>$E41</f>
        <v>1.3255000000000001</v>
      </c>
      <c r="N22" s="12">
        <f>$E42</f>
        <v>1.3255000000000001</v>
      </c>
      <c r="O22" s="12">
        <f>$E43</f>
        <v>1.3255000000000001</v>
      </c>
      <c r="P22" s="12">
        <f>$E44</f>
        <v>1.3255000000000001</v>
      </c>
      <c r="Q22" s="12">
        <f>$E45</f>
        <v>1.3255000000000001</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-226.67449999999999</v>
      </c>
      <c r="D23" s="12">
        <f t="shared" ref="D23:V23" si="3">D22-D21</f>
        <v>-226.67449999999999</v>
      </c>
      <c r="E23" s="12">
        <f t="shared" si="3"/>
        <v>-226.67449999999999</v>
      </c>
      <c r="F23" s="12">
        <f t="shared" si="3"/>
        <v>-226.67449999999999</v>
      </c>
      <c r="G23" s="12">
        <f t="shared" si="3"/>
        <v>-226.67449999999999</v>
      </c>
      <c r="H23" s="12">
        <f t="shared" si="3"/>
        <v>-226.67449999999999</v>
      </c>
      <c r="I23" s="12">
        <f t="shared" si="3"/>
        <v>-226.67449999999999</v>
      </c>
      <c r="J23" s="12">
        <f t="shared" si="3"/>
        <v>-226.67449999999999</v>
      </c>
      <c r="K23" s="12">
        <f t="shared" si="3"/>
        <v>-226.67449999999999</v>
      </c>
      <c r="L23" s="12">
        <f t="shared" si="3"/>
        <v>-226.67449999999999</v>
      </c>
      <c r="M23" s="12">
        <f t="shared" si="3"/>
        <v>-226.67449999999999</v>
      </c>
      <c r="N23" s="12">
        <f t="shared" si="3"/>
        <v>-226.67449999999999</v>
      </c>
      <c r="O23" s="12">
        <f t="shared" si="3"/>
        <v>-226.67449999999999</v>
      </c>
      <c r="P23" s="12">
        <f t="shared" si="3"/>
        <v>-226.67449999999999</v>
      </c>
      <c r="Q23" s="12">
        <f t="shared" si="3"/>
        <v>-226.67449999999999</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4.4000000000000004</v>
      </c>
      <c r="C28" s="11">
        <v>0.61599999999999999</v>
      </c>
      <c r="D28" s="11">
        <v>0.28699999999999998</v>
      </c>
      <c r="E28" s="11">
        <v>0.01</v>
      </c>
      <c r="F28" s="11">
        <v>437</v>
      </c>
      <c r="G28" s="11">
        <v>16.7</v>
      </c>
      <c r="H28" s="11">
        <v>299</v>
      </c>
      <c r="I28" s="11">
        <v>27.7</v>
      </c>
      <c r="J28" s="11">
        <v>0.87</v>
      </c>
      <c r="K28" s="15">
        <v>0.91</v>
      </c>
      <c r="L28" s="11">
        <v>15.9</v>
      </c>
      <c r="M28" s="11">
        <v>14.7</v>
      </c>
      <c r="N28" s="11">
        <v>5030</v>
      </c>
      <c r="O28" s="11">
        <v>464000</v>
      </c>
      <c r="P28" s="11"/>
      <c r="Q28" s="11">
        <v>3100</v>
      </c>
      <c r="R28" s="11"/>
      <c r="S28" s="11">
        <v>11.5</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f>C8</f>
        <v>1</v>
      </c>
      <c r="B31" s="11">
        <v>250</v>
      </c>
      <c r="C31" s="65">
        <f>IF(C$27="%w/w SAR",((C$28*10)*$B31),IF(C$27="%w/w DM",(((C$28*10)*($B$28/100))*$B31),IF(C$27="kg/t SAR",(C$28*$B31),IF(C$27="kg/t DM",((C$28*($B$28/100))*$B31),IF(C$27="mg/kg SAR",((C$28*0.001)*$B31),IF(C$27="mg/kg DM",(((C$28*0.001)*($B$28/100))*$B31),0))))))</f>
        <v>67.760000000000019</v>
      </c>
      <c r="D31" s="65">
        <f>(IF(D$27="%w/w SAR",((D$28*10)*$B31),IF(D$27="%w/w DM",(((D$28*10)*($B$28/100))*$B31),IF(D$27="kg/t SAR",(D$28*$B31),IF(D$27="kg/t DM",((D$28*($B$28/100))*$B31),IF(D$27="mg/kg SAR",((D$28*0.001)*$B31),IF(D$27="mg/kg DM",(((D$28*0.001)*($B$28/100))*$B31),"0")))))))*2.291</f>
        <v>72.32687</v>
      </c>
      <c r="E31" s="65">
        <f>(IF(E$27="%w/w SAR",((E$28*10)*$B31),IF(E$27="%w/w DM",(((E$28*10)*($B$28/100))*$B31),IF(E$27="kg/t SAR",(E$28*$B31),IF(E$27="kg/t DM",((E$28*($B$28/100))*$B31),IF(E$27="mg/kg SAR",((E$28*0.001)*$B31),IF(E$27="mg/kg DM",(((E$28*0.001)*($B$28/100))*$B31),"0")))))))*1.205</f>
        <v>1.3255000000000001</v>
      </c>
      <c r="F31" s="65">
        <f>(IF(F$27="%w/w SAR",((F$28*10)*$B31),IF(F$27="%w/w DM",(((F$28*10)*($B$28/100))*$B31),IF(F$27="kg/t SAR",(F$28*$B31),IF(F$27="kg/t DM",((F$28*($B$28/100))*$B31),IF(F$27="mg/kg SAR",((F$28*0.001)*$B31),IF(F$27="mg/kg DM",(((F$28*0.001)*($B$28/100))*$B31),"0")))))))*1.658</f>
        <v>7.9700060000000006</v>
      </c>
      <c r="G31" s="65">
        <f t="shared" ref="G31:P46" si="5">IF(G$27="%w/w SAR",((G$28*10)*$B31),IF(G$27="%w/w DM",(((G$28*10)*($B$28/100))*$B31),IF(G$27="kg/t SAR",(G$28*$B31),IF(G$27="kg/t DM",((G$28*($B$28/100))*$B31),IF(G$27="mg/kg SAR",((G$28*0.001)*$B31),IF(G$27="mg/kg DM",(((G$28*0.001)*($B$28/100))*$B31),0))))))</f>
        <v>0.18370000000000003</v>
      </c>
      <c r="H31" s="65">
        <f t="shared" si="5"/>
        <v>3.2890000000000001</v>
      </c>
      <c r="I31" s="65">
        <f t="shared" si="5"/>
        <v>0.30470000000000003</v>
      </c>
      <c r="J31" s="65">
        <f t="shared" si="5"/>
        <v>9.5700000000000021E-3</v>
      </c>
      <c r="K31" s="65">
        <f t="shared" si="5"/>
        <v>1.0010000000000002E-2</v>
      </c>
      <c r="L31" s="65">
        <f t="shared" si="5"/>
        <v>0.17490000000000003</v>
      </c>
      <c r="M31" s="65">
        <f t="shared" si="5"/>
        <v>0.16170000000000001</v>
      </c>
      <c r="N31" s="65">
        <f t="shared" si="5"/>
        <v>55.330000000000013</v>
      </c>
      <c r="O31" s="65">
        <f t="shared" si="5"/>
        <v>5104</v>
      </c>
      <c r="P31" s="65">
        <f t="shared" si="5"/>
        <v>0</v>
      </c>
      <c r="Q31" s="65">
        <f>(IF(Q$27="%w/w SAR",((Q$28*10)*$B31),IF(Q$27="%w/w DM",(((Q$28*10)*($B$28/100))*$B31),IF(Q$27="kg/t SAR",(Q$28*$B31),IF(Q$27="kg/t DM",((Q$28*($B$28/100))*$B31),IF(Q$27="mg/kg SAR",((Q$28*0.001)*$B31),IF(Q$27="mg/kg DM",(((Q$28*0.001)*($B$28/100))*$B31),0)))))))*2.5</f>
        <v>85.250000000000028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0.1265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f>D8</f>
        <v>2</v>
      </c>
      <c r="B32" s="11">
        <v>250</v>
      </c>
      <c r="C32" s="65">
        <f t="shared" ref="C32:C50" si="6">IF(C$27="%w/w SAR",((C$28*10)*$B32),IF(C$27="%w/w DM",(((C$28*10)*($B$28/100))*$B32),IF(C$27="kg/t SAR",(C$28*$B32),IF(C$27="kg/t DM",((C$28*($B$28/100))*$B32),IF(C$27="mg/kg SAR",((C$28*0.001)*$B32),IF(C$27="mg/kg DM",(((C$28*0.001)*($B$28/100))*$B32),0))))))</f>
        <v>67.760000000000019</v>
      </c>
      <c r="D32" s="65">
        <f t="shared" ref="D32:D50" si="7">(IF(D$27="%w/w SAR",((D$28*10)*$B32),IF(D$27="%w/w DM",(((D$28*10)*($B$28/100))*$B32),IF(D$27="kg/t SAR",(D$28*$B32),IF(D$27="kg/t DM",((D$28*($B$28/100))*$B32),IF(D$27="mg/kg SAR",((D$28*0.001)*$B32),IF(D$27="mg/kg DM",(((D$28*0.001)*($B$28/100))*$B32),"0")))))))*2.291</f>
        <v>72.32687</v>
      </c>
      <c r="E32" s="65">
        <f t="shared" ref="E32:E50" si="8">(IF(E$27="%w/w SAR",((E$28*10)*$B32),IF(E$27="%w/w DM",(((E$28*10)*($B$28/100))*$B32),IF(E$27="kg/t SAR",(E$28*$B32),IF(E$27="kg/t DM",((E$28*($B$28/100))*$B32),IF(E$27="mg/kg SAR",((E$28*0.001)*$B32),IF(E$27="mg/kg DM",(((E$28*0.001)*($B$28/100))*$B32),"0")))))))*1.205</f>
        <v>1.3255000000000001</v>
      </c>
      <c r="F32" s="65">
        <f t="shared" ref="F32:F50" si="9">(IF(F$27="%w/w SAR",((F$28*10)*$B32),IF(F$27="%w/w DM",(((F$28*10)*($B$28/100))*$B32),IF(F$27="kg/t SAR",(F$28*$B32),IF(F$27="kg/t DM",((F$28*($B$28/100))*$B32),IF(F$27="mg/kg SAR",((F$28*0.001)*$B32),IF(F$27="mg/kg DM",(((F$28*0.001)*($B$28/100))*$B32),"0")))))))*1.658</f>
        <v>7.9700060000000006</v>
      </c>
      <c r="G32" s="65">
        <f t="shared" si="5"/>
        <v>0.18370000000000003</v>
      </c>
      <c r="H32" s="65">
        <f t="shared" si="5"/>
        <v>3.2890000000000001</v>
      </c>
      <c r="I32" s="65">
        <f t="shared" si="5"/>
        <v>0.30470000000000003</v>
      </c>
      <c r="J32" s="65">
        <f t="shared" si="5"/>
        <v>9.5700000000000021E-3</v>
      </c>
      <c r="K32" s="65">
        <f t="shared" si="5"/>
        <v>1.0010000000000002E-2</v>
      </c>
      <c r="L32" s="65">
        <f t="shared" si="5"/>
        <v>0.17490000000000003</v>
      </c>
      <c r="M32" s="65">
        <f t="shared" si="5"/>
        <v>0.16170000000000001</v>
      </c>
      <c r="N32" s="65">
        <f t="shared" si="5"/>
        <v>55.330000000000013</v>
      </c>
      <c r="O32" s="65">
        <f t="shared" si="5"/>
        <v>5104</v>
      </c>
      <c r="P32" s="65">
        <f t="shared" si="5"/>
        <v>0</v>
      </c>
      <c r="Q32" s="65">
        <f t="shared" ref="Q32:Q50" si="10">(IF(Q$27="%w/w SAR",((Q$28*10)*$B32),IF(Q$27="%w/w DM",(((Q$28*10)*($B$28/100))*$B32),IF(Q$27="kg/t SAR",(Q$28*$B32),IF(Q$27="kg/t DM",((Q$28*($B$28/100))*$B32),IF(Q$27="mg/kg SAR",((Q$28*0.001)*$B32),IF(Q$27="mg/kg DM",(((Q$28*0.001)*($B$28/100))*$B32),0)))))))*2.5</f>
        <v>85.250000000000028</v>
      </c>
      <c r="R32" s="65">
        <f t="shared" ref="R32:U50" si="11">IF(R$27="%w/w SAR",((R$28*10)*$B32),IF(R$27="%w/w DM",(((R$28*10)*($B$28/100))*$B32),IF(R$27="kg/t SAR",(R$28*$B32),IF(R$27="kg/t DM",((R$28*($B$28/100))*$B32),IF(R$27="mg/kg SAR",((R$28*0.001)*$B32),IF(R$27="mg/kg DM",(((R$28*0.001)*($B$28/100))*$B32),0))))))</f>
        <v>0</v>
      </c>
      <c r="S32" s="65">
        <f t="shared" si="11"/>
        <v>0.1265</v>
      </c>
      <c r="T32" s="65">
        <f t="shared" si="11"/>
        <v>0</v>
      </c>
      <c r="U32" s="126">
        <f t="shared" si="11"/>
        <v>0</v>
      </c>
    </row>
    <row r="33" spans="1:21" s="48" customFormat="1" x14ac:dyDescent="0.25">
      <c r="A33" s="125">
        <f>E8</f>
        <v>3</v>
      </c>
      <c r="B33" s="11">
        <v>250</v>
      </c>
      <c r="C33" s="65">
        <f t="shared" si="6"/>
        <v>67.760000000000019</v>
      </c>
      <c r="D33" s="65">
        <f t="shared" si="7"/>
        <v>72.32687</v>
      </c>
      <c r="E33" s="65">
        <f t="shared" si="8"/>
        <v>1.3255000000000001</v>
      </c>
      <c r="F33" s="65">
        <f t="shared" si="9"/>
        <v>7.9700060000000006</v>
      </c>
      <c r="G33" s="65">
        <f t="shared" si="5"/>
        <v>0.18370000000000003</v>
      </c>
      <c r="H33" s="65">
        <f t="shared" si="5"/>
        <v>3.2890000000000001</v>
      </c>
      <c r="I33" s="65">
        <f t="shared" si="5"/>
        <v>0.30470000000000003</v>
      </c>
      <c r="J33" s="65">
        <f t="shared" si="5"/>
        <v>9.5700000000000021E-3</v>
      </c>
      <c r="K33" s="65">
        <f t="shared" si="5"/>
        <v>1.0010000000000002E-2</v>
      </c>
      <c r="L33" s="65">
        <f t="shared" si="5"/>
        <v>0.17490000000000003</v>
      </c>
      <c r="M33" s="65">
        <f t="shared" si="5"/>
        <v>0.16170000000000001</v>
      </c>
      <c r="N33" s="65">
        <f t="shared" si="5"/>
        <v>55.330000000000013</v>
      </c>
      <c r="O33" s="65">
        <f t="shared" si="5"/>
        <v>5104</v>
      </c>
      <c r="P33" s="65">
        <f t="shared" si="5"/>
        <v>0</v>
      </c>
      <c r="Q33" s="65">
        <f t="shared" si="10"/>
        <v>85.250000000000028</v>
      </c>
      <c r="R33" s="65">
        <f t="shared" si="11"/>
        <v>0</v>
      </c>
      <c r="S33" s="65">
        <f t="shared" si="11"/>
        <v>0.1265</v>
      </c>
      <c r="T33" s="65">
        <f t="shared" si="11"/>
        <v>0</v>
      </c>
      <c r="U33" s="126">
        <f t="shared" si="11"/>
        <v>0</v>
      </c>
    </row>
    <row r="34" spans="1:21" s="48" customFormat="1" x14ac:dyDescent="0.25">
      <c r="A34" s="125">
        <f>F8</f>
        <v>5</v>
      </c>
      <c r="B34" s="11">
        <v>250</v>
      </c>
      <c r="C34" s="65">
        <f t="shared" si="6"/>
        <v>67.760000000000019</v>
      </c>
      <c r="D34" s="65">
        <f t="shared" si="7"/>
        <v>72.32687</v>
      </c>
      <c r="E34" s="65">
        <f t="shared" si="8"/>
        <v>1.3255000000000001</v>
      </c>
      <c r="F34" s="65">
        <f t="shared" si="9"/>
        <v>7.9700060000000006</v>
      </c>
      <c r="G34" s="65">
        <f t="shared" si="5"/>
        <v>0.18370000000000003</v>
      </c>
      <c r="H34" s="65">
        <f t="shared" si="5"/>
        <v>3.2890000000000001</v>
      </c>
      <c r="I34" s="65">
        <f t="shared" si="5"/>
        <v>0.30470000000000003</v>
      </c>
      <c r="J34" s="65">
        <f t="shared" si="5"/>
        <v>9.5700000000000021E-3</v>
      </c>
      <c r="K34" s="65">
        <f t="shared" si="5"/>
        <v>1.0010000000000002E-2</v>
      </c>
      <c r="L34" s="65">
        <f t="shared" si="5"/>
        <v>0.17490000000000003</v>
      </c>
      <c r="M34" s="65">
        <f t="shared" si="5"/>
        <v>0.16170000000000001</v>
      </c>
      <c r="N34" s="65">
        <f t="shared" si="5"/>
        <v>55.330000000000013</v>
      </c>
      <c r="O34" s="65">
        <f t="shared" si="5"/>
        <v>5104</v>
      </c>
      <c r="P34" s="65">
        <f t="shared" si="5"/>
        <v>0</v>
      </c>
      <c r="Q34" s="65">
        <f t="shared" si="10"/>
        <v>85.250000000000028</v>
      </c>
      <c r="R34" s="65">
        <f t="shared" si="11"/>
        <v>0</v>
      </c>
      <c r="S34" s="65">
        <f t="shared" si="11"/>
        <v>0.1265</v>
      </c>
      <c r="T34" s="65">
        <f t="shared" si="11"/>
        <v>0</v>
      </c>
      <c r="U34" s="126">
        <f t="shared" si="11"/>
        <v>0</v>
      </c>
    </row>
    <row r="35" spans="1:21" s="48" customFormat="1" x14ac:dyDescent="0.25">
      <c r="A35" s="125">
        <f>G8</f>
        <v>7</v>
      </c>
      <c r="B35" s="11">
        <v>250</v>
      </c>
      <c r="C35" s="65">
        <f t="shared" si="6"/>
        <v>67.760000000000019</v>
      </c>
      <c r="D35" s="65">
        <f t="shared" si="7"/>
        <v>72.32687</v>
      </c>
      <c r="E35" s="65">
        <f t="shared" si="8"/>
        <v>1.3255000000000001</v>
      </c>
      <c r="F35" s="65">
        <f t="shared" si="9"/>
        <v>7.9700060000000006</v>
      </c>
      <c r="G35" s="65">
        <f t="shared" si="5"/>
        <v>0.18370000000000003</v>
      </c>
      <c r="H35" s="65">
        <f t="shared" si="5"/>
        <v>3.2890000000000001</v>
      </c>
      <c r="I35" s="65">
        <f t="shared" si="5"/>
        <v>0.30470000000000003</v>
      </c>
      <c r="J35" s="65">
        <f t="shared" si="5"/>
        <v>9.5700000000000021E-3</v>
      </c>
      <c r="K35" s="65">
        <f t="shared" si="5"/>
        <v>1.0010000000000002E-2</v>
      </c>
      <c r="L35" s="65">
        <f t="shared" si="5"/>
        <v>0.17490000000000003</v>
      </c>
      <c r="M35" s="65">
        <f t="shared" si="5"/>
        <v>0.16170000000000001</v>
      </c>
      <c r="N35" s="65">
        <f t="shared" si="5"/>
        <v>55.330000000000013</v>
      </c>
      <c r="O35" s="65">
        <f t="shared" si="5"/>
        <v>5104</v>
      </c>
      <c r="P35" s="65">
        <f t="shared" si="5"/>
        <v>0</v>
      </c>
      <c r="Q35" s="65">
        <f t="shared" si="10"/>
        <v>85.250000000000028</v>
      </c>
      <c r="R35" s="65">
        <f t="shared" si="11"/>
        <v>0</v>
      </c>
      <c r="S35" s="65">
        <f t="shared" si="11"/>
        <v>0.1265</v>
      </c>
      <c r="T35" s="65">
        <f t="shared" si="11"/>
        <v>0</v>
      </c>
      <c r="U35" s="126">
        <f t="shared" si="11"/>
        <v>0</v>
      </c>
    </row>
    <row r="36" spans="1:21" s="48" customFormat="1" x14ac:dyDescent="0.25">
      <c r="A36" s="125">
        <f>H8</f>
        <v>11</v>
      </c>
      <c r="B36" s="11">
        <v>250</v>
      </c>
      <c r="C36" s="65">
        <f t="shared" si="6"/>
        <v>67.760000000000019</v>
      </c>
      <c r="D36" s="65">
        <f t="shared" si="7"/>
        <v>72.32687</v>
      </c>
      <c r="E36" s="65">
        <f t="shared" si="8"/>
        <v>1.3255000000000001</v>
      </c>
      <c r="F36" s="65">
        <f t="shared" si="9"/>
        <v>7.9700060000000006</v>
      </c>
      <c r="G36" s="65">
        <f t="shared" si="5"/>
        <v>0.18370000000000003</v>
      </c>
      <c r="H36" s="65">
        <f t="shared" si="5"/>
        <v>3.2890000000000001</v>
      </c>
      <c r="I36" s="65">
        <f t="shared" si="5"/>
        <v>0.30470000000000003</v>
      </c>
      <c r="J36" s="65">
        <f t="shared" si="5"/>
        <v>9.5700000000000021E-3</v>
      </c>
      <c r="K36" s="65">
        <f t="shared" si="5"/>
        <v>1.0010000000000002E-2</v>
      </c>
      <c r="L36" s="65">
        <f t="shared" si="5"/>
        <v>0.17490000000000003</v>
      </c>
      <c r="M36" s="65">
        <f t="shared" si="5"/>
        <v>0.16170000000000001</v>
      </c>
      <c r="N36" s="65">
        <f t="shared" si="5"/>
        <v>55.330000000000013</v>
      </c>
      <c r="O36" s="65">
        <f t="shared" si="5"/>
        <v>5104</v>
      </c>
      <c r="P36" s="65">
        <f t="shared" si="5"/>
        <v>0</v>
      </c>
      <c r="Q36" s="65">
        <f t="shared" si="10"/>
        <v>85.250000000000028</v>
      </c>
      <c r="R36" s="65">
        <f t="shared" si="11"/>
        <v>0</v>
      </c>
      <c r="S36" s="65">
        <f t="shared" si="11"/>
        <v>0.1265</v>
      </c>
      <c r="T36" s="65">
        <f t="shared" si="11"/>
        <v>0</v>
      </c>
      <c r="U36" s="126">
        <f t="shared" si="11"/>
        <v>0</v>
      </c>
    </row>
    <row r="37" spans="1:21" s="48" customFormat="1" x14ac:dyDescent="0.25">
      <c r="A37" s="125">
        <f>I8</f>
        <v>12</v>
      </c>
      <c r="B37" s="11">
        <v>250</v>
      </c>
      <c r="C37" s="65">
        <f t="shared" si="6"/>
        <v>67.760000000000019</v>
      </c>
      <c r="D37" s="65">
        <f t="shared" si="7"/>
        <v>72.32687</v>
      </c>
      <c r="E37" s="65">
        <f t="shared" si="8"/>
        <v>1.3255000000000001</v>
      </c>
      <c r="F37" s="65">
        <f t="shared" si="9"/>
        <v>7.9700060000000006</v>
      </c>
      <c r="G37" s="65">
        <f t="shared" si="5"/>
        <v>0.18370000000000003</v>
      </c>
      <c r="H37" s="65">
        <f t="shared" si="5"/>
        <v>3.2890000000000001</v>
      </c>
      <c r="I37" s="65">
        <f t="shared" si="5"/>
        <v>0.30470000000000003</v>
      </c>
      <c r="J37" s="65">
        <f t="shared" si="5"/>
        <v>9.5700000000000021E-3</v>
      </c>
      <c r="K37" s="65">
        <f t="shared" si="5"/>
        <v>1.0010000000000002E-2</v>
      </c>
      <c r="L37" s="65">
        <f t="shared" si="5"/>
        <v>0.17490000000000003</v>
      </c>
      <c r="M37" s="65">
        <f t="shared" si="5"/>
        <v>0.16170000000000001</v>
      </c>
      <c r="N37" s="65">
        <f t="shared" si="5"/>
        <v>55.330000000000013</v>
      </c>
      <c r="O37" s="65">
        <f t="shared" si="5"/>
        <v>5104</v>
      </c>
      <c r="P37" s="65">
        <f t="shared" si="5"/>
        <v>0</v>
      </c>
      <c r="Q37" s="65">
        <f t="shared" si="10"/>
        <v>85.250000000000028</v>
      </c>
      <c r="R37" s="65">
        <f t="shared" si="11"/>
        <v>0</v>
      </c>
      <c r="S37" s="65">
        <f t="shared" si="11"/>
        <v>0.1265</v>
      </c>
      <c r="T37" s="65">
        <f t="shared" si="11"/>
        <v>0</v>
      </c>
      <c r="U37" s="126">
        <f t="shared" si="11"/>
        <v>0</v>
      </c>
    </row>
    <row r="38" spans="1:21" s="48" customFormat="1" x14ac:dyDescent="0.25">
      <c r="A38" s="125">
        <f>J8</f>
        <v>13</v>
      </c>
      <c r="B38" s="11">
        <v>250</v>
      </c>
      <c r="C38" s="65">
        <f t="shared" si="6"/>
        <v>67.760000000000019</v>
      </c>
      <c r="D38" s="65">
        <f t="shared" si="7"/>
        <v>72.32687</v>
      </c>
      <c r="E38" s="65">
        <f t="shared" si="8"/>
        <v>1.3255000000000001</v>
      </c>
      <c r="F38" s="65">
        <f t="shared" si="9"/>
        <v>7.9700060000000006</v>
      </c>
      <c r="G38" s="65">
        <f t="shared" si="5"/>
        <v>0.18370000000000003</v>
      </c>
      <c r="H38" s="65">
        <f t="shared" si="5"/>
        <v>3.2890000000000001</v>
      </c>
      <c r="I38" s="65">
        <f t="shared" si="5"/>
        <v>0.30470000000000003</v>
      </c>
      <c r="J38" s="65">
        <f t="shared" si="5"/>
        <v>9.5700000000000021E-3</v>
      </c>
      <c r="K38" s="65">
        <f t="shared" si="5"/>
        <v>1.0010000000000002E-2</v>
      </c>
      <c r="L38" s="65">
        <f t="shared" si="5"/>
        <v>0.17490000000000003</v>
      </c>
      <c r="M38" s="65">
        <f t="shared" si="5"/>
        <v>0.16170000000000001</v>
      </c>
      <c r="N38" s="65">
        <f t="shared" si="5"/>
        <v>55.330000000000013</v>
      </c>
      <c r="O38" s="65">
        <f t="shared" si="5"/>
        <v>5104</v>
      </c>
      <c r="P38" s="65">
        <f t="shared" si="5"/>
        <v>0</v>
      </c>
      <c r="Q38" s="65">
        <f t="shared" si="10"/>
        <v>85.250000000000028</v>
      </c>
      <c r="R38" s="65">
        <f t="shared" si="11"/>
        <v>0</v>
      </c>
      <c r="S38" s="65">
        <f t="shared" si="11"/>
        <v>0.1265</v>
      </c>
      <c r="T38" s="65">
        <f t="shared" si="11"/>
        <v>0</v>
      </c>
      <c r="U38" s="126">
        <f t="shared" si="11"/>
        <v>0</v>
      </c>
    </row>
    <row r="39" spans="1:21" s="48" customFormat="1" x14ac:dyDescent="0.25">
      <c r="A39" s="125">
        <f>K8</f>
        <v>14</v>
      </c>
      <c r="B39" s="11">
        <v>250</v>
      </c>
      <c r="C39" s="65">
        <f t="shared" si="6"/>
        <v>67.760000000000019</v>
      </c>
      <c r="D39" s="65">
        <f t="shared" si="7"/>
        <v>72.32687</v>
      </c>
      <c r="E39" s="65">
        <f t="shared" si="8"/>
        <v>1.3255000000000001</v>
      </c>
      <c r="F39" s="65">
        <f t="shared" si="9"/>
        <v>7.9700060000000006</v>
      </c>
      <c r="G39" s="65">
        <f t="shared" si="5"/>
        <v>0.18370000000000003</v>
      </c>
      <c r="H39" s="65">
        <f t="shared" si="5"/>
        <v>3.2890000000000001</v>
      </c>
      <c r="I39" s="65">
        <f t="shared" si="5"/>
        <v>0.30470000000000003</v>
      </c>
      <c r="J39" s="65">
        <f t="shared" si="5"/>
        <v>9.5700000000000021E-3</v>
      </c>
      <c r="K39" s="65">
        <f t="shared" si="5"/>
        <v>1.0010000000000002E-2</v>
      </c>
      <c r="L39" s="65">
        <f t="shared" si="5"/>
        <v>0.17490000000000003</v>
      </c>
      <c r="M39" s="65">
        <f t="shared" si="5"/>
        <v>0.16170000000000001</v>
      </c>
      <c r="N39" s="65">
        <f t="shared" si="5"/>
        <v>55.330000000000013</v>
      </c>
      <c r="O39" s="65">
        <f t="shared" si="5"/>
        <v>5104</v>
      </c>
      <c r="P39" s="65">
        <f t="shared" si="5"/>
        <v>0</v>
      </c>
      <c r="Q39" s="65">
        <f t="shared" si="10"/>
        <v>85.250000000000028</v>
      </c>
      <c r="R39" s="65">
        <f t="shared" si="11"/>
        <v>0</v>
      </c>
      <c r="S39" s="65">
        <f t="shared" si="11"/>
        <v>0.1265</v>
      </c>
      <c r="T39" s="65">
        <f t="shared" si="11"/>
        <v>0</v>
      </c>
      <c r="U39" s="126">
        <f t="shared" si="11"/>
        <v>0</v>
      </c>
    </row>
    <row r="40" spans="1:21" s="48" customFormat="1" x14ac:dyDescent="0.25">
      <c r="A40" s="125">
        <f>L8</f>
        <v>15</v>
      </c>
      <c r="B40" s="11">
        <v>250</v>
      </c>
      <c r="C40" s="65">
        <f t="shared" si="6"/>
        <v>67.760000000000019</v>
      </c>
      <c r="D40" s="65">
        <f t="shared" si="7"/>
        <v>72.32687</v>
      </c>
      <c r="E40" s="65">
        <f t="shared" si="8"/>
        <v>1.3255000000000001</v>
      </c>
      <c r="F40" s="65">
        <f t="shared" si="9"/>
        <v>7.9700060000000006</v>
      </c>
      <c r="G40" s="65">
        <f t="shared" si="5"/>
        <v>0.18370000000000003</v>
      </c>
      <c r="H40" s="65">
        <f t="shared" si="5"/>
        <v>3.2890000000000001</v>
      </c>
      <c r="I40" s="65">
        <f t="shared" si="5"/>
        <v>0.30470000000000003</v>
      </c>
      <c r="J40" s="65">
        <f t="shared" si="5"/>
        <v>9.5700000000000021E-3</v>
      </c>
      <c r="K40" s="65">
        <f t="shared" si="5"/>
        <v>1.0010000000000002E-2</v>
      </c>
      <c r="L40" s="65">
        <f t="shared" si="5"/>
        <v>0.17490000000000003</v>
      </c>
      <c r="M40" s="65">
        <f t="shared" si="5"/>
        <v>0.16170000000000001</v>
      </c>
      <c r="N40" s="65">
        <f t="shared" si="5"/>
        <v>55.330000000000013</v>
      </c>
      <c r="O40" s="65">
        <f t="shared" si="5"/>
        <v>5104</v>
      </c>
      <c r="P40" s="65">
        <f t="shared" si="5"/>
        <v>0</v>
      </c>
      <c r="Q40" s="65">
        <f t="shared" si="10"/>
        <v>85.250000000000028</v>
      </c>
      <c r="R40" s="65">
        <f t="shared" si="11"/>
        <v>0</v>
      </c>
      <c r="S40" s="65">
        <f t="shared" si="11"/>
        <v>0.1265</v>
      </c>
      <c r="T40" s="65">
        <f t="shared" si="11"/>
        <v>0</v>
      </c>
      <c r="U40" s="126">
        <f t="shared" si="11"/>
        <v>0</v>
      </c>
    </row>
    <row r="41" spans="1:21" s="48" customFormat="1" x14ac:dyDescent="0.25">
      <c r="A41" s="125">
        <f>M8</f>
        <v>17</v>
      </c>
      <c r="B41" s="11">
        <v>250</v>
      </c>
      <c r="C41" s="65">
        <f t="shared" si="6"/>
        <v>67.760000000000019</v>
      </c>
      <c r="D41" s="65">
        <f t="shared" si="7"/>
        <v>72.32687</v>
      </c>
      <c r="E41" s="65">
        <f t="shared" si="8"/>
        <v>1.3255000000000001</v>
      </c>
      <c r="F41" s="65">
        <f t="shared" si="9"/>
        <v>7.9700060000000006</v>
      </c>
      <c r="G41" s="65">
        <f t="shared" si="5"/>
        <v>0.18370000000000003</v>
      </c>
      <c r="H41" s="65">
        <f t="shared" si="5"/>
        <v>3.2890000000000001</v>
      </c>
      <c r="I41" s="65">
        <f t="shared" si="5"/>
        <v>0.30470000000000003</v>
      </c>
      <c r="J41" s="65">
        <f t="shared" si="5"/>
        <v>9.5700000000000021E-3</v>
      </c>
      <c r="K41" s="65">
        <f t="shared" si="5"/>
        <v>1.0010000000000002E-2</v>
      </c>
      <c r="L41" s="65">
        <f t="shared" si="5"/>
        <v>0.17490000000000003</v>
      </c>
      <c r="M41" s="65">
        <f t="shared" si="5"/>
        <v>0.16170000000000001</v>
      </c>
      <c r="N41" s="65">
        <f t="shared" si="5"/>
        <v>55.330000000000013</v>
      </c>
      <c r="O41" s="65">
        <f t="shared" si="5"/>
        <v>5104</v>
      </c>
      <c r="P41" s="65">
        <f t="shared" si="5"/>
        <v>0</v>
      </c>
      <c r="Q41" s="65">
        <f t="shared" si="10"/>
        <v>85.250000000000028</v>
      </c>
      <c r="R41" s="65">
        <f t="shared" si="11"/>
        <v>0</v>
      </c>
      <c r="S41" s="65">
        <f t="shared" si="11"/>
        <v>0.1265</v>
      </c>
      <c r="T41" s="65">
        <f t="shared" si="11"/>
        <v>0</v>
      </c>
      <c r="U41" s="126">
        <f t="shared" si="11"/>
        <v>0</v>
      </c>
    </row>
    <row r="42" spans="1:21" s="48" customFormat="1" x14ac:dyDescent="0.25">
      <c r="A42" s="125">
        <f>N8</f>
        <v>18</v>
      </c>
      <c r="B42" s="11">
        <v>250</v>
      </c>
      <c r="C42" s="65">
        <f t="shared" si="6"/>
        <v>67.760000000000019</v>
      </c>
      <c r="D42" s="65">
        <f t="shared" si="7"/>
        <v>72.32687</v>
      </c>
      <c r="E42" s="65">
        <f t="shared" si="8"/>
        <v>1.3255000000000001</v>
      </c>
      <c r="F42" s="65">
        <f t="shared" si="9"/>
        <v>7.9700060000000006</v>
      </c>
      <c r="G42" s="65">
        <f t="shared" si="5"/>
        <v>0.18370000000000003</v>
      </c>
      <c r="H42" s="65">
        <f t="shared" si="5"/>
        <v>3.2890000000000001</v>
      </c>
      <c r="I42" s="65">
        <f t="shared" si="5"/>
        <v>0.30470000000000003</v>
      </c>
      <c r="J42" s="65">
        <f t="shared" si="5"/>
        <v>9.5700000000000021E-3</v>
      </c>
      <c r="K42" s="65">
        <f t="shared" si="5"/>
        <v>1.0010000000000002E-2</v>
      </c>
      <c r="L42" s="65">
        <f t="shared" si="5"/>
        <v>0.17490000000000003</v>
      </c>
      <c r="M42" s="65">
        <f t="shared" si="5"/>
        <v>0.16170000000000001</v>
      </c>
      <c r="N42" s="65">
        <f t="shared" si="5"/>
        <v>55.330000000000013</v>
      </c>
      <c r="O42" s="65">
        <f t="shared" si="5"/>
        <v>5104</v>
      </c>
      <c r="P42" s="65">
        <f t="shared" si="5"/>
        <v>0</v>
      </c>
      <c r="Q42" s="65">
        <f t="shared" si="10"/>
        <v>85.250000000000028</v>
      </c>
      <c r="R42" s="65">
        <f t="shared" si="11"/>
        <v>0</v>
      </c>
      <c r="S42" s="65">
        <f t="shared" si="11"/>
        <v>0.1265</v>
      </c>
      <c r="T42" s="65">
        <f t="shared" si="11"/>
        <v>0</v>
      </c>
      <c r="U42" s="126">
        <f t="shared" si="11"/>
        <v>0</v>
      </c>
    </row>
    <row r="43" spans="1:21" s="48" customFormat="1" x14ac:dyDescent="0.25">
      <c r="A43" s="125">
        <f>O8</f>
        <v>19</v>
      </c>
      <c r="B43" s="11">
        <v>250</v>
      </c>
      <c r="C43" s="65">
        <f t="shared" si="6"/>
        <v>67.760000000000019</v>
      </c>
      <c r="D43" s="65">
        <f t="shared" si="7"/>
        <v>72.32687</v>
      </c>
      <c r="E43" s="65">
        <f t="shared" si="8"/>
        <v>1.3255000000000001</v>
      </c>
      <c r="F43" s="65">
        <f t="shared" si="9"/>
        <v>7.9700060000000006</v>
      </c>
      <c r="G43" s="65">
        <f t="shared" si="5"/>
        <v>0.18370000000000003</v>
      </c>
      <c r="H43" s="65">
        <f t="shared" si="5"/>
        <v>3.2890000000000001</v>
      </c>
      <c r="I43" s="65">
        <f t="shared" si="5"/>
        <v>0.30470000000000003</v>
      </c>
      <c r="J43" s="65">
        <f t="shared" si="5"/>
        <v>9.5700000000000021E-3</v>
      </c>
      <c r="K43" s="65">
        <f t="shared" si="5"/>
        <v>1.0010000000000002E-2</v>
      </c>
      <c r="L43" s="65">
        <f t="shared" si="5"/>
        <v>0.17490000000000003</v>
      </c>
      <c r="M43" s="65">
        <f t="shared" si="5"/>
        <v>0.16170000000000001</v>
      </c>
      <c r="N43" s="65">
        <f t="shared" si="5"/>
        <v>55.330000000000013</v>
      </c>
      <c r="O43" s="65">
        <f t="shared" si="5"/>
        <v>5104</v>
      </c>
      <c r="P43" s="65">
        <f t="shared" si="5"/>
        <v>0</v>
      </c>
      <c r="Q43" s="65">
        <f t="shared" si="10"/>
        <v>85.250000000000028</v>
      </c>
      <c r="R43" s="65">
        <f t="shared" si="11"/>
        <v>0</v>
      </c>
      <c r="S43" s="65">
        <f t="shared" si="11"/>
        <v>0.1265</v>
      </c>
      <c r="T43" s="65">
        <f t="shared" si="11"/>
        <v>0</v>
      </c>
      <c r="U43" s="126">
        <f t="shared" si="11"/>
        <v>0</v>
      </c>
    </row>
    <row r="44" spans="1:21" s="48" customFormat="1" x14ac:dyDescent="0.25">
      <c r="A44" s="125">
        <f>P8</f>
        <v>20</v>
      </c>
      <c r="B44" s="11">
        <v>250</v>
      </c>
      <c r="C44" s="65">
        <f t="shared" si="6"/>
        <v>67.760000000000019</v>
      </c>
      <c r="D44" s="65">
        <f t="shared" si="7"/>
        <v>72.32687</v>
      </c>
      <c r="E44" s="65">
        <f t="shared" si="8"/>
        <v>1.3255000000000001</v>
      </c>
      <c r="F44" s="65">
        <f t="shared" si="9"/>
        <v>7.9700060000000006</v>
      </c>
      <c r="G44" s="65">
        <f t="shared" si="5"/>
        <v>0.18370000000000003</v>
      </c>
      <c r="H44" s="65">
        <f t="shared" si="5"/>
        <v>3.2890000000000001</v>
      </c>
      <c r="I44" s="65">
        <f t="shared" si="5"/>
        <v>0.30470000000000003</v>
      </c>
      <c r="J44" s="65">
        <f t="shared" si="5"/>
        <v>9.5700000000000021E-3</v>
      </c>
      <c r="K44" s="65">
        <f t="shared" si="5"/>
        <v>1.0010000000000002E-2</v>
      </c>
      <c r="L44" s="65">
        <f t="shared" si="5"/>
        <v>0.17490000000000003</v>
      </c>
      <c r="M44" s="65">
        <f t="shared" si="5"/>
        <v>0.16170000000000001</v>
      </c>
      <c r="N44" s="65">
        <f t="shared" si="5"/>
        <v>55.330000000000013</v>
      </c>
      <c r="O44" s="65">
        <f t="shared" si="5"/>
        <v>5104</v>
      </c>
      <c r="P44" s="65">
        <f t="shared" si="5"/>
        <v>0</v>
      </c>
      <c r="Q44" s="65">
        <f t="shared" si="10"/>
        <v>85.250000000000028</v>
      </c>
      <c r="R44" s="65">
        <f t="shared" si="11"/>
        <v>0</v>
      </c>
      <c r="S44" s="65">
        <f t="shared" si="11"/>
        <v>0.1265</v>
      </c>
      <c r="T44" s="65">
        <f t="shared" si="11"/>
        <v>0</v>
      </c>
      <c r="U44" s="126">
        <f t="shared" si="11"/>
        <v>0</v>
      </c>
    </row>
    <row r="45" spans="1:21" s="48" customFormat="1" x14ac:dyDescent="0.25">
      <c r="A45" s="125">
        <f>Q8</f>
        <v>21</v>
      </c>
      <c r="B45" s="11">
        <v>250</v>
      </c>
      <c r="C45" s="65">
        <f t="shared" si="6"/>
        <v>67.760000000000019</v>
      </c>
      <c r="D45" s="65">
        <f t="shared" si="7"/>
        <v>72.32687</v>
      </c>
      <c r="E45" s="65">
        <f t="shared" si="8"/>
        <v>1.3255000000000001</v>
      </c>
      <c r="F45" s="65">
        <f t="shared" si="9"/>
        <v>7.9700060000000006</v>
      </c>
      <c r="G45" s="65">
        <f t="shared" si="5"/>
        <v>0.18370000000000003</v>
      </c>
      <c r="H45" s="65">
        <f t="shared" si="5"/>
        <v>3.2890000000000001</v>
      </c>
      <c r="I45" s="65">
        <f t="shared" si="5"/>
        <v>0.30470000000000003</v>
      </c>
      <c r="J45" s="65">
        <f t="shared" si="5"/>
        <v>9.5700000000000021E-3</v>
      </c>
      <c r="K45" s="65">
        <f t="shared" si="5"/>
        <v>1.0010000000000002E-2</v>
      </c>
      <c r="L45" s="65">
        <f t="shared" si="5"/>
        <v>0.17490000000000003</v>
      </c>
      <c r="M45" s="65">
        <f t="shared" si="5"/>
        <v>0.16170000000000001</v>
      </c>
      <c r="N45" s="65">
        <f t="shared" si="5"/>
        <v>55.330000000000013</v>
      </c>
      <c r="O45" s="65">
        <f t="shared" si="5"/>
        <v>5104</v>
      </c>
      <c r="P45" s="65">
        <f t="shared" si="5"/>
        <v>0</v>
      </c>
      <c r="Q45" s="65">
        <f t="shared" si="10"/>
        <v>85.250000000000028</v>
      </c>
      <c r="R45" s="65">
        <f t="shared" si="11"/>
        <v>0</v>
      </c>
      <c r="S45" s="65">
        <f t="shared" si="11"/>
        <v>0.1265</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f>C8</f>
        <v>1</v>
      </c>
      <c r="C57" s="8">
        <f t="shared" ref="C57:U57" si="13">D8</f>
        <v>2</v>
      </c>
      <c r="D57" s="8">
        <f t="shared" si="13"/>
        <v>3</v>
      </c>
      <c r="E57" s="8">
        <f t="shared" si="13"/>
        <v>5</v>
      </c>
      <c r="F57" s="8">
        <f t="shared" si="13"/>
        <v>7</v>
      </c>
      <c r="G57" s="8">
        <f t="shared" si="13"/>
        <v>11</v>
      </c>
      <c r="H57" s="8">
        <f t="shared" si="13"/>
        <v>12</v>
      </c>
      <c r="I57" s="8">
        <f t="shared" si="13"/>
        <v>13</v>
      </c>
      <c r="J57" s="8">
        <f t="shared" si="13"/>
        <v>14</v>
      </c>
      <c r="K57" s="8">
        <f t="shared" si="13"/>
        <v>15</v>
      </c>
      <c r="L57" s="8">
        <f t="shared" si="13"/>
        <v>17</v>
      </c>
      <c r="M57" s="8">
        <f t="shared" si="13"/>
        <v>18</v>
      </c>
      <c r="N57" s="8">
        <f t="shared" si="13"/>
        <v>19</v>
      </c>
      <c r="O57" s="8">
        <f t="shared" si="13"/>
        <v>20</v>
      </c>
      <c r="P57" s="8">
        <f t="shared" si="13"/>
        <v>21</v>
      </c>
      <c r="Q57" s="8">
        <f t="shared" si="13"/>
        <v>0</v>
      </c>
      <c r="R57" s="8">
        <f t="shared" si="13"/>
        <v>0</v>
      </c>
      <c r="S57" s="8">
        <f t="shared" si="13"/>
        <v>0</v>
      </c>
      <c r="T57" s="8">
        <f t="shared" si="13"/>
        <v>0</v>
      </c>
      <c r="U57" s="8">
        <f t="shared" si="13"/>
        <v>0</v>
      </c>
    </row>
    <row r="58" spans="1:21" x14ac:dyDescent="0.2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Grass</v>
      </c>
      <c r="P58" s="10" t="str">
        <f>Q16&amp;" I "&amp;(VLOOKUP(Q14,Table2456[],6,FALSE))</f>
        <v>Medium/Clay I Grass</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f>VLOOKUP(P$14,Table2456[],5,FALSE)</f>
        <v>6.2</v>
      </c>
      <c r="P59" s="64">
        <f>VLOOKUP(Q$14,Table2456[],5,FALSE)</f>
        <v>6.2</v>
      </c>
      <c r="Q59" s="64" t="e">
        <f>VLOOKUP(R$14,Table2456[],5,FALSE)</f>
        <v>#N/A</v>
      </c>
      <c r="R59" s="64" t="e">
        <f>VLOOKUP(S$14,Table2456[],5,FALSE)</f>
        <v>#N/A</v>
      </c>
      <c r="S59" s="64" t="e">
        <f>VLOOKUP(T$14,Table2456[],5,FALSE)</f>
        <v>#N/A</v>
      </c>
      <c r="T59" s="64" t="e">
        <f>VLOOKUP(U$14,Table2456[],5,FALSE)</f>
        <v>#N/A</v>
      </c>
      <c r="U59" s="64" t="e">
        <f>VLOOKUP(V$14,Table2456[],5,FALSE)</f>
        <v>#N/A</v>
      </c>
    </row>
    <row r="60" spans="1:21" x14ac:dyDescent="0.2">
      <c r="A60" s="87" t="s">
        <v>4</v>
      </c>
      <c r="B60" s="64">
        <f>C10</f>
        <v>6.2</v>
      </c>
      <c r="C60" s="64">
        <f t="shared" ref="C60:U60" si="14">D10</f>
        <v>6.4</v>
      </c>
      <c r="D60" s="64">
        <f t="shared" si="14"/>
        <v>5.6</v>
      </c>
      <c r="E60" s="64">
        <f t="shared" si="14"/>
        <v>5.5</v>
      </c>
      <c r="F60" s="64">
        <f t="shared" si="14"/>
        <v>6.3</v>
      </c>
      <c r="G60" s="64">
        <f t="shared" si="14"/>
        <v>5.5</v>
      </c>
      <c r="H60" s="64">
        <f t="shared" si="14"/>
        <v>5.6</v>
      </c>
      <c r="I60" s="64">
        <f t="shared" si="14"/>
        <v>6.4</v>
      </c>
      <c r="J60" s="64">
        <f t="shared" si="14"/>
        <v>6.3</v>
      </c>
      <c r="K60" s="64">
        <f t="shared" si="14"/>
        <v>5.7</v>
      </c>
      <c r="L60" s="64">
        <f t="shared" si="14"/>
        <v>5.9</v>
      </c>
      <c r="M60" s="64">
        <f t="shared" si="14"/>
        <v>6</v>
      </c>
      <c r="N60" s="64">
        <f t="shared" si="14"/>
        <v>6.2</v>
      </c>
      <c r="O60" s="64">
        <f t="shared" si="14"/>
        <v>5.8</v>
      </c>
      <c r="P60" s="64">
        <f t="shared" si="14"/>
        <v>5.9</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0</v>
      </c>
      <c r="C64" s="65">
        <f t="shared" ref="C64:U64" si="17">(C59-C60)*C61</f>
        <v>-1.2000000000000011</v>
      </c>
      <c r="D64" s="65">
        <f t="shared" si="17"/>
        <v>3.6000000000000032</v>
      </c>
      <c r="E64" s="65">
        <f t="shared" si="17"/>
        <v>4.2000000000000011</v>
      </c>
      <c r="F64" s="65">
        <f t="shared" si="17"/>
        <v>-0.59999999999999787</v>
      </c>
      <c r="G64" s="65">
        <f t="shared" si="17"/>
        <v>4.2000000000000011</v>
      </c>
      <c r="H64" s="65">
        <f t="shared" si="17"/>
        <v>3.6000000000000032</v>
      </c>
      <c r="I64" s="65">
        <f t="shared" si="17"/>
        <v>-1.2000000000000011</v>
      </c>
      <c r="J64" s="65">
        <f t="shared" si="17"/>
        <v>-0.59999999999999787</v>
      </c>
      <c r="K64" s="65">
        <f t="shared" si="17"/>
        <v>3</v>
      </c>
      <c r="L64" s="65">
        <f t="shared" si="17"/>
        <v>1.7999999999999989</v>
      </c>
      <c r="M64" s="65">
        <f t="shared" si="17"/>
        <v>1.2000000000000011</v>
      </c>
      <c r="N64" s="65">
        <f t="shared" si="17"/>
        <v>0</v>
      </c>
      <c r="O64" s="65">
        <f t="shared" si="17"/>
        <v>2.4000000000000021</v>
      </c>
      <c r="P64" s="65">
        <f t="shared" si="17"/>
        <v>1.7999999999999989</v>
      </c>
      <c r="Q64" s="65" t="e">
        <f t="shared" si="17"/>
        <v>#N/A</v>
      </c>
      <c r="R64" s="65" t="e">
        <f t="shared" si="17"/>
        <v>#N/A</v>
      </c>
      <c r="S64" s="65" t="e">
        <f t="shared" si="17"/>
        <v>#N/A</v>
      </c>
      <c r="T64" s="65" t="e">
        <f t="shared" si="17"/>
        <v>#N/A</v>
      </c>
      <c r="U64" s="65" t="e">
        <f t="shared" si="17"/>
        <v>#N/A</v>
      </c>
    </row>
    <row r="65" spans="1:21" ht="51" x14ac:dyDescent="0.2">
      <c r="A65" s="88" t="s">
        <v>157</v>
      </c>
      <c r="B65" s="65">
        <f>B63-B64</f>
        <v>0</v>
      </c>
      <c r="C65" s="65">
        <f t="shared" ref="C65:U65" si="18">C63-C64</f>
        <v>1.2000000000000011</v>
      </c>
      <c r="D65" s="65">
        <f t="shared" si="18"/>
        <v>-3.6000000000000032</v>
      </c>
      <c r="E65" s="65">
        <f t="shared" si="18"/>
        <v>-4.2000000000000011</v>
      </c>
      <c r="F65" s="65">
        <f t="shared" si="18"/>
        <v>0.59999999999999787</v>
      </c>
      <c r="G65" s="65">
        <f t="shared" si="18"/>
        <v>-4.2000000000000011</v>
      </c>
      <c r="H65" s="65">
        <f t="shared" si="18"/>
        <v>-3.6000000000000032</v>
      </c>
      <c r="I65" s="65">
        <f t="shared" si="18"/>
        <v>1.2000000000000011</v>
      </c>
      <c r="J65" s="65">
        <f t="shared" si="18"/>
        <v>0.59999999999999787</v>
      </c>
      <c r="K65" s="65">
        <f t="shared" si="18"/>
        <v>-3</v>
      </c>
      <c r="L65" s="65">
        <f t="shared" si="18"/>
        <v>-1.7999999999999989</v>
      </c>
      <c r="M65" s="65">
        <f t="shared" si="18"/>
        <v>-1.2000000000000011</v>
      </c>
      <c r="N65" s="65">
        <f t="shared" si="18"/>
        <v>0</v>
      </c>
      <c r="O65" s="65">
        <f t="shared" si="18"/>
        <v>-2.4000000000000021</v>
      </c>
      <c r="P65" s="65">
        <f t="shared" si="18"/>
        <v>-1.7999999999999989</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OVER</v>
      </c>
      <c r="C66" s="66" t="str">
        <f t="shared" ref="C66:U66" si="19">IF(C64&lt;=C63,"OVER","UNDER")</f>
        <v>OVER</v>
      </c>
      <c r="D66" s="66" t="str">
        <f t="shared" si="19"/>
        <v>UNDER</v>
      </c>
      <c r="E66" s="66" t="str">
        <f t="shared" si="19"/>
        <v>UNDER</v>
      </c>
      <c r="F66" s="66" t="str">
        <f t="shared" si="19"/>
        <v>OVER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13"/>
    <col min="14" max="14" width="9.7109375" style="13" bestFit="1" customWidth="1"/>
    <col min="15" max="19" width="9.140625" style="13"/>
    <col min="20" max="20" width="10" style="13" bestFit="1" customWidth="1"/>
    <col min="21" max="16384" width="9.140625" style="13"/>
  </cols>
  <sheetData>
    <row r="1" spans="1:21" ht="38.25" x14ac:dyDescent="0.2">
      <c r="A1" s="174" t="s">
        <v>84</v>
      </c>
      <c r="B1" s="29" t="str">
        <f>Bala!B29</f>
        <v>Application Rate</v>
      </c>
      <c r="C1" s="29" t="str">
        <f>Bala!C29</f>
        <v>Nitrogen Addition</v>
      </c>
      <c r="D1" s="29" t="str">
        <f>Bala!D29</f>
        <v>Phosphate Addition</v>
      </c>
      <c r="E1" s="29" t="str">
        <f>Bala!E29</f>
        <v>Potash  Addition</v>
      </c>
      <c r="F1" s="29" t="str">
        <f>Bala!F29</f>
        <v>Mg Oxide Addition</v>
      </c>
      <c r="G1" s="29" t="str">
        <f>Bala!G29</f>
        <v>Copper Addition</v>
      </c>
      <c r="H1" s="29" t="str">
        <f>Bala!H29</f>
        <v>Zinc Addition</v>
      </c>
      <c r="I1" s="29" t="str">
        <f>Bala!I29</f>
        <v>Lead Addition</v>
      </c>
      <c r="J1" s="29" t="str">
        <f>Bala!J29</f>
        <v>Cadmium Addition</v>
      </c>
      <c r="K1" s="29" t="str">
        <f>Bala!K29</f>
        <v>Mercury Addition</v>
      </c>
      <c r="L1" s="29" t="str">
        <f>Bala!L29</f>
        <v>Nickel Addition</v>
      </c>
      <c r="M1" s="29" t="str">
        <f>Bala!M29</f>
        <v>Chromium Addition</v>
      </c>
      <c r="N1" s="29" t="str">
        <f>Bala!N29</f>
        <v>Aluminium Addition</v>
      </c>
      <c r="O1" s="29" t="str">
        <f>Bala!O29</f>
        <v>Iron Addition</v>
      </c>
      <c r="P1" s="29" t="str">
        <f>Bala!P29</f>
        <v xml:space="preserve">Sodium Addition                 </v>
      </c>
      <c r="Q1" s="29" t="str">
        <f>Bala!Q29</f>
        <v>SO3  Addition                             kg/ha</v>
      </c>
      <c r="R1" s="29" t="str">
        <f>Bala!R29</f>
        <v xml:space="preserve">Selenium Addition </v>
      </c>
      <c r="S1" s="29" t="str">
        <f>Bala!S29</f>
        <v xml:space="preserve">Arsenic  Addition  </v>
      </c>
      <c r="T1" s="29" t="str">
        <f>Bala!T29</f>
        <v xml:space="preserve">Molybdenum Addition  </v>
      </c>
      <c r="U1" s="29" t="str">
        <f>Bala!U29</f>
        <v xml:space="preserve">Fluoride Addition </v>
      </c>
    </row>
    <row r="2" spans="1:21" ht="25.5" x14ac:dyDescent="0.2">
      <c r="A2" s="174"/>
      <c r="B2" s="29" t="str">
        <f>Bala!B30</f>
        <v>tonnes/ha</v>
      </c>
      <c r="C2" s="29" t="str">
        <f>Bala!C30</f>
        <v>kg/ha</v>
      </c>
      <c r="D2" s="29" t="str">
        <f>Bala!D30</f>
        <v>P2O5 
kg/ha</v>
      </c>
      <c r="E2" s="29" t="str">
        <f>Bala!E30</f>
        <v>K2O 
kg/ha</v>
      </c>
      <c r="F2" s="29" t="str">
        <f>Bala!F30</f>
        <v>MgO 
kg/ha</v>
      </c>
      <c r="G2" s="29" t="str">
        <f>Bala!G30</f>
        <v>kg/ha</v>
      </c>
      <c r="H2" s="29" t="str">
        <f>Bala!H30</f>
        <v>kg/ha</v>
      </c>
      <c r="I2" s="29" t="str">
        <f>Bala!I30</f>
        <v>kg/ha</v>
      </c>
      <c r="J2" s="29" t="str">
        <f>Bala!J30</f>
        <v>kg/ha</v>
      </c>
      <c r="K2" s="29" t="str">
        <f>Bala!K30</f>
        <v>kg/ha</v>
      </c>
      <c r="L2" s="29" t="str">
        <f>Bala!L30</f>
        <v>kg/ha</v>
      </c>
      <c r="M2" s="29" t="str">
        <f>Bala!M30</f>
        <v>kg/ha</v>
      </c>
      <c r="N2" s="29" t="str">
        <f>Bala!N30</f>
        <v>kg/ha</v>
      </c>
      <c r="O2" s="29" t="str">
        <f>Bala!O30</f>
        <v>kg/ha</v>
      </c>
      <c r="P2" s="29" t="str">
        <f>Bala!P30</f>
        <v>kg/ha</v>
      </c>
      <c r="Q2" s="29" t="str">
        <f>Bala!Q30</f>
        <v>kg/ha</v>
      </c>
      <c r="R2" s="29" t="str">
        <f>Bala!R30</f>
        <v>kg/ha</v>
      </c>
      <c r="S2" s="29" t="str">
        <f>Bala!S30</f>
        <v>kg/ha</v>
      </c>
      <c r="T2" s="29" t="str">
        <f>Bala!T30</f>
        <v>kg/ha</v>
      </c>
      <c r="U2" s="29" t="str">
        <f>Bala!U30</f>
        <v>kg/ha</v>
      </c>
    </row>
    <row r="3" spans="1:21" x14ac:dyDescent="0.2">
      <c r="A3" s="27">
        <v>1</v>
      </c>
      <c r="B3" s="24">
        <f>Bala!B31</f>
        <v>250</v>
      </c>
      <c r="C3" s="24">
        <f>Bala!C31</f>
        <v>69.907499999999999</v>
      </c>
      <c r="D3" s="24">
        <f>Bala!D31</f>
        <v>6.7759188750000003</v>
      </c>
      <c r="E3" s="24">
        <f>Bala!E31</f>
        <v>0.62638912499999999</v>
      </c>
      <c r="F3" s="24">
        <f>Bala!F31</f>
        <v>18.029921000000002</v>
      </c>
      <c r="G3" s="24">
        <f>Bala!G31</f>
        <v>0.15535000000000002</v>
      </c>
      <c r="H3" s="24">
        <f>Bala!H31</f>
        <v>0.96795000000000009</v>
      </c>
      <c r="I3" s="24">
        <f>Bala!I31</f>
        <v>3.2324749999999999E-2</v>
      </c>
      <c r="J3" s="24">
        <f>Bala!J31</f>
        <v>3.0472500000000005E-3</v>
      </c>
      <c r="K3" s="24">
        <f>Bala!K31</f>
        <v>9.978250000000001E-3</v>
      </c>
      <c r="L3" s="24">
        <f>Bala!L31</f>
        <v>2.13905E-2</v>
      </c>
      <c r="M3" s="24">
        <f>Bala!M31</f>
        <v>1.6909250000000001E-2</v>
      </c>
      <c r="N3" s="24">
        <f>Bala!N31</f>
        <v>1081.4749999999999</v>
      </c>
      <c r="O3" s="24">
        <f>Bala!O31</f>
        <v>37.045000000000002</v>
      </c>
      <c r="P3" s="24">
        <f>Bala!P31</f>
        <v>0</v>
      </c>
      <c r="Q3" s="24">
        <f>Bala!Q31</f>
        <v>69.758125000000007</v>
      </c>
      <c r="R3" s="24">
        <f>Bala!R31</f>
        <v>0</v>
      </c>
      <c r="S3" s="24">
        <f>Bala!S31</f>
        <v>7.4687500000000004E-2</v>
      </c>
      <c r="T3" s="24">
        <f>Bala!T31</f>
        <v>0</v>
      </c>
      <c r="U3" s="24">
        <f>Bala!U31</f>
        <v>0</v>
      </c>
    </row>
    <row r="4" spans="1:21" x14ac:dyDescent="0.2">
      <c r="A4" s="27">
        <v>2</v>
      </c>
      <c r="B4" s="24">
        <f>'Bryn Cowlyd'!B31</f>
        <v>250</v>
      </c>
      <c r="C4" s="24">
        <f>'Bryn Cowlyd'!C31</f>
        <v>38.678000000000004</v>
      </c>
      <c r="D4" s="24">
        <f>'Bryn Cowlyd'!D31</f>
        <v>4.016867575</v>
      </c>
      <c r="E4" s="24">
        <f>'Bryn Cowlyd'!E31</f>
        <v>1.4038250000000001</v>
      </c>
      <c r="F4" s="24">
        <f>'Bryn Cowlyd'!F31</f>
        <v>3.5637466499999997</v>
      </c>
      <c r="G4" s="24">
        <f>'Bryn Cowlyd'!G31</f>
        <v>2.9008500000000007E-2</v>
      </c>
      <c r="H4" s="24">
        <f>'Bryn Cowlyd'!H31</f>
        <v>0.97860000000000003</v>
      </c>
      <c r="I4" s="24">
        <f>'Bryn Cowlyd'!I31</f>
        <v>7.5725000000000015E-2</v>
      </c>
      <c r="J4" s="24">
        <f>'Bryn Cowlyd'!J31</f>
        <v>4.25225E-3</v>
      </c>
      <c r="K4" s="24">
        <f>'Bryn Cowlyd'!K31</f>
        <v>1.0019E-2</v>
      </c>
      <c r="L4" s="24">
        <f>'Bryn Cowlyd'!L31</f>
        <v>0.21669000000000005</v>
      </c>
      <c r="M4" s="24">
        <f>'Bryn Cowlyd'!M31</f>
        <v>1.7009E-2</v>
      </c>
      <c r="N4" s="24">
        <f>'Bryn Cowlyd'!N31</f>
        <v>21.669</v>
      </c>
      <c r="O4" s="24">
        <f>'Bryn Cowlyd'!O31</f>
        <v>2679.5</v>
      </c>
      <c r="P4" s="24">
        <f>'Bryn Cowlyd'!P31</f>
        <v>0</v>
      </c>
      <c r="Q4" s="24">
        <f>'Bryn Cowlyd'!Q31</f>
        <v>60.871249999999996</v>
      </c>
      <c r="R4" s="24">
        <f>'Bryn Cowlyd'!R31</f>
        <v>0</v>
      </c>
      <c r="S4" s="24">
        <f>'Bryn Cowlyd'!S31</f>
        <v>7.6307500000000014E-2</v>
      </c>
      <c r="T4" s="24">
        <f>'Bryn Cowlyd'!T31</f>
        <v>0</v>
      </c>
      <c r="U4" s="24">
        <f>'Bryn Cowlyd'!U31</f>
        <v>0</v>
      </c>
    </row>
    <row r="5" spans="1:21" x14ac:dyDescent="0.2">
      <c r="A5" s="27">
        <v>3</v>
      </c>
      <c r="B5" s="24">
        <f>Cefni!B31</f>
        <v>250</v>
      </c>
      <c r="C5" s="24">
        <f>Cefni!C31</f>
        <v>77.755500000000012</v>
      </c>
      <c r="D5" s="24">
        <f>Cefni!D31</f>
        <v>68.089092749999992</v>
      </c>
      <c r="E5" s="24">
        <f>Cefni!E31</f>
        <v>1.0031625000000002</v>
      </c>
      <c r="F5" s="24">
        <f>Cefni!F31</f>
        <v>12.836650500000001</v>
      </c>
      <c r="G5" s="24">
        <f>Cefni!G31</f>
        <v>0.22560750000000004</v>
      </c>
      <c r="H5" s="24">
        <f>Cefni!H31</f>
        <v>0.71345250000000004</v>
      </c>
      <c r="I5" s="24">
        <f>Cefni!I31</f>
        <v>3.2550750000000003E-2</v>
      </c>
      <c r="J5" s="24">
        <f>Cefni!J31</f>
        <v>2.6640000000000006E-3</v>
      </c>
      <c r="K5" s="24">
        <f>Cefni!K31</f>
        <v>1.0073250000000001E-2</v>
      </c>
      <c r="L5" s="24">
        <f>Cefni!L31</f>
        <v>7.4925000000000019E-2</v>
      </c>
      <c r="M5" s="24">
        <f>Cefni!M31</f>
        <v>1.7066249999999998E-2</v>
      </c>
      <c r="N5" s="24">
        <f>Cefni!N31</f>
        <v>1789.875</v>
      </c>
      <c r="O5" s="24">
        <f>Cefni!O31</f>
        <v>29.553750000000004</v>
      </c>
      <c r="P5" s="24">
        <f>Cefni!P31</f>
        <v>0</v>
      </c>
      <c r="Q5" s="24">
        <f>Cefni!Q31</f>
        <v>264.31875000000002</v>
      </c>
      <c r="R5" s="24">
        <f>Cefni!R31</f>
        <v>0</v>
      </c>
      <c r="S5" s="24">
        <f>Cefni!S31</f>
        <v>8.9077500000000004E-2</v>
      </c>
      <c r="T5" s="24">
        <f>Cefni!T31</f>
        <v>0</v>
      </c>
      <c r="U5" s="24">
        <f>Cefni!U31</f>
        <v>0</v>
      </c>
    </row>
    <row r="6" spans="1:21" x14ac:dyDescent="0.2">
      <c r="A6" s="27">
        <v>4</v>
      </c>
      <c r="B6" s="24">
        <f>Cwellyn!B31</f>
        <v>250</v>
      </c>
      <c r="C6" s="24">
        <f>Cwellyn!C31</f>
        <v>71.325000000000003</v>
      </c>
      <c r="D6" s="24">
        <f>Cwellyn!D31</f>
        <v>54.983999999999995</v>
      </c>
      <c r="E6" s="24">
        <f>Cwellyn!E31</f>
        <v>0.78626249999999998</v>
      </c>
      <c r="F6" s="24">
        <f>Cwellyn!F31</f>
        <v>12.061949999999998</v>
      </c>
      <c r="G6" s="24">
        <f>Cwellyn!G31</f>
        <v>0.20924999999999996</v>
      </c>
      <c r="H6" s="24">
        <f>Cwellyn!H31</f>
        <v>1.0350000000000001</v>
      </c>
      <c r="I6" s="24">
        <f>Cwellyn!I31</f>
        <v>3.2624999999999994E-2</v>
      </c>
      <c r="J6" s="24">
        <f>Cwellyn!J31</f>
        <v>2.5500000000000002E-3</v>
      </c>
      <c r="K6" s="24">
        <f>Cwellyn!K31</f>
        <v>1.0125E-2</v>
      </c>
      <c r="L6" s="24">
        <f>Cwellyn!L31</f>
        <v>4.1249999999999995E-2</v>
      </c>
      <c r="M6" s="24">
        <f>Cwellyn!M31</f>
        <v>1.7100000000000001E-2</v>
      </c>
      <c r="N6" s="24">
        <f>Cwellyn!N31</f>
        <v>1890</v>
      </c>
      <c r="O6" s="24">
        <f>Cwellyn!O31</f>
        <v>26.774999999999999</v>
      </c>
      <c r="P6" s="24">
        <f>Cwellyn!P31</f>
        <v>0</v>
      </c>
      <c r="Q6" s="24">
        <f>Cwellyn!Q31</f>
        <v>232.5</v>
      </c>
      <c r="R6" s="24">
        <f>Cwellyn!R31</f>
        <v>0</v>
      </c>
      <c r="S6" s="24">
        <f>Cwellyn!S31</f>
        <v>8.1000000000000003E-2</v>
      </c>
      <c r="T6" s="24">
        <f>Cwellyn!T31</f>
        <v>0</v>
      </c>
      <c r="U6" s="24">
        <f>Cwellyn!U31</f>
        <v>0</v>
      </c>
    </row>
    <row r="7" spans="1:21" x14ac:dyDescent="0.2">
      <c r="A7" s="27">
        <v>5</v>
      </c>
      <c r="B7" s="24">
        <f>Dolbenmaen!B31</f>
        <v>250</v>
      </c>
      <c r="C7" s="24">
        <f>Dolbenmaen!C31</f>
        <v>46.311</v>
      </c>
      <c r="D7" s="24">
        <f>Dolbenmaen!D31</f>
        <v>35.907988499999995</v>
      </c>
      <c r="E7" s="24">
        <f>Dolbenmaen!E31</f>
        <v>0.67618574999999992</v>
      </c>
      <c r="F7" s="24">
        <f>Dolbenmaen!F31</f>
        <v>1.9997967000000001</v>
      </c>
      <c r="G7" s="24">
        <f>Dolbenmaen!G31</f>
        <v>0.14254500000000001</v>
      </c>
      <c r="H7" s="24">
        <f>Dolbenmaen!H31</f>
        <v>2.2510500000000002</v>
      </c>
      <c r="I7" s="24">
        <f>Dolbenmaen!I31</f>
        <v>3.2185500000000006E-2</v>
      </c>
      <c r="J7" s="24">
        <f>Dolbenmaen!J31</f>
        <v>6.1920000000000005E-3</v>
      </c>
      <c r="K7" s="24">
        <f>Dolbenmaen!K31</f>
        <v>9.9330000000000009E-3</v>
      </c>
      <c r="L7" s="24">
        <f>Dolbenmaen!L31</f>
        <v>2.13495E-2</v>
      </c>
      <c r="M7" s="24">
        <f>Dolbenmaen!M31</f>
        <v>1.6834499999999999E-2</v>
      </c>
      <c r="N7" s="24">
        <f>Dolbenmaen!N31</f>
        <v>2018.8500000000001</v>
      </c>
      <c r="O7" s="24">
        <f>Dolbenmaen!O31</f>
        <v>31.992000000000001</v>
      </c>
      <c r="P7" s="24">
        <f>Dolbenmaen!P31</f>
        <v>0</v>
      </c>
      <c r="Q7" s="24">
        <f>Dolbenmaen!Q31</f>
        <v>267.67500000000001</v>
      </c>
      <c r="R7" s="24">
        <f>Dolbenmaen!R31</f>
        <v>0</v>
      </c>
      <c r="S7" s="24">
        <f>Dolbenmaen!S31</f>
        <v>9.4170000000000004E-2</v>
      </c>
      <c r="T7" s="24">
        <f>Dolbenmaen!T31</f>
        <v>0</v>
      </c>
      <c r="U7" s="24">
        <f>Dolbenmaen!U31</f>
        <v>0</v>
      </c>
    </row>
    <row r="8" spans="1:21" x14ac:dyDescent="0.2">
      <c r="A8" s="27">
        <v>6</v>
      </c>
      <c r="B8" s="24">
        <f>Gwastadgoed!B31</f>
        <v>250</v>
      </c>
      <c r="C8" s="24">
        <f>Gwastadgoed!C31</f>
        <v>47.470750000000002</v>
      </c>
      <c r="D8" s="24">
        <f>Gwastadgoed!D31</f>
        <v>57.636978000000006</v>
      </c>
      <c r="E8" s="24">
        <f>Gwastadgoed!E31</f>
        <v>1.8044875000000002</v>
      </c>
      <c r="F8" s="24">
        <f>Gwastadgoed!F31</f>
        <v>7.9451359999999989</v>
      </c>
      <c r="G8" s="24">
        <f>Gwastadgoed!G31</f>
        <v>2.9351000000000002E-2</v>
      </c>
      <c r="H8" s="24">
        <f>Gwastadgoed!H31</f>
        <v>2.440925</v>
      </c>
      <c r="I8" s="24">
        <f>Gwastadgoed!I31</f>
        <v>0.39084750000000007</v>
      </c>
      <c r="J8" s="24">
        <f>Gwastadgoed!J31</f>
        <v>4.4925E-3</v>
      </c>
      <c r="K8" s="24">
        <f>Gwastadgoed!K31</f>
        <v>1.0183000000000001E-2</v>
      </c>
      <c r="L8" s="24">
        <f>Gwastadgoed!L31</f>
        <v>0.92096250000000002</v>
      </c>
      <c r="M8" s="24">
        <f>Gwastadgoed!M31</f>
        <v>1.722125E-2</v>
      </c>
      <c r="N8" s="24">
        <f>Gwastadgoed!N31</f>
        <v>48.369250000000001</v>
      </c>
      <c r="O8" s="24">
        <f>Gwastadgoed!O31</f>
        <v>7772.0250000000005</v>
      </c>
      <c r="P8" s="24">
        <f>Gwastadgoed!P31</f>
        <v>0</v>
      </c>
      <c r="Q8" s="24">
        <f>Gwastadgoed!Q31</f>
        <v>404.32500000000005</v>
      </c>
      <c r="R8" s="24">
        <f>Gwastadgoed!R31</f>
        <v>0</v>
      </c>
      <c r="S8" s="24">
        <f>Gwastadgoed!S31</f>
        <v>0.22762000000000002</v>
      </c>
      <c r="T8" s="24">
        <f>Gwastadgoed!T31</f>
        <v>0</v>
      </c>
      <c r="U8" s="24">
        <f>Gwastadgoed!U31</f>
        <v>0</v>
      </c>
    </row>
    <row r="9" spans="1:21" x14ac:dyDescent="0.2">
      <c r="A9" s="27">
        <v>7</v>
      </c>
      <c r="B9" s="24">
        <f>'Llyn Conwy'!B31</f>
        <v>250</v>
      </c>
      <c r="C9" s="24">
        <f>'Llyn Conwy'!C31</f>
        <v>61.181999999999995</v>
      </c>
      <c r="D9" s="24">
        <f>'Llyn Conwy'!D31</f>
        <v>26.664949</v>
      </c>
      <c r="E9" s="24">
        <f>'Llyn Conwy'!E31</f>
        <v>1.2411500000000002</v>
      </c>
      <c r="F9" s="24">
        <f>'Llyn Conwy'!F31</f>
        <v>6.028322199999999</v>
      </c>
      <c r="G9" s="24">
        <f>'Llyn Conwy'!G31</f>
        <v>8.8579999999999988</v>
      </c>
      <c r="H9" s="24">
        <f>'Llyn Conwy'!H31</f>
        <v>3.7079999999999997</v>
      </c>
      <c r="I9" s="24">
        <f>'Llyn Conwy'!I31</f>
        <v>0.58298000000000005</v>
      </c>
      <c r="J9" s="24">
        <f>'Llyn Conwy'!J31</f>
        <v>1.1948E-2</v>
      </c>
      <c r="K9" s="24">
        <f>'Llyn Conwy'!K31</f>
        <v>9.9909999999999999E-3</v>
      </c>
      <c r="L9" s="24">
        <f>'Llyn Conwy'!L31</f>
        <v>0.33268999999999999</v>
      </c>
      <c r="M9" s="24">
        <f>'Llyn Conwy'!M31</f>
        <v>0.14832000000000001</v>
      </c>
      <c r="N9" s="24">
        <f>'Llyn Conwy'!N31</f>
        <v>35.123000000000005</v>
      </c>
      <c r="O9" s="24">
        <f>'Llyn Conwy'!O31</f>
        <v>4614.3999999999996</v>
      </c>
      <c r="P9" s="24">
        <f>'Llyn Conwy'!P31</f>
        <v>0</v>
      </c>
      <c r="Q9" s="24">
        <f>'Llyn Conwy'!Q31</f>
        <v>109.69499999999999</v>
      </c>
      <c r="R9" s="24">
        <f>'Llyn Conwy'!R31</f>
        <v>0</v>
      </c>
      <c r="S9" s="24">
        <f>'Llyn Conwy'!S31</f>
        <v>0.26368000000000003</v>
      </c>
      <c r="T9" s="24">
        <f>'Llyn Conwy'!T31</f>
        <v>0</v>
      </c>
      <c r="U9" s="24">
        <f>'Llyn Conwy'!U31</f>
        <v>0</v>
      </c>
    </row>
    <row r="10" spans="1:21" x14ac:dyDescent="0.2">
      <c r="A10" s="27">
        <v>8</v>
      </c>
      <c r="B10" s="24">
        <f>'Mynydd Llannegaai'!B31</f>
        <v>250</v>
      </c>
      <c r="C10" s="24">
        <f>'Mynydd Llannegaai'!C31</f>
        <v>77.346500000000006</v>
      </c>
      <c r="D10" s="24">
        <f>'Mynydd Llannegaai'!D31</f>
        <v>66.401198500000007</v>
      </c>
      <c r="E10" s="24">
        <f>'Mynydd Llannegaai'!E31</f>
        <v>0.898960125</v>
      </c>
      <c r="F10" s="24">
        <f>'Mynydd Llannegaai'!F31</f>
        <v>14.103611200000001</v>
      </c>
      <c r="G10" s="24">
        <f>'Mynydd Llannegaai'!G31</f>
        <v>0.23324</v>
      </c>
      <c r="H10" s="24">
        <f>'Mynydd Llannegaai'!H31</f>
        <v>0.90037500000000004</v>
      </c>
      <c r="I10" s="24">
        <f>'Mynydd Llannegaai'!I31</f>
        <v>3.2585000000000003E-2</v>
      </c>
      <c r="J10" s="24">
        <f>'Mynydd Llannegaai'!J31</f>
        <v>2.3152500000000005E-3</v>
      </c>
      <c r="K10" s="24">
        <f>'Mynydd Llannegaai'!K31</f>
        <v>1.0032750000000002E-2</v>
      </c>
      <c r="L10" s="24">
        <f>'Mynydd Llannegaai'!L31</f>
        <v>7.2887500000000022E-2</v>
      </c>
      <c r="M10" s="24">
        <f>'Mynydd Llannegaai'!M31</f>
        <v>1.7064250000000003E-2</v>
      </c>
      <c r="N10" s="24">
        <f>'Mynydd Llannegaai'!N31</f>
        <v>1569.2250000000001</v>
      </c>
      <c r="O10" s="24">
        <f>'Mynydd Llannegaai'!O31</f>
        <v>27.954500000000003</v>
      </c>
      <c r="P10" s="24">
        <f>'Mynydd Llannegaai'!P31</f>
        <v>0</v>
      </c>
      <c r="Q10" s="24">
        <f>'Mynydd Llannegaai'!Q31</f>
        <v>252.96250000000009</v>
      </c>
      <c r="R10" s="24">
        <f>'Mynydd Llannegaai'!R31</f>
        <v>0</v>
      </c>
      <c r="S10" s="24">
        <f>'Mynydd Llannegaai'!S31</f>
        <v>7.8032500000000005E-2</v>
      </c>
      <c r="T10" s="24">
        <f>'Mynydd Llannegaai'!T31</f>
        <v>0</v>
      </c>
      <c r="U10" s="24">
        <f>'Mynydd Llannegaai'!U31</f>
        <v>0</v>
      </c>
    </row>
    <row r="11" spans="1:21" x14ac:dyDescent="0.2">
      <c r="A11" s="27">
        <v>9</v>
      </c>
      <c r="B11" s="24">
        <f>Penybont!B31</f>
        <v>224</v>
      </c>
      <c r="C11" s="24">
        <f>Penybont!C31</f>
        <v>51.507456000000005</v>
      </c>
      <c r="D11" s="24">
        <f>Penybont!D31</f>
        <v>75.093188352000027</v>
      </c>
      <c r="E11" s="24">
        <f>Penybont!E31</f>
        <v>1.4467711999999999</v>
      </c>
      <c r="F11" s="24">
        <f>Penybont!F31</f>
        <v>10.650036992</v>
      </c>
      <c r="G11" s="24">
        <f>Penybont!G31</f>
        <v>0.20831104</v>
      </c>
      <c r="H11" s="24">
        <f>Penybont!H31</f>
        <v>0.59851904000000011</v>
      </c>
      <c r="I11" s="24">
        <f>Penybont!I31</f>
        <v>2.9055488000000001E-2</v>
      </c>
      <c r="J11" s="24">
        <f>Penybont!J31</f>
        <v>2.1011200000000002E-3</v>
      </c>
      <c r="K11" s="24">
        <f>Penybont!K31</f>
        <v>8.9447680000000005E-3</v>
      </c>
      <c r="L11" s="24">
        <f>Penybont!L31</f>
        <v>4.7425280000000007E-2</v>
      </c>
      <c r="M11" s="24">
        <f>Penybont!M31</f>
        <v>2.7374592000000003E-2</v>
      </c>
      <c r="N11" s="24">
        <f>Penybont!N31</f>
        <v>1302.6943999999999</v>
      </c>
      <c r="O11" s="24">
        <f>Penybont!O31</f>
        <v>55.529600000000002</v>
      </c>
      <c r="P11" s="24">
        <f>Penybont!P31</f>
        <v>0</v>
      </c>
      <c r="Q11" s="24">
        <f>Penybont!Q31</f>
        <v>195.10400000000001</v>
      </c>
      <c r="R11" s="24">
        <f>Penybont!R31</f>
        <v>0</v>
      </c>
      <c r="S11" s="24">
        <f>Penybont!S31</f>
        <v>0.28635264000000005</v>
      </c>
      <c r="T11" s="24">
        <f>Penybont!T31</f>
        <v>0</v>
      </c>
      <c r="U11" s="24">
        <f>Penybont!U31</f>
        <v>0</v>
      </c>
    </row>
    <row r="12" spans="1:21" x14ac:dyDescent="0.2">
      <c r="A12" s="27">
        <v>10</v>
      </c>
      <c r="B12" s="24">
        <f>'Rhiw Goch'!B31</f>
        <v>250</v>
      </c>
      <c r="C12" s="24">
        <f>'Rhiw Goch'!C31</f>
        <v>67.760000000000019</v>
      </c>
      <c r="D12" s="24">
        <f>'Rhiw Goch'!D31</f>
        <v>72.32687</v>
      </c>
      <c r="E12" s="24">
        <f>'Rhiw Goch'!E31</f>
        <v>1.3255000000000001</v>
      </c>
      <c r="F12" s="24">
        <f>'Rhiw Goch'!F31</f>
        <v>7.9700060000000006</v>
      </c>
      <c r="G12" s="24">
        <f>'Rhiw Goch'!G31</f>
        <v>0.18370000000000003</v>
      </c>
      <c r="H12" s="24">
        <f>'Rhiw Goch'!H31</f>
        <v>3.2890000000000001</v>
      </c>
      <c r="I12" s="24">
        <f>'Rhiw Goch'!I31</f>
        <v>0.30470000000000003</v>
      </c>
      <c r="J12" s="24">
        <f>'Rhiw Goch'!J31</f>
        <v>9.5700000000000021E-3</v>
      </c>
      <c r="K12" s="24">
        <f>'Rhiw Goch'!K31</f>
        <v>1.0010000000000002E-2</v>
      </c>
      <c r="L12" s="24">
        <f>'Rhiw Goch'!L31</f>
        <v>0.17490000000000003</v>
      </c>
      <c r="M12" s="24">
        <f>'Rhiw Goch'!M31</f>
        <v>0.16170000000000001</v>
      </c>
      <c r="N12" s="24">
        <f>'Rhiw Goch'!N31</f>
        <v>55.330000000000013</v>
      </c>
      <c r="O12" s="24">
        <f>'Rhiw Goch'!O31</f>
        <v>5104</v>
      </c>
      <c r="P12" s="24">
        <f>'Rhiw Goch'!P31</f>
        <v>0</v>
      </c>
      <c r="Q12" s="24">
        <f>'Rhiw Goch'!Q31</f>
        <v>85.250000000000028</v>
      </c>
      <c r="R12" s="24">
        <f>'Rhiw Goch'!R31</f>
        <v>0</v>
      </c>
      <c r="S12" s="24">
        <f>'Rhiw Goch'!S31</f>
        <v>0.1265</v>
      </c>
      <c r="T12" s="24">
        <f>'Rhiw Goch'!T31</f>
        <v>0</v>
      </c>
      <c r="U12" s="24">
        <f>'Rhiw Goch'!U31</f>
        <v>0</v>
      </c>
    </row>
    <row r="13" spans="1:21" s="69" customFormat="1" ht="15.75" x14ac:dyDescent="0.25">
      <c r="A13" s="67" t="s">
        <v>85</v>
      </c>
      <c r="B13" s="68">
        <f>SUM(B3:B12)</f>
        <v>2474</v>
      </c>
      <c r="C13" s="68">
        <f t="shared" ref="C13:U13" si="0">SUM(C3:C12)</f>
        <v>609.24370599999997</v>
      </c>
      <c r="D13" s="68">
        <f t="shared" si="0"/>
        <v>467.89705155199999</v>
      </c>
      <c r="E13" s="68">
        <f t="shared" si="0"/>
        <v>11.212693700000001</v>
      </c>
      <c r="F13" s="68">
        <f t="shared" si="0"/>
        <v>95.189177241999985</v>
      </c>
      <c r="G13" s="68">
        <f t="shared" si="0"/>
        <v>10.274363039999999</v>
      </c>
      <c r="H13" s="68">
        <f t="shared" si="0"/>
        <v>16.88287154</v>
      </c>
      <c r="I13" s="68">
        <f t="shared" si="0"/>
        <v>1.5455789880000002</v>
      </c>
      <c r="J13" s="68">
        <f t="shared" si="0"/>
        <v>4.9132369999999995E-2</v>
      </c>
      <c r="K13" s="68">
        <f t="shared" si="0"/>
        <v>9.9290018000000022E-2</v>
      </c>
      <c r="L13" s="68">
        <f t="shared" si="0"/>
        <v>1.92447028</v>
      </c>
      <c r="M13" s="68">
        <f t="shared" si="0"/>
        <v>0.45659909199999998</v>
      </c>
      <c r="N13" s="68">
        <f t="shared" si="0"/>
        <v>9812.6106500000005</v>
      </c>
      <c r="O13" s="68">
        <f t="shared" si="0"/>
        <v>20378.774850000002</v>
      </c>
      <c r="P13" s="68">
        <f t="shared" si="0"/>
        <v>0</v>
      </c>
      <c r="Q13" s="68">
        <f t="shared" si="0"/>
        <v>1942.4596250000002</v>
      </c>
      <c r="R13" s="68">
        <f t="shared" si="0"/>
        <v>0</v>
      </c>
      <c r="S13" s="68">
        <f t="shared" si="0"/>
        <v>1.3974276400000003</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3"/>
    <col min="3" max="3" width="11" style="13" customWidth="1"/>
    <col min="4" max="4" width="9.140625" style="13"/>
    <col min="5" max="5" width="9.7109375" style="13" customWidth="1"/>
    <col min="6" max="14" width="9.140625" style="13"/>
    <col min="15" max="15" width="9.7109375" style="13" bestFit="1" customWidth="1"/>
    <col min="16" max="20" width="9.140625" style="13"/>
    <col min="21" max="21" width="10" style="13" bestFit="1" customWidth="1"/>
    <col min="22" max="16384" width="9.140625" style="13"/>
  </cols>
  <sheetData>
    <row r="1" spans="1:22" s="70" customFormat="1" ht="38.25" x14ac:dyDescent="0.25">
      <c r="A1" s="175" t="s">
        <v>84</v>
      </c>
      <c r="B1" s="25" t="s">
        <v>152</v>
      </c>
      <c r="C1" s="26" t="str">
        <f>Bala!B29</f>
        <v>Application Rate</v>
      </c>
      <c r="D1" s="26" t="str">
        <f>Bala!C29</f>
        <v>Nitrogen Addition</v>
      </c>
      <c r="E1" s="26" t="str">
        <f>Bala!D29</f>
        <v>Phosphate Addition</v>
      </c>
      <c r="F1" s="26" t="str">
        <f>Bala!E29</f>
        <v>Potash  Addition</v>
      </c>
      <c r="G1" s="26" t="str">
        <f>Bala!F29</f>
        <v>Mg Oxide Addition</v>
      </c>
      <c r="H1" s="26" t="str">
        <f>Bala!G29</f>
        <v>Copper Addition</v>
      </c>
      <c r="I1" s="26" t="str">
        <f>Bala!H29</f>
        <v>Zinc Addition</v>
      </c>
      <c r="J1" s="26" t="str">
        <f>Bala!I29</f>
        <v>Lead Addition</v>
      </c>
      <c r="K1" s="26" t="str">
        <f>Bala!J29</f>
        <v>Cadmium Addition</v>
      </c>
      <c r="L1" s="26" t="str">
        <f>Bala!K29</f>
        <v>Mercury Addition</v>
      </c>
      <c r="M1" s="26" t="str">
        <f>Bala!L29</f>
        <v>Nickel Addition</v>
      </c>
      <c r="N1" s="26" t="str">
        <f>Bala!M29</f>
        <v>Chromium Addition</v>
      </c>
      <c r="O1" s="26" t="str">
        <f>Bala!N29</f>
        <v>Aluminium Addition</v>
      </c>
      <c r="P1" s="26" t="str">
        <f>Bala!O29</f>
        <v>Iron Addition</v>
      </c>
      <c r="Q1" s="26" t="str">
        <f>Bala!P29</f>
        <v xml:space="preserve">Sodium Addition                 </v>
      </c>
      <c r="R1" s="26" t="str">
        <f>Bala!Q29</f>
        <v>SO3  Addition                             kg/ha</v>
      </c>
      <c r="S1" s="26" t="str">
        <f>Bala!R29</f>
        <v xml:space="preserve">Selenium Addition </v>
      </c>
      <c r="T1" s="26" t="str">
        <f>Bala!S29</f>
        <v xml:space="preserve">Arsenic  Addition  </v>
      </c>
      <c r="U1" s="26" t="str">
        <f>Bala!T29</f>
        <v xml:space="preserve">Molybdenum Addition  </v>
      </c>
      <c r="V1" s="26" t="str">
        <f>Bala!U29</f>
        <v xml:space="preserve">Fluoride Addition </v>
      </c>
    </row>
    <row r="2" spans="1:22" s="70" customFormat="1" ht="25.5" x14ac:dyDescent="0.25">
      <c r="A2" s="175"/>
      <c r="B2" s="23" t="s">
        <v>46</v>
      </c>
      <c r="C2" s="26" t="str">
        <f>Bala!B30</f>
        <v>tonnes/ha</v>
      </c>
      <c r="D2" s="26" t="str">
        <f>Bala!C30</f>
        <v>kg/ha</v>
      </c>
      <c r="E2" s="26" t="str">
        <f>Bala!D30</f>
        <v>P2O5 
kg/ha</v>
      </c>
      <c r="F2" s="26" t="str">
        <f>Bala!E30</f>
        <v>K2O 
kg/ha</v>
      </c>
      <c r="G2" s="26" t="str">
        <f>Bala!F30</f>
        <v>MgO 
kg/ha</v>
      </c>
      <c r="H2" s="26" t="str">
        <f>Bala!G30</f>
        <v>kg/ha</v>
      </c>
      <c r="I2" s="26" t="str">
        <f>Bala!H30</f>
        <v>kg/ha</v>
      </c>
      <c r="J2" s="26" t="str">
        <f>Bala!I30</f>
        <v>kg/ha</v>
      </c>
      <c r="K2" s="26" t="str">
        <f>Bala!J30</f>
        <v>kg/ha</v>
      </c>
      <c r="L2" s="26" t="str">
        <f>Bala!K30</f>
        <v>kg/ha</v>
      </c>
      <c r="M2" s="26" t="str">
        <f>Bala!L30</f>
        <v>kg/ha</v>
      </c>
      <c r="N2" s="26" t="str">
        <f>Bala!M30</f>
        <v>kg/ha</v>
      </c>
      <c r="O2" s="26" t="str">
        <f>Bala!N30</f>
        <v>kg/ha</v>
      </c>
      <c r="P2" s="26" t="str">
        <f>Bala!O30</f>
        <v>kg/ha</v>
      </c>
      <c r="Q2" s="26" t="str">
        <f>Bala!P30</f>
        <v>kg/ha</v>
      </c>
      <c r="R2" s="26" t="str">
        <f>Bala!Q30</f>
        <v>kg/ha</v>
      </c>
      <c r="S2" s="26" t="str">
        <f>Bala!R30</f>
        <v>kg/ha</v>
      </c>
      <c r="T2" s="26" t="str">
        <f>Bala!S30</f>
        <v>kg/ha</v>
      </c>
      <c r="U2" s="26" t="str">
        <f>Bala!T30</f>
        <v>kg/ha</v>
      </c>
      <c r="V2" s="26" t="str">
        <f>Bala!U30</f>
        <v>kg/ha</v>
      </c>
    </row>
    <row r="3" spans="1:22" x14ac:dyDescent="0.2">
      <c r="A3" s="27">
        <v>1</v>
      </c>
      <c r="B3" s="78"/>
      <c r="C3" s="24">
        <f>Bala!B31</f>
        <v>250</v>
      </c>
      <c r="D3" s="24">
        <f>Bala!C31</f>
        <v>69.907499999999999</v>
      </c>
      <c r="E3" s="24">
        <f>Bala!D31</f>
        <v>6.7759188750000003</v>
      </c>
      <c r="F3" s="24">
        <f>Bala!E31</f>
        <v>0.62638912499999999</v>
      </c>
      <c r="G3" s="24">
        <f>Bala!F31</f>
        <v>18.029921000000002</v>
      </c>
      <c r="H3" s="24">
        <f>Bala!G31</f>
        <v>0.15535000000000002</v>
      </c>
      <c r="I3" s="24">
        <f>Bala!H31</f>
        <v>0.96795000000000009</v>
      </c>
      <c r="J3" s="24">
        <f>Bala!I31</f>
        <v>3.2324749999999999E-2</v>
      </c>
      <c r="K3" s="24">
        <f>Bala!J31</f>
        <v>3.0472500000000005E-3</v>
      </c>
      <c r="L3" s="24">
        <f>Bala!K31</f>
        <v>9.978250000000001E-3</v>
      </c>
      <c r="M3" s="24">
        <f>Bala!L31</f>
        <v>2.13905E-2</v>
      </c>
      <c r="N3" s="24">
        <f>Bala!M31</f>
        <v>1.6909250000000001E-2</v>
      </c>
      <c r="O3" s="24">
        <f>Bala!N31</f>
        <v>1081.4749999999999</v>
      </c>
      <c r="P3" s="24">
        <f>Bala!O31</f>
        <v>37.045000000000002</v>
      </c>
      <c r="Q3" s="24">
        <f>Bala!P31</f>
        <v>0</v>
      </c>
      <c r="R3" s="24">
        <f>Bala!Q31</f>
        <v>69.758125000000007</v>
      </c>
      <c r="S3" s="24">
        <f>Bala!R31</f>
        <v>0</v>
      </c>
      <c r="T3" s="24">
        <f>Bala!S31</f>
        <v>7.4687500000000004E-2</v>
      </c>
      <c r="U3" s="24">
        <f>Bala!T31</f>
        <v>0</v>
      </c>
      <c r="V3" s="24">
        <f>Bala!U31</f>
        <v>0</v>
      </c>
    </row>
    <row r="4" spans="1:22" x14ac:dyDescent="0.2">
      <c r="A4" s="27">
        <v>2</v>
      </c>
      <c r="B4" s="78"/>
      <c r="C4" s="24">
        <f>'Bryn Cowlyd'!B31</f>
        <v>250</v>
      </c>
      <c r="D4" s="24">
        <f>'Bryn Cowlyd'!C31</f>
        <v>38.678000000000004</v>
      </c>
      <c r="E4" s="24">
        <f>'Bryn Cowlyd'!D31</f>
        <v>4.016867575</v>
      </c>
      <c r="F4" s="24">
        <f>'Bryn Cowlyd'!E31</f>
        <v>1.4038250000000001</v>
      </c>
      <c r="G4" s="24">
        <f>'Bryn Cowlyd'!F31</f>
        <v>3.5637466499999997</v>
      </c>
      <c r="H4" s="24">
        <f>'Bryn Cowlyd'!G31</f>
        <v>2.9008500000000007E-2</v>
      </c>
      <c r="I4" s="24">
        <f>'Bryn Cowlyd'!H31</f>
        <v>0.97860000000000003</v>
      </c>
      <c r="J4" s="24">
        <f>'Bryn Cowlyd'!I31</f>
        <v>7.5725000000000015E-2</v>
      </c>
      <c r="K4" s="24">
        <f>'Bryn Cowlyd'!J31</f>
        <v>4.25225E-3</v>
      </c>
      <c r="L4" s="24">
        <f>'Bryn Cowlyd'!K31</f>
        <v>1.0019E-2</v>
      </c>
      <c r="M4" s="24">
        <f>'Bryn Cowlyd'!L31</f>
        <v>0.21669000000000005</v>
      </c>
      <c r="N4" s="24">
        <f>'Bryn Cowlyd'!M31</f>
        <v>1.7009E-2</v>
      </c>
      <c r="O4" s="24">
        <f>'Bryn Cowlyd'!N31</f>
        <v>21.669</v>
      </c>
      <c r="P4" s="24">
        <f>'Bryn Cowlyd'!O31</f>
        <v>2679.5</v>
      </c>
      <c r="Q4" s="24">
        <f>'Bryn Cowlyd'!P31</f>
        <v>0</v>
      </c>
      <c r="R4" s="24">
        <f>'Bryn Cowlyd'!Q31</f>
        <v>60.871249999999996</v>
      </c>
      <c r="S4" s="24">
        <f>'Bryn Cowlyd'!R31</f>
        <v>0</v>
      </c>
      <c r="T4" s="24">
        <f>'Bryn Cowlyd'!S31</f>
        <v>7.6307500000000014E-2</v>
      </c>
      <c r="U4" s="24">
        <f>'Bryn Cowlyd'!T31</f>
        <v>0</v>
      </c>
      <c r="V4" s="24">
        <f>'Bryn Cowlyd'!U31</f>
        <v>0</v>
      </c>
    </row>
    <row r="5" spans="1:22" x14ac:dyDescent="0.2">
      <c r="A5" s="27">
        <v>3</v>
      </c>
      <c r="B5" s="78"/>
      <c r="C5" s="24">
        <f>Cefni!B31</f>
        <v>250</v>
      </c>
      <c r="D5" s="24">
        <f>Cefni!C31</f>
        <v>77.755500000000012</v>
      </c>
      <c r="E5" s="24">
        <f>Cefni!D31</f>
        <v>68.089092749999992</v>
      </c>
      <c r="F5" s="24">
        <f>Cefni!E31</f>
        <v>1.0031625000000002</v>
      </c>
      <c r="G5" s="24">
        <f>Cefni!F31</f>
        <v>12.836650500000001</v>
      </c>
      <c r="H5" s="24">
        <f>Cefni!G31</f>
        <v>0.22560750000000004</v>
      </c>
      <c r="I5" s="24">
        <f>Cefni!H31</f>
        <v>0.71345250000000004</v>
      </c>
      <c r="J5" s="24">
        <f>Cefni!I31</f>
        <v>3.2550750000000003E-2</v>
      </c>
      <c r="K5" s="24">
        <f>Cefni!J31</f>
        <v>2.6640000000000006E-3</v>
      </c>
      <c r="L5" s="24">
        <f>Cefni!K31</f>
        <v>1.0073250000000001E-2</v>
      </c>
      <c r="M5" s="24">
        <f>Cefni!L31</f>
        <v>7.4925000000000019E-2</v>
      </c>
      <c r="N5" s="24">
        <f>Cefni!M31</f>
        <v>1.7066249999999998E-2</v>
      </c>
      <c r="O5" s="24">
        <f>Cefni!N31</f>
        <v>1789.875</v>
      </c>
      <c r="P5" s="24">
        <f>Cefni!O31</f>
        <v>29.553750000000004</v>
      </c>
      <c r="Q5" s="24">
        <f>Cefni!P31</f>
        <v>0</v>
      </c>
      <c r="R5" s="24">
        <f>Cefni!Q31</f>
        <v>264.31875000000002</v>
      </c>
      <c r="S5" s="24">
        <f>Cefni!R31</f>
        <v>0</v>
      </c>
      <c r="T5" s="24">
        <f>Cefni!S31</f>
        <v>8.9077500000000004E-2</v>
      </c>
      <c r="U5" s="24">
        <f>Cefni!T31</f>
        <v>0</v>
      </c>
      <c r="V5" s="24">
        <f>Cefni!U31</f>
        <v>0</v>
      </c>
    </row>
    <row r="6" spans="1:22" x14ac:dyDescent="0.2">
      <c r="A6" s="27">
        <v>4</v>
      </c>
      <c r="B6" s="78"/>
      <c r="C6" s="24">
        <f>Cwellyn!B31</f>
        <v>250</v>
      </c>
      <c r="D6" s="24">
        <f>Cwellyn!C31</f>
        <v>71.325000000000003</v>
      </c>
      <c r="E6" s="24">
        <f>Cwellyn!D31</f>
        <v>54.983999999999995</v>
      </c>
      <c r="F6" s="24">
        <f>Cwellyn!E31</f>
        <v>0.78626249999999998</v>
      </c>
      <c r="G6" s="24">
        <f>Cwellyn!F31</f>
        <v>12.061949999999998</v>
      </c>
      <c r="H6" s="24">
        <f>Cwellyn!G31</f>
        <v>0.20924999999999996</v>
      </c>
      <c r="I6" s="24">
        <f>Cwellyn!H31</f>
        <v>1.0350000000000001</v>
      </c>
      <c r="J6" s="24">
        <f>Cwellyn!I31</f>
        <v>3.2624999999999994E-2</v>
      </c>
      <c r="K6" s="24">
        <f>Cwellyn!J31</f>
        <v>2.5500000000000002E-3</v>
      </c>
      <c r="L6" s="24">
        <f>Cwellyn!K31</f>
        <v>1.0125E-2</v>
      </c>
      <c r="M6" s="24">
        <f>Cwellyn!L31</f>
        <v>4.1249999999999995E-2</v>
      </c>
      <c r="N6" s="24">
        <f>Cwellyn!M31</f>
        <v>1.7100000000000001E-2</v>
      </c>
      <c r="O6" s="24">
        <f>Cwellyn!N31</f>
        <v>1890</v>
      </c>
      <c r="P6" s="24">
        <f>Cwellyn!O31</f>
        <v>26.774999999999999</v>
      </c>
      <c r="Q6" s="24">
        <f>Cwellyn!P31</f>
        <v>0</v>
      </c>
      <c r="R6" s="24">
        <f>Cwellyn!Q31</f>
        <v>232.5</v>
      </c>
      <c r="S6" s="24">
        <f>Cwellyn!R31</f>
        <v>0</v>
      </c>
      <c r="T6" s="24">
        <f>Cwellyn!S31</f>
        <v>8.1000000000000003E-2</v>
      </c>
      <c r="U6" s="24">
        <f>Cwellyn!T31</f>
        <v>0</v>
      </c>
      <c r="V6" s="24">
        <f>Cwellyn!U31</f>
        <v>0</v>
      </c>
    </row>
    <row r="7" spans="1:22" x14ac:dyDescent="0.2">
      <c r="A7" s="27">
        <v>5</v>
      </c>
      <c r="B7" s="78"/>
      <c r="C7" s="24">
        <f>Dolbenmaen!B31</f>
        <v>250</v>
      </c>
      <c r="D7" s="24">
        <f>Dolbenmaen!C31</f>
        <v>46.311</v>
      </c>
      <c r="E7" s="24">
        <f>Dolbenmaen!D31</f>
        <v>35.907988499999995</v>
      </c>
      <c r="F7" s="24">
        <f>Dolbenmaen!E31</f>
        <v>0.67618574999999992</v>
      </c>
      <c r="G7" s="24">
        <f>Dolbenmaen!F31</f>
        <v>1.9997967000000001</v>
      </c>
      <c r="H7" s="24">
        <f>Dolbenmaen!G31</f>
        <v>0.14254500000000001</v>
      </c>
      <c r="I7" s="24">
        <f>Dolbenmaen!H31</f>
        <v>2.2510500000000002</v>
      </c>
      <c r="J7" s="24">
        <f>Dolbenmaen!I31</f>
        <v>3.2185500000000006E-2</v>
      </c>
      <c r="K7" s="24">
        <f>Dolbenmaen!J31</f>
        <v>6.1920000000000005E-3</v>
      </c>
      <c r="L7" s="24">
        <f>Dolbenmaen!K31</f>
        <v>9.9330000000000009E-3</v>
      </c>
      <c r="M7" s="24">
        <f>Dolbenmaen!L31</f>
        <v>2.13495E-2</v>
      </c>
      <c r="N7" s="24">
        <f>Dolbenmaen!M31</f>
        <v>1.6834499999999999E-2</v>
      </c>
      <c r="O7" s="24">
        <f>Dolbenmaen!N31</f>
        <v>2018.8500000000001</v>
      </c>
      <c r="P7" s="24">
        <f>Dolbenmaen!O31</f>
        <v>31.992000000000001</v>
      </c>
      <c r="Q7" s="24">
        <f>Dolbenmaen!P31</f>
        <v>0</v>
      </c>
      <c r="R7" s="24">
        <f>Dolbenmaen!Q31</f>
        <v>267.67500000000001</v>
      </c>
      <c r="S7" s="24">
        <f>Dolbenmaen!R31</f>
        <v>0</v>
      </c>
      <c r="T7" s="24">
        <f>Dolbenmaen!S31</f>
        <v>9.4170000000000004E-2</v>
      </c>
      <c r="U7" s="24">
        <f>Dolbenmaen!T31</f>
        <v>0</v>
      </c>
      <c r="V7" s="24">
        <f>Dolbenmaen!U31</f>
        <v>0</v>
      </c>
    </row>
    <row r="8" spans="1:22" x14ac:dyDescent="0.2">
      <c r="A8" s="27">
        <v>6</v>
      </c>
      <c r="B8" s="78"/>
      <c r="C8" s="24">
        <f>Gwastadgoed!B31</f>
        <v>250</v>
      </c>
      <c r="D8" s="24">
        <f>Gwastadgoed!C31</f>
        <v>47.470750000000002</v>
      </c>
      <c r="E8" s="24">
        <f>Gwastadgoed!D31</f>
        <v>57.636978000000006</v>
      </c>
      <c r="F8" s="24">
        <f>Gwastadgoed!E31</f>
        <v>1.8044875000000002</v>
      </c>
      <c r="G8" s="24">
        <f>Gwastadgoed!F31</f>
        <v>7.9451359999999989</v>
      </c>
      <c r="H8" s="24">
        <f>Gwastadgoed!G31</f>
        <v>2.9351000000000002E-2</v>
      </c>
      <c r="I8" s="24">
        <f>Gwastadgoed!H31</f>
        <v>2.440925</v>
      </c>
      <c r="J8" s="24">
        <f>Gwastadgoed!I31</f>
        <v>0.39084750000000007</v>
      </c>
      <c r="K8" s="24">
        <f>Gwastadgoed!J31</f>
        <v>4.4925E-3</v>
      </c>
      <c r="L8" s="24">
        <f>Gwastadgoed!K31</f>
        <v>1.0183000000000001E-2</v>
      </c>
      <c r="M8" s="24">
        <f>Gwastadgoed!L31</f>
        <v>0.92096250000000002</v>
      </c>
      <c r="N8" s="24">
        <f>Gwastadgoed!M31</f>
        <v>1.722125E-2</v>
      </c>
      <c r="O8" s="24">
        <f>Gwastadgoed!N31</f>
        <v>48.369250000000001</v>
      </c>
      <c r="P8" s="24">
        <f>Gwastadgoed!O31</f>
        <v>7772.0250000000005</v>
      </c>
      <c r="Q8" s="24">
        <f>Gwastadgoed!P31</f>
        <v>0</v>
      </c>
      <c r="R8" s="24">
        <f>Gwastadgoed!Q31</f>
        <v>404.32500000000005</v>
      </c>
      <c r="S8" s="24">
        <f>Gwastadgoed!R31</f>
        <v>0</v>
      </c>
      <c r="T8" s="24">
        <f>Gwastadgoed!S31</f>
        <v>0.22762000000000002</v>
      </c>
      <c r="U8" s="24">
        <f>Gwastadgoed!T31</f>
        <v>0</v>
      </c>
      <c r="V8" s="24">
        <f>Gwastadgoed!U31</f>
        <v>0</v>
      </c>
    </row>
    <row r="9" spans="1:22" x14ac:dyDescent="0.2">
      <c r="A9" s="27">
        <v>7</v>
      </c>
      <c r="B9" s="78"/>
      <c r="C9" s="24">
        <f>'Llyn Conwy'!B31</f>
        <v>250</v>
      </c>
      <c r="D9" s="24">
        <f>'Llyn Conwy'!C31</f>
        <v>61.181999999999995</v>
      </c>
      <c r="E9" s="24">
        <f>'Llyn Conwy'!D31</f>
        <v>26.664949</v>
      </c>
      <c r="F9" s="24">
        <f>'Llyn Conwy'!E31</f>
        <v>1.2411500000000002</v>
      </c>
      <c r="G9" s="24">
        <f>'Llyn Conwy'!F31</f>
        <v>6.028322199999999</v>
      </c>
      <c r="H9" s="24">
        <f>'Llyn Conwy'!G31</f>
        <v>8.8579999999999988</v>
      </c>
      <c r="I9" s="24">
        <f>'Llyn Conwy'!H31</f>
        <v>3.7079999999999997</v>
      </c>
      <c r="J9" s="24">
        <f>'Llyn Conwy'!I31</f>
        <v>0.58298000000000005</v>
      </c>
      <c r="K9" s="24">
        <f>'Llyn Conwy'!J31</f>
        <v>1.1948E-2</v>
      </c>
      <c r="L9" s="24">
        <f>'Llyn Conwy'!K31</f>
        <v>9.9909999999999999E-3</v>
      </c>
      <c r="M9" s="24">
        <f>'Llyn Conwy'!L31</f>
        <v>0.33268999999999999</v>
      </c>
      <c r="N9" s="24">
        <f>'Llyn Conwy'!M31</f>
        <v>0.14832000000000001</v>
      </c>
      <c r="O9" s="24">
        <f>'Llyn Conwy'!N31</f>
        <v>35.123000000000005</v>
      </c>
      <c r="P9" s="24">
        <f>'Llyn Conwy'!O31</f>
        <v>4614.3999999999996</v>
      </c>
      <c r="Q9" s="24">
        <f>'Llyn Conwy'!P31</f>
        <v>0</v>
      </c>
      <c r="R9" s="24">
        <f>'Llyn Conwy'!Q31</f>
        <v>109.69499999999999</v>
      </c>
      <c r="S9" s="24">
        <f>'Llyn Conwy'!R31</f>
        <v>0</v>
      </c>
      <c r="T9" s="24">
        <f>'Llyn Conwy'!S31</f>
        <v>0.26368000000000003</v>
      </c>
      <c r="U9" s="24">
        <f>'Llyn Conwy'!T31</f>
        <v>0</v>
      </c>
      <c r="V9" s="24">
        <f>'Llyn Conwy'!U31</f>
        <v>0</v>
      </c>
    </row>
    <row r="10" spans="1:22" x14ac:dyDescent="0.2">
      <c r="A10" s="27">
        <v>8</v>
      </c>
      <c r="B10" s="78"/>
      <c r="C10" s="24">
        <f>'Mynydd Llannegaai'!B31</f>
        <v>250</v>
      </c>
      <c r="D10" s="24">
        <f>'Mynydd Llannegaai'!C31</f>
        <v>77.346500000000006</v>
      </c>
      <c r="E10" s="24">
        <f>'Mynydd Llannegaai'!D31</f>
        <v>66.401198500000007</v>
      </c>
      <c r="F10" s="24">
        <f>'Mynydd Llannegaai'!E31</f>
        <v>0.898960125</v>
      </c>
      <c r="G10" s="24">
        <f>'Mynydd Llannegaai'!F31</f>
        <v>14.103611200000001</v>
      </c>
      <c r="H10" s="24">
        <f>'Mynydd Llannegaai'!G31</f>
        <v>0.23324</v>
      </c>
      <c r="I10" s="24">
        <f>'Mynydd Llannegaai'!H31</f>
        <v>0.90037500000000004</v>
      </c>
      <c r="J10" s="24">
        <f>'Mynydd Llannegaai'!I31</f>
        <v>3.2585000000000003E-2</v>
      </c>
      <c r="K10" s="24">
        <f>'Mynydd Llannegaai'!J31</f>
        <v>2.3152500000000005E-3</v>
      </c>
      <c r="L10" s="24">
        <f>'Mynydd Llannegaai'!K31</f>
        <v>1.0032750000000002E-2</v>
      </c>
      <c r="M10" s="24">
        <f>'Mynydd Llannegaai'!L31</f>
        <v>7.2887500000000022E-2</v>
      </c>
      <c r="N10" s="24">
        <f>'Mynydd Llannegaai'!M31</f>
        <v>1.7064250000000003E-2</v>
      </c>
      <c r="O10" s="24">
        <f>'Mynydd Llannegaai'!N31</f>
        <v>1569.2250000000001</v>
      </c>
      <c r="P10" s="24">
        <f>'Mynydd Llannegaai'!O31</f>
        <v>27.954500000000003</v>
      </c>
      <c r="Q10" s="24">
        <f>'Mynydd Llannegaai'!P31</f>
        <v>0</v>
      </c>
      <c r="R10" s="24">
        <f>'Mynydd Llannegaai'!Q31</f>
        <v>252.96250000000009</v>
      </c>
      <c r="S10" s="24">
        <f>'Mynydd Llannegaai'!R31</f>
        <v>0</v>
      </c>
      <c r="T10" s="24">
        <f>'Mynydd Llannegaai'!S31</f>
        <v>7.8032500000000005E-2</v>
      </c>
      <c r="U10" s="24">
        <f>'Mynydd Llannegaai'!T31</f>
        <v>0</v>
      </c>
      <c r="V10" s="24">
        <f>'Mynydd Llannegaai'!U31</f>
        <v>0</v>
      </c>
    </row>
    <row r="11" spans="1:22" x14ac:dyDescent="0.2">
      <c r="A11" s="27">
        <v>9</v>
      </c>
      <c r="B11" s="78"/>
      <c r="C11" s="24">
        <f>Penybont!B31</f>
        <v>224</v>
      </c>
      <c r="D11" s="24">
        <f>Penybont!C31</f>
        <v>51.507456000000005</v>
      </c>
      <c r="E11" s="24">
        <f>Penybont!D31</f>
        <v>75.093188352000027</v>
      </c>
      <c r="F11" s="24">
        <f>Penybont!E31</f>
        <v>1.4467711999999999</v>
      </c>
      <c r="G11" s="24">
        <f>Penybont!F31</f>
        <v>10.650036992</v>
      </c>
      <c r="H11" s="24">
        <f>Penybont!G31</f>
        <v>0.20831104</v>
      </c>
      <c r="I11" s="24">
        <f>Penybont!H31</f>
        <v>0.59851904000000011</v>
      </c>
      <c r="J11" s="24">
        <f>Penybont!I31</f>
        <v>2.9055488000000001E-2</v>
      </c>
      <c r="K11" s="24">
        <f>Penybont!J31</f>
        <v>2.1011200000000002E-3</v>
      </c>
      <c r="L11" s="24">
        <f>Penybont!K31</f>
        <v>8.9447680000000005E-3</v>
      </c>
      <c r="M11" s="24">
        <f>Penybont!L31</f>
        <v>4.7425280000000007E-2</v>
      </c>
      <c r="N11" s="24">
        <f>Penybont!M31</f>
        <v>2.7374592000000003E-2</v>
      </c>
      <c r="O11" s="24">
        <f>Penybont!N31</f>
        <v>1302.6943999999999</v>
      </c>
      <c r="P11" s="24">
        <f>Penybont!O31</f>
        <v>55.529600000000002</v>
      </c>
      <c r="Q11" s="24">
        <f>Penybont!P31</f>
        <v>0</v>
      </c>
      <c r="R11" s="24">
        <f>Penybont!Q31</f>
        <v>195.10400000000001</v>
      </c>
      <c r="S11" s="24">
        <f>Penybont!R31</f>
        <v>0</v>
      </c>
      <c r="T11" s="24">
        <f>Penybont!S31</f>
        <v>0.28635264000000005</v>
      </c>
      <c r="U11" s="24">
        <f>Penybont!T31</f>
        <v>0</v>
      </c>
      <c r="V11" s="24">
        <f>Penybont!U31</f>
        <v>0</v>
      </c>
    </row>
    <row r="12" spans="1:22" x14ac:dyDescent="0.2">
      <c r="A12" s="27">
        <v>10</v>
      </c>
      <c r="B12" s="78"/>
      <c r="C12" s="24">
        <f>'Rhiw Goch'!B31</f>
        <v>250</v>
      </c>
      <c r="D12" s="24">
        <f>'Rhiw Goch'!C31</f>
        <v>67.760000000000019</v>
      </c>
      <c r="E12" s="24">
        <f>'Rhiw Goch'!D31</f>
        <v>72.32687</v>
      </c>
      <c r="F12" s="24">
        <f>'Rhiw Goch'!E31</f>
        <v>1.3255000000000001</v>
      </c>
      <c r="G12" s="24">
        <f>'Rhiw Goch'!F31</f>
        <v>7.9700060000000006</v>
      </c>
      <c r="H12" s="24">
        <f>'Rhiw Goch'!G31</f>
        <v>0.18370000000000003</v>
      </c>
      <c r="I12" s="24">
        <f>'Rhiw Goch'!H31</f>
        <v>3.2890000000000001</v>
      </c>
      <c r="J12" s="24">
        <f>'Rhiw Goch'!I31</f>
        <v>0.30470000000000003</v>
      </c>
      <c r="K12" s="24">
        <f>'Rhiw Goch'!J31</f>
        <v>9.5700000000000021E-3</v>
      </c>
      <c r="L12" s="24">
        <f>'Rhiw Goch'!K31</f>
        <v>1.0010000000000002E-2</v>
      </c>
      <c r="M12" s="24">
        <f>'Rhiw Goch'!L31</f>
        <v>0.17490000000000003</v>
      </c>
      <c r="N12" s="24">
        <f>'Rhiw Goch'!M31</f>
        <v>0.16170000000000001</v>
      </c>
      <c r="O12" s="24">
        <f>'Rhiw Goch'!N31</f>
        <v>55.330000000000013</v>
      </c>
      <c r="P12" s="24">
        <f>'Rhiw Goch'!O31</f>
        <v>5104</v>
      </c>
      <c r="Q12" s="24">
        <f>'Rhiw Goch'!P31</f>
        <v>0</v>
      </c>
      <c r="R12" s="24">
        <f>'Rhiw Goch'!Q31</f>
        <v>85.250000000000028</v>
      </c>
      <c r="S12" s="24">
        <f>'Rhiw Goch'!R31</f>
        <v>0</v>
      </c>
      <c r="T12" s="24">
        <f>'Rhiw Goch'!S31</f>
        <v>0.1265</v>
      </c>
      <c r="U12" s="24">
        <f>'Rhiw Goch'!T31</f>
        <v>0</v>
      </c>
      <c r="V12" s="24">
        <f>'Rhiw Goch'!U31</f>
        <v>0</v>
      </c>
    </row>
    <row r="13" spans="1:22" x14ac:dyDescent="0.2">
      <c r="B13" s="28"/>
      <c r="C13" s="14"/>
      <c r="D13" s="14"/>
      <c r="E13" s="14"/>
      <c r="F13" s="14"/>
      <c r="G13" s="14"/>
      <c r="H13" s="14"/>
      <c r="I13" s="14"/>
      <c r="J13" s="14"/>
      <c r="K13" s="14"/>
      <c r="L13" s="14"/>
      <c r="M13" s="14"/>
      <c r="N13" s="14"/>
      <c r="O13" s="14"/>
      <c r="P13" s="14"/>
      <c r="Q13" s="14"/>
      <c r="R13" s="14"/>
      <c r="S13" s="14"/>
      <c r="T13" s="14"/>
      <c r="U13" s="14"/>
      <c r="V13" s="14"/>
    </row>
    <row r="14" spans="1:22" x14ac:dyDescent="0.2">
      <c r="A14" s="71" t="s">
        <v>86</v>
      </c>
      <c r="C14" s="71"/>
      <c r="D14" s="71"/>
      <c r="E14" s="71"/>
      <c r="F14" s="71"/>
      <c r="G14" s="71"/>
      <c r="H14" s="71"/>
      <c r="I14" s="71"/>
      <c r="J14" s="71"/>
      <c r="K14" s="71"/>
      <c r="L14" s="71"/>
      <c r="M14" s="71"/>
      <c r="N14" s="71"/>
    </row>
    <row r="15" spans="1:22" ht="38.25" x14ac:dyDescent="0.2">
      <c r="A15" s="174" t="s">
        <v>84</v>
      </c>
      <c r="B15" s="26" t="s">
        <v>152</v>
      </c>
      <c r="C15" s="26">
        <f>Bala!B43</f>
        <v>250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5" x14ac:dyDescent="0.2">
      <c r="A16" s="174"/>
      <c r="B16" s="23" t="s">
        <v>46</v>
      </c>
      <c r="C16" s="26">
        <f>Bala!B44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
      <c r="A17" s="72">
        <v>1</v>
      </c>
      <c r="B17" s="73">
        <f>B3</f>
        <v>0</v>
      </c>
      <c r="C17" s="74">
        <f>C3</f>
        <v>250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
      <c r="A19" s="72">
        <v>3</v>
      </c>
      <c r="B19" s="73">
        <f t="shared" ref="B19:C19" si="5">B5</f>
        <v>0</v>
      </c>
      <c r="C19" s="74">
        <f t="shared" si="5"/>
        <v>250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
      <c r="A20" s="72">
        <v>4</v>
      </c>
      <c r="B20" s="73">
        <f t="shared" ref="B20:C20" si="7">B6</f>
        <v>0</v>
      </c>
      <c r="C20" s="74">
        <f t="shared" si="7"/>
        <v>250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
      <c r="A21" s="72">
        <v>5</v>
      </c>
      <c r="B21" s="73">
        <f t="shared" ref="B21:C21" si="9">B7</f>
        <v>0</v>
      </c>
      <c r="C21" s="74">
        <f t="shared" si="9"/>
        <v>250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
      <c r="A22" s="72">
        <v>6</v>
      </c>
      <c r="B22" s="73">
        <f t="shared" ref="B22:C22" si="11">B8</f>
        <v>0</v>
      </c>
      <c r="C22" s="74">
        <f t="shared" si="11"/>
        <v>250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
      <c r="A23" s="72">
        <v>7</v>
      </c>
      <c r="B23" s="73">
        <f t="shared" ref="B23:C23" si="13">B9</f>
        <v>0</v>
      </c>
      <c r="C23" s="74">
        <f t="shared" si="13"/>
        <v>250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
      <c r="A24" s="72">
        <v>8</v>
      </c>
      <c r="B24" s="73">
        <f t="shared" ref="B24:C24" si="15">B10</f>
        <v>0</v>
      </c>
      <c r="C24" s="74">
        <f t="shared" si="15"/>
        <v>250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
      <c r="A25" s="72">
        <v>9</v>
      </c>
      <c r="B25" s="73">
        <f t="shared" ref="B25:C25" si="17">B11</f>
        <v>0</v>
      </c>
      <c r="C25" s="74">
        <f t="shared" si="17"/>
        <v>224</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
      <c r="A26" s="72">
        <v>10</v>
      </c>
      <c r="B26" s="73">
        <f t="shared" ref="B26:C26" si="19">B12</f>
        <v>0</v>
      </c>
      <c r="C26" s="74">
        <f t="shared" si="19"/>
        <v>250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75" x14ac:dyDescent="0.2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4e8d2c7b4b8a0eb4a4ee585224ea17f8">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7af58acacc79e0cc56e84632f09585fe"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REGU-415-1632991</_dlc_DocId>
    <_dlc_DocIdUrl xmlns="9be56660-2c31-41ef-bc00-23e72f632f2a">
      <Url>https://cyfoethnaturiolcymru.sharepoint.com/teams/Regulatory/Permitting/_layouts/15/DocIdRedir.aspx?ID=REGU-415-1632991</Url>
      <Description>REGU-415-1632991</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2025-11-05T00:00:00+00:00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12574FE4-A76D-4395-AD97-E097221A6E1E}"/>
</file>

<file path=customXml/itemProps4.xml><?xml version="1.0" encoding="utf-8"?>
<ds:datastoreItem xmlns:ds="http://schemas.openxmlformats.org/officeDocument/2006/customXml" ds:itemID="{70381E04-074F-439E-9A55-4D9069041718}"/>
</file>

<file path=customXml/itemProps5.xml><?xml version="1.0" encoding="utf-8"?>
<ds:datastoreItem xmlns:ds="http://schemas.openxmlformats.org/officeDocument/2006/customXml" ds:itemID="{3EB88BFD-E29A-4849-A8E6-116EB74B98EA}">
  <ds:schemaRefs>
    <ds:schemaRef ds:uri="http://purl.org/dc/terms/"/>
    <ds:schemaRef ds:uri="http://schemas.microsoft.com/office/2006/documentManagement/types"/>
    <ds:schemaRef ds:uri="http://schemas.microsoft.com/office/2006/metadata/properties"/>
    <ds:schemaRef ds:uri="http://schemas.microsoft.com/office/infopath/2007/PartnerControls"/>
    <ds:schemaRef ds:uri="http://purl.org/dc/dcmitype/"/>
    <ds:schemaRef ds:uri="http://purl.org/dc/elements/1.1/"/>
    <ds:schemaRef ds:uri="http://www.w3.org/XML/1998/namespace"/>
    <ds:schemaRef ds:uri="http://schemas.openxmlformats.org/package/2006/metadata/core-properties"/>
    <ds:schemaRef ds:uri="9be56660-2c31-41ef-bc00-23e72f632f2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Bala</vt:lpstr>
      <vt:lpstr>Bryn Cowlyd</vt:lpstr>
      <vt:lpstr>Cefni</vt:lpstr>
      <vt:lpstr>Cwellyn</vt:lpstr>
      <vt:lpstr>Dolbenmaen</vt:lpstr>
      <vt:lpstr>Gwastadgoed</vt:lpstr>
      <vt:lpstr>Llyn Conwy</vt:lpstr>
      <vt:lpstr>Mynydd Llannegaai</vt:lpstr>
      <vt:lpstr>Penybont</vt:lpstr>
      <vt:lpstr>Rhiw Goch</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Bailey, Louise</cp:lastModifiedBy>
  <dcterms:created xsi:type="dcterms:W3CDTF">2016-09-26T10:07:59Z</dcterms:created>
  <dcterms:modified xsi:type="dcterms:W3CDTF">2025-11-05T11:21:06Z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0f2c1d8d-3420-4345-adcf-2c3c35994b1b</vt:lpwstr>
  </property>
  <property fmtid="{D5CDD505-2E9C-101B-9397-08002B2CF9AE}" pid="4" name="MediaServiceImageTags">
    <vt:lpwstr/>
  </property>
</Properties>
</file>