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https://cyfoethnaturiolcymru-my.sharepoint.com/personal/bryan_burn_cyfoethnaturiolcymru_gov_uk/Documents/Desktop/PAN-030677 ByProduct High/Issue/"/>
    </mc:Choice>
  </mc:AlternateContent>
  <xr:revisionPtr revIDLastSave="0" documentId="8_{7F2F3E6D-409D-4E7E-AAA4-7D4F21392001}" xr6:coauthVersionLast="47" xr6:coauthVersionMax="47" xr10:uidLastSave="{00000000-0000-0000-0000-000000000000}"/>
  <bookViews>
    <workbookView xWindow="33720" yWindow="-120" windowWidth="29040" windowHeight="15720" tabRatio="870" activeTab="9" xr2:uid="{00000000-000D-0000-FFFF-FFFF00000000}"/>
  </bookViews>
  <sheets>
    <sheet name="Field data and Bala" sheetId="1" r:id="rId1"/>
    <sheet name="Cilfor" sheetId="21" r:id="rId2"/>
    <sheet name="Dolbenmaen" sheetId="27" r:id="rId3"/>
    <sheet name="Eithin" sheetId="28" r:id="rId4"/>
    <sheet name="Garreglwyd" sheetId="30" r:id="rId5"/>
    <sheet name="Gwastadgoed" sheetId="26" r:id="rId6"/>
    <sheet name="Llyn" sheetId="24" r:id="rId7"/>
    <sheet name="Pen y Bont" sheetId="29" r:id="rId8"/>
    <sheet name="Pen y Cefyn" sheetId="23" r:id="rId9"/>
    <sheet name="Rhiwgoch" sheetId="22" r:id="rId10"/>
    <sheet name="Additions" sheetId="20" r:id="rId11"/>
    <sheet name="Ratios" sheetId="19"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I65" i="1" l="1"/>
  <c r="J65" i="1"/>
  <c r="K65" i="1"/>
  <c r="L65" i="1"/>
  <c r="N65" i="1"/>
  <c r="P65" i="1"/>
  <c r="Q65" i="1"/>
  <c r="R65" i="1"/>
  <c r="S65" i="1"/>
  <c r="T65" i="1"/>
  <c r="U65" i="1"/>
  <c r="I65" i="21"/>
  <c r="J65" i="21"/>
  <c r="K65" i="21"/>
  <c r="L65" i="21"/>
  <c r="N65" i="21"/>
  <c r="P65" i="21"/>
  <c r="Q65" i="21"/>
  <c r="R65" i="21"/>
  <c r="S65" i="21"/>
  <c r="T65" i="21"/>
  <c r="U65" i="21"/>
  <c r="I65" i="27"/>
  <c r="J65" i="27"/>
  <c r="L65" i="27"/>
  <c r="N65" i="27"/>
  <c r="P65" i="27"/>
  <c r="Q65" i="27"/>
  <c r="R65" i="27"/>
  <c r="S65" i="27"/>
  <c r="T65" i="27"/>
  <c r="U65" i="27"/>
  <c r="I65" i="28"/>
  <c r="J65" i="28"/>
  <c r="K65" i="28"/>
  <c r="L65" i="28"/>
  <c r="N65" i="28"/>
  <c r="P65" i="28"/>
  <c r="Q65" i="28"/>
  <c r="R65" i="28"/>
  <c r="S65" i="28"/>
  <c r="T65" i="28"/>
  <c r="U65" i="28"/>
  <c r="I65" i="30"/>
  <c r="J65" i="30"/>
  <c r="K65" i="30"/>
  <c r="L65" i="30"/>
  <c r="N65" i="30"/>
  <c r="P65" i="30"/>
  <c r="Q65" i="30"/>
  <c r="R65" i="30"/>
  <c r="S65" i="30"/>
  <c r="T65" i="30"/>
  <c r="U65" i="30"/>
  <c r="I65" i="26"/>
  <c r="J65" i="26"/>
  <c r="K65" i="26"/>
  <c r="L65" i="26"/>
  <c r="N65" i="26"/>
  <c r="P65" i="26"/>
  <c r="Q65" i="26"/>
  <c r="R65" i="26"/>
  <c r="S65" i="26"/>
  <c r="T65" i="26"/>
  <c r="U65" i="26"/>
  <c r="I65" i="24"/>
  <c r="J65" i="24"/>
  <c r="K65" i="24"/>
  <c r="L65" i="24"/>
  <c r="N65" i="24"/>
  <c r="P65" i="24"/>
  <c r="Q65" i="24"/>
  <c r="R65" i="24"/>
  <c r="S65" i="24"/>
  <c r="T65" i="24"/>
  <c r="U65" i="24"/>
  <c r="I65" i="29"/>
  <c r="J65" i="29"/>
  <c r="K65" i="29"/>
  <c r="L65" i="29"/>
  <c r="N65" i="29"/>
  <c r="P65" i="29"/>
  <c r="Q65" i="29"/>
  <c r="R65" i="29"/>
  <c r="S65" i="29"/>
  <c r="T65" i="29"/>
  <c r="U65" i="29"/>
  <c r="I65" i="23"/>
  <c r="J65" i="23"/>
  <c r="K65" i="23"/>
  <c r="L65" i="23"/>
  <c r="N65" i="23"/>
  <c r="P65" i="23"/>
  <c r="Q65" i="23"/>
  <c r="R65" i="23"/>
  <c r="S65" i="23"/>
  <c r="T65" i="23"/>
  <c r="U65" i="23"/>
  <c r="I65" i="22"/>
  <c r="J65" i="22"/>
  <c r="K65" i="22"/>
  <c r="L65" i="22"/>
  <c r="N65" i="22"/>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C50" i="30"/>
  <c r="U49" i="30"/>
  <c r="T49" i="30"/>
  <c r="S49" i="30"/>
  <c r="R49" i="30"/>
  <c r="Q49" i="30"/>
  <c r="P49" i="30"/>
  <c r="O49" i="30"/>
  <c r="N49" i="30"/>
  <c r="M49" i="30"/>
  <c r="L49" i="30"/>
  <c r="K49" i="30"/>
  <c r="J49" i="30"/>
  <c r="I49" i="30"/>
  <c r="H49" i="30"/>
  <c r="G49" i="30"/>
  <c r="F49" i="30"/>
  <c r="E49" i="30"/>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C42" i="30"/>
  <c r="U41" i="30"/>
  <c r="T41" i="30"/>
  <c r="S41" i="30"/>
  <c r="R41" i="30"/>
  <c r="Q41" i="30"/>
  <c r="P41" i="30"/>
  <c r="O41" i="30"/>
  <c r="N41" i="30"/>
  <c r="M41" i="30"/>
  <c r="L41" i="30"/>
  <c r="K41" i="30"/>
  <c r="J41" i="30"/>
  <c r="I41" i="30"/>
  <c r="H41" i="30"/>
  <c r="G41" i="30"/>
  <c r="F41" i="30"/>
  <c r="E41" i="30"/>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4" i="30"/>
  <c r="U24" i="30"/>
  <c r="T24" i="30"/>
  <c r="S24" i="30"/>
  <c r="R24" i="30"/>
  <c r="Q24" i="30"/>
  <c r="P24" i="30"/>
  <c r="O24" i="30"/>
  <c r="N24" i="30"/>
  <c r="M24" i="30"/>
  <c r="L24" i="30"/>
  <c r="K24" i="30"/>
  <c r="J24" i="30"/>
  <c r="U22" i="30"/>
  <c r="S22" i="30"/>
  <c r="M22" i="30"/>
  <c r="E22" i="30"/>
  <c r="V20" i="30"/>
  <c r="U20" i="30"/>
  <c r="T20" i="30"/>
  <c r="S20" i="30"/>
  <c r="R20" i="30"/>
  <c r="Q20" i="30"/>
  <c r="P20" i="30"/>
  <c r="O20" i="30"/>
  <c r="N20" i="30"/>
  <c r="M20" i="30"/>
  <c r="L20" i="30"/>
  <c r="K20" i="30"/>
  <c r="J20" i="30"/>
  <c r="V18" i="30"/>
  <c r="P18" i="30"/>
  <c r="N18" i="30"/>
  <c r="J18" i="30"/>
  <c r="H18"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C48" i="29"/>
  <c r="U47" i="29"/>
  <c r="T47" i="29"/>
  <c r="S47" i="29"/>
  <c r="R47" i="29"/>
  <c r="Q47" i="29"/>
  <c r="P47" i="29"/>
  <c r="O47" i="29"/>
  <c r="N47" i="29"/>
  <c r="M47" i="29"/>
  <c r="L47" i="29"/>
  <c r="K47" i="29"/>
  <c r="J47" i="29"/>
  <c r="I47" i="29"/>
  <c r="H47" i="29"/>
  <c r="G47" i="29"/>
  <c r="F47" i="29"/>
  <c r="E47" i="29"/>
  <c r="S22" i="29" s="1"/>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N18" i="29" s="1"/>
  <c r="C42" i="29"/>
  <c r="U41" i="29"/>
  <c r="T41" i="29"/>
  <c r="S41" i="29"/>
  <c r="R41" i="29"/>
  <c r="Q41" i="29"/>
  <c r="P41" i="29"/>
  <c r="O41" i="29"/>
  <c r="N41" i="29"/>
  <c r="M41" i="29"/>
  <c r="L41" i="29"/>
  <c r="K41" i="29"/>
  <c r="J41" i="29"/>
  <c r="I41" i="29"/>
  <c r="H41" i="29"/>
  <c r="G41" i="29"/>
  <c r="F41" i="29"/>
  <c r="E41" i="29"/>
  <c r="M22" i="29" s="1"/>
  <c r="D41" i="29"/>
  <c r="C41" i="29"/>
  <c r="U40" i="29"/>
  <c r="T40" i="29"/>
  <c r="S40" i="29"/>
  <c r="R40" i="29"/>
  <c r="Q40" i="29"/>
  <c r="P40" i="29"/>
  <c r="O40" i="29"/>
  <c r="N40" i="29"/>
  <c r="M40" i="29"/>
  <c r="L40" i="29"/>
  <c r="K40" i="29"/>
  <c r="J40" i="29"/>
  <c r="I40" i="29"/>
  <c r="H40" i="29"/>
  <c r="G40" i="29"/>
  <c r="F40" i="29"/>
  <c r="E40" i="29"/>
  <c r="L22" i="29" s="1"/>
  <c r="D40" i="29"/>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R22" i="29"/>
  <c r="V20" i="29"/>
  <c r="U20" i="29"/>
  <c r="T20" i="29"/>
  <c r="S20" i="29"/>
  <c r="R20" i="29"/>
  <c r="Q20" i="29"/>
  <c r="P20" i="29"/>
  <c r="O20" i="29"/>
  <c r="N20" i="29"/>
  <c r="M20" i="29"/>
  <c r="L20" i="29"/>
  <c r="K20" i="29"/>
  <c r="J20" i="29"/>
  <c r="U18" i="29"/>
  <c r="T18" i="29"/>
  <c r="P18" i="29"/>
  <c r="M18" i="29"/>
  <c r="L18" i="29"/>
  <c r="E18" i="29"/>
  <c r="D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N63" i="28"/>
  <c r="U62" i="28"/>
  <c r="T62" i="28"/>
  <c r="S62" i="28"/>
  <c r="R62" i="28"/>
  <c r="Q62" i="28"/>
  <c r="P62" i="28"/>
  <c r="O62" i="28"/>
  <c r="N62" i="28"/>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C50" i="28"/>
  <c r="U49" i="28"/>
  <c r="T49" i="28"/>
  <c r="S49" i="28"/>
  <c r="R49" i="28"/>
  <c r="Q49" i="28"/>
  <c r="P49" i="28"/>
  <c r="O49" i="28"/>
  <c r="N49" i="28"/>
  <c r="M49" i="28"/>
  <c r="L49" i="28"/>
  <c r="K49" i="28"/>
  <c r="J49" i="28"/>
  <c r="I49" i="28"/>
  <c r="H49" i="28"/>
  <c r="G49" i="28"/>
  <c r="F49" i="28"/>
  <c r="E49" i="28"/>
  <c r="U22" i="28" s="1"/>
  <c r="D49" i="28"/>
  <c r="U18" i="28" s="1"/>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R18" i="28" s="1"/>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P18" i="28" s="1"/>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M18" i="28" s="1"/>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E18" i="28" s="1"/>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V24" i="28"/>
  <c r="U24" i="28"/>
  <c r="T24" i="28"/>
  <c r="S24" i="28"/>
  <c r="R24" i="28"/>
  <c r="Q24" i="28"/>
  <c r="P24" i="28"/>
  <c r="O24" i="28"/>
  <c r="N24" i="28"/>
  <c r="M24" i="28"/>
  <c r="L24" i="28"/>
  <c r="K24" i="28"/>
  <c r="J24" i="28"/>
  <c r="V20" i="28"/>
  <c r="U20" i="28"/>
  <c r="T20" i="28"/>
  <c r="S20" i="28"/>
  <c r="R20" i="28"/>
  <c r="Q20" i="28"/>
  <c r="P20" i="28"/>
  <c r="O20" i="28"/>
  <c r="N20" i="28"/>
  <c r="M20" i="28"/>
  <c r="L20" i="28"/>
  <c r="K20" i="28"/>
  <c r="J20" i="28"/>
  <c r="V18" i="28"/>
  <c r="I18" i="28"/>
  <c r="H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C49" i="27"/>
  <c r="U48" i="27"/>
  <c r="T48" i="27"/>
  <c r="S48" i="27"/>
  <c r="R48" i="27"/>
  <c r="Q48" i="27"/>
  <c r="P48" i="27"/>
  <c r="O48" i="27"/>
  <c r="N48" i="27"/>
  <c r="M48" i="27"/>
  <c r="L48" i="27"/>
  <c r="K48" i="27"/>
  <c r="J48" i="27"/>
  <c r="I48" i="27"/>
  <c r="H48" i="27"/>
  <c r="G48" i="27"/>
  <c r="F48" i="27"/>
  <c r="E48" i="27"/>
  <c r="T22" i="27" s="1"/>
  <c r="D48" i="27"/>
  <c r="C48" i="27"/>
  <c r="U47" i="27"/>
  <c r="T47" i="27"/>
  <c r="S47" i="27"/>
  <c r="R47" i="27"/>
  <c r="Q47" i="27"/>
  <c r="P47" i="27"/>
  <c r="O47" i="27"/>
  <c r="N47" i="27"/>
  <c r="M47" i="27"/>
  <c r="L47" i="27"/>
  <c r="K47" i="27"/>
  <c r="J47" i="27"/>
  <c r="I47" i="27"/>
  <c r="H47" i="27"/>
  <c r="G47" i="27"/>
  <c r="F47" i="27"/>
  <c r="E47" i="27"/>
  <c r="S22" i="27" s="1"/>
  <c r="D47" i="27"/>
  <c r="C47" i="27"/>
  <c r="U46" i="27"/>
  <c r="T46" i="27"/>
  <c r="S46" i="27"/>
  <c r="R46" i="27"/>
  <c r="Q46" i="27"/>
  <c r="P46" i="27"/>
  <c r="O46" i="27"/>
  <c r="N46" i="27"/>
  <c r="M46" i="27"/>
  <c r="L46" i="27"/>
  <c r="K46" i="27"/>
  <c r="J46" i="27"/>
  <c r="I46" i="27"/>
  <c r="H46" i="27"/>
  <c r="G46" i="27"/>
  <c r="F46" i="27"/>
  <c r="E46" i="27"/>
  <c r="R22" i="27" s="1"/>
  <c r="D46" i="27"/>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C33" i="27"/>
  <c r="U32" i="27"/>
  <c r="T32" i="27"/>
  <c r="S32" i="27"/>
  <c r="R32" i="27"/>
  <c r="Q32" i="27"/>
  <c r="P32" i="27"/>
  <c r="O32" i="27"/>
  <c r="N32" i="27"/>
  <c r="M32" i="27"/>
  <c r="L32" i="27"/>
  <c r="K32" i="27"/>
  <c r="J32" i="27"/>
  <c r="I32" i="27"/>
  <c r="H32" i="27"/>
  <c r="G32" i="27"/>
  <c r="F32" i="27"/>
  <c r="E32" i="27"/>
  <c r="D22" i="27" s="1"/>
  <c r="D32" i="27"/>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Q20" i="27"/>
  <c r="P20" i="27"/>
  <c r="O20" i="27"/>
  <c r="N20" i="27"/>
  <c r="M20" i="27"/>
  <c r="L20" i="27"/>
  <c r="K20" i="27"/>
  <c r="J20" i="27"/>
  <c r="U18" i="27"/>
  <c r="T18" i="27"/>
  <c r="S18" i="27"/>
  <c r="R18" i="27"/>
  <c r="K18" i="27"/>
  <c r="E18" i="27"/>
  <c r="D18"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V18" i="26" s="1"/>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S18" i="26" s="1"/>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F18" i="26" s="1"/>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V24" i="26"/>
  <c r="U24" i="26"/>
  <c r="T24" i="26"/>
  <c r="S24" i="26"/>
  <c r="R24" i="26"/>
  <c r="Q24" i="26"/>
  <c r="P24" i="26"/>
  <c r="O24" i="26"/>
  <c r="N24" i="26"/>
  <c r="M24" i="26"/>
  <c r="L24" i="26"/>
  <c r="K24" i="26"/>
  <c r="J24" i="26"/>
  <c r="Q22" i="26"/>
  <c r="O22" i="26"/>
  <c r="K22" i="26"/>
  <c r="V20" i="26"/>
  <c r="U20" i="26"/>
  <c r="T20" i="26"/>
  <c r="S20" i="26"/>
  <c r="R20" i="26"/>
  <c r="Q20" i="26"/>
  <c r="P20" i="26"/>
  <c r="O20" i="26"/>
  <c r="N20" i="26"/>
  <c r="M20" i="26"/>
  <c r="L20" i="26"/>
  <c r="K20" i="26"/>
  <c r="J20" i="26"/>
  <c r="O18" i="26"/>
  <c r="L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U18" i="24" s="1"/>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D41" i="24"/>
  <c r="M18" i="24" s="1"/>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H18" i="24" s="1"/>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D33" i="24"/>
  <c r="E18" i="24" s="1"/>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M22" i="24"/>
  <c r="E22" i="24"/>
  <c r="V20" i="24"/>
  <c r="U20" i="24"/>
  <c r="T20" i="24"/>
  <c r="S20" i="24"/>
  <c r="R20" i="24"/>
  <c r="Q20" i="24"/>
  <c r="P20" i="24"/>
  <c r="O20" i="24"/>
  <c r="N20" i="24"/>
  <c r="M20" i="24"/>
  <c r="L20" i="24"/>
  <c r="K20" i="24"/>
  <c r="J20" i="24"/>
  <c r="V18" i="24"/>
  <c r="P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S22" i="23" s="1"/>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V20" i="23"/>
  <c r="U20" i="23"/>
  <c r="T20" i="23"/>
  <c r="S20" i="23"/>
  <c r="R20" i="23"/>
  <c r="Q20" i="23"/>
  <c r="P20" i="23"/>
  <c r="O20" i="23"/>
  <c r="N20" i="23"/>
  <c r="M20" i="23"/>
  <c r="L20" i="23"/>
  <c r="K20" i="23"/>
  <c r="J20" i="23"/>
  <c r="Q18" i="23"/>
  <c r="O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V18" i="22" s="1"/>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M22" i="22" s="1"/>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O22" i="22"/>
  <c r="G22" i="22"/>
  <c r="V20" i="22"/>
  <c r="U20" i="22"/>
  <c r="T20" i="22"/>
  <c r="S20" i="22"/>
  <c r="R20" i="22"/>
  <c r="Q20" i="22"/>
  <c r="P20" i="22"/>
  <c r="O20" i="22"/>
  <c r="N20" i="22"/>
  <c r="M20" i="22"/>
  <c r="L20" i="22"/>
  <c r="K20" i="22"/>
  <c r="J20" i="22"/>
  <c r="U18" i="22"/>
  <c r="S18" i="22"/>
  <c r="R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N58" i="21" s="1"/>
  <c r="N61" i="21" s="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O20" i="21"/>
  <c r="N20" i="21"/>
  <c r="M20" i="21"/>
  <c r="L20" i="21"/>
  <c r="K20" i="21"/>
  <c r="J20" i="21"/>
  <c r="V18" i="21"/>
  <c r="H10" i="19" l="1"/>
  <c r="H24" i="19" s="1"/>
  <c r="T6" i="19"/>
  <c r="T20" i="19"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L64" i="28" s="1"/>
  <c r="M17" i="28"/>
  <c r="M21" i="28"/>
  <c r="T59" i="28"/>
  <c r="U17" i="28"/>
  <c r="U21" i="28"/>
  <c r="U23" i="28" s="1"/>
  <c r="I4" i="20"/>
  <c r="J4" i="19"/>
  <c r="J18" i="19" s="1"/>
  <c r="I59" i="21"/>
  <c r="J17" i="21"/>
  <c r="J19"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G12" i="20"/>
  <c r="H12" i="19"/>
  <c r="H26" i="19" s="1"/>
  <c r="J4" i="20"/>
  <c r="K4" i="19"/>
  <c r="K18" i="19" s="1"/>
  <c r="U63" i="21"/>
  <c r="N63" i="21"/>
  <c r="F63" i="21"/>
  <c r="P59" i="21"/>
  <c r="Q21" i="21"/>
  <c r="Q23" i="21" s="1"/>
  <c r="Q24" i="21" s="1"/>
  <c r="Q17" i="21"/>
  <c r="I17" i="21"/>
  <c r="I21" i="21"/>
  <c r="D59" i="22"/>
  <c r="E21" i="22"/>
  <c r="E17" i="22"/>
  <c r="L59" i="22"/>
  <c r="M21" i="22"/>
  <c r="M23" i="22" s="1"/>
  <c r="M24" i="22" s="1"/>
  <c r="M17" i="22"/>
  <c r="T59" i="22"/>
  <c r="U21" i="22"/>
  <c r="U17" i="22"/>
  <c r="U19" i="22" s="1"/>
  <c r="D59" i="27"/>
  <c r="E17" i="27"/>
  <c r="E19" i="27" s="1"/>
  <c r="E20" i="27" s="1"/>
  <c r="L59" i="27"/>
  <c r="M17" i="27"/>
  <c r="M19" i="27" s="1"/>
  <c r="T59" i="27"/>
  <c r="U17" i="27"/>
  <c r="S59" i="22"/>
  <c r="T21" i="22"/>
  <c r="T17" i="22"/>
  <c r="G21" i="23"/>
  <c r="G23" i="23" s="1"/>
  <c r="G24" i="23" s="1"/>
  <c r="G17" i="23"/>
  <c r="I9" i="20"/>
  <c r="J9" i="19"/>
  <c r="J23" i="19" s="1"/>
  <c r="R4" i="20"/>
  <c r="S4" i="19"/>
  <c r="S18" i="19" s="1"/>
  <c r="R11" i="20"/>
  <c r="S11" i="19"/>
  <c r="S25" i="19" s="1"/>
  <c r="I59" i="24"/>
  <c r="J21" i="24"/>
  <c r="J17" i="24"/>
  <c r="J19"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21" i="22"/>
  <c r="J23" i="22" s="1"/>
  <c r="J24" i="22" s="1"/>
  <c r="K59" i="23"/>
  <c r="L17" i="23"/>
  <c r="L21" i="23"/>
  <c r="M57" i="21"/>
  <c r="R59" i="21"/>
  <c r="S21" i="21"/>
  <c r="S23" i="21" s="1"/>
  <c r="S24" i="21" s="1"/>
  <c r="S17" i="21"/>
  <c r="J59" i="21"/>
  <c r="K21" i="21"/>
  <c r="K23" i="21" s="1"/>
  <c r="K24" i="21" s="1"/>
  <c r="K17" i="21"/>
  <c r="J59" i="22"/>
  <c r="K17" i="22"/>
  <c r="K21" i="22"/>
  <c r="R59" i="22"/>
  <c r="S17" i="22"/>
  <c r="S21" i="22"/>
  <c r="S23" i="22" s="1"/>
  <c r="S24" i="22" s="1"/>
  <c r="D59" i="23"/>
  <c r="E17" i="23"/>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R59" i="27"/>
  <c r="S17" i="27"/>
  <c r="S19" i="27" s="1"/>
  <c r="J59" i="28"/>
  <c r="K17" i="28"/>
  <c r="K21" i="28"/>
  <c r="R59" i="28"/>
  <c r="S17" i="28"/>
  <c r="S21" i="28"/>
  <c r="S23" i="28" s="1"/>
  <c r="I59" i="29"/>
  <c r="J17" i="29"/>
  <c r="J21" i="29"/>
  <c r="Q59" i="29"/>
  <c r="R21" i="29"/>
  <c r="R23" i="29" s="1"/>
  <c r="R24" i="29" s="1"/>
  <c r="R17" i="29"/>
  <c r="H59" i="30"/>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24" i="23" s="1"/>
  <c r="N17" i="23"/>
  <c r="N19"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21" i="29"/>
  <c r="R59" i="29"/>
  <c r="S21" i="29"/>
  <c r="S17" i="29"/>
  <c r="I59" i="30"/>
  <c r="J21" i="30"/>
  <c r="J23" i="30" s="1"/>
  <c r="J17" i="30"/>
  <c r="J19" i="30" s="1"/>
  <c r="Q59" i="30"/>
  <c r="R21" i="30"/>
  <c r="R23"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21" i="30"/>
  <c r="K23"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R59" i="24"/>
  <c r="S21" i="24"/>
  <c r="S23" i="24" s="1"/>
  <c r="S24" i="24" s="1"/>
  <c r="S17" i="24"/>
  <c r="G21" i="26"/>
  <c r="G17" i="26"/>
  <c r="O17" i="26"/>
  <c r="O21" i="26"/>
  <c r="E59" i="27"/>
  <c r="F17" i="27"/>
  <c r="F19" i="27" s="1"/>
  <c r="F20" i="27" s="1"/>
  <c r="M59" i="27"/>
  <c r="N17" i="27"/>
  <c r="U59" i="27"/>
  <c r="V17" i="27"/>
  <c r="E59" i="28"/>
  <c r="F17" i="28"/>
  <c r="F21" i="28"/>
  <c r="M59" i="28"/>
  <c r="N17" i="28"/>
  <c r="N19"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N66" i="21" s="1"/>
  <c r="O21" i="21"/>
  <c r="O23" i="21" s="1"/>
  <c r="O24" i="21" s="1"/>
  <c r="O17" i="21"/>
  <c r="O19" i="21" s="1"/>
  <c r="F59" i="21"/>
  <c r="G21" i="21"/>
  <c r="G17" i="21"/>
  <c r="G17" i="22"/>
  <c r="G21" i="22"/>
  <c r="O17" i="22"/>
  <c r="O19" i="22" s="1"/>
  <c r="O21" i="22"/>
  <c r="O23" i="22" s="1"/>
  <c r="O24" i="22" s="1"/>
  <c r="H59" i="23"/>
  <c r="I21" i="23"/>
  <c r="I23" i="23" s="1"/>
  <c r="I24" i="23" s="1"/>
  <c r="I17" i="23"/>
  <c r="P59" i="23"/>
  <c r="Q17" i="23"/>
  <c r="Q21" i="23"/>
  <c r="Q23" i="23" s="1"/>
  <c r="Q24" i="23" s="1"/>
  <c r="C59" i="24"/>
  <c r="D17" i="24"/>
  <c r="D19" i="24" s="1"/>
  <c r="D20" i="24" s="1"/>
  <c r="D21" i="24"/>
  <c r="K59" i="24"/>
  <c r="L21" i="24"/>
  <c r="L17" i="24"/>
  <c r="L19" i="24" s="1"/>
  <c r="S59" i="24"/>
  <c r="T21" i="24"/>
  <c r="T17" i="24"/>
  <c r="T19" i="24" s="1"/>
  <c r="H21" i="26"/>
  <c r="H23" i="26" s="1"/>
  <c r="H24" i="26" s="1"/>
  <c r="H17" i="26"/>
  <c r="P21" i="26"/>
  <c r="P17" i="26"/>
  <c r="F59" i="28"/>
  <c r="G17" i="28"/>
  <c r="G19" i="28" s="1"/>
  <c r="G20" i="28" s="1"/>
  <c r="G21" i="28"/>
  <c r="G23" i="28" s="1"/>
  <c r="G24" i="28" s="1"/>
  <c r="N59" i="28"/>
  <c r="O17" i="28"/>
  <c r="O19" i="28" s="1"/>
  <c r="O21" i="28"/>
  <c r="E59" i="29"/>
  <c r="F17" i="29"/>
  <c r="F21" i="29"/>
  <c r="M59" i="29"/>
  <c r="N17" i="29"/>
  <c r="N21" i="29"/>
  <c r="N23" i="29" s="1"/>
  <c r="N24" i="29" s="1"/>
  <c r="U59" i="29"/>
  <c r="V17" i="29"/>
  <c r="V21" i="29"/>
  <c r="V23" i="29" s="1"/>
  <c r="V24" i="29" s="1"/>
  <c r="D59" i="30"/>
  <c r="E17" i="30"/>
  <c r="E21" i="30"/>
  <c r="L59" i="30"/>
  <c r="M17" i="30"/>
  <c r="M21" i="30"/>
  <c r="M23"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1" i="21"/>
  <c r="G59" i="22"/>
  <c r="H21" i="22"/>
  <c r="H17" i="22"/>
  <c r="H19" i="22" s="1"/>
  <c r="H20" i="22" s="1"/>
  <c r="I59" i="23"/>
  <c r="J21" i="23"/>
  <c r="J17" i="23"/>
  <c r="J19" i="23" s="1"/>
  <c r="Q59" i="23"/>
  <c r="R21" i="23"/>
  <c r="R17" i="23"/>
  <c r="D59" i="24"/>
  <c r="E17" i="24"/>
  <c r="E21" i="24"/>
  <c r="L59" i="24"/>
  <c r="M17" i="24"/>
  <c r="M19"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21" i="29"/>
  <c r="E59" i="30"/>
  <c r="F21" i="30"/>
  <c r="F17" i="30"/>
  <c r="F19" i="30" s="1"/>
  <c r="F20" i="30" s="1"/>
  <c r="M59" i="30"/>
  <c r="N21" i="30"/>
  <c r="N17" i="30"/>
  <c r="U59" i="30"/>
  <c r="V21" i="30"/>
  <c r="V23"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21" i="21"/>
  <c r="E17" i="2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U59" i="24"/>
  <c r="V21" i="24"/>
  <c r="V17" i="24"/>
  <c r="V19" i="24" s="1"/>
  <c r="I58" i="26"/>
  <c r="I61" i="26" s="1"/>
  <c r="J17" i="26"/>
  <c r="J19" i="26" s="1"/>
  <c r="J21" i="26"/>
  <c r="Q58" i="26"/>
  <c r="Q61" i="26" s="1"/>
  <c r="R21" i="26"/>
  <c r="R23" i="26" s="1"/>
  <c r="R17" i="26"/>
  <c r="R19" i="26" s="1"/>
  <c r="F63" i="26"/>
  <c r="I17" i="27"/>
  <c r="I19" i="27" s="1"/>
  <c r="I20" i="27" s="1"/>
  <c r="Q17" i="27"/>
  <c r="I21" i="28"/>
  <c r="I23" i="28" s="1"/>
  <c r="I24" i="28" s="1"/>
  <c r="I17" i="28"/>
  <c r="Q21" i="28"/>
  <c r="Q23" i="28" s="1"/>
  <c r="Q17" i="28"/>
  <c r="Q19" i="28" s="1"/>
  <c r="H21" i="29"/>
  <c r="H23" i="29" s="1"/>
  <c r="H24" i="29" s="1"/>
  <c r="H17" i="29"/>
  <c r="P21" i="29"/>
  <c r="P23" i="29" s="1"/>
  <c r="P24" i="29" s="1"/>
  <c r="P17" i="29"/>
  <c r="G21" i="30"/>
  <c r="G17" i="30"/>
  <c r="O21" i="30"/>
  <c r="O17" i="30"/>
  <c r="O19"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J59" i="26"/>
  <c r="K17" i="26"/>
  <c r="K19" i="26" s="1"/>
  <c r="K21" i="26"/>
  <c r="R59" i="26"/>
  <c r="S17" i="26"/>
  <c r="S19" i="26" s="1"/>
  <c r="S21" i="26"/>
  <c r="S23" i="26" s="1"/>
  <c r="M63" i="26"/>
  <c r="I59" i="27"/>
  <c r="J17" i="27"/>
  <c r="Q59" i="27"/>
  <c r="R17" i="27"/>
  <c r="I59" i="28"/>
  <c r="J17" i="28"/>
  <c r="J19" i="28" s="1"/>
  <c r="J21" i="28"/>
  <c r="J23" i="28" s="1"/>
  <c r="Q59" i="28"/>
  <c r="R21" i="28"/>
  <c r="R23" i="28" s="1"/>
  <c r="R17" i="28"/>
  <c r="I21" i="29"/>
  <c r="I23" i="29" s="1"/>
  <c r="I24" i="29" s="1"/>
  <c r="I17" i="29"/>
  <c r="I19" i="29" s="1"/>
  <c r="I20" i="29" s="1"/>
  <c r="Q21" i="29"/>
  <c r="Q17" i="29"/>
  <c r="Q19" i="29" s="1"/>
  <c r="H17" i="30"/>
  <c r="H19" i="30" s="1"/>
  <c r="H20" i="30" s="1"/>
  <c r="H21" i="30"/>
  <c r="P17" i="30"/>
  <c r="P21" i="30"/>
  <c r="P23"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B59" i="27"/>
  <c r="C17" i="27"/>
  <c r="C19" i="27" s="1"/>
  <c r="C20" i="27" s="1"/>
  <c r="C21" i="27"/>
  <c r="B59" i="28"/>
  <c r="C21" i="28"/>
  <c r="C23" i="28" s="1"/>
  <c r="C24" i="28" s="1"/>
  <c r="C17" i="28"/>
  <c r="C19" i="28" s="1"/>
  <c r="C20" i="28" s="1"/>
  <c r="B59" i="29"/>
  <c r="C21" i="29"/>
  <c r="C23" i="29" s="1"/>
  <c r="C24" i="29" s="1"/>
  <c r="C17" i="29"/>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G23" i="22"/>
  <c r="G24" i="22" s="1"/>
  <c r="K58" i="21"/>
  <c r="K61" i="21" s="1"/>
  <c r="K64" i="21" s="1"/>
  <c r="R19" i="24"/>
  <c r="I21" i="27"/>
  <c r="I23" i="27" s="1"/>
  <c r="I24" i="27" s="1"/>
  <c r="Q21" i="27"/>
  <c r="R58" i="21"/>
  <c r="R61" i="21" s="1"/>
  <c r="R64" i="21" s="1"/>
  <c r="O57" i="21"/>
  <c r="A43" i="21"/>
  <c r="J58" i="21"/>
  <c r="J61" i="21" s="1"/>
  <c r="E19" i="21"/>
  <c r="E20" i="21" s="1"/>
  <c r="G23" i="26"/>
  <c r="G24" i="26" s="1"/>
  <c r="D58" i="29"/>
  <c r="D61" i="29" s="1"/>
  <c r="P23" i="26"/>
  <c r="G21" i="27"/>
  <c r="G23" i="27" s="1"/>
  <c r="G24" i="27" s="1"/>
  <c r="O21" i="27"/>
  <c r="O23" i="27" s="1"/>
  <c r="O24" i="27" s="1"/>
  <c r="D58" i="30"/>
  <c r="D61" i="30" s="1"/>
  <c r="D64" i="30" s="1"/>
  <c r="D65" i="30" s="1"/>
  <c r="L58" i="30"/>
  <c r="L61" i="30" s="1"/>
  <c r="L64" i="30" s="1"/>
  <c r="R58" i="23"/>
  <c r="R61" i="23" s="1"/>
  <c r="H21" i="27"/>
  <c r="H23" i="27" s="1"/>
  <c r="H24" i="27" s="1"/>
  <c r="P21" i="27"/>
  <c r="J58" i="22"/>
  <c r="J61" i="22" s="1"/>
  <c r="J58" i="26"/>
  <c r="J61" i="26" s="1"/>
  <c r="J23" i="23"/>
  <c r="J24" i="23" s="1"/>
  <c r="R19" i="23"/>
  <c r="J58" i="27"/>
  <c r="J61" i="27" s="1"/>
  <c r="J64"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P58" i="22"/>
  <c r="P61" i="22" s="1"/>
  <c r="P64" i="22" s="1"/>
  <c r="F59" i="22"/>
  <c r="K58" i="29"/>
  <c r="K61" i="29" s="1"/>
  <c r="F19" i="23"/>
  <c r="F20" i="23" s="1"/>
  <c r="I58" i="23"/>
  <c r="I61" i="23" s="1"/>
  <c r="I64" i="23" s="1"/>
  <c r="Q58" i="23"/>
  <c r="Q61" i="23" s="1"/>
  <c r="L58" i="29"/>
  <c r="L61" i="29" s="1"/>
  <c r="T58" i="29"/>
  <c r="T61" i="29" s="1"/>
  <c r="T64" i="29" s="1"/>
  <c r="I23" i="30"/>
  <c r="I24" i="30" s="1"/>
  <c r="Q23" i="30"/>
  <c r="E23" i="30"/>
  <c r="E24" i="30" s="1"/>
  <c r="U23" i="30"/>
  <c r="J58" i="28"/>
  <c r="J61" i="28" s="1"/>
  <c r="J64" i="28" s="1"/>
  <c r="R58" i="22"/>
  <c r="R61" i="22" s="1"/>
  <c r="R64" i="22" s="1"/>
  <c r="J58" i="23"/>
  <c r="J61" i="23" s="1"/>
  <c r="J64" i="23" s="1"/>
  <c r="J58" i="24"/>
  <c r="J61" i="24" s="1"/>
  <c r="J64" i="24" s="1"/>
  <c r="R58" i="24"/>
  <c r="R61" i="24" s="1"/>
  <c r="F57" i="24"/>
  <c r="T58" i="30"/>
  <c r="T61" i="30" s="1"/>
  <c r="T64" i="30" s="1"/>
  <c r="C58" i="23"/>
  <c r="C61" i="23" s="1"/>
  <c r="C64" i="23" s="1"/>
  <c r="C65" i="23" s="1"/>
  <c r="K58" i="23"/>
  <c r="K61" i="23" s="1"/>
  <c r="S58" i="23"/>
  <c r="S61" i="23" s="1"/>
  <c r="F58" i="26"/>
  <c r="F61" i="26" s="1"/>
  <c r="D58" i="27"/>
  <c r="D61" i="27" s="1"/>
  <c r="D64" i="27" s="1"/>
  <c r="D65" i="27" s="1"/>
  <c r="L58" i="27"/>
  <c r="L61" i="27" s="1"/>
  <c r="T58" i="27"/>
  <c r="T61" i="27" s="1"/>
  <c r="T64" i="27" s="1"/>
  <c r="J58" i="30"/>
  <c r="J61" i="30" s="1"/>
  <c r="J64" i="30" s="1"/>
  <c r="R58" i="30"/>
  <c r="R61" i="30" s="1"/>
  <c r="R64" i="30" s="1"/>
  <c r="P57" i="30"/>
  <c r="J57" i="21"/>
  <c r="H59" i="21"/>
  <c r="Q23" i="22"/>
  <c r="Q24" i="22" s="1"/>
  <c r="J19" i="27"/>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T23" i="30"/>
  <c r="G58" i="30"/>
  <c r="G61" i="30" s="1"/>
  <c r="O58" i="30"/>
  <c r="O61" i="30" s="1"/>
  <c r="Q57" i="30"/>
  <c r="A36" i="22"/>
  <c r="G58" i="27"/>
  <c r="G61" i="27" s="1"/>
  <c r="T58" i="28"/>
  <c r="T61" i="28" s="1"/>
  <c r="T64" i="28" s="1"/>
  <c r="C58" i="29"/>
  <c r="C61" i="29" s="1"/>
  <c r="C64" i="29" s="1"/>
  <c r="C65" i="29" s="1"/>
  <c r="H58" i="30"/>
  <c r="H61" i="30" s="1"/>
  <c r="N59" i="30"/>
  <c r="K19" i="21"/>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I64" i="30" s="1"/>
  <c r="Q58" i="30"/>
  <c r="Q61" i="30" s="1"/>
  <c r="Q64" i="30" s="1"/>
  <c r="P59" i="30"/>
  <c r="L58" i="24"/>
  <c r="L61" i="24" s="1"/>
  <c r="L64" i="24" s="1"/>
  <c r="P58" i="26"/>
  <c r="P61" i="26" s="1"/>
  <c r="F59" i="26"/>
  <c r="O58" i="27"/>
  <c r="O61" i="27" s="1"/>
  <c r="A38" i="21"/>
  <c r="F57" i="22"/>
  <c r="N59" i="22"/>
  <c r="E58" i="23"/>
  <c r="E61" i="23" s="1"/>
  <c r="E64" i="23" s="1"/>
  <c r="M58" i="23"/>
  <c r="M61" i="23" s="1"/>
  <c r="U58" i="23"/>
  <c r="U61" i="23" s="1"/>
  <c r="U64" i="23" s="1"/>
  <c r="V19" i="23"/>
  <c r="O23" i="24"/>
  <c r="O24" i="24" s="1"/>
  <c r="F58" i="24"/>
  <c r="F61" i="24" s="1"/>
  <c r="N58" i="24"/>
  <c r="N61" i="24" s="1"/>
  <c r="F59" i="24"/>
  <c r="I58" i="27"/>
  <c r="I61" i="27" s="1"/>
  <c r="I64" i="27" s="1"/>
  <c r="Q58" i="27"/>
  <c r="Q61" i="27" s="1"/>
  <c r="Q64" i="27" s="1"/>
  <c r="H57" i="27"/>
  <c r="F59" i="27"/>
  <c r="O23" i="28"/>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H24" i="22" s="1"/>
  <c r="P23" i="22"/>
  <c r="P24" i="22" s="1"/>
  <c r="C58" i="22"/>
  <c r="C61" i="22" s="1"/>
  <c r="C64" i="22" s="1"/>
  <c r="C65" i="22" s="1"/>
  <c r="K58" i="22"/>
  <c r="K61" i="22" s="1"/>
  <c r="K64" i="22" s="1"/>
  <c r="S58" i="22"/>
  <c r="S61" i="22" s="1"/>
  <c r="S64" i="22" s="1"/>
  <c r="F57" i="23"/>
  <c r="D23" i="24"/>
  <c r="D24" i="24" s="1"/>
  <c r="L23" i="24"/>
  <c r="L24" i="24" s="1"/>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K58" i="30"/>
  <c r="K61" i="30" s="1"/>
  <c r="K64" i="30" s="1"/>
  <c r="S58" i="30"/>
  <c r="S61" i="30" s="1"/>
  <c r="H57" i="30"/>
  <c r="D58" i="24"/>
  <c r="D61" i="24" s="1"/>
  <c r="D64" i="24" s="1"/>
  <c r="D65"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D58" i="26"/>
  <c r="D61" i="26" s="1"/>
  <c r="L58" i="26"/>
  <c r="L61" i="26" s="1"/>
  <c r="L64" i="26" s="1"/>
  <c r="T58" i="26"/>
  <c r="T61" i="26" s="1"/>
  <c r="F57" i="26"/>
  <c r="C58" i="27"/>
  <c r="C61" i="27" s="1"/>
  <c r="C64" i="27" s="1"/>
  <c r="K58" i="27"/>
  <c r="K61" i="27" s="1"/>
  <c r="K64"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M19" i="21"/>
  <c r="G57" i="21"/>
  <c r="J19" i="22"/>
  <c r="E58" i="22"/>
  <c r="E61" i="22" s="1"/>
  <c r="E64" i="22" s="1"/>
  <c r="M58" i="22"/>
  <c r="M61" i="22" s="1"/>
  <c r="M64" i="22" s="1"/>
  <c r="M65" i="22" s="1"/>
  <c r="U58" i="22"/>
  <c r="U61" i="22" s="1"/>
  <c r="A45" i="22"/>
  <c r="O57" i="22"/>
  <c r="H58" i="23"/>
  <c r="H61" i="23" s="1"/>
  <c r="H64" i="23" s="1"/>
  <c r="H65"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H58" i="29"/>
  <c r="H61" i="29" s="1"/>
  <c r="P58" i="29"/>
  <c r="P61" i="29" s="1"/>
  <c r="E58" i="30"/>
  <c r="E61" i="30" s="1"/>
  <c r="E64" i="30" s="1"/>
  <c r="M58" i="30"/>
  <c r="M61" i="30" s="1"/>
  <c r="U58" i="30"/>
  <c r="U61" i="30" s="1"/>
  <c r="U64" i="30" s="1"/>
  <c r="U66" i="30" s="1"/>
  <c r="N57" i="30"/>
  <c r="F59" i="30"/>
  <c r="B58" i="30"/>
  <c r="B61" i="30" s="1"/>
  <c r="B64" i="30" s="1"/>
  <c r="B65" i="30" s="1"/>
  <c r="B58" i="24"/>
  <c r="B61" i="24" s="1"/>
  <c r="B64"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H64" i="30"/>
  <c r="O23" i="30"/>
  <c r="H23" i="30"/>
  <c r="H24" i="30" s="1"/>
  <c r="G23" i="30"/>
  <c r="G24" i="30" s="1"/>
  <c r="R19" i="30"/>
  <c r="F63" i="30"/>
  <c r="N63" i="30"/>
  <c r="K19" i="30"/>
  <c r="S19" i="30"/>
  <c r="S23" i="30"/>
  <c r="A31" i="30"/>
  <c r="A33" i="30"/>
  <c r="A39" i="30"/>
  <c r="A41" i="30"/>
  <c r="A47" i="30"/>
  <c r="A49" i="30"/>
  <c r="G57" i="30"/>
  <c r="O57" i="30"/>
  <c r="G59" i="30"/>
  <c r="G64" i="30" s="1"/>
  <c r="G65" i="30" s="1"/>
  <c r="O59" i="30"/>
  <c r="G63" i="30"/>
  <c r="O63" i="30"/>
  <c r="P63" i="30"/>
  <c r="I63" i="30"/>
  <c r="Q63" i="30"/>
  <c r="T19" i="30"/>
  <c r="E19" i="30"/>
  <c r="E20" i="30" s="1"/>
  <c r="N19" i="30"/>
  <c r="V19" i="30"/>
  <c r="F23" i="30"/>
  <c r="F24" i="30" s="1"/>
  <c r="N23" i="30"/>
  <c r="B63" i="30"/>
  <c r="J63" i="30"/>
  <c r="R63" i="30"/>
  <c r="M19" i="30"/>
  <c r="G19" i="30"/>
  <c r="G20" i="30" s="1"/>
  <c r="A32" i="30"/>
  <c r="A34" i="30"/>
  <c r="A40" i="30"/>
  <c r="A42" i="30"/>
  <c r="A48" i="30"/>
  <c r="A50" i="30"/>
  <c r="C63" i="30"/>
  <c r="K63" i="30"/>
  <c r="S63" i="30"/>
  <c r="P19" i="30"/>
  <c r="D63" i="30"/>
  <c r="L63" i="30"/>
  <c r="T63" i="30"/>
  <c r="H63" i="30"/>
  <c r="Q19" i="30"/>
  <c r="E63" i="30"/>
  <c r="M63" i="30"/>
  <c r="Q23" i="29"/>
  <c r="Q24" i="29" s="1"/>
  <c r="O23" i="29"/>
  <c r="O24" i="29" s="1"/>
  <c r="T19" i="29"/>
  <c r="P63" i="29"/>
  <c r="J19" i="29"/>
  <c r="R19" i="29"/>
  <c r="J23" i="29"/>
  <c r="J24" i="29" s="1"/>
  <c r="F57" i="29"/>
  <c r="N57" i="29"/>
  <c r="F59" i="29"/>
  <c r="N59" i="29"/>
  <c r="F63" i="29"/>
  <c r="N63" i="29"/>
  <c r="H63" i="29"/>
  <c r="K19" i="29"/>
  <c r="S19" i="29"/>
  <c r="K23" i="29"/>
  <c r="K24" i="29" s="1"/>
  <c r="S23" i="29"/>
  <c r="S24" i="29" s="1"/>
  <c r="A31" i="29"/>
  <c r="A33" i="29"/>
  <c r="A39" i="29"/>
  <c r="A41" i="29"/>
  <c r="A47" i="29"/>
  <c r="A49" i="29"/>
  <c r="G57" i="29"/>
  <c r="O57" i="29"/>
  <c r="G59" i="29"/>
  <c r="O59" i="29"/>
  <c r="G63" i="29"/>
  <c r="O63" i="29"/>
  <c r="E19" i="29"/>
  <c r="E20" i="29" s="1"/>
  <c r="M19" i="29"/>
  <c r="U19" i="29"/>
  <c r="M23" i="29"/>
  <c r="M24" i="29" s="1"/>
  <c r="U23" i="29"/>
  <c r="U24" i="29" s="1"/>
  <c r="I57" i="29"/>
  <c r="Q57" i="29"/>
  <c r="I63" i="29"/>
  <c r="Q63" i="29"/>
  <c r="F19" i="29"/>
  <c r="F20" i="29" s="1"/>
  <c r="N19" i="29"/>
  <c r="V19" i="29"/>
  <c r="F23" i="29"/>
  <c r="F24" i="29" s="1"/>
  <c r="B63" i="29"/>
  <c r="J63" i="29"/>
  <c r="R63" i="29"/>
  <c r="L19" i="29"/>
  <c r="G19" i="29"/>
  <c r="G20" i="29" s="1"/>
  <c r="O19" i="29"/>
  <c r="A32" i="29"/>
  <c r="A34" i="29"/>
  <c r="A40" i="29"/>
  <c r="A42" i="29"/>
  <c r="A48" i="29"/>
  <c r="A50" i="29"/>
  <c r="C63" i="29"/>
  <c r="K63" i="29"/>
  <c r="S63" i="29"/>
  <c r="H19" i="29"/>
  <c r="H20" i="29" s="1"/>
  <c r="P19" i="29"/>
  <c r="D63" i="29"/>
  <c r="L63" i="29"/>
  <c r="T63" i="29"/>
  <c r="E63" i="29"/>
  <c r="M63" i="29"/>
  <c r="K19" i="28"/>
  <c r="S19" i="28"/>
  <c r="K23" i="28"/>
  <c r="A31" i="28"/>
  <c r="A33" i="28"/>
  <c r="A37" i="28"/>
  <c r="A39" i="28"/>
  <c r="A41" i="28"/>
  <c r="A45" i="28"/>
  <c r="A47" i="28"/>
  <c r="A49" i="28"/>
  <c r="G57" i="28"/>
  <c r="O57" i="28"/>
  <c r="G59" i="28"/>
  <c r="O59" i="28"/>
  <c r="G63" i="28"/>
  <c r="O63" i="28"/>
  <c r="D19" i="28"/>
  <c r="D20" i="28" s="1"/>
  <c r="L19" i="28"/>
  <c r="L23" i="28"/>
  <c r="T23" i="28"/>
  <c r="H59" i="28"/>
  <c r="P59" i="28"/>
  <c r="H63" i="28"/>
  <c r="P63" i="28"/>
  <c r="E19" i="28"/>
  <c r="E20" i="28" s="1"/>
  <c r="M19" i="28"/>
  <c r="U19" i="28"/>
  <c r="M23" i="28"/>
  <c r="I57" i="28"/>
  <c r="Q57" i="28"/>
  <c r="I63" i="28"/>
  <c r="Q63" i="28"/>
  <c r="R19" i="28"/>
  <c r="F19" i="28"/>
  <c r="F20" i="28" s="1"/>
  <c r="V19" i="28"/>
  <c r="F23" i="28"/>
  <c r="F24" i="28" s="1"/>
  <c r="N23" i="28"/>
  <c r="V23" i="28"/>
  <c r="B63" i="28"/>
  <c r="J63" i="28"/>
  <c r="R63" i="28"/>
  <c r="A32" i="28"/>
  <c r="A34" i="28"/>
  <c r="A40" i="28"/>
  <c r="A42" i="28"/>
  <c r="A48" i="28"/>
  <c r="A50" i="28"/>
  <c r="C63" i="28"/>
  <c r="K63" i="28"/>
  <c r="S63" i="28"/>
  <c r="H19" i="28"/>
  <c r="H20" i="28" s="1"/>
  <c r="D63" i="28"/>
  <c r="L63" i="28"/>
  <c r="T63" i="28"/>
  <c r="I19" i="28"/>
  <c r="I20" i="28" s="1"/>
  <c r="E63" i="28"/>
  <c r="M63" i="28"/>
  <c r="Q23" i="27"/>
  <c r="Q24" i="27" s="1"/>
  <c r="T23" i="27"/>
  <c r="T24" i="27" s="1"/>
  <c r="R19" i="27"/>
  <c r="J21" i="27"/>
  <c r="J23" i="27" s="1"/>
  <c r="J24" i="27" s="1"/>
  <c r="F63" i="27"/>
  <c r="N63" i="27"/>
  <c r="C23" i="27"/>
  <c r="C24" i="27" s="1"/>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V19" i="27"/>
  <c r="F21" i="27"/>
  <c r="F23" i="27" s="1"/>
  <c r="F24" i="27" s="1"/>
  <c r="N21" i="27"/>
  <c r="N23" i="27" s="1"/>
  <c r="N24" i="27" s="1"/>
  <c r="V21" i="27"/>
  <c r="V23" i="27" s="1"/>
  <c r="V24" i="27" s="1"/>
  <c r="B63" i="27"/>
  <c r="J63" i="27"/>
  <c r="R63" i="27"/>
  <c r="G19" i="27"/>
  <c r="G20" i="27" s="1"/>
  <c r="A32" i="27"/>
  <c r="A34" i="27"/>
  <c r="A40" i="27"/>
  <c r="A42" i="27"/>
  <c r="A48" i="27"/>
  <c r="A50" i="27"/>
  <c r="C63" i="27"/>
  <c r="K63" i="27"/>
  <c r="K65" i="27" s="1"/>
  <c r="S63" i="27"/>
  <c r="L19" i="27"/>
  <c r="H19" i="27"/>
  <c r="H20" i="27" s="1"/>
  <c r="D63" i="27"/>
  <c r="L63" i="27"/>
  <c r="T63" i="27"/>
  <c r="H63" i="27"/>
  <c r="Q19" i="27"/>
  <c r="E63" i="27"/>
  <c r="M63" i="27"/>
  <c r="U64" i="26"/>
  <c r="U66" i="26" s="1"/>
  <c r="O23" i="26"/>
  <c r="J23" i="26"/>
  <c r="C19" i="26"/>
  <c r="C20" i="26" s="1"/>
  <c r="K23" i="26"/>
  <c r="A31" i="26"/>
  <c r="A33" i="26"/>
  <c r="A37" i="26"/>
  <c r="A39" i="26"/>
  <c r="A41" i="26"/>
  <c r="A45" i="26"/>
  <c r="A47" i="26"/>
  <c r="A49" i="26"/>
  <c r="G57" i="26"/>
  <c r="O57" i="26"/>
  <c r="G59" i="26"/>
  <c r="O59" i="26"/>
  <c r="G63" i="26"/>
  <c r="O63" i="26"/>
  <c r="L19" i="26"/>
  <c r="T19" i="26"/>
  <c r="L23" i="26"/>
  <c r="T23" i="26"/>
  <c r="H63" i="26"/>
  <c r="P63" i="26"/>
  <c r="M19" i="26"/>
  <c r="E23" i="26"/>
  <c r="E24" i="26" s="1"/>
  <c r="M23" i="26"/>
  <c r="I57" i="26"/>
  <c r="Q57" i="26"/>
  <c r="I59" i="26"/>
  <c r="I64" i="26" s="1"/>
  <c r="Q59" i="26"/>
  <c r="Q64" i="26" s="1"/>
  <c r="I63" i="26"/>
  <c r="Q63" i="26"/>
  <c r="N19" i="26"/>
  <c r="N23" i="26"/>
  <c r="V23" i="26"/>
  <c r="B63" i="26"/>
  <c r="J63" i="26"/>
  <c r="R63" i="26"/>
  <c r="G19" i="26"/>
  <c r="G20" i="26" s="1"/>
  <c r="O19" i="26"/>
  <c r="A32" i="26"/>
  <c r="A34" i="26"/>
  <c r="A40" i="26"/>
  <c r="A42" i="26"/>
  <c r="A48" i="26"/>
  <c r="A50" i="26"/>
  <c r="C63" i="26"/>
  <c r="K63" i="26"/>
  <c r="S63" i="26"/>
  <c r="H19" i="26"/>
  <c r="H20" i="26" s="1"/>
  <c r="P19" i="26"/>
  <c r="D63" i="26"/>
  <c r="L63" i="26"/>
  <c r="I19" i="26"/>
  <c r="I20" i="26" s="1"/>
  <c r="J23" i="24"/>
  <c r="J24" i="24" s="1"/>
  <c r="H23" i="24"/>
  <c r="H24" i="24" s="1"/>
  <c r="P23" i="24"/>
  <c r="P24" i="24" s="1"/>
  <c r="K19" i="24"/>
  <c r="S19" i="24"/>
  <c r="K23" i="24"/>
  <c r="K24" i="24" s="1"/>
  <c r="A31" i="24"/>
  <c r="A33" i="24"/>
  <c r="A37" i="24"/>
  <c r="A39" i="24"/>
  <c r="A41" i="24"/>
  <c r="A45" i="24"/>
  <c r="A47" i="24"/>
  <c r="A49" i="24"/>
  <c r="G57" i="24"/>
  <c r="O57" i="24"/>
  <c r="G59" i="24"/>
  <c r="O59" i="24"/>
  <c r="G63" i="24"/>
  <c r="O63" i="24"/>
  <c r="H59" i="24"/>
  <c r="P59" i="24"/>
  <c r="H63" i="24"/>
  <c r="P63" i="24"/>
  <c r="E19" i="24"/>
  <c r="E20" i="24" s="1"/>
  <c r="U19" i="24"/>
  <c r="E23" i="24"/>
  <c r="E24" i="24" s="1"/>
  <c r="U23" i="24"/>
  <c r="U24" i="24" s="1"/>
  <c r="I57" i="24"/>
  <c r="Q57" i="24"/>
  <c r="I63" i="24"/>
  <c r="Q63" i="24"/>
  <c r="F19" i="24"/>
  <c r="F20" i="24" s="1"/>
  <c r="F23" i="24"/>
  <c r="F24" i="24" s="1"/>
  <c r="V23" i="24"/>
  <c r="V24" i="24" s="1"/>
  <c r="B63" i="24"/>
  <c r="J63" i="24"/>
  <c r="R63" i="24"/>
  <c r="O19" i="24"/>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S23" i="23"/>
  <c r="S24" i="23" s="1"/>
  <c r="A31" i="23"/>
  <c r="A33" i="23"/>
  <c r="A37" i="23"/>
  <c r="A39" i="23"/>
  <c r="A41" i="23"/>
  <c r="A45" i="23"/>
  <c r="A47" i="23"/>
  <c r="A49" i="23"/>
  <c r="G57" i="23"/>
  <c r="O57" i="23"/>
  <c r="G59" i="23"/>
  <c r="O59" i="23"/>
  <c r="L19" i="23"/>
  <c r="T19" i="23"/>
  <c r="D23" i="23"/>
  <c r="D24" i="23" s="1"/>
  <c r="L23" i="23"/>
  <c r="L24" i="23" s="1"/>
  <c r="T23" i="23"/>
  <c r="T24" i="23" s="1"/>
  <c r="E19" i="23"/>
  <c r="E20" i="23" s="1"/>
  <c r="M19" i="23"/>
  <c r="E23" i="23"/>
  <c r="E24" i="23" s="1"/>
  <c r="M23" i="23"/>
  <c r="M24" i="23" s="1"/>
  <c r="I57" i="23"/>
  <c r="Q57" i="23"/>
  <c r="F23" i="23"/>
  <c r="F24" i="23" s="1"/>
  <c r="G19" i="23"/>
  <c r="G20" i="23" s="1"/>
  <c r="O19" i="23"/>
  <c r="A32" i="23"/>
  <c r="A34" i="23"/>
  <c r="A40" i="23"/>
  <c r="A42" i="23"/>
  <c r="A48" i="23"/>
  <c r="A50" i="23"/>
  <c r="H19" i="23"/>
  <c r="H20" i="23" s="1"/>
  <c r="I19" i="23"/>
  <c r="I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L19" i="22"/>
  <c r="T19" i="22"/>
  <c r="L23" i="22"/>
  <c r="L24" i="22" s="1"/>
  <c r="T23" i="22"/>
  <c r="T24" i="22" s="1"/>
  <c r="K23" i="22"/>
  <c r="K24" i="22" s="1"/>
  <c r="A31" i="22"/>
  <c r="A33" i="22"/>
  <c r="A41" i="22"/>
  <c r="A47" i="22"/>
  <c r="E19" i="22"/>
  <c r="E20" i="22" s="1"/>
  <c r="M19" i="22"/>
  <c r="E23" i="22"/>
  <c r="E24" i="22" s="1"/>
  <c r="U23" i="22"/>
  <c r="U24" i="22" s="1"/>
  <c r="I57" i="22"/>
  <c r="Q57" i="22"/>
  <c r="K19" i="22"/>
  <c r="A39" i="22"/>
  <c r="A49" i="22"/>
  <c r="N19" i="22"/>
  <c r="V19" i="22"/>
  <c r="V23" i="22"/>
  <c r="V24" i="22" s="1"/>
  <c r="G19" i="22"/>
  <c r="G20"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G23" i="21"/>
  <c r="G24" i="21" s="1"/>
  <c r="M23" i="21"/>
  <c r="M24" i="21" s="1"/>
  <c r="C57" i="21"/>
  <c r="K57" i="21"/>
  <c r="S57" i="21"/>
  <c r="G19" i="21"/>
  <c r="G20" i="21" s="1"/>
  <c r="Q19" i="21"/>
  <c r="J23" i="21"/>
  <c r="J24" i="21" s="1"/>
  <c r="R23" i="21"/>
  <c r="R24" i="21" s="1"/>
  <c r="I19" i="21"/>
  <c r="I20" i="21" s="1"/>
  <c r="L19" i="2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2" l="1"/>
  <c r="C24" i="22" s="1"/>
  <c r="H65" i="22"/>
  <c r="E65" i="22"/>
  <c r="E65" i="23"/>
  <c r="C19" i="29"/>
  <c r="C20" i="29" s="1"/>
  <c r="B65" i="24"/>
  <c r="H65" i="26"/>
  <c r="H65" i="30"/>
  <c r="E65" i="30"/>
  <c r="C65" i="30"/>
  <c r="D65" i="28"/>
  <c r="E65" i="27"/>
  <c r="C65" i="27"/>
  <c r="D65" i="21"/>
  <c r="C23" i="21"/>
  <c r="C24" i="21" s="1"/>
  <c r="F64" i="26"/>
  <c r="O64" i="21"/>
  <c r="O65" i="21" s="1"/>
  <c r="M66" i="26"/>
  <c r="M65" i="26"/>
  <c r="F66" i="26"/>
  <c r="F65" i="26"/>
  <c r="L64" i="22"/>
  <c r="D64" i="22"/>
  <c r="D65" i="22" s="1"/>
  <c r="Q64" i="22"/>
  <c r="U64" i="22"/>
  <c r="U66" i="22" s="1"/>
  <c r="S64" i="23"/>
  <c r="M64" i="23"/>
  <c r="R64" i="23"/>
  <c r="R66" i="23" s="1"/>
  <c r="M64" i="29"/>
  <c r="M65" i="29" s="1"/>
  <c r="D64" i="29"/>
  <c r="D65" i="29" s="1"/>
  <c r="O64" i="24"/>
  <c r="I64" i="24"/>
  <c r="M64" i="24"/>
  <c r="M65" i="24" s="1"/>
  <c r="S64" i="24"/>
  <c r="T64" i="26"/>
  <c r="T66" i="26" s="1"/>
  <c r="E64" i="26"/>
  <c r="M64" i="28"/>
  <c r="M65" i="28" s="1"/>
  <c r="S64" i="28"/>
  <c r="P64" i="27"/>
  <c r="G64" i="21"/>
  <c r="S64" i="21"/>
  <c r="S66" i="21" s="1"/>
  <c r="E64" i="21"/>
  <c r="F64" i="21"/>
  <c r="N64" i="28"/>
  <c r="N66" i="28" s="1"/>
  <c r="J64" i="21"/>
  <c r="J66" i="21" s="1"/>
  <c r="F64" i="24"/>
  <c r="F64" i="28"/>
  <c r="D64" i="26"/>
  <c r="D65" i="26" s="1"/>
  <c r="H64" i="29"/>
  <c r="S64" i="30"/>
  <c r="S66" i="30" s="1"/>
  <c r="Q64" i="23"/>
  <c r="Q66" i="23" s="1"/>
  <c r="F64" i="30"/>
  <c r="K64" i="23"/>
  <c r="K66" i="23" s="1"/>
  <c r="R64" i="26"/>
  <c r="E64" i="24"/>
  <c r="J64" i="22"/>
  <c r="J66" i="22" s="1"/>
  <c r="H64" i="21"/>
  <c r="H65" i="21" s="1"/>
  <c r="H64" i="28"/>
  <c r="G64" i="28"/>
  <c r="P64" i="26"/>
  <c r="E64" i="28"/>
  <c r="N64" i="23"/>
  <c r="J64" i="26"/>
  <c r="B64" i="23"/>
  <c r="M64" i="27"/>
  <c r="H64" i="27"/>
  <c r="G64" i="22"/>
  <c r="L64" i="29"/>
  <c r="G64" i="24"/>
  <c r="H64" i="24"/>
  <c r="D64" i="23"/>
  <c r="D65" i="23" s="1"/>
  <c r="K64" i="24"/>
  <c r="P64" i="24"/>
  <c r="U64" i="29"/>
  <c r="U66" i="29" s="1"/>
  <c r="O66" i="21"/>
  <c r="M64" i="30"/>
  <c r="K64" i="26"/>
  <c r="K66" i="26" s="1"/>
  <c r="C64" i="28"/>
  <c r="C64" i="24"/>
  <c r="L64" i="27"/>
  <c r="L66" i="27" s="1"/>
  <c r="R64" i="24"/>
  <c r="R66" i="24" s="1"/>
  <c r="K64" i="29"/>
  <c r="K66" i="29" s="1"/>
  <c r="J64" i="29"/>
  <c r="J66" i="29" s="1"/>
  <c r="E64" i="29"/>
  <c r="M64" i="21"/>
  <c r="M65" i="21" s="1"/>
  <c r="P64" i="28"/>
  <c r="P66" i="28" s="1"/>
  <c r="I64" i="21"/>
  <c r="I66" i="21" s="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6" i="27" s="1"/>
  <c r="N64" i="30"/>
  <c r="N66" i="30" s="1"/>
  <c r="L66" i="30"/>
  <c r="J66" i="28"/>
  <c r="G64" i="26"/>
  <c r="G64" i="29"/>
  <c r="F64" i="22"/>
  <c r="O64" i="26"/>
  <c r="R66" i="22"/>
  <c r="L66" i="22"/>
  <c r="T66" i="24"/>
  <c r="U66" i="23"/>
  <c r="P64" i="30"/>
  <c r="P66" i="30" s="1"/>
  <c r="C66" i="23"/>
  <c r="P66" i="23"/>
  <c r="E66" i="22"/>
  <c r="T66" i="23"/>
  <c r="Q66" i="21"/>
  <c r="P66" i="21"/>
  <c r="K66" i="27"/>
  <c r="G64" i="23"/>
  <c r="Q66" i="24"/>
  <c r="R66" i="27"/>
  <c r="C66" i="27"/>
  <c r="H66" i="23"/>
  <c r="J66" i="27"/>
  <c r="G64" i="27"/>
  <c r="G66" i="30"/>
  <c r="J66" i="30"/>
  <c r="F64" i="27"/>
  <c r="T66" i="27"/>
  <c r="L66" i="29"/>
  <c r="Q66" i="22"/>
  <c r="J66" i="26"/>
  <c r="C66" i="22"/>
  <c r="T66" i="21"/>
  <c r="S66" i="23"/>
  <c r="H66" i="30"/>
  <c r="E66" i="30"/>
  <c r="S66" i="24"/>
  <c r="L66" i="21"/>
  <c r="S66" i="26"/>
  <c r="L66" i="28"/>
  <c r="L66" i="26"/>
  <c r="T66" i="30"/>
  <c r="C66" i="29"/>
  <c r="H66" i="22"/>
  <c r="R66" i="28"/>
  <c r="N64" i="26"/>
  <c r="N66" i="26" s="1"/>
  <c r="O64" i="29"/>
  <c r="P64" i="29"/>
  <c r="P66" i="29" s="1"/>
  <c r="S64" i="1"/>
  <c r="R66" i="26"/>
  <c r="D66" i="27"/>
  <c r="N64" i="29"/>
  <c r="N66" i="29" s="1"/>
  <c r="R66" i="30"/>
  <c r="L66" i="23"/>
  <c r="O66" i="22"/>
  <c r="R64" i="1"/>
  <c r="J66" i="23"/>
  <c r="Q64" i="1"/>
  <c r="U64" i="1"/>
  <c r="P64" i="1"/>
  <c r="E66" i="27"/>
  <c r="J66" i="24"/>
  <c r="Q66" i="29"/>
  <c r="F64" i="29"/>
  <c r="O64" i="23"/>
  <c r="O64" i="30"/>
  <c r="N64" i="24"/>
  <c r="N66" i="24" s="1"/>
  <c r="B66" i="30"/>
  <c r="B66" i="24"/>
  <c r="K66" i="30"/>
  <c r="C66" i="30"/>
  <c r="I66" i="30"/>
  <c r="R66" i="29"/>
  <c r="M66" i="29"/>
  <c r="I66" i="29"/>
  <c r="S66" i="29"/>
  <c r="T66" i="28"/>
  <c r="D66" i="28"/>
  <c r="M66" i="28"/>
  <c r="Q66" i="28"/>
  <c r="I66" i="28"/>
  <c r="S66" i="28"/>
  <c r="K66" i="28"/>
  <c r="Q66" i="27"/>
  <c r="I66" i="27"/>
  <c r="P66" i="27"/>
  <c r="Q66" i="26"/>
  <c r="P66" i="26"/>
  <c r="C66" i="26"/>
  <c r="I66" i="26"/>
  <c r="H66" i="26"/>
  <c r="L66" i="24"/>
  <c r="I66" i="24"/>
  <c r="P66" i="24"/>
  <c r="D66" i="24"/>
  <c r="K66" i="24"/>
  <c r="I66" i="23"/>
  <c r="N66" i="23"/>
  <c r="E66" i="23"/>
  <c r="I66" i="22"/>
  <c r="M66" i="22"/>
  <c r="S66" i="22"/>
  <c r="K66" i="22"/>
  <c r="T66" i="22"/>
  <c r="H66" i="21"/>
  <c r="K66" i="21"/>
  <c r="C66" i="21"/>
  <c r="D66" i="21"/>
  <c r="R66" i="21"/>
  <c r="N64" i="1"/>
  <c r="M64" i="1"/>
  <c r="M65" i="1" s="1"/>
  <c r="T64" i="1"/>
  <c r="L64" i="1"/>
  <c r="J64" i="1"/>
  <c r="K64" i="1"/>
  <c r="O64" i="1"/>
  <c r="O65" i="1" s="1"/>
  <c r="C64" i="1"/>
  <c r="I64" i="1"/>
  <c r="H64" i="1"/>
  <c r="G64" i="1"/>
  <c r="F64" i="1"/>
  <c r="F65" i="1" s="1"/>
  <c r="E64" i="1"/>
  <c r="E65" i="1" s="1"/>
  <c r="D64" i="1"/>
  <c r="D65" i="1" s="1"/>
  <c r="B64" i="1"/>
  <c r="B65" i="1" s="1"/>
  <c r="D63" i="1"/>
  <c r="L63" i="1"/>
  <c r="F63" i="1"/>
  <c r="R63" i="1"/>
  <c r="J63" i="1"/>
  <c r="Q63" i="1"/>
  <c r="Q66" i="1" s="1"/>
  <c r="I63" i="1"/>
  <c r="C63" i="1"/>
  <c r="K63" i="1"/>
  <c r="P63" i="1"/>
  <c r="H63" i="1"/>
  <c r="T63" i="1"/>
  <c r="T66" i="1" s="1"/>
  <c r="S63" i="1"/>
  <c r="O63" i="1"/>
  <c r="G63" i="1"/>
  <c r="N63" i="1"/>
  <c r="E63" i="1"/>
  <c r="B63" i="1"/>
  <c r="U63" i="1"/>
  <c r="M63" i="1"/>
  <c r="G65" i="1" l="1"/>
  <c r="H65" i="1"/>
  <c r="C65" i="1"/>
  <c r="D66" i="22"/>
  <c r="D66" i="23"/>
  <c r="D66" i="26"/>
  <c r="O66" i="23"/>
  <c r="O65" i="23"/>
  <c r="O66" i="24"/>
  <c r="O65" i="24"/>
  <c r="O66" i="26"/>
  <c r="O65" i="26"/>
  <c r="O66" i="29"/>
  <c r="O65" i="29"/>
  <c r="O66" i="28"/>
  <c r="O65" i="28"/>
  <c r="O66" i="30"/>
  <c r="O65" i="30"/>
  <c r="O66" i="27"/>
  <c r="O65" i="27"/>
  <c r="M66" i="27"/>
  <c r="M65" i="27"/>
  <c r="M66" i="30"/>
  <c r="M65" i="30"/>
  <c r="M66" i="24"/>
  <c r="M66" i="21"/>
  <c r="M66" i="23"/>
  <c r="M65" i="23"/>
  <c r="H66" i="27"/>
  <c r="H65" i="27"/>
  <c r="H66" i="28"/>
  <c r="H65" i="28"/>
  <c r="H66" i="29"/>
  <c r="H65" i="29"/>
  <c r="H66" i="24"/>
  <c r="H65" i="24"/>
  <c r="G66" i="22"/>
  <c r="G65" i="22"/>
  <c r="G66" i="28"/>
  <c r="G65" i="28"/>
  <c r="G66" i="21"/>
  <c r="G65" i="21"/>
  <c r="G66" i="26"/>
  <c r="G65" i="26"/>
  <c r="G66" i="29"/>
  <c r="G65" i="29"/>
  <c r="G66" i="23"/>
  <c r="G65" i="23"/>
  <c r="G66" i="27"/>
  <c r="G65" i="27"/>
  <c r="G66" i="24"/>
  <c r="G65" i="24"/>
  <c r="F66" i="21"/>
  <c r="F65" i="21"/>
  <c r="F66" i="23"/>
  <c r="F65" i="23"/>
  <c r="F66" i="29"/>
  <c r="F65" i="29"/>
  <c r="F66" i="24"/>
  <c r="F65" i="24"/>
  <c r="F66" i="28"/>
  <c r="F65" i="28"/>
  <c r="F66" i="22"/>
  <c r="F65" i="22"/>
  <c r="F66" i="27"/>
  <c r="F65" i="27"/>
  <c r="F66" i="30"/>
  <c r="F65" i="30"/>
  <c r="E66" i="29"/>
  <c r="E65" i="29"/>
  <c r="E66" i="26"/>
  <c r="E65" i="26"/>
  <c r="E66" i="28"/>
  <c r="E65" i="28"/>
  <c r="E66" i="24"/>
  <c r="E65" i="24"/>
  <c r="E66" i="21"/>
  <c r="E65" i="21"/>
  <c r="D66" i="29"/>
  <c r="C66" i="24"/>
  <c r="C65" i="24"/>
  <c r="C66" i="28"/>
  <c r="C65" i="28"/>
  <c r="B66" i="27"/>
  <c r="B65" i="27"/>
  <c r="B66" i="21"/>
  <c r="B65" i="21"/>
  <c r="B66" i="26"/>
  <c r="B65" i="26"/>
  <c r="B66" i="28"/>
  <c r="B65" i="28"/>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M13" i="20" s="1"/>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<sst xmlns="http://schemas.openxmlformats.org/spreadsheetml/2006/main" count="2225" uniqueCount="176">
  <si>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</si>
  <si>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</si>
  <si>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</si>
  <si>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</si>
  <si>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</si>
  <si>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</si>
  <si>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</si>
  <si>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</si>
  <si>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</si>
  <si>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</si>
  <si>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</si>
  <si>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</si>
  <si>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</si>
  <si>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</si>
  <si>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</si>
  <si>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</si>
  <si>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</si>
  <si>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</si>
  <si>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</si>
  <si>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</si>
  <si>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</si>
  <si>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</si>
  <si>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</si>
  <si>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</si>
  <si>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</si>
  <si>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</si>
  <si>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</si>
  <si>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</si>
  <si>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</si>
  <si>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</si>
  <si>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</si>
  <si>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</si>
  <si>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</si>
  <si>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</si>
  <si>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</si>
  <si>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</si>
  <si>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</si>
  <si>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</si>
  <si>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</si>
  <si>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</si>
  <si>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</si>
  <si>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</si>
  <si>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</si>
  <si>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</si>
  <si>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</si>
  <si>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</si>
  <si>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</si>
  <si>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</si>
  <si>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</si>
  <si>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</si>
  <si>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</si>
  <si>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</si>
  <si>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</si>
  <si>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</si>
  <si>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</si>
  <si>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</si>
  <si>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</si>
  <si>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</si>
  <si>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</si>
  <si>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</si>
  <si>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</si>
  <si>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</si>
  <si>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</si>
  <si>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</si>
  <si>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</si>
  <si>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</si>
  <si>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</si>
  <si>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</si>
  <si>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</si>
  <si>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</si>
  <si>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</si>
  <si>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</si>
  <si>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</si>
  <si>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</si>
  <si>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</si>
  <si>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</si>
  <si>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</si>
  <si>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</si>
  <si>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</si>
  <si>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</si>
  <si>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</si>
  <si>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</si>
  <si>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</si>
  <si>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</si>
  <si>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</si>
  <si>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</si>
  <si>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</si>
  <si>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</si>
  <si>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</si>
  <si>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</si>
  <si>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</si>
  <si>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</si>
  <si>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</si>
  <si>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</si>
  <si>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</si>
  <si>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</si>
  <si>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</si>
  <si>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</si>
  <si>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</si>
  <si>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</si>
  <si>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</si>
  <si>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</si>
  <si>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</si>
  <si>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</si>
  <si>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</si>
  <si>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</si>
  <si>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</si>
  <si>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</si>
  <si>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</si>
  <si>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</si>
  <si>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</si>
  <si>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</si>
  <si>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</si>
  <si>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</si>
  <si>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</si>
  <si>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</si>
  <si>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</si>
  <si>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</si>
  <si>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</si>
  <si>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</si>
  <si>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</si>
  <si>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</si>
  <si>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</si>
  <si>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</si>
  <si>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</si>
  <si>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</si>
  <si>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</si>
  <si>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</si>
  <si>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</si>
  <si>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</si>
  <si>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</si>
  <si>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</si>
  <si>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</si>
  <si>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</si>
  <si>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</si>
  <si>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</si>
  <si>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</si>
  <si>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</si>
  <si>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</si>
  <si>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</si>
  <si>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</si>
  <si>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</si>
  <si>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</si>
  <si>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</si>
  <si>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</si>
  <si>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</si>
  <si>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</si>
  <si>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</si>
  <si>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</si>
  <si>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</si>
  <si>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</si>
  <si>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</si>
  <si>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</si>
  <si>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</si>
  <si>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</si>
  <si>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</si>
  <si>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</si>
  <si>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</si>
  <si>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</si>
  <si>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</si>
  <si>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PAN-030677</t>
  </si>
  <si>
    <t>GP3792SK</t>
  </si>
  <si>
    <t>Byproduct Recovery Ltd.</t>
  </si>
  <si>
    <t>Cefn Naw Clawdd, Dolgellau, Gywnedd LL40 2SG</t>
  </si>
  <si>
    <t>Bryan Burn</t>
  </si>
  <si>
    <t>Bala</t>
  </si>
  <si>
    <t>m</t>
  </si>
  <si>
    <t>Cilfor</t>
  </si>
  <si>
    <t>Dolbenmaen</t>
  </si>
  <si>
    <t>Eithin</t>
  </si>
  <si>
    <t>Garreglwyd</t>
  </si>
  <si>
    <t>Gwastagoed</t>
  </si>
  <si>
    <t>Llyn</t>
  </si>
  <si>
    <t>Pen y Bont</t>
  </si>
  <si>
    <t>Pen y Cefn</t>
  </si>
  <si>
    <t>Rhiwgoch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</si>
</sst>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7">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cellXfs>
  <cellStyles count="3">
    <cellStyle name="Normal" xfId="0" builtinId="0"/>
    <cellStyle name="Normal 2" xfId="1" xr:uid="{00000000-0005-0000-0000-000001000000}"/>
    <cellStyle name="Per cent" xfId="2" builtinId="5"/>
  </cellStyles>
  <dxfs count="401">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400" dataDxfId="398" headerRowBorderDxfId="399" tableBorderDxfId="397" totalsRowBorderDxfId="396">
  <autoFilter ref="AI1:AN26" xr:uid="{F8B5EC87-3095-445A-A980-2CFAA0A7B9A2}"/>
  <sortState xmlns:xlrd2="http://schemas.microsoft.com/office/spreadsheetml/2017/richdata2" ref="AI2:AL25">
    <sortCondition ref="AL1:AL25"/>
  </sortState>
  <tableColumns count="6">
    <tableColumn id="1" xr3:uid="{360F44E4-7249-415F-8D5E-41D249F9A162}" name="Crop" dataDxfId="395"/>
    <tableColumn id="2" xr3:uid="{55E07717-B4EC-4E8A-B9A9-34F3CF85E32D}" name="P Offtake" dataDxfId="394"/>
    <tableColumn id="3" xr3:uid="{7B25FA52-8104-4FE3-AED4-B53CBFDF89B2}" name="K Offtake" dataDxfId="393"/>
    <tableColumn id="4" xr3:uid="{0DBAE461-2D09-43C8-9342-3980D552AE4D}" name="Order" dataDxfId="392"/>
    <tableColumn id="5" xr3:uid="{52CACE7B-0CBA-46FC-9F24-02CBD6100239}" name="Lime pH requirement" dataDxfId="391"/>
    <tableColumn id="6" xr3:uid="{F1432630-9B16-4266-8147-CE754A715307}" name="Column1" dataDxfId="390"/>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9" dataDxfId="387" headerRowBorderDxfId="388" tableBorderDxfId="386" totalsRowBorderDxfId="385">
  <autoFilter ref="AI1:AN26" xr:uid="{F8B5EC87-3095-445A-A980-2CFAA0A7B9A2}"/>
  <sortState xmlns:xlrd2="http://schemas.microsoft.com/office/spreadsheetml/2017/richdata2" ref="AI2:AL25">
    <sortCondition ref="AL1:AL25"/>
  </sortState>
  <tableColumns count="6">
    <tableColumn id="1" xr3:uid="{7E96A84B-948F-445F-BD6E-30CC8E6E6DD1}" name="Crop" dataDxfId="384"/>
    <tableColumn id="2" xr3:uid="{12657DDB-F680-47DE-ABB1-8675D5F91E41}" name="P Offtake" dataDxfId="383"/>
    <tableColumn id="3" xr3:uid="{DEB99109-D325-4F98-8A71-E70C03433437}" name="K Offtake" dataDxfId="382"/>
    <tableColumn id="4" xr3:uid="{E96A561F-7E7F-4FB3-97AA-0B35D8C8E93A}" name="Order" dataDxfId="381"/>
    <tableColumn id="5" xr3:uid="{181DD475-0A71-4C52-AF1A-8BFF46F5A827}" name="Lime pH requirement" dataDxfId="380"/>
    <tableColumn id="6" xr3:uid="{AC3FA7E8-D76B-43A3-B715-04446DFF63C6}" name="Column1" dataDxfId="3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8" dataDxfId="376" headerRowBorderDxfId="377" tableBorderDxfId="375" totalsRowBorderDxfId="374">
  <autoFilter ref="AI1:AN26" xr:uid="{F8B5EC87-3095-445A-A980-2CFAA0A7B9A2}"/>
  <sortState xmlns:xlrd2="http://schemas.microsoft.com/office/spreadsheetml/2017/richdata2" ref="AI2:AL25">
    <sortCondition ref="AL1:AL25"/>
  </sortState>
  <tableColumns count="6">
    <tableColumn id="1" xr3:uid="{06008BA1-A1E9-4286-B67A-352533C06A26}" name="Crop" dataDxfId="373"/>
    <tableColumn id="2" xr3:uid="{2AEB5EEB-C9D1-41DC-913E-953A33D1A4AF}" name="P Offtake" dataDxfId="372"/>
    <tableColumn id="3" xr3:uid="{8FA16A0B-1017-4CEE-862E-0A8CBD8EB3D3}" name="K Offtake" dataDxfId="371"/>
    <tableColumn id="4" xr3:uid="{E7A3B8CD-4036-47F4-B818-C3F22E80C749}" name="Order" dataDxfId="370"/>
    <tableColumn id="5" xr3:uid="{8F3EBD84-7904-4559-9B5C-63088B792C98}" name="Lime pH requirement" dataDxfId="369"/>
    <tableColumn id="6" xr3:uid="{A21DD95A-C955-4510-9114-E3F1CB645370}" name="Column1" dataDxfId="368"/>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7" dataDxfId="365" headerRowBorderDxfId="366" tableBorderDxfId="364" totalsRowBorderDxfId="363">
  <autoFilter ref="AI1:AN26" xr:uid="{F8B5EC87-3095-445A-A980-2CFAA0A7B9A2}"/>
  <sortState xmlns:xlrd2="http://schemas.microsoft.com/office/spreadsheetml/2017/richdata2" ref="AI2:AL25">
    <sortCondition ref="AL1:AL25"/>
  </sortState>
  <tableColumns count="6">
    <tableColumn id="1" xr3:uid="{11579FCC-3D9F-49AD-888D-5D79B801F6AE}" name="Crop" dataDxfId="362"/>
    <tableColumn id="2" xr3:uid="{05C08116-56D5-4CC6-A649-B06AF891B931}" name="P Offtake" dataDxfId="361"/>
    <tableColumn id="3" xr3:uid="{59CDE959-192B-4757-9203-A0F691CF0F96}" name="K Offtake" dataDxfId="360"/>
    <tableColumn id="4" xr3:uid="{9FB8E4F7-B91F-4CE0-AF39-D4895D0ECF2F}" name="Order" dataDxfId="359"/>
    <tableColumn id="5" xr3:uid="{688FF2A4-D7C6-4425-A915-A9ADD700A9EE}" name="Lime pH requirement" dataDxfId="358"/>
    <tableColumn id="6" xr3:uid="{05FC5CFF-3D81-4B5F-87C7-2364076F2714}" name="Column1" dataDxfId="357"/>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6" dataDxfId="354" headerRowBorderDxfId="355" tableBorderDxfId="353" totalsRowBorderDxfId="352">
  <autoFilter ref="AI1:AN26" xr:uid="{F8B5EC87-3095-445A-A980-2CFAA0A7B9A2}"/>
  <sortState xmlns:xlrd2="http://schemas.microsoft.com/office/spreadsheetml/2017/richdata2" ref="AI2:AL25">
    <sortCondition ref="AL1:AL25"/>
  </sortState>
  <tableColumns count="6">
    <tableColumn id="1" xr3:uid="{973D7FFB-D248-4199-9B2E-B3C6CC09D382}" name="Crop" dataDxfId="351"/>
    <tableColumn id="2" xr3:uid="{7F2A3986-EC86-4CF9-BD10-791170BA6682}" name="P Offtake" dataDxfId="350"/>
    <tableColumn id="3" xr3:uid="{D6129C35-9DC6-42E5-AE3F-EA3A083168E6}" name="K Offtake" dataDxfId="349"/>
    <tableColumn id="4" xr3:uid="{C1CC42B5-564A-4DE7-B817-B7D686FE9A11}" name="Order" dataDxfId="348"/>
    <tableColumn id="5" xr3:uid="{620F3ABD-564C-411A-8DEA-CE1A34F9FC36}" name="Lime pH requirement" dataDxfId="347"/>
    <tableColumn id="6" xr3:uid="{76C9BC4F-4FF3-4AFB-8E7B-16DC0CC3E97C}" name="Column1" dataDxfId="34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5" dataDxfId="343" headerRowBorderDxfId="344" tableBorderDxfId="342" totalsRowBorderDxfId="341">
  <autoFilter ref="AI1:AN26" xr:uid="{F8B5EC87-3095-445A-A980-2CFAA0A7B9A2}"/>
  <sortState xmlns:xlrd2="http://schemas.microsoft.com/office/spreadsheetml/2017/richdata2" ref="AI2:AL25">
    <sortCondition ref="AL1:AL25"/>
  </sortState>
  <tableColumns count="6">
    <tableColumn id="1" xr3:uid="{D13A12FC-EAE6-4280-A219-C2622262E5F4}" name="Crop" dataDxfId="340"/>
    <tableColumn id="2" xr3:uid="{FD06C4A3-4B75-490D-88CF-232C7DC3EFC6}" name="P Offtake" dataDxfId="339"/>
    <tableColumn id="3" xr3:uid="{B043BEFF-10D4-4840-989B-BB13A502ECDF}" name="K Offtake" dataDxfId="338"/>
    <tableColumn id="4" xr3:uid="{48481FDC-5D20-466C-B554-D45886EA366A}" name="Order" dataDxfId="337"/>
    <tableColumn id="5" xr3:uid="{9E0852D2-9D0D-44AB-98B7-FBA51F331ACF}" name="Lime pH requirement" dataDxfId="336"/>
    <tableColumn id="6" xr3:uid="{29F9C4A5-6854-4F37-8BD1-0DD9B6024A55}" name="Column1" dataDxfId="335"/>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4" dataDxfId="332" headerRowBorderDxfId="333" tableBorderDxfId="331" totalsRowBorderDxfId="330">
  <autoFilter ref="AI1:AN26" xr:uid="{F8B5EC87-3095-445A-A980-2CFAA0A7B9A2}"/>
  <sortState xmlns:xlrd2="http://schemas.microsoft.com/office/spreadsheetml/2017/richdata2" ref="AI2:AL25">
    <sortCondition ref="AL1:AL25"/>
  </sortState>
  <tableColumns count="6">
    <tableColumn id="1" xr3:uid="{1B554ED3-7AAF-4192-827C-B071945474B8}" name="Crop" dataDxfId="329"/>
    <tableColumn id="2" xr3:uid="{35F435E0-8D8E-44D1-84BD-C2FF51C3F944}" name="P Offtake" dataDxfId="328"/>
    <tableColumn id="3" xr3:uid="{38465C9D-AA8F-443A-80F5-96D1F6258317}" name="K Offtake" dataDxfId="327"/>
    <tableColumn id="4" xr3:uid="{E0C0E6AF-5628-4BC3-9625-81A87B93D279}" name="Order" dataDxfId="326"/>
    <tableColumn id="5" xr3:uid="{ACDE1D9A-7F94-4404-BDDC-1235C32C758F}" name="Lime pH requirement" dataDxfId="325"/>
    <tableColumn id="6" xr3:uid="{B093C9DF-C4CF-4906-9658-89F446EB9C12}" name="Column1" dataDxfId="32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3" dataDxfId="321" headerRowBorderDxfId="322" tableBorderDxfId="320" totalsRowBorderDxfId="319">
  <autoFilter ref="AI1:AN26" xr:uid="{F8B5EC87-3095-445A-A980-2CFAA0A7B9A2}"/>
  <sortState xmlns:xlrd2="http://schemas.microsoft.com/office/spreadsheetml/2017/richdata2" ref="AI2:AL25">
    <sortCondition ref="AL1:AL25"/>
  </sortState>
  <tableColumns count="6">
    <tableColumn id="1" xr3:uid="{C4B2E6E9-5990-417D-9E04-7933BDF1FC69}" name="Crop" dataDxfId="318"/>
    <tableColumn id="2" xr3:uid="{E74EF8D0-6C68-49B8-AE52-40C276CA5FC9}" name="P Offtake" dataDxfId="317"/>
    <tableColumn id="3" xr3:uid="{9E0A7857-36E3-482D-B4B2-65B90760417F}" name="K Offtake" dataDxfId="316"/>
    <tableColumn id="4" xr3:uid="{A78867D2-7566-4070-AF99-15EE4CEB1699}" name="Order" dataDxfId="315"/>
    <tableColumn id="5" xr3:uid="{240FD5FA-5659-468E-8544-C93086800EC9}" name="Lime pH requirement" dataDxfId="314"/>
    <tableColumn id="6" xr3:uid="{D5C8E9C3-9076-473B-AE62-DA32692BAABC}" name="Column1" dataDxfId="313"/>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2" dataDxfId="310" headerRowBorderDxfId="311" tableBorderDxfId="309" totalsRowBorderDxfId="308">
  <autoFilter ref="AI1:AN26" xr:uid="{F8B5EC87-3095-445A-A980-2CFAA0A7B9A2}"/>
  <sortState xmlns:xlrd2="http://schemas.microsoft.com/office/spreadsheetml/2017/richdata2" ref="AI2:AL25">
    <sortCondition ref="AL1:AL25"/>
  </sortState>
  <tableColumns count="6">
    <tableColumn id="1" xr3:uid="{82F1A1D2-F5AA-4D76-98E8-3C18592FB8CF}" name="Crop" dataDxfId="307"/>
    <tableColumn id="2" xr3:uid="{17F60BEE-3BBA-4198-AA21-518EC4696EB6}" name="P Offtake" dataDxfId="306"/>
    <tableColumn id="3" xr3:uid="{95D820EB-2583-433A-A070-6E8356E186E7}" name="K Offtake" dataDxfId="305"/>
    <tableColumn id="4" xr3:uid="{F3AE1839-F59F-4A70-B11A-A32E3FDD1A00}" name="Order" dataDxfId="304"/>
    <tableColumn id="5" xr3:uid="{C52880C5-B266-4CF0-9A11-778ABC47F9F0}" name="Lime pH requirement" dataDxfId="303"/>
    <tableColumn id="6" xr3:uid="{233F7657-9414-44B1-9E43-A91A69CB97ED}" name="Column1" dataDxfId="302"/>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1" dataDxfId="299" headerRowBorderDxfId="300" tableBorderDxfId="298" totalsRowBorderDxfId="297">
  <autoFilter ref="AI1:AN26" xr:uid="{F8B5EC87-3095-445A-A980-2CFAA0A7B9A2}"/>
  <sortState xmlns:xlrd2="http://schemas.microsoft.com/office/spreadsheetml/2017/richdata2" ref="AI2:AL25">
    <sortCondition ref="AL1:AL25"/>
  </sortState>
  <tableColumns count="6">
    <tableColumn id="1" xr3:uid="{34C99CE0-FFE9-4282-9A7F-89014FFD2010}" name="Crop" dataDxfId="296"/>
    <tableColumn id="2" xr3:uid="{D81725A7-3522-491F-9BAF-35ADAADB5C49}" name="P Offtake" dataDxfId="295"/>
    <tableColumn id="3" xr3:uid="{E1F3CA70-D73E-4B9D-9A9F-F209536EAEFF}" name="K Offtake" dataDxfId="294"/>
    <tableColumn id="4" xr3:uid="{41F03B60-DF58-4AA1-9642-EF87A44AF9EC}" name="Order" dataDxfId="293"/>
    <tableColumn id="5" xr3:uid="{F3D9EC0E-6F67-4466-B24D-F47864B8CBA4}" name="Lime pH requirement" dataDxfId="292"/>
    <tableColumn id="6" xr3:uid="{D49CA6DF-7C49-4445-A0D2-0F2C2FDFB7ED}" name="Column1" dataDxfId="291"/>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13.1796875" style="9" hidden="1" customWidth="1"/>
    <col min="28" max="29" width="10.7265625" style="9" hidden="1" customWidth="1"/>
    <col min="30" max="30" width="19.7265625" style="9" hidden="1" customWidth="1"/>
    <col min="31" max="34" width="12.453125" style="9" hidden="1" customWidth="1"/>
    <col min="35" max="35" width="27.7265625" style="9" hidden="1" customWidth="1"/>
    <col min="36" max="41" width="13.1796875" style="9" hidden="1" customWidth="1"/>
    <col min="42" max="42" width="0" style="9" hidden="1" customWidth="1"/>
    <col min="43" max="16384" width="13.1796875" style="9"/>
  </cols>
  <sheetData>
    <row r="1" spans="1:40" ht="13" x14ac:dyDescent="0.3">
      <c r="A1" s="130" t="s">
        <v>41</v>
      </c>
      <c r="B1" s="131"/>
      <c r="C1" s="160" t="s">
        <v>160</v>
      </c>
      <c r="D1" s="161"/>
      <c r="E1" s="106" t="s">
        <v>45</v>
      </c>
      <c r="F1" s="109">
        <v>21.3</v>
      </c>
      <c r="G1" s="162" t="s">
        <v>43</v>
      </c>
      <c r="H1" s="163"/>
      <c r="I1" s="109">
        <v>6.9</v>
      </c>
      <c r="J1" s="130" t="s">
        <v>153</v>
      </c>
      <c r="K1" s="131"/>
      <c r="L1" s="109">
        <v>256</v>
      </c>
      <c r="AB1" s="13"/>
      <c r="AC1" s="13"/>
      <c r="AD1" s="22" t="s">
        <v>126</v>
      </c>
      <c r="AE1" s="13"/>
      <c r="AF1" s="13"/>
      <c r="AG1" s="13"/>
      <c r="AH1" s="13"/>
      <c r="AI1" s="30" t="s">
        <v>79</v>
      </c>
      <c r="AJ1" s="31" t="s">
        <v>94</v>
      </c>
      <c r="AK1" s="32" t="s">
        <v>95</v>
      </c>
      <c r="AL1" s="33" t="s">
        <v>125</v>
      </c>
      <c r="AM1" s="33" t="s">
        <v>131</v>
      </c>
      <c r="AN1" s="33" t="s">
        <v>111</v>
      </c>
    </row>
    <row r="2" spans="1:40" ht="13" x14ac:dyDescent="0.3">
      <c r="A2" s="132" t="s">
        <v>87</v>
      </c>
      <c r="B2" s="133"/>
      <c r="C2" s="154" t="s">
        <v>161</v>
      </c>
      <c r="D2" s="155"/>
      <c r="E2" s="96" t="s">
        <v>109</v>
      </c>
      <c r="F2" s="110">
        <v>190902</v>
      </c>
      <c r="G2" s="164" t="s">
        <v>110</v>
      </c>
      <c r="H2" s="165"/>
      <c r="I2" s="110"/>
      <c r="J2" s="132" t="s">
        <v>158</v>
      </c>
      <c r="K2" s="133"/>
      <c r="L2" s="110">
        <v>1.17</v>
      </c>
      <c r="AB2" s="22" t="s">
        <v>56</v>
      </c>
      <c r="AC2" s="13"/>
      <c r="AD2" s="22" t="s">
        <v>70</v>
      </c>
      <c r="AE2" s="13"/>
      <c r="AF2" s="13"/>
      <c r="AG2" s="34" t="s">
        <v>76</v>
      </c>
      <c r="AH2" s="13"/>
      <c r="AI2" s="35" t="s">
        <v>126</v>
      </c>
      <c r="AJ2" s="36">
        <v>0</v>
      </c>
      <c r="AK2" s="37">
        <v>0</v>
      </c>
      <c r="AL2" s="7">
        <v>0</v>
      </c>
      <c r="AM2" s="9">
        <v>0</v>
      </c>
      <c r="AN2" s="9">
        <v>0</v>
      </c>
    </row>
    <row r="3" spans="1:40" ht="13" x14ac:dyDescent="0.25">
      <c r="A3" s="134" t="s">
        <v>42</v>
      </c>
      <c r="B3" s="135"/>
      <c r="C3" s="154" t="s">
        <v>162</v>
      </c>
      <c r="D3" s="155"/>
      <c r="E3" s="96" t="s">
        <v>108</v>
      </c>
      <c r="F3" s="111" t="s">
        <v>78</v>
      </c>
      <c r="G3" s="132" t="s">
        <v>159</v>
      </c>
      <c r="H3" s="133"/>
      <c r="I3" s="110"/>
      <c r="J3" s="134" t="s">
        <v>154</v>
      </c>
      <c r="K3" s="135"/>
      <c r="L3" s="110">
        <f>(L1/(L2*10000))*100</f>
        <v>2.1880341880341883</v>
      </c>
      <c r="AB3" s="22" t="s">
        <v>57</v>
      </c>
      <c r="AC3" s="13"/>
      <c r="AD3" s="22" t="s">
        <v>71</v>
      </c>
      <c r="AE3" s="13"/>
      <c r="AF3" s="13"/>
      <c r="AG3" s="34" t="s">
        <v>77</v>
      </c>
      <c r="AH3" s="13"/>
      <c r="AI3" s="38" t="s">
        <v>113</v>
      </c>
      <c r="AJ3" s="39">
        <v>1.7</v>
      </c>
      <c r="AK3" s="40">
        <v>6</v>
      </c>
      <c r="AL3" s="41">
        <v>1</v>
      </c>
      <c r="AM3" s="9">
        <v>6.2</v>
      </c>
      <c r="AN3" s="9" t="s">
        <v>112</v>
      </c>
    </row>
    <row r="4" spans="1:40" ht="13" x14ac:dyDescent="0.25">
      <c r="A4" s="132" t="s">
        <v>0</v>
      </c>
      <c r="B4" s="133"/>
      <c r="C4" s="156" t="s">
        <v>163</v>
      </c>
      <c r="D4" s="157"/>
      <c r="E4" s="99" t="s">
        <v>1</v>
      </c>
      <c r="F4" s="110" t="s">
        <v>165</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3">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ht="13" x14ac:dyDescent="0.25">
      <c r="A8" s="132" t="s">
        <v>2</v>
      </c>
      <c r="B8" s="133"/>
      <c r="C8" s="11">
        <v>865</v>
      </c>
      <c r="D8" s="11">
        <v>9846</v>
      </c>
      <c r="E8" s="11">
        <v>1416</v>
      </c>
      <c r="F8" s="11">
        <v>9216</v>
      </c>
      <c r="G8" s="11">
        <v>1113</v>
      </c>
      <c r="H8" s="11">
        <v>264</v>
      </c>
      <c r="I8" s="11">
        <v>2585</v>
      </c>
      <c r="J8" s="11"/>
      <c r="K8" s="11"/>
      <c r="L8" s="11"/>
      <c r="M8" s="11"/>
      <c r="N8" s="11"/>
      <c r="O8" s="11"/>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ht="13" x14ac:dyDescent="0.25">
      <c r="A9" s="132" t="s">
        <v>3</v>
      </c>
      <c r="B9" s="133"/>
      <c r="C9" s="11" t="s">
        <v>166</v>
      </c>
      <c r="D9" s="11" t="s">
        <v>166</v>
      </c>
      <c r="E9" s="11" t="s">
        <v>166</v>
      </c>
      <c r="F9" s="11" t="s">
        <v>166</v>
      </c>
      <c r="G9" s="11" t="s">
        <v>166</v>
      </c>
      <c r="H9" s="11" t="s">
        <v>166</v>
      </c>
      <c r="I9" s="11" t="s">
        <v>166</v>
      </c>
      <c r="J9" s="11"/>
      <c r="K9" s="11"/>
      <c r="L9" s="11"/>
      <c r="M9" s="11"/>
      <c r="N9" s="11"/>
      <c r="O9" s="11"/>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ht="13" x14ac:dyDescent="0.25">
      <c r="A10" s="132" t="s">
        <v>4</v>
      </c>
      <c r="B10" s="133"/>
      <c r="C10" s="11">
        <v>6.1</v>
      </c>
      <c r="D10" s="11">
        <v>6.2</v>
      </c>
      <c r="E10" s="11">
        <v>6.1</v>
      </c>
      <c r="F10" s="11">
        <v>6.1</v>
      </c>
      <c r="G10" s="11">
        <v>5.8</v>
      </c>
      <c r="H10" s="11">
        <v>5.9</v>
      </c>
      <c r="I10" s="11">
        <v>6.7</v>
      </c>
      <c r="J10" s="11"/>
      <c r="K10" s="11"/>
      <c r="L10" s="11"/>
      <c r="M10" s="11"/>
      <c r="N10" s="11"/>
      <c r="O10" s="11"/>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ht="13" x14ac:dyDescent="0.25">
      <c r="A11" s="132" t="s">
        <v>5</v>
      </c>
      <c r="B11" s="133"/>
      <c r="C11" s="11">
        <v>3</v>
      </c>
      <c r="D11" s="11">
        <v>2</v>
      </c>
      <c r="E11" s="11">
        <v>3</v>
      </c>
      <c r="F11" s="11">
        <v>3</v>
      </c>
      <c r="G11" s="11">
        <v>3</v>
      </c>
      <c r="H11" s="11">
        <v>3</v>
      </c>
      <c r="I11" s="11">
        <v>3</v>
      </c>
      <c r="J11" s="11"/>
      <c r="K11" s="11"/>
      <c r="L11" s="11"/>
      <c r="M11" s="11"/>
      <c r="N11" s="11"/>
      <c r="O11" s="11"/>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ht="13" x14ac:dyDescent="0.25">
      <c r="A12" s="132" t="s">
        <v>6</v>
      </c>
      <c r="B12" s="133"/>
      <c r="C12" s="11">
        <v>3</v>
      </c>
      <c r="D12" s="11">
        <v>2</v>
      </c>
      <c r="E12" s="11">
        <v>2</v>
      </c>
      <c r="F12" s="11">
        <v>1</v>
      </c>
      <c r="G12" s="11">
        <v>1</v>
      </c>
      <c r="H12" s="11">
        <v>1</v>
      </c>
      <c r="I12" s="11">
        <v>1</v>
      </c>
      <c r="J12" s="11"/>
      <c r="K12" s="11"/>
      <c r="L12" s="11"/>
      <c r="M12" s="11"/>
      <c r="N12" s="11"/>
      <c r="O12" s="11"/>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ht="13" x14ac:dyDescent="0.25">
      <c r="A13" s="132" t="s">
        <v>7</v>
      </c>
      <c r="B13" s="133"/>
      <c r="C13" s="11">
        <v>3</v>
      </c>
      <c r="D13" s="11">
        <v>2</v>
      </c>
      <c r="E13" s="11">
        <v>2</v>
      </c>
      <c r="F13" s="11">
        <v>2</v>
      </c>
      <c r="G13" s="11">
        <v>2</v>
      </c>
      <c r="H13" s="11">
        <v>3</v>
      </c>
      <c r="I13" s="11">
        <v>2</v>
      </c>
      <c r="J13" s="11"/>
      <c r="K13" s="11"/>
      <c r="L13" s="11"/>
      <c r="M13" s="11"/>
      <c r="N13" s="11"/>
      <c r="O13" s="11"/>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ht="13" x14ac:dyDescent="0.25">
      <c r="A14" s="150" t="s">
        <v>8</v>
      </c>
      <c r="B14" s="151"/>
      <c r="C14" s="82" t="s">
        <v>113</v>
      </c>
      <c r="D14" s="82" t="s">
        <v>113</v>
      </c>
      <c r="E14" s="82" t="s">
        <v>113</v>
      </c>
      <c r="F14" s="82" t="s">
        <v>113</v>
      </c>
      <c r="G14" s="82" t="s">
        <v>113</v>
      </c>
      <c r="H14" s="82" t="s">
        <v>113</v>
      </c>
      <c r="I14" s="82" t="s">
        <v>113</v>
      </c>
      <c r="J14" s="82"/>
      <c r="K14" s="82"/>
      <c r="L14" s="82"/>
      <c r="M14" s="82"/>
      <c r="N14" s="82"/>
      <c r="O14" s="82"/>
      <c r="P14" s="82"/>
      <c r="Q14" s="82"/>
      <c r="R14" s="82"/>
      <c r="S14" s="82"/>
      <c r="T14" s="82"/>
      <c r="U14" s="82"/>
      <c r="V14" s="98"/>
      <c r="AD14" s="22" t="s">
        <v>138</v>
      </c>
      <c r="AE14" s="22">
        <v>6</v>
      </c>
      <c r="AI14" s="43" t="s">
        <v>119</v>
      </c>
      <c r="AJ14" s="44">
        <v>0.8</v>
      </c>
      <c r="AK14" s="45">
        <v>1.7</v>
      </c>
      <c r="AL14" s="9">
        <v>12</v>
      </c>
      <c r="AM14" s="9">
        <v>6.7</v>
      </c>
      <c r="AN14" s="9" t="s">
        <v>135</v>
      </c>
    </row>
    <row r="15" spans="1:40" ht="13" x14ac:dyDescent="0.25">
      <c r="A15" s="148" t="s">
        <v>9</v>
      </c>
      <c r="B15" s="149"/>
      <c r="C15" s="11">
        <v>38</v>
      </c>
      <c r="D15" s="11">
        <v>38</v>
      </c>
      <c r="E15" s="11">
        <v>38</v>
      </c>
      <c r="F15" s="11">
        <v>38</v>
      </c>
      <c r="G15" s="11">
        <v>38</v>
      </c>
      <c r="H15" s="11">
        <v>38</v>
      </c>
      <c r="I15" s="11">
        <v>38</v>
      </c>
      <c r="J15" s="11"/>
      <c r="K15" s="11"/>
      <c r="L15" s="11"/>
      <c r="M15" s="11"/>
      <c r="N15" s="11"/>
      <c r="O15" s="11"/>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3">
      <c r="A16" s="152" t="s">
        <v>44</v>
      </c>
      <c r="B16" s="153"/>
      <c r="C16" s="100" t="s">
        <v>72</v>
      </c>
      <c r="D16" s="100" t="s">
        <v>72</v>
      </c>
      <c r="E16" s="100" t="s">
        <v>72</v>
      </c>
      <c r="F16" s="100" t="s">
        <v>72</v>
      </c>
      <c r="G16" s="100" t="s">
        <v>72</v>
      </c>
      <c r="H16" s="100" t="s">
        <v>72</v>
      </c>
      <c r="I16" s="100" t="s">
        <v>72</v>
      </c>
      <c r="J16" s="100"/>
      <c r="K16" s="100"/>
      <c r="L16" s="100"/>
      <c r="M16" s="100"/>
      <c r="N16" s="100"/>
      <c r="O16" s="100"/>
      <c r="P16" s="100"/>
      <c r="Q16" s="100"/>
      <c r="R16" s="100"/>
      <c r="S16" s="100"/>
      <c r="T16" s="100"/>
      <c r="U16" s="100"/>
      <c r="V16" s="101"/>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6.7759188750000003</v>
      </c>
      <c r="D18" s="12">
        <f>$D32</f>
        <v>6.7759188750000003</v>
      </c>
      <c r="E18" s="12">
        <f>$D33</f>
        <v>6.7759188750000003</v>
      </c>
      <c r="F18" s="12">
        <f>$D34</f>
        <v>6.7759188750000003</v>
      </c>
      <c r="G18" s="12">
        <f>$D35</f>
        <v>6.7759188750000003</v>
      </c>
      <c r="H18" s="12">
        <f>$D36</f>
        <v>6.7759188750000003</v>
      </c>
      <c r="I18" s="12">
        <f>$D37</f>
        <v>6.7759188750000003</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-57.824081124999992</v>
      </c>
      <c r="D19" s="12">
        <f t="shared" ref="D19:V19" si="1">D18-D17</f>
        <v>-57.824081124999992</v>
      </c>
      <c r="E19" s="12">
        <f t="shared" si="1"/>
        <v>-57.824081124999992</v>
      </c>
      <c r="F19" s="12">
        <f t="shared" si="1"/>
        <v>-57.824081124999992</v>
      </c>
      <c r="G19" s="12">
        <f t="shared" si="1"/>
        <v>-57.824081124999992</v>
      </c>
      <c r="H19" s="12">
        <f t="shared" si="1"/>
        <v>-57.824081124999992</v>
      </c>
      <c r="I19" s="12">
        <f t="shared" si="1"/>
        <v>-57.824081124999992</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0.62638912499999999</v>
      </c>
      <c r="D22" s="12">
        <f>$E32</f>
        <v>0.62638912499999999</v>
      </c>
      <c r="E22" s="12">
        <f>$E33</f>
        <v>0.62638912499999999</v>
      </c>
      <c r="F22" s="12">
        <f>$E34</f>
        <v>0.62638912499999999</v>
      </c>
      <c r="G22" s="12">
        <f>$E35</f>
        <v>0.62638912499999999</v>
      </c>
      <c r="H22" s="12">
        <f>$E36</f>
        <v>0.62638912499999999</v>
      </c>
      <c r="I22" s="12">
        <f>$E37</f>
        <v>0.62638912499999999</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-227.373610875</v>
      </c>
      <c r="D23" s="12">
        <f t="shared" ref="D23:V23" si="3">D22-D21</f>
        <v>-227.373610875</v>
      </c>
      <c r="E23" s="12">
        <f t="shared" si="3"/>
        <v>-227.373610875</v>
      </c>
      <c r="F23" s="12">
        <f t="shared" si="3"/>
        <v>-227.373610875</v>
      </c>
      <c r="G23" s="12">
        <f t="shared" si="3"/>
        <v>-227.373610875</v>
      </c>
      <c r="H23" s="12">
        <f t="shared" si="3"/>
        <v>-227.373610875</v>
      </c>
      <c r="I23" s="12">
        <f t="shared" si="3"/>
        <v>-227.373610875</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2.39</v>
      </c>
      <c r="C28" s="11">
        <v>1.17</v>
      </c>
      <c r="D28" s="11">
        <v>4.9500000000000002E-2</v>
      </c>
      <c r="E28" s="11">
        <v>8.6999999999999994E-3</v>
      </c>
      <c r="F28" s="11">
        <v>1820</v>
      </c>
      <c r="G28" s="11">
        <v>26</v>
      </c>
      <c r="H28" s="11">
        <v>162</v>
      </c>
      <c r="I28" s="11">
        <v>5.41</v>
      </c>
      <c r="J28" s="11">
        <v>0.51</v>
      </c>
      <c r="K28" s="15">
        <v>1.67</v>
      </c>
      <c r="L28" s="11">
        <v>3.58</v>
      </c>
      <c r="M28" s="11">
        <v>2.83</v>
      </c>
      <c r="N28" s="11">
        <v>181000</v>
      </c>
      <c r="O28" s="11">
        <v>6200</v>
      </c>
      <c r="P28" s="11"/>
      <c r="Q28" s="11">
        <v>4670</v>
      </c>
      <c r="R28" s="11"/>
      <c r="S28" s="11">
        <v>12.5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250</v>
      </c>
      <c r="C31" s="65">
        <f>IF(C$27="%w/w SAR",((C$28*10)*$B31),IF(C$27="%w/w DM",(((C$28*10)*($B$28/100))*$B31),IF(C$27="kg/t SAR",(C$28*$B31),IF(C$27="kg/t DM",((C$28*($B$28/100))*$B31),IF(C$27="mg/kg SAR",((C$28*0.001)*$B31),IF(C$27="mg/kg DM",(((C$28*0.001)*($B$28/100))*$B31),0))))))</f>
        <v>69.907499999999999</v>
      </c>
      <c r="D31" s="65">
        <f>(IF(D$27="%w/w SAR",((D$28*10)*$B31),IF(D$27="%w/w DM",(((D$28*10)*($B$28/100))*$B31),IF(D$27="kg/t SAR",(D$28*$B31),IF(D$27="kg/t DM",((D$28*($B$28/100))*$B31),IF(D$27="mg/kg SAR",((D$28*0.001)*$B31),IF(D$27="mg/kg DM",(((D$28*0.001)*($B$28/100))*$B31),"0")))))))*2.291</f>
        <v>6.7759188750000003</v>
      </c>
      <c r="E31" s="65">
        <f>(IF(E$27="%w/w SAR",((E$28*10)*$B31),IF(E$27="%w/w DM",(((E$28*10)*($B$28/100))*$B31),IF(E$27="kg/t SAR",(E$28*$B31),IF(E$27="kg/t DM",((E$28*($B$28/100))*$B31),IF(E$27="mg/kg SAR",((E$28*0.001)*$B31),IF(E$27="mg/kg DM",(((E$28*0.001)*($B$28/100))*$B31),"0")))))))*1.205</f>
        <v>0.62638912499999999</v>
      </c>
      <c r="F31" s="65">
        <f>(IF(F$27="%w/w SAR",((F$28*10)*$B31),IF(F$27="%w/w DM",(((F$28*10)*($B$28/100))*$B31),IF(F$27="kg/t SAR",(F$28*$B31),IF(F$27="kg/t DM",((F$28*($B$28/100))*$B31),IF(F$27="mg/kg SAR",((F$28*0.001)*$B31),IF(F$27="mg/kg DM",(((F$28*0.001)*($B$28/100))*$B31),"0")))))))*1.658</f>
        <v>18.029921000000002</v>
      </c>
      <c r="G31" s="65">
        <f t="shared" ref="G31:P31" si="5">IF(G$27="%w/w SAR",((G$28*10)*$B31),IF(G$27="%w/w DM",(((G$28*10)*($B$28/100))*$B31),IF(G$27="kg/t SAR",(G$28*$B31),IF(G$27="kg/t DM",((G$28*($B$28/100))*$B31),IF(G$27="mg/kg SAR",((G$28*0.001)*$B31),IF(G$27="mg/kg DM",(((G$28*0.001)*($B$28/100))*$B31),0))))))</f>
        <v>0.15535000000000002</v>
      </c>
      <c r="H31" s="65">
        <f t="shared" si="5"/>
        <v>0.96795000000000009</v>
      </c>
      <c r="I31" s="65">
        <f t="shared" si="5"/>
        <v>3.2324749999999999E-2</v>
      </c>
      <c r="J31" s="65">
        <f t="shared" si="5"/>
        <v>3.0472500000000005E-3</v>
      </c>
      <c r="K31" s="65">
        <f t="shared" si="5"/>
        <v>9.978250000000001E-3</v>
      </c>
      <c r="L31" s="65">
        <f t="shared" si="5"/>
        <v>2.13905E-2</v>
      </c>
      <c r="M31" s="65">
        <f t="shared" si="5"/>
        <v>1.6909250000000001E-2</v>
      </c>
      <c r="N31" s="65">
        <f t="shared" si="5"/>
        <v>1081.4749999999999</v>
      </c>
      <c r="O31" s="65">
        <f t="shared" si="5"/>
        <v>37.045000000000002</v>
      </c>
      <c r="P31" s="65">
        <f t="shared" si="5"/>
        <v>0</v>
      </c>
      <c r="Q31" s="65">
        <f>(IF(Q$27="%w/w SAR",((Q$28*10)*$B31),IF(Q$27="%w/w DM",(((Q$28*10)*($B$28/100))*$B31),IF(Q$27="kg/t SAR",(Q$28*$B31),IF(Q$27="kg/t DM",((Q$28*($B$28/100))*$B31),IF(Q$27="mg/kg SAR",((Q$28*0.001)*$B31),IF(Q$27="mg/kg DM",(((Q$28*0.001)*($B$28/100))*$B31),0)))))))*2.5</f>
        <v>69.758125000000007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7.4687500000000004E-2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69.907499999999999</v>
      </c>
      <c r="D32" s="65">
        <f t="shared" ref="D32:D50" si="7">(IF(D$27="%w/w SAR",((D$28*10)*$B32),IF(D$27="%w/w DM",(((D$28*10)*($B$28/100))*$B32),IF(D$27="kg/t SAR",(D$28*$B32),IF(D$27="kg/t DM",((D$28*($B$28/100))*$B32),IF(D$27="mg/kg SAR",((D$28*0.001)*$B32),IF(D$27="mg/kg DM",(((D$28*0.001)*($B$28/100))*$B32),"0")))))))*2.291</f>
        <v>6.7759188750000003</v>
      </c>
      <c r="E32" s="65">
        <f t="shared" ref="E32:E50" si="8">(IF(E$27="%w/w SAR",((E$28*10)*$B32),IF(E$27="%w/w DM",(((E$28*10)*($B$28/100))*$B32),IF(E$27="kg/t SAR",(E$28*$B32),IF(E$27="kg/t DM",((E$28*($B$28/100))*$B32),IF(E$27="mg/kg SAR",((E$28*0.001)*$B32),IF(E$27="mg/kg DM",(((E$28*0.001)*($B$28/100))*$B32),"0")))))))*1.205</f>
        <v>0.62638912499999999</v>
      </c>
      <c r="F32" s="65">
        <f t="shared" ref="F32:F50" si="9">(IF(F$27="%w/w SAR",((F$28*10)*$B32),IF(F$27="%w/w DM",(((F$28*10)*($B$28/100))*$B32),IF(F$27="kg/t SAR",(F$28*$B32),IF(F$27="kg/t DM",((F$28*($B$28/100))*$B32),IF(F$27="mg/kg SAR",((F$28*0.001)*$B32),IF(F$27="mg/kg DM",(((F$28*0.001)*($B$28/100))*$B32),"0")))))))*1.658</f>
        <v>18.029921000000002</v>
      </c>
      <c r="G32" s="65">
        <f t="shared" ref="G32:P50" si="10">IF(G$27="%w/w SAR",((G$28*10)*$B32),IF(G$27="%w/w DM",(((G$28*10)*($B$28/100))*$B32),IF(G$27="kg/t SAR",(G$28*$B32),IF(G$27="kg/t DM",((G$28*($B$28/100))*$B32),IF(G$27="mg/kg SAR",((G$28*0.001)*$B32),IF(G$27="mg/kg DM",(((G$28*0.001)*($B$28/100))*$B32),0))))))</f>
        <v>0.15535000000000002</v>
      </c>
      <c r="H32" s="65">
        <f t="shared" si="10"/>
        <v>0.96795000000000009</v>
      </c>
      <c r="I32" s="65">
        <f t="shared" si="10"/>
        <v>3.2324749999999999E-2</v>
      </c>
      <c r="J32" s="65">
        <f t="shared" si="10"/>
        <v>3.0472500000000005E-3</v>
      </c>
      <c r="K32" s="65">
        <f t="shared" si="10"/>
        <v>9.978250000000001E-3</v>
      </c>
      <c r="L32" s="65">
        <f t="shared" si="10"/>
        <v>2.13905E-2</v>
      </c>
      <c r="M32" s="65">
        <f t="shared" si="10"/>
        <v>1.6909250000000001E-2</v>
      </c>
      <c r="N32" s="65">
        <f t="shared" si="10"/>
        <v>1081.4749999999999</v>
      </c>
      <c r="O32" s="65">
        <f t="shared" si="10"/>
        <v>37.045000000000002</v>
      </c>
      <c r="P32" s="65">
        <f t="shared" si="10"/>
        <v>0</v>
      </c>
      <c r="Q32" s="65">
        <f t="shared" ref="Q32:Q50" si="11">(IF(Q$27="%w/w SAR",((Q$28*10)*$B32),IF(Q$27="%w/w DM",(((Q$28*10)*($B$28/100))*$B32),IF(Q$27="kg/t SAR",(Q$28*$B32),IF(Q$27="kg/t DM",((Q$28*($B$28/100))*$B32),IF(Q$27="mg/kg SAR",((Q$28*0.001)*$B32),IF(Q$27="mg/kg DM",(((Q$28*0.001)*($B$28/100))*$B32),0)))))))*2.5</f>
        <v>69.758125000000007</v>
      </c>
      <c r="R32" s="65">
        <f t="shared" ref="R32:U50" si="12">IF(R$27="%w/w SAR",((R$28*10)*$B32),IF(R$27="%w/w DM",(((R$28*10)*($B$28/100))*$B32),IF(R$27="kg/t SAR",(R$28*$B32),IF(R$27="kg/t DM",((R$28*($B$28/100))*$B32),IF(R$27="mg/kg SAR",((R$28*0.001)*$B32),IF(R$27="mg/kg DM",(((R$28*0.001)*($B$28/100))*$B32),0))))))</f>
        <v>0</v>
      </c>
      <c r="S32" s="65">
        <f t="shared" si="12"/>
        <v>7.4687500000000004E-2</v>
      </c>
      <c r="T32" s="65">
        <f t="shared" si="12"/>
        <v>0</v>
      </c>
      <c r="U32" s="126">
        <f t="shared" si="12"/>
        <v>0</v>
      </c>
    </row>
    <row r="33" spans="1:21" s="48" customFormat="1" ht="13" x14ac:dyDescent="0.35">
      <c r="A33" s="125">
        <f>E8</f>
        <v>1416</v>
      </c>
      <c r="B33" s="11">
        <v>250</v>
      </c>
      <c r="C33" s="65">
        <f t="shared" si="6"/>
        <v>69.907499999999999</v>
      </c>
      <c r="D33" s="65">
        <f t="shared" si="7"/>
        <v>6.7759188750000003</v>
      </c>
      <c r="E33" s="65">
        <f t="shared" si="8"/>
        <v>0.62638912499999999</v>
      </c>
      <c r="F33" s="65">
        <f t="shared" si="9"/>
        <v>18.029921000000002</v>
      </c>
      <c r="G33" s="65">
        <f t="shared" si="10"/>
        <v>0.15535000000000002</v>
      </c>
      <c r="H33" s="65">
        <f t="shared" si="10"/>
        <v>0.96795000000000009</v>
      </c>
      <c r="I33" s="65">
        <f t="shared" si="10"/>
        <v>3.2324749999999999E-2</v>
      </c>
      <c r="J33" s="65">
        <f t="shared" si="10"/>
        <v>3.0472500000000005E-3</v>
      </c>
      <c r="K33" s="65">
        <f t="shared" si="10"/>
        <v>9.978250000000001E-3</v>
      </c>
      <c r="L33" s="65">
        <f t="shared" si="10"/>
        <v>2.13905E-2</v>
      </c>
      <c r="M33" s="65">
        <f t="shared" si="10"/>
        <v>1.6909250000000001E-2</v>
      </c>
      <c r="N33" s="65">
        <f t="shared" si="10"/>
        <v>1081.4749999999999</v>
      </c>
      <c r="O33" s="65">
        <f t="shared" si="10"/>
        <v>37.045000000000002</v>
      </c>
      <c r="P33" s="65">
        <f t="shared" si="10"/>
        <v>0</v>
      </c>
      <c r="Q33" s="65">
        <f t="shared" si="11"/>
        <v>69.758125000000007</v>
      </c>
      <c r="R33" s="65">
        <f t="shared" si="12"/>
        <v>0</v>
      </c>
      <c r="S33" s="65">
        <f t="shared" si="12"/>
        <v>7.4687500000000004E-2</v>
      </c>
      <c r="T33" s="65">
        <f t="shared" si="12"/>
        <v>0</v>
      </c>
      <c r="U33" s="126">
        <f t="shared" si="12"/>
        <v>0</v>
      </c>
    </row>
    <row r="34" spans="1:21" s="48" customFormat="1" ht="13" x14ac:dyDescent="0.35">
      <c r="A34" s="125">
        <f>F8</f>
        <v>9216</v>
      </c>
      <c r="B34" s="11">
        <v>250</v>
      </c>
      <c r="C34" s="65">
        <f t="shared" si="6"/>
        <v>69.907499999999999</v>
      </c>
      <c r="D34" s="65">
        <f t="shared" si="7"/>
        <v>6.7759188750000003</v>
      </c>
      <c r="E34" s="65">
        <f t="shared" si="8"/>
        <v>0.62638912499999999</v>
      </c>
      <c r="F34" s="65">
        <f t="shared" si="9"/>
        <v>18.029921000000002</v>
      </c>
      <c r="G34" s="65">
        <f t="shared" si="10"/>
        <v>0.15535000000000002</v>
      </c>
      <c r="H34" s="65">
        <f t="shared" si="10"/>
        <v>0.96795000000000009</v>
      </c>
      <c r="I34" s="65">
        <f t="shared" si="10"/>
        <v>3.2324749999999999E-2</v>
      </c>
      <c r="J34" s="65">
        <f t="shared" si="10"/>
        <v>3.0472500000000005E-3</v>
      </c>
      <c r="K34" s="65">
        <f t="shared" si="10"/>
        <v>9.978250000000001E-3</v>
      </c>
      <c r="L34" s="65">
        <f t="shared" si="10"/>
        <v>2.13905E-2</v>
      </c>
      <c r="M34" s="65">
        <f t="shared" si="10"/>
        <v>1.6909250000000001E-2</v>
      </c>
      <c r="N34" s="65">
        <f t="shared" si="10"/>
        <v>1081.4749999999999</v>
      </c>
      <c r="O34" s="65">
        <f t="shared" si="10"/>
        <v>37.045000000000002</v>
      </c>
      <c r="P34" s="65">
        <f t="shared" si="10"/>
        <v>0</v>
      </c>
      <c r="Q34" s="65">
        <f t="shared" si="11"/>
        <v>69.758125000000007</v>
      </c>
      <c r="R34" s="65">
        <f t="shared" si="12"/>
        <v>0</v>
      </c>
      <c r="S34" s="65">
        <f t="shared" si="12"/>
        <v>7.4687500000000004E-2</v>
      </c>
      <c r="T34" s="65">
        <f t="shared" si="12"/>
        <v>0</v>
      </c>
      <c r="U34" s="126">
        <f t="shared" si="12"/>
        <v>0</v>
      </c>
    </row>
    <row r="35" spans="1:21" s="48" customFormat="1" ht="13" x14ac:dyDescent="0.35">
      <c r="A35" s="125">
        <f>G8</f>
        <v>1113</v>
      </c>
      <c r="B35" s="11">
        <v>250</v>
      </c>
      <c r="C35" s="65">
        <f t="shared" si="6"/>
        <v>69.907499999999999</v>
      </c>
      <c r="D35" s="65">
        <f t="shared" si="7"/>
        <v>6.7759188750000003</v>
      </c>
      <c r="E35" s="65">
        <f t="shared" si="8"/>
        <v>0.62638912499999999</v>
      </c>
      <c r="F35" s="65">
        <f t="shared" si="9"/>
        <v>18.029921000000002</v>
      </c>
      <c r="G35" s="65">
        <f t="shared" si="10"/>
        <v>0.15535000000000002</v>
      </c>
      <c r="H35" s="65">
        <f t="shared" si="10"/>
        <v>0.96795000000000009</v>
      </c>
      <c r="I35" s="65">
        <f t="shared" si="10"/>
        <v>3.2324749999999999E-2</v>
      </c>
      <c r="J35" s="65">
        <f t="shared" si="10"/>
        <v>3.0472500000000005E-3</v>
      </c>
      <c r="K35" s="65">
        <f t="shared" si="10"/>
        <v>9.978250000000001E-3</v>
      </c>
      <c r="L35" s="65">
        <f t="shared" si="10"/>
        <v>2.13905E-2</v>
      </c>
      <c r="M35" s="65">
        <f t="shared" si="10"/>
        <v>1.6909250000000001E-2</v>
      </c>
      <c r="N35" s="65">
        <f t="shared" si="10"/>
        <v>1081.4749999999999</v>
      </c>
      <c r="O35" s="65">
        <f t="shared" si="10"/>
        <v>37.045000000000002</v>
      </c>
      <c r="P35" s="65">
        <f t="shared" si="10"/>
        <v>0</v>
      </c>
      <c r="Q35" s="65">
        <f t="shared" si="11"/>
        <v>69.758125000000007</v>
      </c>
      <c r="R35" s="65">
        <f t="shared" si="12"/>
        <v>0</v>
      </c>
      <c r="S35" s="65">
        <f t="shared" si="12"/>
        <v>7.4687500000000004E-2</v>
      </c>
      <c r="T35" s="65">
        <f t="shared" si="12"/>
        <v>0</v>
      </c>
      <c r="U35" s="126">
        <f t="shared" si="12"/>
        <v>0</v>
      </c>
    </row>
    <row r="36" spans="1:21" s="48" customFormat="1" ht="13" x14ac:dyDescent="0.35">
      <c r="A36" s="125">
        <f>H8</f>
        <v>264</v>
      </c>
      <c r="B36" s="11">
        <v>250</v>
      </c>
      <c r="C36" s="65">
        <f t="shared" si="6"/>
        <v>69.907499999999999</v>
      </c>
      <c r="D36" s="65">
        <f t="shared" si="7"/>
        <v>6.7759188750000003</v>
      </c>
      <c r="E36" s="65">
        <f t="shared" si="8"/>
        <v>0.62638912499999999</v>
      </c>
      <c r="F36" s="65">
        <f t="shared" si="9"/>
        <v>18.029921000000002</v>
      </c>
      <c r="G36" s="65">
        <f t="shared" si="10"/>
        <v>0.15535000000000002</v>
      </c>
      <c r="H36" s="65">
        <f t="shared" si="10"/>
        <v>0.96795000000000009</v>
      </c>
      <c r="I36" s="65">
        <f t="shared" si="10"/>
        <v>3.2324749999999999E-2</v>
      </c>
      <c r="J36" s="65">
        <f t="shared" si="10"/>
        <v>3.0472500000000005E-3</v>
      </c>
      <c r="K36" s="65">
        <f t="shared" si="10"/>
        <v>9.978250000000001E-3</v>
      </c>
      <c r="L36" s="65">
        <f t="shared" si="10"/>
        <v>2.13905E-2</v>
      </c>
      <c r="M36" s="65">
        <f t="shared" si="10"/>
        <v>1.6909250000000001E-2</v>
      </c>
      <c r="N36" s="65">
        <f t="shared" si="10"/>
        <v>1081.4749999999999</v>
      </c>
      <c r="O36" s="65">
        <f t="shared" si="10"/>
        <v>37.045000000000002</v>
      </c>
      <c r="P36" s="65">
        <f t="shared" si="10"/>
        <v>0</v>
      </c>
      <c r="Q36" s="65">
        <f t="shared" si="11"/>
        <v>69.758125000000007</v>
      </c>
      <c r="R36" s="65">
        <f t="shared" si="12"/>
        <v>0</v>
      </c>
      <c r="S36" s="65">
        <f t="shared" si="12"/>
        <v>7.4687500000000004E-2</v>
      </c>
      <c r="T36" s="65">
        <f t="shared" si="12"/>
        <v>0</v>
      </c>
      <c r="U36" s="126">
        <f t="shared" si="12"/>
        <v>0</v>
      </c>
    </row>
    <row r="37" spans="1:21" s="48" customFormat="1" ht="13" x14ac:dyDescent="0.35">
      <c r="A37" s="125">
        <f>I8</f>
        <v>2585</v>
      </c>
      <c r="B37" s="11">
        <v>250</v>
      </c>
      <c r="C37" s="65">
        <f t="shared" si="6"/>
        <v>69.907499999999999</v>
      </c>
      <c r="D37" s="65">
        <f t="shared" si="7"/>
        <v>6.7759188750000003</v>
      </c>
      <c r="E37" s="65">
        <f t="shared" si="8"/>
        <v>0.62638912499999999</v>
      </c>
      <c r="F37" s="65">
        <f t="shared" si="9"/>
        <v>18.029921000000002</v>
      </c>
      <c r="G37" s="65">
        <f t="shared" si="10"/>
        <v>0.15535000000000002</v>
      </c>
      <c r="H37" s="65">
        <f t="shared" si="10"/>
        <v>0.96795000000000009</v>
      </c>
      <c r="I37" s="65">
        <f t="shared" si="10"/>
        <v>3.2324749999999999E-2</v>
      </c>
      <c r="J37" s="65">
        <f t="shared" si="10"/>
        <v>3.0472500000000005E-3</v>
      </c>
      <c r="K37" s="65">
        <f t="shared" si="10"/>
        <v>9.978250000000001E-3</v>
      </c>
      <c r="L37" s="65">
        <f t="shared" si="10"/>
        <v>2.13905E-2</v>
      </c>
      <c r="M37" s="65">
        <f t="shared" si="10"/>
        <v>1.6909250000000001E-2</v>
      </c>
      <c r="N37" s="65">
        <f t="shared" si="10"/>
        <v>1081.4749999999999</v>
      </c>
      <c r="O37" s="65">
        <f t="shared" si="10"/>
        <v>37.045000000000002</v>
      </c>
      <c r="P37" s="65">
        <f t="shared" si="10"/>
        <v>0</v>
      </c>
      <c r="Q37" s="65">
        <f t="shared" si="11"/>
        <v>69.758125000000007</v>
      </c>
      <c r="R37" s="65">
        <f t="shared" si="12"/>
        <v>0</v>
      </c>
      <c r="S37" s="65">
        <f t="shared" si="12"/>
        <v>7.4687500000000004E-2</v>
      </c>
      <c r="T37" s="65">
        <f t="shared" si="12"/>
        <v>0</v>
      </c>
      <c r="U37" s="126">
        <f t="shared" si="12"/>
        <v>0</v>
      </c>
    </row>
    <row r="38" spans="1:21" s="48" customFormat="1" ht="13" x14ac:dyDescent="0.35">
      <c r="A38" s="125">
        <f>J8</f>
        <v>0</v>
      </c>
      <c r="B38" s="11"/>
      <c r="C38" s="65">
        <f t="shared" si="6"/>
        <v>0</v>
      </c>
      <c r="D38" s="65">
        <f t="shared" si="7"/>
        <v>0</v>
      </c>
      <c r="E38" s="65">
        <f t="shared" si="8"/>
        <v>0</v>
      </c>
      <c r="F38" s="65">
        <f t="shared" si="9"/>
        <v>0</v>
      </c>
      <c r="G38" s="65">
        <f t="shared" si="10"/>
        <v>0</v>
      </c>
      <c r="H38" s="65">
        <f t="shared" si="10"/>
        <v>0</v>
      </c>
      <c r="I38" s="65">
        <f t="shared" si="10"/>
        <v>0</v>
      </c>
      <c r="J38" s="65">
        <f t="shared" si="10"/>
        <v>0</v>
      </c>
      <c r="K38" s="65">
        <f t="shared" si="10"/>
        <v>0</v>
      </c>
      <c r="L38" s="65">
        <f t="shared" si="10"/>
        <v>0</v>
      </c>
      <c r="M38" s="65">
        <f t="shared" si="10"/>
        <v>0</v>
      </c>
      <c r="N38" s="65">
        <f t="shared" si="10"/>
        <v>0</v>
      </c>
      <c r="O38" s="65">
        <f t="shared" si="10"/>
        <v>0</v>
      </c>
      <c r="P38" s="65">
        <f t="shared" si="10"/>
        <v>0</v>
      </c>
      <c r="Q38" s="65">
        <f t="shared" si="11"/>
        <v>0</v>
      </c>
      <c r="R38" s="65">
        <f t="shared" si="12"/>
        <v>0</v>
      </c>
      <c r="S38" s="65">
        <f t="shared" si="12"/>
        <v>0</v>
      </c>
      <c r="T38" s="65">
        <f t="shared" si="12"/>
        <v>0</v>
      </c>
      <c r="U38" s="126">
        <f t="shared" si="12"/>
        <v>0</v>
      </c>
    </row>
    <row r="39" spans="1:21" s="48" customFormat="1" ht="13" x14ac:dyDescent="0.35">
      <c r="A39" s="125">
        <f>K8</f>
        <v>0</v>
      </c>
      <c r="B39" s="11"/>
      <c r="C39" s="65">
        <f t="shared" si="6"/>
        <v>0</v>
      </c>
      <c r="D39" s="65">
        <f t="shared" si="7"/>
        <v>0</v>
      </c>
      <c r="E39" s="65">
        <f t="shared" si="8"/>
        <v>0</v>
      </c>
      <c r="F39" s="65">
        <f t="shared" si="9"/>
        <v>0</v>
      </c>
      <c r="G39" s="65">
        <f t="shared" si="10"/>
        <v>0</v>
      </c>
      <c r="H39" s="65">
        <f t="shared" si="10"/>
        <v>0</v>
      </c>
      <c r="I39" s="65">
        <f t="shared" si="10"/>
        <v>0</v>
      </c>
      <c r="J39" s="65">
        <f t="shared" si="10"/>
        <v>0</v>
      </c>
      <c r="K39" s="65">
        <f t="shared" si="10"/>
        <v>0</v>
      </c>
      <c r="L39" s="65">
        <f t="shared" si="10"/>
        <v>0</v>
      </c>
      <c r="M39" s="65">
        <f t="shared" si="10"/>
        <v>0</v>
      </c>
      <c r="N39" s="65">
        <f t="shared" si="10"/>
        <v>0</v>
      </c>
      <c r="O39" s="65">
        <f t="shared" si="10"/>
        <v>0</v>
      </c>
      <c r="P39" s="65">
        <f t="shared" si="10"/>
        <v>0</v>
      </c>
      <c r="Q39" s="65">
        <f t="shared" si="11"/>
        <v>0</v>
      </c>
      <c r="R39" s="65">
        <f t="shared" si="12"/>
        <v>0</v>
      </c>
      <c r="S39" s="65">
        <f t="shared" si="12"/>
        <v>0</v>
      </c>
      <c r="T39" s="65">
        <f t="shared" si="12"/>
        <v>0</v>
      </c>
      <c r="U39" s="126">
        <f t="shared" si="12"/>
        <v>0</v>
      </c>
    </row>
    <row r="40" spans="1:21" s="48" customFormat="1" ht="13" x14ac:dyDescent="0.35">
      <c r="A40" s="125">
        <f>L8</f>
        <v>0</v>
      </c>
      <c r="B40" s="11"/>
      <c r="C40" s="65">
        <f t="shared" si="6"/>
        <v>0</v>
      </c>
      <c r="D40" s="65">
        <f t="shared" si="7"/>
        <v>0</v>
      </c>
      <c r="E40" s="65">
        <f t="shared" si="8"/>
        <v>0</v>
      </c>
      <c r="F40" s="65">
        <f t="shared" si="9"/>
        <v>0</v>
      </c>
      <c r="G40" s="65">
        <f t="shared" si="10"/>
        <v>0</v>
      </c>
      <c r="H40" s="65">
        <f t="shared" si="10"/>
        <v>0</v>
      </c>
      <c r="I40" s="65">
        <f t="shared" si="10"/>
        <v>0</v>
      </c>
      <c r="J40" s="65">
        <f t="shared" si="10"/>
        <v>0</v>
      </c>
      <c r="K40" s="65">
        <f t="shared" si="10"/>
        <v>0</v>
      </c>
      <c r="L40" s="65">
        <f t="shared" si="10"/>
        <v>0</v>
      </c>
      <c r="M40" s="65">
        <f t="shared" si="10"/>
        <v>0</v>
      </c>
      <c r="N40" s="65">
        <f t="shared" si="10"/>
        <v>0</v>
      </c>
      <c r="O40" s="65">
        <f t="shared" si="10"/>
        <v>0</v>
      </c>
      <c r="P40" s="65">
        <f t="shared" si="10"/>
        <v>0</v>
      </c>
      <c r="Q40" s="65">
        <f t="shared" si="11"/>
        <v>0</v>
      </c>
      <c r="R40" s="65">
        <f t="shared" si="12"/>
        <v>0</v>
      </c>
      <c r="S40" s="65">
        <f t="shared" si="12"/>
        <v>0</v>
      </c>
      <c r="T40" s="65">
        <f t="shared" si="12"/>
        <v>0</v>
      </c>
      <c r="U40" s="126">
        <f t="shared" si="12"/>
        <v>0</v>
      </c>
    </row>
    <row r="41" spans="1:21" s="48" customFormat="1" ht="13" x14ac:dyDescent="0.35">
      <c r="A41" s="125">
        <f>M8</f>
        <v>0</v>
      </c>
      <c r="B41" s="11"/>
      <c r="C41" s="65">
        <f t="shared" si="6"/>
        <v>0</v>
      </c>
      <c r="D41" s="65">
        <f t="shared" si="7"/>
        <v>0</v>
      </c>
      <c r="E41" s="65">
        <f t="shared" si="8"/>
        <v>0</v>
      </c>
      <c r="F41" s="65">
        <f t="shared" si="9"/>
        <v>0</v>
      </c>
      <c r="G41" s="65">
        <f t="shared" si="10"/>
        <v>0</v>
      </c>
      <c r="H41" s="65">
        <f t="shared" si="10"/>
        <v>0</v>
      </c>
      <c r="I41" s="65">
        <f t="shared" si="10"/>
        <v>0</v>
      </c>
      <c r="J41" s="65">
        <f t="shared" si="10"/>
        <v>0</v>
      </c>
      <c r="K41" s="65">
        <f t="shared" si="10"/>
        <v>0</v>
      </c>
      <c r="L41" s="65">
        <f t="shared" si="10"/>
        <v>0</v>
      </c>
      <c r="M41" s="65">
        <f t="shared" si="10"/>
        <v>0</v>
      </c>
      <c r="N41" s="65">
        <f t="shared" si="10"/>
        <v>0</v>
      </c>
      <c r="O41" s="65">
        <f t="shared" si="10"/>
        <v>0</v>
      </c>
      <c r="P41" s="65">
        <f t="shared" si="10"/>
        <v>0</v>
      </c>
      <c r="Q41" s="65">
        <f t="shared" si="11"/>
        <v>0</v>
      </c>
      <c r="R41" s="65">
        <f t="shared" si="12"/>
        <v>0</v>
      </c>
      <c r="S41" s="65">
        <f t="shared" si="12"/>
        <v>0</v>
      </c>
      <c r="T41" s="65">
        <f t="shared" si="12"/>
        <v>0</v>
      </c>
      <c r="U41" s="126">
        <f t="shared" si="12"/>
        <v>0</v>
      </c>
    </row>
    <row r="42" spans="1:21" s="48" customFormat="1" ht="13" x14ac:dyDescent="0.35">
      <c r="A42" s="125">
        <f>N8</f>
        <v>0</v>
      </c>
      <c r="B42" s="11"/>
      <c r="C42" s="65">
        <f t="shared" si="6"/>
        <v>0</v>
      </c>
      <c r="D42" s="65">
        <f t="shared" si="7"/>
        <v>0</v>
      </c>
      <c r="E42" s="65">
        <f t="shared" si="8"/>
        <v>0</v>
      </c>
      <c r="F42" s="65">
        <f t="shared" si="9"/>
        <v>0</v>
      </c>
      <c r="G42" s="65">
        <f t="shared" si="10"/>
        <v>0</v>
      </c>
      <c r="H42" s="65">
        <f t="shared" si="10"/>
        <v>0</v>
      </c>
      <c r="I42" s="65">
        <f t="shared" si="10"/>
        <v>0</v>
      </c>
      <c r="J42" s="65">
        <f t="shared" si="10"/>
        <v>0</v>
      </c>
      <c r="K42" s="65">
        <f t="shared" si="10"/>
        <v>0</v>
      </c>
      <c r="L42" s="65">
        <f t="shared" si="10"/>
        <v>0</v>
      </c>
      <c r="M42" s="65">
        <f t="shared" si="10"/>
        <v>0</v>
      </c>
      <c r="N42" s="65">
        <f t="shared" si="10"/>
        <v>0</v>
      </c>
      <c r="O42" s="65">
        <f t="shared" si="10"/>
        <v>0</v>
      </c>
      <c r="P42" s="65">
        <f t="shared" si="10"/>
        <v>0</v>
      </c>
      <c r="Q42" s="65">
        <f t="shared" si="11"/>
        <v>0</v>
      </c>
      <c r="R42" s="65">
        <f t="shared" si="12"/>
        <v>0</v>
      </c>
      <c r="S42" s="65">
        <f t="shared" si="12"/>
        <v>0</v>
      </c>
      <c r="T42" s="65">
        <f t="shared" si="12"/>
        <v>0</v>
      </c>
      <c r="U42" s="126">
        <f t="shared" si="12"/>
        <v>0</v>
      </c>
    </row>
    <row r="43" spans="1:21" s="48" customFormat="1" ht="13" x14ac:dyDescent="0.35">
      <c r="A43" s="125">
        <f>O8</f>
        <v>0</v>
      </c>
      <c r="B43" s="11"/>
      <c r="C43" s="65">
        <f t="shared" si="6"/>
        <v>0</v>
      </c>
      <c r="D43" s="65">
        <f t="shared" si="7"/>
        <v>0</v>
      </c>
      <c r="E43" s="65">
        <f t="shared" si="8"/>
        <v>0</v>
      </c>
      <c r="F43" s="65">
        <f t="shared" si="9"/>
        <v>0</v>
      </c>
      <c r="G43" s="65">
        <f t="shared" si="10"/>
        <v>0</v>
      </c>
      <c r="H43" s="65">
        <f t="shared" si="10"/>
        <v>0</v>
      </c>
      <c r="I43" s="65">
        <f t="shared" si="10"/>
        <v>0</v>
      </c>
      <c r="J43" s="65">
        <f t="shared" si="10"/>
        <v>0</v>
      </c>
      <c r="K43" s="65">
        <f t="shared" si="10"/>
        <v>0</v>
      </c>
      <c r="L43" s="65">
        <f t="shared" si="10"/>
        <v>0</v>
      </c>
      <c r="M43" s="65">
        <f t="shared" si="10"/>
        <v>0</v>
      </c>
      <c r="N43" s="65">
        <f t="shared" si="10"/>
        <v>0</v>
      </c>
      <c r="O43" s="65">
        <f t="shared" si="10"/>
        <v>0</v>
      </c>
      <c r="P43" s="65">
        <f t="shared" si="10"/>
        <v>0</v>
      </c>
      <c r="Q43" s="65">
        <f t="shared" si="11"/>
        <v>0</v>
      </c>
      <c r="R43" s="65">
        <f t="shared" si="12"/>
        <v>0</v>
      </c>
      <c r="S43" s="65">
        <f t="shared" si="12"/>
        <v>0</v>
      </c>
      <c r="T43" s="65">
        <f t="shared" si="12"/>
        <v>0</v>
      </c>
      <c r="U43" s="126">
        <f t="shared" si="12"/>
        <v>0</v>
      </c>
    </row>
    <row r="44" spans="1:21" s="48" customFormat="1" ht="13" x14ac:dyDescent="0.3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ht="13" x14ac:dyDescent="0.3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ht="13" x14ac:dyDescent="0.3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ht="13" x14ac:dyDescent="0.3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ht="13" x14ac:dyDescent="0.3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ht="13" x14ac:dyDescent="0.3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4">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"&amp;(VLOOKUP(C14,Table24[],6,FALSE))</f>
        <v>Medium/Clay I Grass</v>
      </c>
      <c r="C58" s="10" t="str">
        <f>D16&amp;" I "&amp;(VLOOKUP(D14,Table24[],6,FALSE))</f>
        <v>Medium/Clay I Grass</v>
      </c>
      <c r="D58" s="10" t="str">
        <f>E16&amp;" I "&amp;(VLOOKUP(E14,Table24[],6,FALSE))</f>
        <v>Medium/Clay I Grass</v>
      </c>
      <c r="E58" s="10" t="str">
        <f>F16&amp;" I "&amp;(VLOOKUP(F14,Table24[],6,FALSE))</f>
        <v>Medium/Clay I Grass</v>
      </c>
      <c r="F58" s="10" t="str">
        <f>G16&amp;" I "&amp;(VLOOKUP(G14,Table24[],6,FALSE))</f>
        <v>Medium/Clay I Grass</v>
      </c>
      <c r="G58" s="10" t="str">
        <f>H16&amp;" I "&amp;(VLOOKUP(H14,Table24[],6,FALSE))</f>
        <v>Medium/Clay I Grass</v>
      </c>
      <c r="H58" s="10" t="str">
        <f>I16&amp;" I "&amp;(VLOOKUP(I14,Table24[],6,FALSE))</f>
        <v>Medium/Clay I Grass</v>
      </c>
      <c r="I58" s="10" t="e">
        <f>J16&amp;" I "&amp;(VLOOKUP(J14,Table24[],6,FALSE))</f>
        <v>#N/A</v>
      </c>
      <c r="J58" s="10" t="e">
        <f>K16&amp;" I "&amp;(VLOOKUP(K14,Table24[],6,FALSE))</f>
        <v>#N/A</v>
      </c>
      <c r="K58" s="10" t="e">
        <f>L16&amp;" I "&amp;(VLOOKUP(L14,Table24[],6,FALSE))</f>
        <v>#N/A</v>
      </c>
      <c r="L58" s="10" t="e">
        <f>M16&amp;" I "&amp;(VLOOKUP(M14,Table24[],6,FALSE))</f>
        <v>#N/A</v>
      </c>
      <c r="M58" s="10" t="e">
        <f>N16&amp;" I "&amp;(VLOOKUP(N14,Table24[],6,FALSE))</f>
        <v>#N/A</v>
      </c>
      <c r="N58" s="10" t="e">
        <f>O16&amp;" I "&amp;(VLOOKUP(O14,Table24[],6,FALSE))</f>
        <v>#N/A</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ht="13" x14ac:dyDescent="0.3">
      <c r="A59" s="87" t="s">
        <v>132</v>
      </c>
      <c r="B59" s="64">
        <f>VLOOKUP(C$14,Table24[],5,FALSE)</f>
        <v>6.2</v>
      </c>
      <c r="C59" s="64">
        <f>VLOOKUP(D$14,Table24[],5,FALSE)</f>
        <v>6.2</v>
      </c>
      <c r="D59" s="64">
        <f>VLOOKUP(E$14,Table24[],5,FALSE)</f>
        <v>6.2</v>
      </c>
      <c r="E59" s="64">
        <f>VLOOKUP(F$14,Table24[],5,FALSE)</f>
        <v>6.2</v>
      </c>
      <c r="F59" s="64">
        <f>VLOOKUP(G$14,Table24[],5,FALSE)</f>
        <v>6.2</v>
      </c>
      <c r="G59" s="64">
        <f>VLOOKUP(H$14,Table24[],5,FALSE)</f>
        <v>6.2</v>
      </c>
      <c r="H59" s="64">
        <f>VLOOKUP(I$14,Table24[],5,FALSE)</f>
        <v>6.2</v>
      </c>
      <c r="I59" s="64" t="e">
        <f>VLOOKUP(J$14,Table24[],5,FALSE)</f>
        <v>#N/A</v>
      </c>
      <c r="J59" s="64" t="e">
        <f>VLOOKUP(K$14,Table24[],5,FALSE)</f>
        <v>#N/A</v>
      </c>
      <c r="K59" s="64" t="e">
        <f>VLOOKUP(L$14,Table24[],5,FALSE)</f>
        <v>#N/A</v>
      </c>
      <c r="L59" s="64" t="e">
        <f>VLOOKUP(M$14,Table24[],5,FALSE)</f>
        <v>#N/A</v>
      </c>
      <c r="M59" s="64" t="e">
        <f>VLOOKUP(N$14,Table24[],5,FALSE)</f>
        <v>#N/A</v>
      </c>
      <c r="N59" s="64" t="e">
        <f>VLOOKUP(O$14,Table24[],5,FALSE)</f>
        <v>#N/A</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250</v>
      </c>
      <c r="C62" s="65">
        <f>B32</f>
        <v>250</v>
      </c>
      <c r="D62" s="65">
        <f>B33</f>
        <v>250</v>
      </c>
      <c r="E62" s="65">
        <f>B34</f>
        <v>250</v>
      </c>
      <c r="F62" s="65">
        <f>B35</f>
        <v>250</v>
      </c>
      <c r="G62" s="65">
        <f>B36</f>
        <v>250</v>
      </c>
      <c r="H62" s="65">
        <f>B37</f>
        <v>250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eLEmg9SLDd4Nz4vmluY4ifAD6hv1zXA8bNFfLaWVKG0rUKJSb2+9ja5Dc4kE8B7L9jYKI2B6TImeG64hiSjow==" saltValue="coSkd5Fq3LJ+pYIHvTkYC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90" priority="48" operator="greaterThan">
      <formula>$B$51</formula>
    </cfRule>
  </conditionalFormatting>
  <conditionalFormatting sqref="B66:U66">
    <cfRule type="cellIs" dxfId="289" priority="10" operator="equal">
      <formula>"UNDER"</formula>
    </cfRule>
    <cfRule type="cellIs" dxfId="288" priority="11" operator="equal">
      <formula>"OVER"</formula>
    </cfRule>
  </conditionalFormatting>
  <conditionalFormatting sqref="C31:C50">
    <cfRule type="cellIs" dxfId="287" priority="47" operator="greaterThan">
      <formula>$C$51</formula>
    </cfRule>
  </conditionalFormatting>
  <conditionalFormatting sqref="C11:V13">
    <cfRule type="cellIs" dxfId="286" priority="1" operator="greaterThan">
      <formula>2</formula>
    </cfRule>
  </conditionalFormatting>
  <conditionalFormatting sqref="C13:V13">
    <cfRule type="cellIs" dxfId="285" priority="2" operator="greaterThan">
      <formula>3</formula>
    </cfRule>
  </conditionalFormatting>
  <conditionalFormatting sqref="C17:V19">
    <cfRule type="cellIs" dxfId="284" priority="40" operator="equal">
      <formula>0</formula>
    </cfRule>
  </conditionalFormatting>
  <conditionalFormatting sqref="C20:V21">
    <cfRule type="cellIs" dxfId="283" priority="49" operator="equal">
      <formula>"DECREASE"</formula>
    </cfRule>
    <cfRule type="cellIs" dxfId="282" priority="50" operator="equal">
      <formula>"INCREASE"</formula>
    </cfRule>
  </conditionalFormatting>
  <conditionalFormatting sqref="C21:V21">
    <cfRule type="cellIs" dxfId="281" priority="14" operator="equal">
      <formula>0</formula>
    </cfRule>
  </conditionalFormatting>
  <conditionalFormatting sqref="C22:V23">
    <cfRule type="cellIs" dxfId="280" priority="21" operator="equal">
      <formula>0</formula>
    </cfRule>
  </conditionalFormatting>
  <conditionalFormatting sqref="C24:V24">
    <cfRule type="cellIs" dxfId="279" priority="22" operator="equal">
      <formula>"DECREASE"</formula>
    </cfRule>
    <cfRule type="cellIs" dxfId="278" priority="23" operator="equal">
      <formula>"INCREASE"</formula>
    </cfRule>
  </conditionalFormatting>
  <conditionalFormatting sqref="G31:G50">
    <cfRule type="cellIs" dxfId="277" priority="37" operator="greaterThan">
      <formula>$G$51</formula>
    </cfRule>
  </conditionalFormatting>
  <conditionalFormatting sqref="H31:H50">
    <cfRule type="cellIs" dxfId="276" priority="36" operator="greaterThan">
      <formula>$H$51</formula>
    </cfRule>
  </conditionalFormatting>
  <conditionalFormatting sqref="I1">
    <cfRule type="cellIs" dxfId="275" priority="17" operator="between">
      <formula>0.1</formula>
      <formula>5</formula>
    </cfRule>
  </conditionalFormatting>
  <conditionalFormatting sqref="I2">
    <cfRule type="cellIs" dxfId="274" priority="16" operator="greaterThan">
      <formula>5000.1</formula>
    </cfRule>
  </conditionalFormatting>
  <conditionalFormatting sqref="I3">
    <cfRule type="cellIs" dxfId="273" priority="15" operator="greaterThan">
      <formula>40000.01</formula>
    </cfRule>
  </conditionalFormatting>
  <conditionalFormatting sqref="I31:I50">
    <cfRule type="cellIs" dxfId="272" priority="35" operator="greaterThan">
      <formula>$I$51</formula>
    </cfRule>
  </conditionalFormatting>
  <conditionalFormatting sqref="J31:J50">
    <cfRule type="cellIs" dxfId="271" priority="9" operator="greaterThan">
      <formula>$J$51</formula>
    </cfRule>
  </conditionalFormatting>
  <conditionalFormatting sqref="K31:K50">
    <cfRule type="cellIs" dxfId="270" priority="33" operator="greaterThan">
      <formula>$K$51</formula>
    </cfRule>
  </conditionalFormatting>
  <conditionalFormatting sqref="L3">
    <cfRule type="cellIs" dxfId="269" priority="7" operator="lessThan">
      <formula>30</formula>
    </cfRule>
    <cfRule type="cellIs" dxfId="268" priority="8" operator="greaterThanOrEqual">
      <formula>30</formula>
    </cfRule>
  </conditionalFormatting>
  <conditionalFormatting sqref="L31:L50">
    <cfRule type="cellIs" dxfId="267" priority="32" operator="greaterThan">
      <formula>$L$51</formula>
    </cfRule>
  </conditionalFormatting>
  <conditionalFormatting sqref="M31:M50">
    <cfRule type="cellIs" dxfId="266" priority="31" operator="greaterThan">
      <formula>$M$51</formula>
    </cfRule>
  </conditionalFormatting>
  <conditionalFormatting sqref="P31:P50">
    <cfRule type="cellIs" dxfId="265" priority="30" operator="greaterThan">
      <formula>$P$51</formula>
    </cfRule>
  </conditionalFormatting>
  <conditionalFormatting sqref="R31:R50">
    <cfRule type="cellIs" dxfId="264" priority="29" operator="greaterThan">
      <formula>$R$51</formula>
    </cfRule>
  </conditionalFormatting>
  <conditionalFormatting sqref="S31:S50">
    <cfRule type="cellIs" dxfId="263" priority="28" operator="greaterThan">
      <formula>$S$51</formula>
    </cfRule>
  </conditionalFormatting>
  <conditionalFormatting sqref="T31:T50">
    <cfRule type="cellIs" dxfId="262" priority="27" operator="greaterThan">
      <formula>$T$51</formula>
    </cfRule>
  </conditionalFormatting>
  <conditionalFormatting sqref="U31:U50">
    <cfRule type="cellIs" dxfId="261" priority="26"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zoomScale="90" zoomScaleNormal="90" workbookViewId="0">
      <selection activeCell="B42" sqref="B4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6.7</v>
      </c>
      <c r="J1" s="130" t="s">
        <v>153</v>
      </c>
      <c r="K1" s="131"/>
      <c r="L1" s="109">
        <v>268</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0.91900000000000004</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2.9162132752992385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167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31.958533599999999</v>
      </c>
      <c r="D18" s="12">
        <f>$D32</f>
        <v>65.286718640000004</v>
      </c>
      <c r="E18" s="12">
        <f>$D33</f>
        <v>31.958533599999999</v>
      </c>
      <c r="F18" s="12">
        <f>$D34</f>
        <v>31.958533599999999</v>
      </c>
      <c r="G18" s="12">
        <f>$D35</f>
        <v>0</v>
      </c>
      <c r="H18" s="12">
        <f>$D36</f>
        <v>0</v>
      </c>
      <c r="I18" s="12">
        <f>$D37</f>
        <v>31.958533599999999</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-32.641466399999999</v>
      </c>
      <c r="D19" s="12">
        <f t="shared" ref="D19:V19" si="1">D18-D17</f>
        <v>0.68671864000000937</v>
      </c>
      <c r="E19" s="12">
        <f t="shared" si="1"/>
        <v>-32.641466399999999</v>
      </c>
      <c r="F19" s="12">
        <f t="shared" si="1"/>
        <v>-32.641466399999999</v>
      </c>
      <c r="G19" s="12">
        <f t="shared" si="1"/>
        <v>-64.599999999999994</v>
      </c>
      <c r="H19" s="12">
        <f t="shared" si="1"/>
        <v>-64.599999999999994</v>
      </c>
      <c r="I19" s="12">
        <f t="shared" si="1"/>
        <v>-32.641466399999999</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0.34490715</v>
      </c>
      <c r="D22" s="12">
        <f>$E32</f>
        <v>0.70459603500000001</v>
      </c>
      <c r="E22" s="12">
        <f>$E33</f>
        <v>0.34490715</v>
      </c>
      <c r="F22" s="12">
        <f>$E34</f>
        <v>0.34490715</v>
      </c>
      <c r="G22" s="12">
        <f>$E35</f>
        <v>0</v>
      </c>
      <c r="H22" s="12">
        <f>$E36</f>
        <v>0</v>
      </c>
      <c r="I22" s="12">
        <f>$E37</f>
        <v>0.34490715</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-227.65509284999999</v>
      </c>
      <c r="D23" s="12">
        <f t="shared" ref="D23:V23" si="3">D22-D21</f>
        <v>-227.29540396499999</v>
      </c>
      <c r="E23" s="12">
        <f t="shared" si="3"/>
        <v>-227.65509284999999</v>
      </c>
      <c r="F23" s="12">
        <f t="shared" si="3"/>
        <v>-227.65509284999999</v>
      </c>
      <c r="G23" s="12">
        <f t="shared" si="3"/>
        <v>-228</v>
      </c>
      <c r="H23" s="12">
        <f t="shared" si="3"/>
        <v>-228</v>
      </c>
      <c r="I23" s="12">
        <f t="shared" si="3"/>
        <v>-227.65509284999999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4.7</v>
      </c>
      <c r="C28" s="11">
        <v>0.91900000000000004</v>
      </c>
      <c r="D28" s="11">
        <v>0.42399999999999999</v>
      </c>
      <c r="E28" s="11">
        <v>8.6999999999999994E-3</v>
      </c>
      <c r="F28" s="11">
        <v>1200</v>
      </c>
      <c r="G28" s="11">
        <v>32.6</v>
      </c>
      <c r="H28" s="11">
        <v>81.400000000000006</v>
      </c>
      <c r="I28" s="11">
        <v>2.77</v>
      </c>
      <c r="J28" s="11">
        <v>0.31</v>
      </c>
      <c r="K28" s="15">
        <v>0.86</v>
      </c>
      <c r="L28" s="11">
        <v>31.8</v>
      </c>
      <c r="M28" s="11">
        <v>4.3</v>
      </c>
      <c r="N28" s="11">
        <v>230000</v>
      </c>
      <c r="O28" s="11">
        <v>5700</v>
      </c>
      <c r="P28" s="11"/>
      <c r="Q28" s="11">
        <v>12200</v>
      </c>
      <c r="R28" s="11"/>
      <c r="S28" s="11">
        <v>9.4</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70</v>
      </c>
      <c r="C31" s="65">
        <f>IF(C$27="%w/w SAR",((C$28*10)*$B31),IF(C$27="%w/w DM",(((C$28*10)*($B$28/100))*$B31),IF(C$27="kg/t SAR",(C$28*$B31),IF(C$27="kg/t DM",((C$28*($B$28/100))*$B31),IF(C$27="mg/kg SAR",((C$28*0.001)*$B31),IF(C$27="mg/kg DM",(((C$28*0.001)*($B$28/100))*$B31),0))))))</f>
        <v>30.235100000000003</v>
      </c>
      <c r="D31" s="65">
        <f>(IF(D$27="%w/w SAR",((D$28*10)*$B31),IF(D$27="%w/w DM",(((D$28*10)*($B$28/100))*$B31),IF(D$27="kg/t SAR",(D$28*$B31),IF(D$27="kg/t DM",((D$28*($B$28/100))*$B31),IF(D$27="mg/kg SAR",((D$28*0.001)*$B31),IF(D$27="mg/kg DM",(((D$28*0.001)*($B$28/100))*$B31),"0")))))))*2.291</f>
        <v>31.958533599999999</v>
      </c>
      <c r="E31" s="65">
        <f>(IF(E$27="%w/w SAR",((E$28*10)*$B31),IF(E$27="%w/w DM",(((E$28*10)*($B$28/100))*$B31),IF(E$27="kg/t SAR",(E$28*$B31),IF(E$27="kg/t DM",((E$28*($B$28/100))*$B31),IF(E$27="mg/kg SAR",((E$28*0.001)*$B31),IF(E$27="mg/kg DM",(((E$28*0.001)*($B$28/100))*$B31),"0")))))))*1.205</f>
        <v>0.34490715</v>
      </c>
      <c r="F31" s="65">
        <f>(IF(F$27="%w/w SAR",((F$28*10)*$B31),IF(F$27="%w/w DM",(((F$28*10)*($B$28/100))*$B31),IF(F$27="kg/t SAR",(F$28*$B31),IF(F$27="kg/t DM",((F$28*($B$28/100))*$B31),IF(F$27="mg/kg SAR",((F$28*0.001)*$B31),IF(F$27="mg/kg DM",(((F$28*0.001)*($B$28/100))*$B31),"0")))))))*1.658</f>
        <v>6.5457839999999994</v>
      </c>
      <c r="G31" s="65">
        <f t="shared" ref="G31:P46" si="5">IF(G$27="%w/w SAR",((G$28*10)*$B31),IF(G$27="%w/w DM",(((G$28*10)*($B$28/100))*$B31),IF(G$27="kg/t SAR",(G$28*$B31),IF(G$27="kg/t DM",((G$28*($B$28/100))*$B31),IF(G$27="mg/kg SAR",((G$28*0.001)*$B31),IF(G$27="mg/kg DM",(((G$28*0.001)*($B$28/100))*$B31),0))))))</f>
        <v>0.10725400000000002</v>
      </c>
      <c r="H31" s="65">
        <f t="shared" si="5"/>
        <v>0.26780600000000004</v>
      </c>
      <c r="I31" s="65">
        <f t="shared" si="5"/>
        <v>9.1132999999999995E-3</v>
      </c>
      <c r="J31" s="65">
        <f t="shared" si="5"/>
        <v>1.0199E-3</v>
      </c>
      <c r="K31" s="65">
        <f t="shared" si="5"/>
        <v>2.8293999999999997E-3</v>
      </c>
      <c r="L31" s="65">
        <f t="shared" si="5"/>
        <v>0.10462200000000001</v>
      </c>
      <c r="M31" s="65">
        <f t="shared" si="5"/>
        <v>1.4147E-2</v>
      </c>
      <c r="N31" s="65">
        <f t="shared" si="5"/>
        <v>756.7</v>
      </c>
      <c r="O31" s="65">
        <f t="shared" si="5"/>
        <v>18.753</v>
      </c>
      <c r="P31" s="65">
        <f t="shared" si="5"/>
        <v>0</v>
      </c>
      <c r="Q31" s="65">
        <f>(IF(Q$27="%w/w SAR",((Q$28*10)*$B31),IF(Q$27="%w/w DM",(((Q$28*10)*($B$28/100))*$B31),IF(Q$27="kg/t SAR",(Q$28*$B31),IF(Q$27="kg/t DM",((Q$28*($B$28/100))*$B31),IF(Q$27="mg/kg SAR",((Q$28*0.001)*$B31),IF(Q$27="mg/kg DM",(((Q$28*0.001)*($B$28/100))*$B31),0)))))))*2.5</f>
        <v>100.345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3.0926000000000002E-2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143</v>
      </c>
      <c r="C32" s="65">
        <f t="shared" ref="C32:C50" si="6">IF(C$27="%w/w SAR",((C$28*10)*$B32),IF(C$27="%w/w DM",(((C$28*10)*($B$28/100))*$B32),IF(C$27="kg/t SAR",(C$28*$B32),IF(C$27="kg/t DM",((C$28*($B$28/100))*$B32),IF(C$27="mg/kg SAR",((C$28*0.001)*$B32),IF(C$27="mg/kg DM",(((C$28*0.001)*($B$28/100))*$B32),0))))))</f>
        <v>61.765990000000002</v>
      </c>
      <c r="D32" s="65">
        <f t="shared" ref="D32:D50" si="7">(IF(D$27="%w/w SAR",((D$28*10)*$B32),IF(D$27="%w/w DM",(((D$28*10)*($B$28/100))*$B32),IF(D$27="kg/t SAR",(D$28*$B32),IF(D$27="kg/t DM",((D$28*($B$28/100))*$B32),IF(D$27="mg/kg SAR",((D$28*0.001)*$B32),IF(D$27="mg/kg DM",(((D$28*0.001)*($B$28/100))*$B32),"0")))))))*2.291</f>
        <v>65.286718640000004</v>
      </c>
      <c r="E32" s="65">
        <f t="shared" ref="E32:E50" si="8">(IF(E$27="%w/w SAR",((E$28*10)*$B32),IF(E$27="%w/w DM",(((E$28*10)*($B$28/100))*$B32),IF(E$27="kg/t SAR",(E$28*$B32),IF(E$27="kg/t DM",((E$28*($B$28/100))*$B32),IF(E$27="mg/kg SAR",((E$28*0.001)*$B32),IF(E$27="mg/kg DM",(((E$28*0.001)*($B$28/100))*$B32),"0")))))))*1.205</f>
        <v>0.70459603500000001</v>
      </c>
      <c r="F32" s="65">
        <f t="shared" ref="F32:F50" si="9">(IF(F$27="%w/w SAR",((F$28*10)*$B32),IF(F$27="%w/w DM",(((F$28*10)*($B$28/100))*$B32),IF(F$27="kg/t SAR",(F$28*$B32),IF(F$27="kg/t DM",((F$28*($B$28/100))*$B32),IF(F$27="mg/kg SAR",((F$28*0.001)*$B32),IF(F$27="mg/kg DM",(((F$28*0.001)*($B$28/100))*$B32),"0")))))))*1.658</f>
        <v>13.372101599999997</v>
      </c>
      <c r="G32" s="65">
        <f t="shared" si="5"/>
        <v>0.21910460000000004</v>
      </c>
      <c r="H32" s="65">
        <f t="shared" si="5"/>
        <v>0.54708940000000006</v>
      </c>
      <c r="I32" s="65">
        <f t="shared" si="5"/>
        <v>1.8617169999999999E-2</v>
      </c>
      <c r="J32" s="65">
        <f t="shared" si="5"/>
        <v>2.0835099999999998E-3</v>
      </c>
      <c r="K32" s="65">
        <f t="shared" si="5"/>
        <v>5.7800599999999992E-3</v>
      </c>
      <c r="L32" s="65">
        <f t="shared" si="5"/>
        <v>0.2137278</v>
      </c>
      <c r="M32" s="65">
        <f t="shared" si="5"/>
        <v>2.89003E-2</v>
      </c>
      <c r="N32" s="65">
        <f t="shared" si="5"/>
        <v>1545.8300000000002</v>
      </c>
      <c r="O32" s="65">
        <f t="shared" si="5"/>
        <v>38.309700000000007</v>
      </c>
      <c r="P32" s="65">
        <f t="shared" si="5"/>
        <v>0</v>
      </c>
      <c r="Q32" s="65">
        <f t="shared" ref="Q32:Q50" si="10">(IF(Q$27="%w/w SAR",((Q$28*10)*$B32),IF(Q$27="%w/w DM",(((Q$28*10)*($B$28/100))*$B32),IF(Q$27="kg/t SAR",(Q$28*$B32),IF(Q$27="kg/t DM",((Q$28*($B$28/100))*$B32),IF(Q$27="mg/kg SAR",((Q$28*0.001)*$B32),IF(Q$27="mg/kg DM",(((Q$28*0.001)*($B$28/100))*$B32),0)))))))*2.5</f>
        <v>204.9905</v>
      </c>
      <c r="R32" s="65">
        <f t="shared" ref="R32:U50" si="11">IF(R$27="%w/w SAR",((R$28*10)*$B32),IF(R$27="%w/w DM",(((R$28*10)*($B$28/100))*$B32),IF(R$27="kg/t SAR",(R$28*$B32),IF(R$27="kg/t DM",((R$28*($B$28/100))*$B32),IF(R$27="mg/kg SAR",((R$28*0.001)*$B32),IF(R$27="mg/kg DM",(((R$28*0.001)*($B$28/100))*$B32),0))))))</f>
        <v>0</v>
      </c>
      <c r="S32" s="65">
        <f t="shared" si="11"/>
        <v>6.3177399999999995E-2</v>
      </c>
      <c r="T32" s="65">
        <f t="shared" si="11"/>
        <v>0</v>
      </c>
      <c r="U32" s="126">
        <f t="shared" si="11"/>
        <v>0</v>
      </c>
    </row>
    <row r="33" spans="1:21" s="48" customFormat="1" ht="13" x14ac:dyDescent="0.35">
      <c r="A33" s="125">
        <f>E8</f>
        <v>1416</v>
      </c>
      <c r="B33" s="11">
        <v>70</v>
      </c>
      <c r="C33" s="65">
        <f t="shared" si="6"/>
        <v>30.235100000000003</v>
      </c>
      <c r="D33" s="65">
        <f t="shared" si="7"/>
        <v>31.958533599999999</v>
      </c>
      <c r="E33" s="65">
        <f t="shared" si="8"/>
        <v>0.34490715</v>
      </c>
      <c r="F33" s="65">
        <f t="shared" si="9"/>
        <v>6.5457839999999994</v>
      </c>
      <c r="G33" s="65">
        <f t="shared" si="5"/>
        <v>0.10725400000000002</v>
      </c>
      <c r="H33" s="65">
        <f t="shared" si="5"/>
        <v>0.26780600000000004</v>
      </c>
      <c r="I33" s="65">
        <f t="shared" si="5"/>
        <v>9.1132999999999995E-3</v>
      </c>
      <c r="J33" s="65">
        <f t="shared" si="5"/>
        <v>1.0199E-3</v>
      </c>
      <c r="K33" s="65">
        <f t="shared" si="5"/>
        <v>2.8293999999999997E-3</v>
      </c>
      <c r="L33" s="65">
        <f t="shared" si="5"/>
        <v>0.10462200000000001</v>
      </c>
      <c r="M33" s="65">
        <f t="shared" si="5"/>
        <v>1.4147E-2</v>
      </c>
      <c r="N33" s="65">
        <f t="shared" si="5"/>
        <v>756.7</v>
      </c>
      <c r="O33" s="65">
        <f t="shared" si="5"/>
        <v>18.753</v>
      </c>
      <c r="P33" s="65">
        <f t="shared" si="5"/>
        <v>0</v>
      </c>
      <c r="Q33" s="65">
        <f t="shared" si="10"/>
        <v>100.345</v>
      </c>
      <c r="R33" s="65">
        <f t="shared" si="11"/>
        <v>0</v>
      </c>
      <c r="S33" s="65">
        <f t="shared" si="11"/>
        <v>3.0926000000000002E-2</v>
      </c>
      <c r="T33" s="65">
        <f t="shared" si="11"/>
        <v>0</v>
      </c>
      <c r="U33" s="126">
        <f t="shared" si="11"/>
        <v>0</v>
      </c>
    </row>
    <row r="34" spans="1:21" s="48" customFormat="1" ht="13" x14ac:dyDescent="0.35">
      <c r="A34" s="125">
        <f>F8</f>
        <v>9216</v>
      </c>
      <c r="B34" s="11">
        <v>70</v>
      </c>
      <c r="C34" s="65">
        <f t="shared" si="6"/>
        <v>30.235100000000003</v>
      </c>
      <c r="D34" s="65">
        <f t="shared" si="7"/>
        <v>31.958533599999999</v>
      </c>
      <c r="E34" s="65">
        <f t="shared" si="8"/>
        <v>0.34490715</v>
      </c>
      <c r="F34" s="65">
        <f t="shared" si="9"/>
        <v>6.5457839999999994</v>
      </c>
      <c r="G34" s="65">
        <f t="shared" si="5"/>
        <v>0.10725400000000002</v>
      </c>
      <c r="H34" s="65">
        <f t="shared" si="5"/>
        <v>0.26780600000000004</v>
      </c>
      <c r="I34" s="65">
        <f t="shared" si="5"/>
        <v>9.1132999999999995E-3</v>
      </c>
      <c r="J34" s="65">
        <f t="shared" si="5"/>
        <v>1.0199E-3</v>
      </c>
      <c r="K34" s="65">
        <f t="shared" si="5"/>
        <v>2.8293999999999997E-3</v>
      </c>
      <c r="L34" s="65">
        <f t="shared" si="5"/>
        <v>0.10462200000000001</v>
      </c>
      <c r="M34" s="65">
        <f t="shared" si="5"/>
        <v>1.4147E-2</v>
      </c>
      <c r="N34" s="65">
        <f t="shared" si="5"/>
        <v>756.7</v>
      </c>
      <c r="O34" s="65">
        <f t="shared" si="5"/>
        <v>18.753</v>
      </c>
      <c r="P34" s="65">
        <f t="shared" si="5"/>
        <v>0</v>
      </c>
      <c r="Q34" s="65">
        <f t="shared" si="10"/>
        <v>100.345</v>
      </c>
      <c r="R34" s="65">
        <f t="shared" si="11"/>
        <v>0</v>
      </c>
      <c r="S34" s="65">
        <f t="shared" si="11"/>
        <v>3.0926000000000002E-2</v>
      </c>
      <c r="T34" s="65">
        <f t="shared" si="11"/>
        <v>0</v>
      </c>
      <c r="U34" s="126">
        <f t="shared" si="11"/>
        <v>0</v>
      </c>
    </row>
    <row r="35" spans="1:21" s="48" customFormat="1" ht="13" x14ac:dyDescent="0.35">
      <c r="A35" s="125">
        <f>G8</f>
        <v>1113</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70</v>
      </c>
      <c r="C37" s="65">
        <f t="shared" si="6"/>
        <v>30.235100000000003</v>
      </c>
      <c r="D37" s="65">
        <f t="shared" si="7"/>
        <v>31.958533599999999</v>
      </c>
      <c r="E37" s="65">
        <f t="shared" si="8"/>
        <v>0.34490715</v>
      </c>
      <c r="F37" s="65">
        <f t="shared" si="9"/>
        <v>6.5457839999999994</v>
      </c>
      <c r="G37" s="65">
        <f t="shared" si="5"/>
        <v>0.10725400000000002</v>
      </c>
      <c r="H37" s="65">
        <f t="shared" si="5"/>
        <v>0.26780600000000004</v>
      </c>
      <c r="I37" s="65">
        <f t="shared" si="5"/>
        <v>9.1132999999999995E-3</v>
      </c>
      <c r="J37" s="65">
        <f t="shared" si="5"/>
        <v>1.0199E-3</v>
      </c>
      <c r="K37" s="65">
        <f t="shared" si="5"/>
        <v>2.8293999999999997E-3</v>
      </c>
      <c r="L37" s="65">
        <f t="shared" si="5"/>
        <v>0.10462200000000001</v>
      </c>
      <c r="M37" s="65">
        <f t="shared" si="5"/>
        <v>1.4147E-2</v>
      </c>
      <c r="N37" s="65">
        <f t="shared" si="5"/>
        <v>756.7</v>
      </c>
      <c r="O37" s="65">
        <f t="shared" si="5"/>
        <v>18.753</v>
      </c>
      <c r="P37" s="65">
        <f t="shared" si="5"/>
        <v>0</v>
      </c>
      <c r="Q37" s="65">
        <f t="shared" si="10"/>
        <v>100.345</v>
      </c>
      <c r="R37" s="65">
        <f t="shared" si="11"/>
        <v>0</v>
      </c>
      <c r="S37" s="65">
        <f t="shared" si="11"/>
        <v>3.0926000000000002E-2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"&amp;(VLOOKUP(C14,Table245[],6,FALSE))</f>
        <v>Medium/Clay I Grass</v>
      </c>
      <c r="C58" s="10" t="str">
        <f>D16&amp;" I "&amp;(VLOOKUP(D14,Table245[],6,FALSE))</f>
        <v>Medium/Clay I Grass</v>
      </c>
      <c r="D58" s="10" t="str">
        <f>E16&amp;" I "&amp;(VLOOKUP(E14,Table245[],6,FALSE))</f>
        <v>Medium/Clay I Grass</v>
      </c>
      <c r="E58" s="10" t="str">
        <f>F16&amp;" I "&amp;(VLOOKUP(F14,Table245[],6,FALSE))</f>
        <v>Medium/Clay I Grass</v>
      </c>
      <c r="F58" s="10" t="str">
        <f>G16&amp;" I "&amp;(VLOOKUP(G14,Table245[],6,FALSE))</f>
        <v>Medium/Clay I Grass</v>
      </c>
      <c r="G58" s="10" t="str">
        <f>H16&amp;" I "&amp;(VLOOKUP(H14,Table245[],6,FALSE))</f>
        <v>Medium/Clay I Grass</v>
      </c>
      <c r="H58" s="10" t="str">
        <f>I16&amp;" I "&amp;(VLOOKUP(I14,Table245[],6,FALSE))</f>
        <v>Medium/Clay I Grass</v>
      </c>
      <c r="I58" s="10" t="e">
        <f>J16&amp;" I "&amp;(VLOOKUP(J14,Table245[],6,FALSE))</f>
        <v>#N/A</v>
      </c>
      <c r="J58" s="10" t="e">
        <f>K16&amp;" I "&amp;(VLOOKUP(K14,Table245[],6,FALSE))</f>
        <v>#N/A</v>
      </c>
      <c r="K58" s="10" t="e">
        <f>L16&amp;" I "&amp;(VLOOKUP(L14,Table245[],6,FALSE))</f>
        <v>#N/A</v>
      </c>
      <c r="L58" s="10" t="e">
        <f>M16&amp;" I "&amp;(VLOOKUP(M14,Table245[],6,FALSE))</f>
        <v>#N/A</v>
      </c>
      <c r="M58" s="10" t="e">
        <f>N16&amp;" I "&amp;(VLOOKUP(N14,Table245[],6,FALSE))</f>
        <v>#N/A</v>
      </c>
      <c r="N58" s="10" t="e">
        <f>O16&amp;" I "&amp;(VLOOKUP(O14,Table245[],6,FALSE))</f>
        <v>#N/A</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ht="13" x14ac:dyDescent="0.3">
      <c r="A59" s="87" t="s">
        <v>132</v>
      </c>
      <c r="B59" s="64">
        <f>VLOOKUP(C$14,Table245[],5,FALSE)</f>
        <v>6.2</v>
      </c>
      <c r="C59" s="64">
        <f>VLOOKUP(D$14,Table245[],5,FALSE)</f>
        <v>6.2</v>
      </c>
      <c r="D59" s="64">
        <f>VLOOKUP(E$14,Table245[],5,FALSE)</f>
        <v>6.2</v>
      </c>
      <c r="E59" s="64">
        <f>VLOOKUP(F$14,Table245[],5,FALSE)</f>
        <v>6.2</v>
      </c>
      <c r="F59" s="64">
        <f>VLOOKUP(G$14,Table245[],5,FALSE)</f>
        <v>6.2</v>
      </c>
      <c r="G59" s="64">
        <f>VLOOKUP(H$14,Table245[],5,FALSE)</f>
        <v>6.2</v>
      </c>
      <c r="H59" s="64">
        <f>VLOOKUP(I$14,Table245[],5,FALSE)</f>
        <v>6.2</v>
      </c>
      <c r="I59" s="64" t="e">
        <f>VLOOKUP(J$14,Table245[],5,FALSE)</f>
        <v>#N/A</v>
      </c>
      <c r="J59" s="64" t="e">
        <f>VLOOKUP(K$14,Table245[],5,FALSE)</f>
        <v>#N/A</v>
      </c>
      <c r="K59" s="64" t="e">
        <f>VLOOKUP(L$14,Table245[],5,FALSE)</f>
        <v>#N/A</v>
      </c>
      <c r="L59" s="64" t="e">
        <f>VLOOKUP(M$14,Table245[],5,FALSE)</f>
        <v>#N/A</v>
      </c>
      <c r="M59" s="64" t="e">
        <f>VLOOKUP(N$14,Table245[],5,FALSE)</f>
        <v>#N/A</v>
      </c>
      <c r="N59" s="64" t="e">
        <f>VLOOKUP(O$14,Table245[],5,FALSE)</f>
        <v>#N/A</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70</v>
      </c>
      <c r="C62" s="65">
        <f>B32</f>
        <v>143</v>
      </c>
      <c r="D62" s="65">
        <f>B33</f>
        <v>70</v>
      </c>
      <c r="E62" s="65">
        <f>B34</f>
        <v>70</v>
      </c>
      <c r="F62" s="65">
        <f>B35</f>
        <v>0</v>
      </c>
      <c r="G62" s="65">
        <f>B36</f>
        <v>0</v>
      </c>
      <c r="H62" s="65">
        <f>B37</f>
        <v>70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0KJ6jnqTDvM0qdc5lXOYHqG4CQ2OvccjQjvkCBzsKTQ4T44Bt2h8Ec+pUnvaZjwxScwz5iIBcDB/bEzEuiNpDA==" saltValue="snQ2K+Sqf4NQEID2tk5x5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40" operator="greaterThan">
      <formula>$B$51</formula>
    </cfRule>
  </conditionalFormatting>
  <conditionalFormatting sqref="B66:U66">
    <cfRule type="cellIs" dxfId="259" priority="15" operator="equal">
      <formula>"UNDER"</formula>
    </cfRule>
    <cfRule type="cellIs" dxfId="258" priority="16" operator="equal">
      <formula>"OVER"</formula>
    </cfRule>
  </conditionalFormatting>
  <conditionalFormatting sqref="C31:C50">
    <cfRule type="cellIs" dxfId="257" priority="39" operator="greaterThan">
      <formula>$C$51</formula>
    </cfRule>
  </conditionalFormatting>
  <conditionalFormatting sqref="C11:V13">
    <cfRule type="cellIs" dxfId="256" priority="1" operator="greaterThan">
      <formula>2</formula>
    </cfRule>
  </conditionalFormatting>
  <conditionalFormatting sqref="C17:V19">
    <cfRule type="cellIs" dxfId="255" priority="36" operator="equal">
      <formula>0</formula>
    </cfRule>
  </conditionalFormatting>
  <conditionalFormatting sqref="C20:V21">
    <cfRule type="cellIs" dxfId="254" priority="41" operator="equal">
      <formula>"DECREASE"</formula>
    </cfRule>
    <cfRule type="cellIs" dxfId="253" priority="42" operator="equal">
      <formula>"INCREASE"</formula>
    </cfRule>
  </conditionalFormatting>
  <conditionalFormatting sqref="C21:V21">
    <cfRule type="cellIs" dxfId="252" priority="17" operator="equal">
      <formula>0</formula>
    </cfRule>
  </conditionalFormatting>
  <conditionalFormatting sqref="C22:V23">
    <cfRule type="cellIs" dxfId="251" priority="21" operator="equal">
      <formula>0</formula>
    </cfRule>
  </conditionalFormatting>
  <conditionalFormatting sqref="C24:V24">
    <cfRule type="cellIs" dxfId="250" priority="22" operator="equal">
      <formula>"DECREASE"</formula>
    </cfRule>
    <cfRule type="cellIs" dxfId="249" priority="23" operator="equal">
      <formula>"INCREASE"</formula>
    </cfRule>
  </conditionalFormatting>
  <conditionalFormatting sqref="G31:G50">
    <cfRule type="cellIs" dxfId="248" priority="35" operator="greaterThan">
      <formula>$G$51</formula>
    </cfRule>
  </conditionalFormatting>
  <conditionalFormatting sqref="H31:H50">
    <cfRule type="cellIs" dxfId="247" priority="34" operator="greaterThan">
      <formula>$H$51</formula>
    </cfRule>
  </conditionalFormatting>
  <conditionalFormatting sqref="I1">
    <cfRule type="cellIs" dxfId="246" priority="7" operator="between">
      <formula>0.1</formula>
      <formula>5</formula>
    </cfRule>
  </conditionalFormatting>
  <conditionalFormatting sqref="I2">
    <cfRule type="cellIs" dxfId="245" priority="6" operator="greaterThan">
      <formula>5000.1</formula>
    </cfRule>
  </conditionalFormatting>
  <conditionalFormatting sqref="I3">
    <cfRule type="cellIs" dxfId="244" priority="5" operator="greaterThan">
      <formula>40000.01</formula>
    </cfRule>
  </conditionalFormatting>
  <conditionalFormatting sqref="I31:I50">
    <cfRule type="cellIs" dxfId="243" priority="33" operator="greaterThan">
      <formula>$I$51</formula>
    </cfRule>
  </conditionalFormatting>
  <conditionalFormatting sqref="J31:J50">
    <cfRule type="cellIs" dxfId="242" priority="12" operator="greaterThan">
      <formula>$J$51</formula>
    </cfRule>
  </conditionalFormatting>
  <conditionalFormatting sqref="K31:K50">
    <cfRule type="cellIs" dxfId="241" priority="32" operator="greaterThan">
      <formula>$K$51</formula>
    </cfRule>
  </conditionalFormatting>
  <conditionalFormatting sqref="L3">
    <cfRule type="cellIs" dxfId="240" priority="8" operator="lessThan">
      <formula>30</formula>
    </cfRule>
    <cfRule type="cellIs" dxfId="239" priority="9" operator="greaterThanOrEqual">
      <formula>30</formula>
    </cfRule>
  </conditionalFormatting>
  <conditionalFormatting sqref="L31:L50">
    <cfRule type="cellIs" dxfId="238" priority="31" operator="greaterThan">
      <formula>$L$51</formula>
    </cfRule>
  </conditionalFormatting>
  <conditionalFormatting sqref="M31:M50">
    <cfRule type="cellIs" dxfId="237" priority="30" operator="greaterThan">
      <formula>$M$51</formula>
    </cfRule>
  </conditionalFormatting>
  <conditionalFormatting sqref="P31:P50">
    <cfRule type="cellIs" dxfId="236" priority="29" operator="greaterThan">
      <formula>$P$51</formula>
    </cfRule>
  </conditionalFormatting>
  <conditionalFormatting sqref="R31:R50">
    <cfRule type="cellIs" dxfId="235" priority="28" operator="greaterThan">
      <formula>$R$51</formula>
    </cfRule>
  </conditionalFormatting>
  <conditionalFormatting sqref="S31:S50">
    <cfRule type="cellIs" dxfId="234" priority="27" operator="greaterThan">
      <formula>$S$51</formula>
    </cfRule>
  </conditionalFormatting>
  <conditionalFormatting sqref="T31:T50">
    <cfRule type="cellIs" dxfId="233" priority="26" operator="greaterThan">
      <formula>$T$51</formula>
    </cfRule>
  </conditionalFormatting>
  <conditionalFormatting sqref="U31:U50">
    <cfRule type="cellIs" dxfId="232" priority="25"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zoomScale="90" zoomScaleNormal="90" workbookViewId="0">
      <selection activeCell="B43" sqref="B43"/>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6.8</v>
      </c>
      <c r="J1" s="130" t="s">
        <v>153</v>
      </c>
      <c r="K1" s="131"/>
      <c r="L1" s="109">
        <v>276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0.71799999999999997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3.8440111420612815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168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31.599029879999993</v>
      </c>
      <c r="D18" s="12">
        <f>$D32</f>
        <v>35.907988499999995</v>
      </c>
      <c r="E18" s="12">
        <f>$D33</f>
        <v>31.599029879999993</v>
      </c>
      <c r="F18" s="12">
        <f>$D34</f>
        <v>31.599029879999993</v>
      </c>
      <c r="G18" s="12">
        <f>$D35</f>
        <v>0</v>
      </c>
      <c r="H18" s="12">
        <f>$D36</f>
        <v>0</v>
      </c>
      <c r="I18" s="12">
        <f>$D37</f>
        <v>31.599029879999993</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-33.000970120000005</v>
      </c>
      <c r="D19" s="12">
        <f t="shared" ref="D19:V19" si="1">D18-D17</f>
        <v>-28.6920115</v>
      </c>
      <c r="E19" s="12">
        <f t="shared" si="1"/>
        <v>-33.000970120000005</v>
      </c>
      <c r="F19" s="12">
        <f t="shared" si="1"/>
        <v>-33.000970120000005</v>
      </c>
      <c r="G19" s="12">
        <f t="shared" si="1"/>
        <v>-64.599999999999994</v>
      </c>
      <c r="H19" s="12">
        <f t="shared" si="1"/>
        <v>-64.599999999999994</v>
      </c>
      <c r="I19" s="12">
        <f t="shared" si="1"/>
        <v>-33.000970120000005</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(VLOOKUP(D$14,$AI2:$AK24,3,FALSE))*D$15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0.59504345999999997</v>
      </c>
      <c r="D22" s="12">
        <f>$E32</f>
        <v>0.67618574999999992</v>
      </c>
      <c r="E22" s="12">
        <f>$E33</f>
        <v>0.59504345999999997</v>
      </c>
      <c r="F22" s="12">
        <f>$E34</f>
        <v>0.59504345999999997</v>
      </c>
      <c r="G22" s="12">
        <f>$E35</f>
        <v>0</v>
      </c>
      <c r="H22" s="12">
        <f>$E36</f>
        <v>0</v>
      </c>
      <c r="I22" s="12">
        <f>$E37</f>
        <v>0.59504345999999997</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-227.40495654</v>
      </c>
      <c r="D23" s="12">
        <f t="shared" ref="D23:V23" si="3">D22-D21</f>
        <v>-227.32381425</v>
      </c>
      <c r="E23" s="12">
        <f t="shared" si="3"/>
        <v>-227.40495654</v>
      </c>
      <c r="F23" s="12">
        <f t="shared" si="3"/>
        <v>-227.40495654</v>
      </c>
      <c r="G23" s="12">
        <f t="shared" si="3"/>
        <v>-228</v>
      </c>
      <c r="H23" s="12">
        <f t="shared" si="3"/>
        <v>-228</v>
      </c>
      <c r="I23" s="12">
        <f t="shared" si="3"/>
        <v>-227.40495654</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2.58</v>
      </c>
      <c r="C28" s="11">
        <v>0.71799999999999997</v>
      </c>
      <c r="D28" s="11">
        <v>0.24299999999999999</v>
      </c>
      <c r="E28" s="11">
        <v>8.6999999999999994E-3</v>
      </c>
      <c r="F28" s="11">
        <v>187</v>
      </c>
      <c r="G28" s="11">
        <v>22.1</v>
      </c>
      <c r="H28" s="11">
        <v>349</v>
      </c>
      <c r="I28" s="11">
        <v>4.99</v>
      </c>
      <c r="J28" s="11">
        <v>0.96</v>
      </c>
      <c r="K28" s="15">
        <v>1.54</v>
      </c>
      <c r="L28" s="11">
        <v>3.31</v>
      </c>
      <c r="M28" s="11">
        <v>2.61</v>
      </c>
      <c r="N28" s="11">
        <v>313000</v>
      </c>
      <c r="O28" s="11">
        <v>4960</v>
      </c>
      <c r="P28" s="11"/>
      <c r="Q28" s="11">
        <v>16600</v>
      </c>
      <c r="R28" s="11"/>
      <c r="S28" s="11">
        <v>14.6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220</v>
      </c>
      <c r="C31" s="65">
        <f>IF(C$27="%w/w SAR",((C$28*10)*$B31),IF(C$27="%w/w DM",(((C$28*10)*($B$28/100))*$B31),IF(C$27="kg/t SAR",(C$28*$B31),IF(C$27="kg/t DM",((C$28*($B$28/100))*$B31),IF(C$27="mg/kg SAR",((C$28*0.001)*$B31),IF(C$27="mg/kg DM",(((C$28*0.001)*($B$28/100))*$B31),0))))))</f>
        <v>40.753679999999996</v>
      </c>
      <c r="D31" s="65">
        <f>(IF(D$27="%w/w SAR",((D$28*10)*$B31),IF(D$27="%w/w DM",(((D$28*10)*($B$28/100))*$B31),IF(D$27="kg/t SAR",(D$28*$B31),IF(D$27="kg/t DM",((D$28*($B$28/100))*$B31),IF(D$27="mg/kg SAR",((D$28*0.001)*$B31),IF(D$27="mg/kg DM",(((D$28*0.001)*($B$28/100))*$B31),"0")))))))*2.291</f>
        <v>31.599029879999993</v>
      </c>
      <c r="E31" s="65">
        <f>(IF(E$27="%w/w SAR",((E$28*10)*$B31),IF(E$27="%w/w DM",(((E$28*10)*($B$28/100))*$B31),IF(E$27="kg/t SAR",(E$28*$B31),IF(E$27="kg/t DM",((E$28*($B$28/100))*$B31),IF(E$27="mg/kg SAR",((E$28*0.001)*$B31),IF(E$27="mg/kg DM",(((E$28*0.001)*($B$28/100))*$B31),"0")))))))*1.205</f>
        <v>0.59504345999999997</v>
      </c>
      <c r="F31" s="65">
        <f>(IF(F$27="%w/w SAR",((F$28*10)*$B31),IF(F$27="%w/w DM",(((F$28*10)*($B$28/100))*$B31),IF(F$27="kg/t SAR",(F$28*$B31),IF(F$27="kg/t DM",((F$28*($B$28/100))*$B31),IF(F$27="mg/kg SAR",((F$28*0.001)*$B31),IF(F$27="mg/kg DM",(((F$28*0.001)*($B$28/100))*$B31),"0")))))))*1.658</f>
        <v>1.759821096</v>
      </c>
      <c r="G31" s="65">
        <f t="shared" ref="G31:P46" si="5">IF(G$27="%w/w SAR",((G$28*10)*$B31),IF(G$27="%w/w DM",(((G$28*10)*($B$28/100))*$B31),IF(G$27="kg/t SAR",(G$28*$B31),IF(G$27="kg/t DM",((G$28*($B$28/100))*$B31),IF(G$27="mg/kg SAR",((G$28*0.001)*$B31),IF(G$27="mg/kg DM",(((G$28*0.001)*($B$28/100))*$B31),0))))))</f>
        <v>0.12543959999999998</v>
      </c>
      <c r="H31" s="65">
        <f t="shared" si="5"/>
        <v>1.9809240000000001</v>
      </c>
      <c r="I31" s="65">
        <f t="shared" si="5"/>
        <v>2.8323240000000006E-2</v>
      </c>
      <c r="J31" s="65">
        <f t="shared" si="5"/>
        <v>5.4489600000000001E-3</v>
      </c>
      <c r="K31" s="65">
        <f t="shared" si="5"/>
        <v>8.741040000000002E-3</v>
      </c>
      <c r="L31" s="65">
        <f t="shared" si="5"/>
        <v>1.8787559999999998E-2</v>
      </c>
      <c r="M31" s="65">
        <f t="shared" si="5"/>
        <v>1.481436E-2</v>
      </c>
      <c r="N31" s="65">
        <f t="shared" si="5"/>
        <v>1776.588</v>
      </c>
      <c r="O31" s="65">
        <f t="shared" si="5"/>
        <v>28.15296</v>
      </c>
      <c r="P31" s="65">
        <f t="shared" si="5"/>
        <v>0</v>
      </c>
      <c r="Q31" s="65">
        <f>(IF(Q$27="%w/w SAR",((Q$28*10)*$B31),IF(Q$27="%w/w DM",(((Q$28*10)*($B$28/100))*$B31),IF(Q$27="kg/t SAR",(Q$28*$B31),IF(Q$27="kg/t DM",((Q$28*($B$28/100))*$B31),IF(Q$27="mg/kg SAR",((Q$28*0.001)*$B31),IF(Q$27="mg/kg DM",(((Q$28*0.001)*($B$28/100))*$B31),0)))))))*2.5</f>
        <v>235.55400000000003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8.2869600000000002E-2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46.311</v>
      </c>
      <c r="D32" s="65">
        <f t="shared" ref="D32:D50" si="7">(IF(D$27="%w/w SAR",((D$28*10)*$B32),IF(D$27="%w/w DM",(((D$28*10)*($B$28/100))*$B32),IF(D$27="kg/t SAR",(D$28*$B32),IF(D$27="kg/t DM",((D$28*($B$28/100))*$B32),IF(D$27="mg/kg SAR",((D$28*0.001)*$B32),IF(D$27="mg/kg DM",(((D$28*0.001)*($B$28/100))*$B32),"0")))))))*2.291</f>
        <v>35.907988499999995</v>
      </c>
      <c r="E32" s="65">
        <f t="shared" ref="E32:E50" si="8">(IF(E$27="%w/w SAR",((E$28*10)*$B32),IF(E$27="%w/w DM",(((E$28*10)*($B$28/100))*$B32),IF(E$27="kg/t SAR",(E$28*$B32),IF(E$27="kg/t DM",((E$28*($B$28/100))*$B32),IF(E$27="mg/kg SAR",((E$28*0.001)*$B32),IF(E$27="mg/kg DM",(((E$28*0.001)*($B$28/100))*$B32),"0")))))))*1.205</f>
        <v>0.67618574999999992</v>
      </c>
      <c r="F32" s="65">
        <f t="shared" ref="F32:F50" si="9">(IF(F$27="%w/w SAR",((F$28*10)*$B32),IF(F$27="%w/w DM",(((F$28*10)*($B$28/100))*$B32),IF(F$27="kg/t SAR",(F$28*$B32),IF(F$27="kg/t DM",((F$28*($B$28/100))*$B32),IF(F$27="mg/kg SAR",((F$28*0.001)*$B32),IF(F$27="mg/kg DM",(((F$28*0.001)*($B$28/100))*$B32),"0")))))))*1.658</f>
        <v>1.9997967000000001</v>
      </c>
      <c r="G32" s="65">
        <f t="shared" si="5"/>
        <v>0.14254500000000001</v>
      </c>
      <c r="H32" s="65">
        <f t="shared" si="5"/>
        <v>2.2510500000000002</v>
      </c>
      <c r="I32" s="65">
        <f t="shared" si="5"/>
        <v>3.2185500000000006E-2</v>
      </c>
      <c r="J32" s="65">
        <f t="shared" si="5"/>
        <v>6.1920000000000005E-3</v>
      </c>
      <c r="K32" s="65">
        <f t="shared" si="5"/>
        <v>9.9330000000000009E-3</v>
      </c>
      <c r="L32" s="65">
        <f t="shared" si="5"/>
        <v>2.13495E-2</v>
      </c>
      <c r="M32" s="65">
        <f t="shared" si="5"/>
        <v>1.6834499999999999E-2</v>
      </c>
      <c r="N32" s="65">
        <f t="shared" si="5"/>
        <v>2018.8500000000001</v>
      </c>
      <c r="O32" s="65">
        <f t="shared" si="5"/>
        <v>31.992000000000001</v>
      </c>
      <c r="P32" s="65">
        <f t="shared" si="5"/>
        <v>0</v>
      </c>
      <c r="Q32" s="65">
        <f t="shared" ref="Q32:Q50" si="10">(IF(Q$27="%w/w SAR",((Q$28*10)*$B32),IF(Q$27="%w/w DM",(((Q$28*10)*($B$28/100))*$B32),IF(Q$27="kg/t SAR",(Q$28*$B32),IF(Q$27="kg/t DM",((Q$28*($B$28/100))*$B32),IF(Q$27="mg/kg SAR",((Q$28*0.001)*$B32),IF(Q$27="mg/kg DM",(((Q$28*0.001)*($B$28/100))*$B32),0)))))))*2.5</f>
        <v>267.67500000000001</v>
      </c>
      <c r="R32" s="65">
        <f t="shared" ref="R32:U50" si="11">IF(R$27="%w/w SAR",((R$28*10)*$B32),IF(R$27="%w/w DM",(((R$28*10)*($B$28/100))*$B32),IF(R$27="kg/t SAR",(R$28*$B32),IF(R$27="kg/t DM",((R$28*($B$28/100))*$B32),IF(R$27="mg/kg SAR",((R$28*0.001)*$B32),IF(R$27="mg/kg DM",(((R$28*0.001)*($B$28/100))*$B32),0))))))</f>
        <v>0</v>
      </c>
      <c r="S32" s="65">
        <f t="shared" si="11"/>
        <v>9.4170000000000004E-2</v>
      </c>
      <c r="T32" s="65">
        <f t="shared" si="11"/>
        <v>0</v>
      </c>
      <c r="U32" s="126">
        <f t="shared" si="11"/>
        <v>0</v>
      </c>
    </row>
    <row r="33" spans="1:21" s="48" customFormat="1" ht="13" x14ac:dyDescent="0.35">
      <c r="A33" s="125">
        <f>E8</f>
        <v>1416</v>
      </c>
      <c r="B33" s="11">
        <v>220</v>
      </c>
      <c r="C33" s="65">
        <f t="shared" si="6"/>
        <v>40.753679999999996</v>
      </c>
      <c r="D33" s="65">
        <f t="shared" si="7"/>
        <v>31.599029879999993</v>
      </c>
      <c r="E33" s="65">
        <f t="shared" si="8"/>
        <v>0.59504345999999997</v>
      </c>
      <c r="F33" s="65">
        <f t="shared" si="9"/>
        <v>1.759821096</v>
      </c>
      <c r="G33" s="65">
        <f t="shared" si="5"/>
        <v>0.12543959999999998</v>
      </c>
      <c r="H33" s="65">
        <f t="shared" si="5"/>
        <v>1.9809240000000001</v>
      </c>
      <c r="I33" s="65">
        <f t="shared" si="5"/>
        <v>2.8323240000000006E-2</v>
      </c>
      <c r="J33" s="65">
        <f t="shared" si="5"/>
        <v>5.4489600000000001E-3</v>
      </c>
      <c r="K33" s="65">
        <f t="shared" si="5"/>
        <v>8.741040000000002E-3</v>
      </c>
      <c r="L33" s="65">
        <f t="shared" si="5"/>
        <v>1.8787559999999998E-2</v>
      </c>
      <c r="M33" s="65">
        <f t="shared" si="5"/>
        <v>1.481436E-2</v>
      </c>
      <c r="N33" s="65">
        <f t="shared" si="5"/>
        <v>1776.588</v>
      </c>
      <c r="O33" s="65">
        <f t="shared" si="5"/>
        <v>28.15296</v>
      </c>
      <c r="P33" s="65">
        <f t="shared" si="5"/>
        <v>0</v>
      </c>
      <c r="Q33" s="65">
        <f t="shared" si="10"/>
        <v>235.55400000000003</v>
      </c>
      <c r="R33" s="65">
        <f t="shared" si="11"/>
        <v>0</v>
      </c>
      <c r="S33" s="65">
        <f t="shared" si="11"/>
        <v>8.2869600000000002E-2</v>
      </c>
      <c r="T33" s="65">
        <f t="shared" si="11"/>
        <v>0</v>
      </c>
      <c r="U33" s="126">
        <f t="shared" si="11"/>
        <v>0</v>
      </c>
    </row>
    <row r="34" spans="1:21" s="48" customFormat="1" ht="13" x14ac:dyDescent="0.35">
      <c r="A34" s="125">
        <f>F8</f>
        <v>9216</v>
      </c>
      <c r="B34" s="11">
        <v>220</v>
      </c>
      <c r="C34" s="65">
        <f t="shared" si="6"/>
        <v>40.753679999999996</v>
      </c>
      <c r="D34" s="65">
        <f t="shared" si="7"/>
        <v>31.599029879999993</v>
      </c>
      <c r="E34" s="65">
        <f t="shared" si="8"/>
        <v>0.59504345999999997</v>
      </c>
      <c r="F34" s="65">
        <f t="shared" si="9"/>
        <v>1.759821096</v>
      </c>
      <c r="G34" s="65">
        <f t="shared" si="5"/>
        <v>0.12543959999999998</v>
      </c>
      <c r="H34" s="65">
        <f t="shared" si="5"/>
        <v>1.9809240000000001</v>
      </c>
      <c r="I34" s="65">
        <f t="shared" si="5"/>
        <v>2.8323240000000006E-2</v>
      </c>
      <c r="J34" s="65">
        <f t="shared" si="5"/>
        <v>5.4489600000000001E-3</v>
      </c>
      <c r="K34" s="65">
        <f t="shared" si="5"/>
        <v>8.741040000000002E-3</v>
      </c>
      <c r="L34" s="65">
        <f t="shared" si="5"/>
        <v>1.8787559999999998E-2</v>
      </c>
      <c r="M34" s="65">
        <f t="shared" si="5"/>
        <v>1.481436E-2</v>
      </c>
      <c r="N34" s="65">
        <f t="shared" si="5"/>
        <v>1776.588</v>
      </c>
      <c r="O34" s="65">
        <f t="shared" si="5"/>
        <v>28.15296</v>
      </c>
      <c r="P34" s="65">
        <f t="shared" si="5"/>
        <v>0</v>
      </c>
      <c r="Q34" s="65">
        <f t="shared" si="10"/>
        <v>235.55400000000003</v>
      </c>
      <c r="R34" s="65">
        <f t="shared" si="11"/>
        <v>0</v>
      </c>
      <c r="S34" s="65">
        <f t="shared" si="11"/>
        <v>8.2869600000000002E-2</v>
      </c>
      <c r="T34" s="65">
        <f t="shared" si="11"/>
        <v>0</v>
      </c>
      <c r="U34" s="126">
        <f t="shared" si="11"/>
        <v>0</v>
      </c>
    </row>
    <row r="35" spans="1:21" s="48" customFormat="1" ht="13" x14ac:dyDescent="0.35">
      <c r="A35" s="125">
        <f>G8</f>
        <v>1113</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220</v>
      </c>
      <c r="C37" s="65">
        <f t="shared" si="6"/>
        <v>40.753679999999996</v>
      </c>
      <c r="D37" s="65">
        <f t="shared" si="7"/>
        <v>31.599029879999993</v>
      </c>
      <c r="E37" s="65">
        <f t="shared" si="8"/>
        <v>0.59504345999999997</v>
      </c>
      <c r="F37" s="65">
        <f t="shared" si="9"/>
        <v>1.759821096</v>
      </c>
      <c r="G37" s="65">
        <f t="shared" si="5"/>
        <v>0.12543959999999998</v>
      </c>
      <c r="H37" s="65">
        <f t="shared" si="5"/>
        <v>1.9809240000000001</v>
      </c>
      <c r="I37" s="65">
        <f t="shared" si="5"/>
        <v>2.8323240000000006E-2</v>
      </c>
      <c r="J37" s="65">
        <f t="shared" si="5"/>
        <v>5.4489600000000001E-3</v>
      </c>
      <c r="K37" s="65">
        <f t="shared" si="5"/>
        <v>8.741040000000002E-3</v>
      </c>
      <c r="L37" s="65">
        <f t="shared" si="5"/>
        <v>1.8787559999999998E-2</v>
      </c>
      <c r="M37" s="65">
        <f t="shared" si="5"/>
        <v>1.481436E-2</v>
      </c>
      <c r="N37" s="65">
        <f t="shared" si="5"/>
        <v>1776.588</v>
      </c>
      <c r="O37" s="65">
        <f t="shared" si="5"/>
        <v>28.15296</v>
      </c>
      <c r="P37" s="65">
        <f t="shared" si="5"/>
        <v>0</v>
      </c>
      <c r="Q37" s="65">
        <f t="shared" si="10"/>
        <v>235.55400000000003</v>
      </c>
      <c r="R37" s="65">
        <f t="shared" si="11"/>
        <v>0</v>
      </c>
      <c r="S37" s="65">
        <f t="shared" si="11"/>
        <v>8.2869600000000002E-2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"&amp;(VLOOKUP(C14,Table245811[],6,FALSE))</f>
        <v>Medium/Clay I Grass</v>
      </c>
      <c r="C58" s="10" t="str">
        <f>D16&amp;" I "&amp;(VLOOKUP(D14,Table245811[],6,FALSE))</f>
        <v>Medium/Clay I Grass</v>
      </c>
      <c r="D58" s="10" t="str">
        <f>E16&amp;" I "&amp;(VLOOKUP(E14,Table245811[],6,FALSE))</f>
        <v>Medium/Clay I Grass</v>
      </c>
      <c r="E58" s="10" t="str">
        <f>F16&amp;" I "&amp;(VLOOKUP(F14,Table245811[],6,FALSE))</f>
        <v>Medium/Clay I Grass</v>
      </c>
      <c r="F58" s="10" t="str">
        <f>G16&amp;" I "&amp;(VLOOKUP(G14,Table245811[],6,FALSE))</f>
        <v>Medium/Clay I Grass</v>
      </c>
      <c r="G58" s="10" t="str">
        <f>H16&amp;" I "&amp;(VLOOKUP(H14,Table245811[],6,FALSE))</f>
        <v>Medium/Clay I Grass</v>
      </c>
      <c r="H58" s="10" t="str">
        <f>I16&amp;" I "&amp;(VLOOKUP(I14,Table245811[],6,FALSE))</f>
        <v>Medium/Clay I Grass</v>
      </c>
      <c r="I58" s="10" t="e">
        <f>J16&amp;" I "&amp;(VLOOKUP(J14,Table245811[],6,FALSE))</f>
        <v>#N/A</v>
      </c>
      <c r="J58" s="10" t="e">
        <f>K16&amp;" I "&amp;(VLOOKUP(K14,Table245811[],6,FALSE))</f>
        <v>#N/A</v>
      </c>
      <c r="K58" s="10" t="e">
        <f>L16&amp;" I "&amp;(VLOOKUP(L14,Table245811[],6,FALSE))</f>
        <v>#N/A</v>
      </c>
      <c r="L58" s="10" t="e">
        <f>M16&amp;" I "&amp;(VLOOKUP(M14,Table245811[],6,FALSE))</f>
        <v>#N/A</v>
      </c>
      <c r="M58" s="10" t="e">
        <f>N16&amp;" I "&amp;(VLOOKUP(N14,Table245811[],6,FALSE))</f>
        <v>#N/A</v>
      </c>
      <c r="N58" s="10" t="e">
        <f>O16&amp;" I "&amp;(VLOOKUP(O14,Table245811[],6,FALSE))</f>
        <v>#N/A</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ht="13" x14ac:dyDescent="0.3">
      <c r="A59" s="87" t="s">
        <v>132</v>
      </c>
      <c r="B59" s="64">
        <f>VLOOKUP(C$14,Table245811[],5,FALSE)</f>
        <v>6.2</v>
      </c>
      <c r="C59" s="64">
        <f>VLOOKUP(D$14,Table245811[],5,FALSE)</f>
        <v>6.2</v>
      </c>
      <c r="D59" s="64">
        <f>VLOOKUP(E$14,Table245811[],5,FALSE)</f>
        <v>6.2</v>
      </c>
      <c r="E59" s="64">
        <f>VLOOKUP(F$14,Table245811[],5,FALSE)</f>
        <v>6.2</v>
      </c>
      <c r="F59" s="64">
        <f>VLOOKUP(G$14,Table245811[],5,FALSE)</f>
        <v>6.2</v>
      </c>
      <c r="G59" s="64">
        <f>VLOOKUP(H$14,Table245811[],5,FALSE)</f>
        <v>6.2</v>
      </c>
      <c r="H59" s="64">
        <f>VLOOKUP(I$14,Table245811[],5,FALSE)</f>
        <v>6.2</v>
      </c>
      <c r="I59" s="64" t="e">
        <f>VLOOKUP(J$14,Table245811[],5,FALSE)</f>
        <v>#N/A</v>
      </c>
      <c r="J59" s="64" t="e">
        <f>VLOOKUP(K$14,Table245811[],5,FALSE)</f>
        <v>#N/A</v>
      </c>
      <c r="K59" s="64" t="e">
        <f>VLOOKUP(L$14,Table245811[],5,FALSE)</f>
        <v>#N/A</v>
      </c>
      <c r="L59" s="64" t="e">
        <f>VLOOKUP(M$14,Table245811[],5,FALSE)</f>
        <v>#N/A</v>
      </c>
      <c r="M59" s="64" t="e">
        <f>VLOOKUP(N$14,Table245811[],5,FALSE)</f>
        <v>#N/A</v>
      </c>
      <c r="N59" s="64" t="e">
        <f>VLOOKUP(O$14,Table245811[],5,FALSE)</f>
        <v>#N/A</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220</v>
      </c>
      <c r="C62" s="65">
        <f>B32</f>
        <v>250</v>
      </c>
      <c r="D62" s="65">
        <f>B33</f>
        <v>220</v>
      </c>
      <c r="E62" s="65">
        <f>B34</f>
        <v>220</v>
      </c>
      <c r="F62" s="65">
        <f>B35</f>
        <v>0</v>
      </c>
      <c r="G62" s="65">
        <f>B36</f>
        <v>0</v>
      </c>
      <c r="H62" s="65">
        <f>B37</f>
        <v>220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K7LyhuHMPrHjyeNR5SQr8Thz+OzgVzQfkvnG1M6vkLQgDZy0Wau80rOvywDKU6xhZTpYFW2wvcACvl/zO4FA==" saltValue="JxMkQx/+xRq893oTGAdH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9" operator="greaterThan">
      <formula>$B$51</formula>
    </cfRule>
  </conditionalFormatting>
  <conditionalFormatting sqref="B66:U66">
    <cfRule type="cellIs" dxfId="230" priority="14" operator="equal">
      <formula>"UNDER"</formula>
    </cfRule>
    <cfRule type="cellIs" dxfId="229" priority="15" operator="equal">
      <formula>"OVER"</formula>
    </cfRule>
  </conditionalFormatting>
  <conditionalFormatting sqref="C31:C50">
    <cfRule type="cellIs" dxfId="228" priority="38" operator="greaterThan">
      <formula>$C$51</formula>
    </cfRule>
  </conditionalFormatting>
  <conditionalFormatting sqref="C11:V13">
    <cfRule type="cellIs" dxfId="227" priority="1" operator="greaterThan">
      <formula>2</formula>
    </cfRule>
  </conditionalFormatting>
  <conditionalFormatting sqref="C17:V19">
    <cfRule type="cellIs" dxfId="226" priority="35" operator="equal">
      <formula>0</formula>
    </cfRule>
  </conditionalFormatting>
  <conditionalFormatting sqref="C20:V21">
    <cfRule type="cellIs" dxfId="225" priority="40" operator="equal">
      <formula>"DECREASE"</formula>
    </cfRule>
    <cfRule type="cellIs" dxfId="224" priority="41" operator="equal">
      <formula>"INCREASE"</formula>
    </cfRule>
  </conditionalFormatting>
  <conditionalFormatting sqref="C21:V21">
    <cfRule type="cellIs" dxfId="223" priority="16" operator="equal">
      <formula>0</formula>
    </cfRule>
  </conditionalFormatting>
  <conditionalFormatting sqref="C22:V23">
    <cfRule type="cellIs" dxfId="222" priority="20" operator="equal">
      <formula>0</formula>
    </cfRule>
  </conditionalFormatting>
  <conditionalFormatting sqref="C24:V24">
    <cfRule type="cellIs" dxfId="221" priority="21" operator="equal">
      <formula>"DECREASE"</formula>
    </cfRule>
    <cfRule type="cellIs" dxfId="220" priority="22" operator="equal">
      <formula>"INCREASE"</formula>
    </cfRule>
  </conditionalFormatting>
  <conditionalFormatting sqref="G31:G50">
    <cfRule type="cellIs" dxfId="219" priority="34" operator="greaterThan">
      <formula>$G$51</formula>
    </cfRule>
  </conditionalFormatting>
  <conditionalFormatting sqref="H31:H50">
    <cfRule type="cellIs" dxfId="218" priority="33" operator="greaterThan">
      <formula>$H$51</formula>
    </cfRule>
  </conditionalFormatting>
  <conditionalFormatting sqref="I1">
    <cfRule type="cellIs" dxfId="217" priority="6" operator="between">
      <formula>0.1</formula>
      <formula>5</formula>
    </cfRule>
  </conditionalFormatting>
  <conditionalFormatting sqref="I2">
    <cfRule type="cellIs" dxfId="216" priority="5" operator="greaterThan">
      <formula>5000.1</formula>
    </cfRule>
  </conditionalFormatting>
  <conditionalFormatting sqref="I3">
    <cfRule type="cellIs" dxfId="215" priority="4" operator="greaterThan">
      <formula>40000.01</formula>
    </cfRule>
  </conditionalFormatting>
  <conditionalFormatting sqref="I31:I50">
    <cfRule type="cellIs" dxfId="214" priority="32" operator="greaterThan">
      <formula>$I$51</formula>
    </cfRule>
  </conditionalFormatting>
  <conditionalFormatting sqref="J31:J50">
    <cfRule type="cellIs" dxfId="213" priority="11" operator="greaterThan">
      <formula>$J$51</formula>
    </cfRule>
  </conditionalFormatting>
  <conditionalFormatting sqref="K31:K50">
    <cfRule type="cellIs" dxfId="212" priority="31" operator="greaterThan">
      <formula>$K$51</formula>
    </cfRule>
  </conditionalFormatting>
  <conditionalFormatting sqref="L3">
    <cfRule type="cellIs" dxfId="211" priority="7" operator="lessThan">
      <formula>30</formula>
    </cfRule>
    <cfRule type="cellIs" dxfId="210" priority="8" operator="greaterThanOrEqual">
      <formula>30</formula>
    </cfRule>
  </conditionalFormatting>
  <conditionalFormatting sqref="L31:L50">
    <cfRule type="cellIs" dxfId="209" priority="30" operator="greaterThan">
      <formula>$L$51</formula>
    </cfRule>
  </conditionalFormatting>
  <conditionalFormatting sqref="M31:M50">
    <cfRule type="cellIs" dxfId="208" priority="29" operator="greaterThan">
      <formula>$M$51</formula>
    </cfRule>
  </conditionalFormatting>
  <conditionalFormatting sqref="P31:P50">
    <cfRule type="cellIs" dxfId="207" priority="28" operator="greaterThan">
      <formula>$P$51</formula>
    </cfRule>
  </conditionalFormatting>
  <conditionalFormatting sqref="R31:R50">
    <cfRule type="cellIs" dxfId="206" priority="27" operator="greaterThan">
      <formula>$R$51</formula>
    </cfRule>
  </conditionalFormatting>
  <conditionalFormatting sqref="S31:S50">
    <cfRule type="cellIs" dxfId="205" priority="26" operator="greaterThan">
      <formula>$S$51</formula>
    </cfRule>
  </conditionalFormatting>
  <conditionalFormatting sqref="T31:T50">
    <cfRule type="cellIs" dxfId="204" priority="25" operator="greaterThan">
      <formula>$T$51</formula>
    </cfRule>
  </conditionalFormatting>
  <conditionalFormatting sqref="U31:U50">
    <cfRule type="cellIs" dxfId="203" priority="24"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zoomScale="90" zoomScaleNormal="90" workbookViewId="0">
      <selection activeCell="B40" sqref="B40"/>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6.4</v>
      </c>
      <c r="J1" s="130" t="s">
        <v>153</v>
      </c>
      <c r="K1" s="131"/>
      <c r="L1" s="109">
        <v>203</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0.97799999999999998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2.0756646216768915</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169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32.366675250000007</v>
      </c>
      <c r="D18" s="12">
        <f>$D32</f>
        <v>46.238107499999998</v>
      </c>
      <c r="E18" s="12">
        <f>$D33</f>
        <v>32.366675250000007</v>
      </c>
      <c r="F18" s="12">
        <f>$D34</f>
        <v>32.366675250000007</v>
      </c>
      <c r="G18" s="12">
        <f>$D35</f>
        <v>0</v>
      </c>
      <c r="H18" s="12">
        <f>$D36</f>
        <v>0</v>
      </c>
      <c r="I18" s="12">
        <f>$D37</f>
        <v>32.366675250000007</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-32.233324749999987</v>
      </c>
      <c r="D19" s="12">
        <f t="shared" ref="D19:V19" si="1">D18-D17</f>
        <v>-18.361892499999996</v>
      </c>
      <c r="E19" s="12">
        <f t="shared" si="1"/>
        <v>-32.233324749999987</v>
      </c>
      <c r="F19" s="12">
        <f t="shared" si="1"/>
        <v>-32.233324749999987</v>
      </c>
      <c r="G19" s="12">
        <f t="shared" si="1"/>
        <v>-64.599999999999994</v>
      </c>
      <c r="H19" s="12">
        <f t="shared" si="1"/>
        <v>-64.599999999999994</v>
      </c>
      <c r="I19" s="12">
        <f t="shared" si="1"/>
        <v>-32.233324749999987</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1.2610325000000002</v>
      </c>
      <c r="D22" s="12">
        <f>$E32</f>
        <v>1.8014750000000006</v>
      </c>
      <c r="E22" s="12">
        <f>$E33</f>
        <v>1.2610325000000002</v>
      </c>
      <c r="F22" s="12">
        <f>$E34</f>
        <v>1.2610325000000002</v>
      </c>
      <c r="G22" s="12">
        <f>$E35</f>
        <v>0</v>
      </c>
      <c r="H22" s="12">
        <f>$E36</f>
        <v>0</v>
      </c>
      <c r="I22" s="12">
        <f>$E37</f>
        <v>1.2610325000000002</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-226.7389675</v>
      </c>
      <c r="D23" s="12">
        <f t="shared" ref="D23:V23" si="3">D22-D21</f>
        <v>-226.19852499999999</v>
      </c>
      <c r="E23" s="12">
        <f t="shared" si="3"/>
        <v>-226.7389675</v>
      </c>
      <c r="F23" s="12">
        <f t="shared" si="3"/>
        <v>-226.7389675</v>
      </c>
      <c r="G23" s="12">
        <f t="shared" si="3"/>
        <v>-228</v>
      </c>
      <c r="H23" s="12">
        <f t="shared" si="3"/>
        <v>-228</v>
      </c>
      <c r="I23" s="12">
        <f t="shared" si="3"/>
        <v>-226.7389675</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2.99</v>
      </c>
      <c r="C28" s="11">
        <v>0.97799999999999998</v>
      </c>
      <c r="D28" s="11">
        <v>0.27</v>
      </c>
      <c r="E28" s="11">
        <v>0.02</v>
      </c>
      <c r="F28" s="11">
        <v>356</v>
      </c>
      <c r="G28" s="11">
        <v>25.7</v>
      </c>
      <c r="H28" s="11">
        <v>34.5</v>
      </c>
      <c r="I28" s="11">
        <v>4.3600000000000003</v>
      </c>
      <c r="J28" s="11">
        <v>0.31</v>
      </c>
      <c r="K28" s="15">
        <v>1.34</v>
      </c>
      <c r="L28" s="11">
        <v>2.89</v>
      </c>
      <c r="M28" s="11">
        <v>2.2799999999999998</v>
      </c>
      <c r="N28" s="11">
        <v>204000</v>
      </c>
      <c r="O28" s="11">
        <v>1610</v>
      </c>
      <c r="P28" s="11"/>
      <c r="Q28" s="11">
        <v>14700</v>
      </c>
      <c r="R28" s="11"/>
      <c r="S28" s="11">
        <v>10.1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175</v>
      </c>
      <c r="C31" s="65">
        <f>IF(C$27="%w/w SAR",((C$28*10)*$B31),IF(C$27="%w/w DM",(((C$28*10)*($B$28/100))*$B31),IF(C$27="kg/t SAR",(C$28*$B31),IF(C$27="kg/t DM",((C$28*($B$28/100))*$B31),IF(C$27="mg/kg SAR",((C$28*0.001)*$B31),IF(C$27="mg/kg DM",(((C$28*0.001)*($B$28/100))*$B31),0))))))</f>
        <v>51.173850000000002</v>
      </c>
      <c r="D31" s="65">
        <f>(IF(D$27="%w/w SAR",((D$28*10)*$B31),IF(D$27="%w/w DM",(((D$28*10)*($B$28/100))*$B31),IF(D$27="kg/t SAR",(D$28*$B31),IF(D$27="kg/t DM",((D$28*($B$28/100))*$B31),IF(D$27="mg/kg SAR",((D$28*0.001)*$B31),IF(D$27="mg/kg DM",(((D$28*0.001)*($B$28/100))*$B31),"0")))))))*2.291</f>
        <v>32.366675250000007</v>
      </c>
      <c r="E31" s="65">
        <f>(IF(E$27="%w/w SAR",((E$28*10)*$B31),IF(E$27="%w/w DM",(((E$28*10)*($B$28/100))*$B31),IF(E$27="kg/t SAR",(E$28*$B31),IF(E$27="kg/t DM",((E$28*($B$28/100))*$B31),IF(E$27="mg/kg SAR",((E$28*0.001)*$B31),IF(E$27="mg/kg DM",(((E$28*0.001)*($B$28/100))*$B31),"0")))))))*1.205</f>
        <v>1.2610325000000002</v>
      </c>
      <c r="F31" s="65">
        <f>(IF(F$27="%w/w SAR",((F$28*10)*$B31),IF(F$27="%w/w DM",(((F$28*10)*($B$28/100))*$B31),IF(F$27="kg/t SAR",(F$28*$B31),IF(F$27="kg/t DM",((F$28*($B$28/100))*$B31),IF(F$27="mg/kg SAR",((F$28*0.001)*$B31),IF(F$27="mg/kg DM",(((F$28*0.001)*($B$28/100))*$B31),"0")))))))*1.658</f>
        <v>3.0884726599999999</v>
      </c>
      <c r="G31" s="65">
        <f t="shared" ref="G31:P46" si="5">IF(G$27="%w/w SAR",((G$28*10)*$B31),IF(G$27="%w/w DM",(((G$28*10)*($B$28/100))*$B31),IF(G$27="kg/t SAR",(G$28*$B31),IF(G$27="kg/t DM",((G$28*($B$28/100))*$B31),IF(G$27="mg/kg SAR",((G$28*0.001)*$B31),IF(G$27="mg/kg DM",(((G$28*0.001)*($B$28/100))*$B31),0))))))</f>
        <v>0.13447525000000002</v>
      </c>
      <c r="H31" s="65">
        <f t="shared" si="5"/>
        <v>0.18052125000000005</v>
      </c>
      <c r="I31" s="65">
        <f t="shared" si="5"/>
        <v>2.2813700000000006E-2</v>
      </c>
      <c r="J31" s="65">
        <f t="shared" si="5"/>
        <v>1.6220750000000002E-3</v>
      </c>
      <c r="K31" s="65">
        <f t="shared" si="5"/>
        <v>7.0115500000000009E-3</v>
      </c>
      <c r="L31" s="65">
        <f t="shared" si="5"/>
        <v>1.5121925000000001E-2</v>
      </c>
      <c r="M31" s="65">
        <f t="shared" si="5"/>
        <v>1.1930100000000003E-2</v>
      </c>
      <c r="N31" s="65">
        <f t="shared" si="5"/>
        <v>1067.43</v>
      </c>
      <c r="O31" s="65">
        <f t="shared" si="5"/>
        <v>8.4243250000000014</v>
      </c>
      <c r="P31" s="65">
        <f t="shared" si="5"/>
        <v>0</v>
      </c>
      <c r="Q31" s="65">
        <f>(IF(Q$27="%w/w SAR",((Q$28*10)*$B31),IF(Q$27="%w/w DM",(((Q$28*10)*($B$28/100))*$B31),IF(Q$27="kg/t SAR",(Q$28*$B31),IF(Q$27="kg/t DM",((Q$28*($B$28/100))*$B31),IF(Q$27="mg/kg SAR",((Q$28*0.001)*$B31),IF(Q$27="mg/kg DM",(((Q$28*0.001)*($B$28/100))*$B31),0)))))))*2.5</f>
        <v>192.29437500000003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5.2848250000000006E-2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73.105500000000006</v>
      </c>
      <c r="D32" s="65">
        <f t="shared" ref="D32:D50" si="7">(IF(D$27="%w/w SAR",((D$28*10)*$B32),IF(D$27="%w/w DM",(((D$28*10)*($B$28/100))*$B32),IF(D$27="kg/t SAR",(D$28*$B32),IF(D$27="kg/t DM",((D$28*($B$28/100))*$B32),IF(D$27="mg/kg SAR",((D$28*0.001)*$B32),IF(D$27="mg/kg DM",(((D$28*0.001)*($B$28/100))*$B32),"0")))))))*2.291</f>
        <v>46.238107499999998</v>
      </c>
      <c r="E32" s="65">
        <f t="shared" ref="E32:E50" si="8">(IF(E$27="%w/w SAR",((E$28*10)*$B32),IF(E$27="%w/w DM",(((E$28*10)*($B$28/100))*$B32),IF(E$27="kg/t SAR",(E$28*$B32),IF(E$27="kg/t DM",((E$28*($B$28/100))*$B32),IF(E$27="mg/kg SAR",((E$28*0.001)*$B32),IF(E$27="mg/kg DM",(((E$28*0.001)*($B$28/100))*$B32),"0")))))))*1.205</f>
        <v>1.8014750000000006</v>
      </c>
      <c r="F32" s="65">
        <f t="shared" ref="F32:F50" si="9">(IF(F$27="%w/w SAR",((F$28*10)*$B32),IF(F$27="%w/w DM",(((F$28*10)*($B$28/100))*$B32),IF(F$27="kg/t SAR",(F$28*$B32),IF(F$27="kg/t DM",((F$28*($B$28/100))*$B32),IF(F$27="mg/kg SAR",((F$28*0.001)*$B32),IF(F$27="mg/kg DM",(((F$28*0.001)*($B$28/100))*$B32),"0")))))))*1.658</f>
        <v>4.4121037999999997</v>
      </c>
      <c r="G32" s="65">
        <f t="shared" si="5"/>
        <v>0.19210750000000001</v>
      </c>
      <c r="H32" s="65">
        <f t="shared" si="5"/>
        <v>0.25788750000000005</v>
      </c>
      <c r="I32" s="65">
        <f t="shared" si="5"/>
        <v>3.2591000000000009E-2</v>
      </c>
      <c r="J32" s="65">
        <f t="shared" si="5"/>
        <v>2.3172500000000003E-3</v>
      </c>
      <c r="K32" s="65">
        <f t="shared" si="5"/>
        <v>1.0016500000000001E-2</v>
      </c>
      <c r="L32" s="65">
        <f t="shared" si="5"/>
        <v>2.1602750000000004E-2</v>
      </c>
      <c r="M32" s="65">
        <f t="shared" si="5"/>
        <v>1.7043000000000003E-2</v>
      </c>
      <c r="N32" s="65">
        <f t="shared" si="5"/>
        <v>1524.9</v>
      </c>
      <c r="O32" s="65">
        <f t="shared" si="5"/>
        <v>12.034750000000003</v>
      </c>
      <c r="P32" s="65">
        <f t="shared" si="5"/>
        <v>0</v>
      </c>
      <c r="Q32" s="65">
        <f t="shared" ref="Q32:Q50" si="10">(IF(Q$27="%w/w SAR",((Q$28*10)*$B32),IF(Q$27="%w/w DM",(((Q$28*10)*($B$28/100))*$B32),IF(Q$27="kg/t SAR",(Q$28*$B32),IF(Q$27="kg/t DM",((Q$28*($B$28/100))*$B32),IF(Q$27="mg/kg SAR",((Q$28*0.001)*$B32),IF(Q$27="mg/kg DM",(((Q$28*0.001)*($B$28/100))*$B32),0)))))))*2.5</f>
        <v>274.70625000000007</v>
      </c>
      <c r="R32" s="65">
        <f t="shared" ref="R32:U50" si="11">IF(R$27="%w/w SAR",((R$28*10)*$B32),IF(R$27="%w/w DM",(((R$28*10)*($B$28/100))*$B32),IF(R$27="kg/t SAR",(R$28*$B32),IF(R$27="kg/t DM",((R$28*($B$28/100))*$B32),IF(R$27="mg/kg SAR",((R$28*0.001)*$B32),IF(R$27="mg/kg DM",(((R$28*0.001)*($B$28/100))*$B32),0))))))</f>
        <v>0</v>
      </c>
      <c r="S32" s="65">
        <f t="shared" si="11"/>
        <v>7.5497500000000009E-2</v>
      </c>
      <c r="T32" s="65">
        <f t="shared" si="11"/>
        <v>0</v>
      </c>
      <c r="U32" s="126">
        <f t="shared" si="11"/>
        <v>0</v>
      </c>
    </row>
    <row r="33" spans="1:21" s="48" customFormat="1" ht="13" x14ac:dyDescent="0.35">
      <c r="A33" s="125">
        <f>E8</f>
        <v>1416</v>
      </c>
      <c r="B33" s="11">
        <v>175</v>
      </c>
      <c r="C33" s="65">
        <f t="shared" si="6"/>
        <v>51.173850000000002</v>
      </c>
      <c r="D33" s="65">
        <f t="shared" si="7"/>
        <v>32.366675250000007</v>
      </c>
      <c r="E33" s="65">
        <f t="shared" si="8"/>
        <v>1.2610325000000002</v>
      </c>
      <c r="F33" s="65">
        <f t="shared" si="9"/>
        <v>3.0884726599999999</v>
      </c>
      <c r="G33" s="65">
        <f t="shared" si="5"/>
        <v>0.13447525000000002</v>
      </c>
      <c r="H33" s="65">
        <f t="shared" si="5"/>
        <v>0.18052125000000005</v>
      </c>
      <c r="I33" s="65">
        <f t="shared" si="5"/>
        <v>2.2813700000000006E-2</v>
      </c>
      <c r="J33" s="65">
        <f t="shared" si="5"/>
        <v>1.6220750000000002E-3</v>
      </c>
      <c r="K33" s="65">
        <f t="shared" si="5"/>
        <v>7.0115500000000009E-3</v>
      </c>
      <c r="L33" s="65">
        <f t="shared" si="5"/>
        <v>1.5121925000000001E-2</v>
      </c>
      <c r="M33" s="65">
        <f t="shared" si="5"/>
        <v>1.1930100000000003E-2</v>
      </c>
      <c r="N33" s="65">
        <f t="shared" si="5"/>
        <v>1067.43</v>
      </c>
      <c r="O33" s="65">
        <f t="shared" si="5"/>
        <v>8.4243250000000014</v>
      </c>
      <c r="P33" s="65">
        <f t="shared" si="5"/>
        <v>0</v>
      </c>
      <c r="Q33" s="65">
        <f t="shared" si="10"/>
        <v>192.29437500000003</v>
      </c>
      <c r="R33" s="65">
        <f t="shared" si="11"/>
        <v>0</v>
      </c>
      <c r="S33" s="65">
        <f t="shared" si="11"/>
        <v>5.2848250000000006E-2</v>
      </c>
      <c r="T33" s="65">
        <f t="shared" si="11"/>
        <v>0</v>
      </c>
      <c r="U33" s="126">
        <f t="shared" si="11"/>
        <v>0</v>
      </c>
    </row>
    <row r="34" spans="1:21" s="48" customFormat="1" ht="13" x14ac:dyDescent="0.35">
      <c r="A34" s="125">
        <f>F8</f>
        <v>9216</v>
      </c>
      <c r="B34" s="11">
        <v>175</v>
      </c>
      <c r="C34" s="65">
        <f t="shared" si="6"/>
        <v>51.173850000000002</v>
      </c>
      <c r="D34" s="65">
        <f t="shared" si="7"/>
        <v>32.366675250000007</v>
      </c>
      <c r="E34" s="65">
        <f t="shared" si="8"/>
        <v>1.2610325000000002</v>
      </c>
      <c r="F34" s="65">
        <f t="shared" si="9"/>
        <v>3.0884726599999999</v>
      </c>
      <c r="G34" s="65">
        <f t="shared" si="5"/>
        <v>0.13447525000000002</v>
      </c>
      <c r="H34" s="65">
        <f t="shared" si="5"/>
        <v>0.18052125000000005</v>
      </c>
      <c r="I34" s="65">
        <f t="shared" si="5"/>
        <v>2.2813700000000006E-2</v>
      </c>
      <c r="J34" s="65">
        <f t="shared" si="5"/>
        <v>1.6220750000000002E-3</v>
      </c>
      <c r="K34" s="65">
        <f t="shared" si="5"/>
        <v>7.0115500000000009E-3</v>
      </c>
      <c r="L34" s="65">
        <f t="shared" si="5"/>
        <v>1.5121925000000001E-2</v>
      </c>
      <c r="M34" s="65">
        <f t="shared" si="5"/>
        <v>1.1930100000000003E-2</v>
      </c>
      <c r="N34" s="65">
        <f t="shared" si="5"/>
        <v>1067.43</v>
      </c>
      <c r="O34" s="65">
        <f t="shared" si="5"/>
        <v>8.4243250000000014</v>
      </c>
      <c r="P34" s="65">
        <f t="shared" si="5"/>
        <v>0</v>
      </c>
      <c r="Q34" s="65">
        <f t="shared" si="10"/>
        <v>192.29437500000003</v>
      </c>
      <c r="R34" s="65">
        <f t="shared" si="11"/>
        <v>0</v>
      </c>
      <c r="S34" s="65">
        <f t="shared" si="11"/>
        <v>5.2848250000000006E-2</v>
      </c>
      <c r="T34" s="65">
        <f t="shared" si="11"/>
        <v>0</v>
      </c>
      <c r="U34" s="126">
        <f t="shared" si="11"/>
        <v>0</v>
      </c>
    </row>
    <row r="35" spans="1:21" s="48" customFormat="1" ht="13" x14ac:dyDescent="0.35">
      <c r="A35" s="125">
        <f>G8</f>
        <v>1113</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175</v>
      </c>
      <c r="C37" s="65">
        <f t="shared" si="6"/>
        <v>51.173850000000002</v>
      </c>
      <c r="D37" s="65">
        <f t="shared" si="7"/>
        <v>32.366675250000007</v>
      </c>
      <c r="E37" s="65">
        <f t="shared" si="8"/>
        <v>1.2610325000000002</v>
      </c>
      <c r="F37" s="65">
        <f t="shared" si="9"/>
        <v>3.0884726599999999</v>
      </c>
      <c r="G37" s="65">
        <f t="shared" si="5"/>
        <v>0.13447525000000002</v>
      </c>
      <c r="H37" s="65">
        <f t="shared" si="5"/>
        <v>0.18052125000000005</v>
      </c>
      <c r="I37" s="65">
        <f t="shared" si="5"/>
        <v>2.2813700000000006E-2</v>
      </c>
      <c r="J37" s="65">
        <f t="shared" si="5"/>
        <v>1.6220750000000002E-3</v>
      </c>
      <c r="K37" s="65">
        <f t="shared" si="5"/>
        <v>7.0115500000000009E-3</v>
      </c>
      <c r="L37" s="65">
        <f t="shared" si="5"/>
        <v>1.5121925000000001E-2</v>
      </c>
      <c r="M37" s="65">
        <f t="shared" si="5"/>
        <v>1.1930100000000003E-2</v>
      </c>
      <c r="N37" s="65">
        <f t="shared" si="5"/>
        <v>1067.43</v>
      </c>
      <c r="O37" s="65">
        <f t="shared" si="5"/>
        <v>8.4243250000000014</v>
      </c>
      <c r="P37" s="65">
        <f t="shared" si="5"/>
        <v>0</v>
      </c>
      <c r="Q37" s="65">
        <f t="shared" si="10"/>
        <v>192.29437500000003</v>
      </c>
      <c r="R37" s="65">
        <f t="shared" si="11"/>
        <v>0</v>
      </c>
      <c r="S37" s="65">
        <f t="shared" si="11"/>
        <v>5.2848250000000006E-2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"&amp;(VLOOKUP(C14,Table24581112[],6,FALSE))</f>
        <v>Medium/Clay I Grass</v>
      </c>
      <c r="C58" s="10" t="str">
        <f>D16&amp;" I "&amp;(VLOOKUP(D14,Table24581112[],6,FALSE))</f>
        <v>Medium/Clay I Grass</v>
      </c>
      <c r="D58" s="10" t="str">
        <f>E16&amp;" I "&amp;(VLOOKUP(E14,Table24581112[],6,FALSE))</f>
        <v>Medium/Clay I Grass</v>
      </c>
      <c r="E58" s="10" t="str">
        <f>F16&amp;" I "&amp;(VLOOKUP(F14,Table24581112[],6,FALSE))</f>
        <v>Medium/Clay I Grass</v>
      </c>
      <c r="F58" s="10" t="str">
        <f>G16&amp;" I "&amp;(VLOOKUP(G14,Table24581112[],6,FALSE))</f>
        <v>Medium/Clay I Grass</v>
      </c>
      <c r="G58" s="10" t="str">
        <f>H16&amp;" I "&amp;(VLOOKUP(H14,Table24581112[],6,FALSE))</f>
        <v>Medium/Clay I Grass</v>
      </c>
      <c r="H58" s="10" t="str">
        <f>I16&amp;" I "&amp;(VLOOKUP(I14,Table24581112[],6,FALSE))</f>
        <v>Medium/Clay I Grass</v>
      </c>
      <c r="I58" s="10" t="e">
        <f>J16&amp;" I "&amp;(VLOOKUP(J14,Table24581112[],6,FALSE))</f>
        <v>#N/A</v>
      </c>
      <c r="J58" s="10" t="e">
        <f>K16&amp;" I "&amp;(VLOOKUP(K14,Table24581112[],6,FALSE))</f>
        <v>#N/A</v>
      </c>
      <c r="K58" s="10" t="e">
        <f>L16&amp;" I "&amp;(VLOOKUP(L14,Table24581112[],6,FALSE))</f>
        <v>#N/A</v>
      </c>
      <c r="L58" s="10" t="e">
        <f>M16&amp;" I "&amp;(VLOOKUP(M14,Table24581112[],6,FALSE))</f>
        <v>#N/A</v>
      </c>
      <c r="M58" s="10" t="e">
        <f>N16&amp;" I "&amp;(VLOOKUP(N14,Table24581112[],6,FALSE))</f>
        <v>#N/A</v>
      </c>
      <c r="N58" s="10" t="e">
        <f>O16&amp;" I "&amp;(VLOOKUP(O14,Table24581112[],6,FALSE))</f>
        <v>#N/A</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ht="13" x14ac:dyDescent="0.3">
      <c r="A59" s="87" t="s">
        <v>132</v>
      </c>
      <c r="B59" s="64">
        <f>VLOOKUP(C$14,Table24581112[],5,FALSE)</f>
        <v>6.2</v>
      </c>
      <c r="C59" s="64">
        <f>VLOOKUP(D$14,Table24581112[],5,FALSE)</f>
        <v>6.2</v>
      </c>
      <c r="D59" s="64">
        <f>VLOOKUP(E$14,Table24581112[],5,FALSE)</f>
        <v>6.2</v>
      </c>
      <c r="E59" s="64">
        <f>VLOOKUP(F$14,Table24581112[],5,FALSE)</f>
        <v>6.2</v>
      </c>
      <c r="F59" s="64">
        <f>VLOOKUP(G$14,Table24581112[],5,FALSE)</f>
        <v>6.2</v>
      </c>
      <c r="G59" s="64">
        <f>VLOOKUP(H$14,Table24581112[],5,FALSE)</f>
        <v>6.2</v>
      </c>
      <c r="H59" s="64">
        <f>VLOOKUP(I$14,Table24581112[],5,FALSE)</f>
        <v>6.2</v>
      </c>
      <c r="I59" s="64" t="e">
        <f>VLOOKUP(J$14,Table24581112[],5,FALSE)</f>
        <v>#N/A</v>
      </c>
      <c r="J59" s="64" t="e">
        <f>VLOOKUP(K$14,Table24581112[],5,FALSE)</f>
        <v>#N/A</v>
      </c>
      <c r="K59" s="64" t="e">
        <f>VLOOKUP(L$14,Table24581112[],5,FALSE)</f>
        <v>#N/A</v>
      </c>
      <c r="L59" s="64" t="e">
        <f>VLOOKUP(M$14,Table24581112[],5,FALSE)</f>
        <v>#N/A</v>
      </c>
      <c r="M59" s="64" t="e">
        <f>VLOOKUP(N$14,Table24581112[],5,FALSE)</f>
        <v>#N/A</v>
      </c>
      <c r="N59" s="64" t="e">
        <f>VLOOKUP(O$14,Table24581112[],5,FALSE)</f>
        <v>#N/A</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175</v>
      </c>
      <c r="C62" s="65">
        <f>B32</f>
        <v>250</v>
      </c>
      <c r="D62" s="65">
        <f>B33</f>
        <v>175</v>
      </c>
      <c r="E62" s="65">
        <f>B34</f>
        <v>175</v>
      </c>
      <c r="F62" s="65">
        <f>B35</f>
        <v>0</v>
      </c>
      <c r="G62" s="65">
        <f>B36</f>
        <v>0</v>
      </c>
      <c r="H62" s="65">
        <f>B37</f>
        <v>175</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hDEJOIgdMitzQl27u5SnRwPr8aZ3pO9vBjHOYtzEYSwhU8z2jwgYlHd9qH/tSLCBgePbTa1j+Oblz1EH5oVw==" saltValue="3CD0IDqAAAwl/J7mGa/pB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9" operator="greaterThan">
      <formula>$B$51</formula>
    </cfRule>
  </conditionalFormatting>
  <conditionalFormatting sqref="B66:U66">
    <cfRule type="cellIs" dxfId="201" priority="14" operator="equal">
      <formula>"UNDER"</formula>
    </cfRule>
    <cfRule type="cellIs" dxfId="200" priority="15" operator="equal">
      <formula>"OVER"</formula>
    </cfRule>
  </conditionalFormatting>
  <conditionalFormatting sqref="C31:C50">
    <cfRule type="cellIs" dxfId="199" priority="38" operator="greaterThan">
      <formula>$C$51</formula>
    </cfRule>
  </conditionalFormatting>
  <conditionalFormatting sqref="C11:V13">
    <cfRule type="cellIs" dxfId="198" priority="1" operator="greaterThan">
      <formula>2</formula>
    </cfRule>
  </conditionalFormatting>
  <conditionalFormatting sqref="C17:V19">
    <cfRule type="cellIs" dxfId="197" priority="35" operator="equal">
      <formula>0</formula>
    </cfRule>
  </conditionalFormatting>
  <conditionalFormatting sqref="C20:V21">
    <cfRule type="cellIs" dxfId="196" priority="40" operator="equal">
      <formula>"DECREASE"</formula>
    </cfRule>
    <cfRule type="cellIs" dxfId="195" priority="41" operator="equal">
      <formula>"INCREASE"</formula>
    </cfRule>
  </conditionalFormatting>
  <conditionalFormatting sqref="C21:V21">
    <cfRule type="cellIs" dxfId="194" priority="16" operator="equal">
      <formula>0</formula>
    </cfRule>
  </conditionalFormatting>
  <conditionalFormatting sqref="C22:V23">
    <cfRule type="cellIs" dxfId="193" priority="20" operator="equal">
      <formula>0</formula>
    </cfRule>
  </conditionalFormatting>
  <conditionalFormatting sqref="C24:V24">
    <cfRule type="cellIs" dxfId="192" priority="21" operator="equal">
      <formula>"DECREASE"</formula>
    </cfRule>
    <cfRule type="cellIs" dxfId="191" priority="22" operator="equal">
      <formula>"INCREASE"</formula>
    </cfRule>
  </conditionalFormatting>
  <conditionalFormatting sqref="G31:G50">
    <cfRule type="cellIs" dxfId="190" priority="34" operator="greaterThan">
      <formula>$G$51</formula>
    </cfRule>
  </conditionalFormatting>
  <conditionalFormatting sqref="H31:H50">
    <cfRule type="cellIs" dxfId="189" priority="33" operator="greaterThan">
      <formula>$H$51</formula>
    </cfRule>
  </conditionalFormatting>
  <conditionalFormatting sqref="I1">
    <cfRule type="cellIs" dxfId="188" priority="6" operator="between">
      <formula>0.1</formula>
      <formula>5</formula>
    </cfRule>
  </conditionalFormatting>
  <conditionalFormatting sqref="I2">
    <cfRule type="cellIs" dxfId="187" priority="5" operator="greaterThan">
      <formula>5000.1</formula>
    </cfRule>
  </conditionalFormatting>
  <conditionalFormatting sqref="I3">
    <cfRule type="cellIs" dxfId="186" priority="4" operator="greaterThan">
      <formula>40000.01</formula>
    </cfRule>
  </conditionalFormatting>
  <conditionalFormatting sqref="I31:I50">
    <cfRule type="cellIs" dxfId="185" priority="32" operator="greaterThan">
      <formula>$I$51</formula>
    </cfRule>
  </conditionalFormatting>
  <conditionalFormatting sqref="J31:J50">
    <cfRule type="cellIs" dxfId="184" priority="11" operator="greaterThan">
      <formula>$J$51</formula>
    </cfRule>
  </conditionalFormatting>
  <conditionalFormatting sqref="K31:K50">
    <cfRule type="cellIs" dxfId="183" priority="31" operator="greaterThan">
      <formula>$K$51</formula>
    </cfRule>
  </conditionalFormatting>
  <conditionalFormatting sqref="L3">
    <cfRule type="cellIs" dxfId="182" priority="7" operator="lessThan">
      <formula>30</formula>
    </cfRule>
    <cfRule type="cellIs" dxfId="181" priority="8" operator="greaterThanOrEqual">
      <formula>30</formula>
    </cfRule>
  </conditionalFormatting>
  <conditionalFormatting sqref="L31:L50">
    <cfRule type="cellIs" dxfId="180" priority="30" operator="greaterThan">
      <formula>$L$51</formula>
    </cfRule>
  </conditionalFormatting>
  <conditionalFormatting sqref="M31:M50">
    <cfRule type="cellIs" dxfId="179" priority="29" operator="greaterThan">
      <formula>$M$51</formula>
    </cfRule>
  </conditionalFormatting>
  <conditionalFormatting sqref="P31:P50">
    <cfRule type="cellIs" dxfId="178" priority="28" operator="greaterThan">
      <formula>$P$51</formula>
    </cfRule>
  </conditionalFormatting>
  <conditionalFormatting sqref="R31:R50">
    <cfRule type="cellIs" dxfId="177" priority="27" operator="greaterThan">
      <formula>$R$51</formula>
    </cfRule>
  </conditionalFormatting>
  <conditionalFormatting sqref="S31:S50">
    <cfRule type="cellIs" dxfId="176" priority="26" operator="greaterThan">
      <formula>$S$51</formula>
    </cfRule>
  </conditionalFormatting>
  <conditionalFormatting sqref="T31:T50">
    <cfRule type="cellIs" dxfId="175" priority="25" operator="greaterThan">
      <formula>$T$51</formula>
    </cfRule>
  </conditionalFormatting>
  <conditionalFormatting sqref="U31:U50">
    <cfRule type="cellIs" dxfId="174" priority="24"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zoomScale="90" zoomScaleNormal="90" workbookViewId="0">
      <selection activeCell="B42" sqref="B42"/>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42" width="0" style="9" hidden="1" customWidth="1"/>
    <col min="43"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6.1</v>
      </c>
      <c r="J1" s="130" t="s">
        <v>153</v>
      </c>
      <c r="K1" s="131"/>
      <c r="L1" s="109">
        <v>136</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0.69299999999999995</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1.9624819624819629</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170</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32.596687068000001</v>
      </c>
      <c r="D18" s="12">
        <f>$D32</f>
        <v>34.096952999999999</v>
      </c>
      <c r="E18" s="12">
        <f>$D33</f>
        <v>32.596687068000001</v>
      </c>
      <c r="F18" s="12">
        <f>$D34</f>
        <v>32.596687068000001</v>
      </c>
      <c r="G18" s="12">
        <f>$D35</f>
        <v>32.596687068000001</v>
      </c>
      <c r="H18" s="12">
        <f>$D36</f>
        <v>32.596687068000001</v>
      </c>
      <c r="I18" s="12">
        <f>$D37</f>
        <v>32.596687068000001</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-32.003312931999993</v>
      </c>
      <c r="D19" s="12">
        <f t="shared" ref="D19:V19" si="1">D18-D17</f>
        <v>-30.503046999999995</v>
      </c>
      <c r="E19" s="12">
        <f t="shared" si="1"/>
        <v>-32.003312931999993</v>
      </c>
      <c r="F19" s="12">
        <f t="shared" si="1"/>
        <v>-32.003312931999993</v>
      </c>
      <c r="G19" s="12">
        <f t="shared" si="1"/>
        <v>-32.003312931999993</v>
      </c>
      <c r="H19" s="12">
        <f t="shared" si="1"/>
        <v>-32.003312931999993</v>
      </c>
      <c r="I19" s="12">
        <f t="shared" si="1"/>
        <v>-32.003312931999993</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1.2988574500000001</v>
      </c>
      <c r="D22" s="12">
        <f>$E32</f>
        <v>1.3586374999999999</v>
      </c>
      <c r="E22" s="12">
        <f>$E33</f>
        <v>1.2988574500000001</v>
      </c>
      <c r="F22" s="12">
        <f>$E34</f>
        <v>1.2988574500000001</v>
      </c>
      <c r="G22" s="12">
        <f>$E35</f>
        <v>1.2988574500000001</v>
      </c>
      <c r="H22" s="12">
        <f>$E36</f>
        <v>1.2988574500000001</v>
      </c>
      <c r="I22" s="12">
        <f>$E37</f>
        <v>1.2988574500000001</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-226.70114254999999</v>
      </c>
      <c r="D23" s="12">
        <f t="shared" ref="D23:V23" si="3">D22-D21</f>
        <v>-226.64136250000001</v>
      </c>
      <c r="E23" s="12">
        <f t="shared" si="3"/>
        <v>-226.70114254999999</v>
      </c>
      <c r="F23" s="12">
        <f t="shared" si="3"/>
        <v>-226.70114254999999</v>
      </c>
      <c r="G23" s="12">
        <f t="shared" si="3"/>
        <v>-226.70114254999999</v>
      </c>
      <c r="H23" s="12">
        <f t="shared" si="3"/>
        <v>-226.70114254999999</v>
      </c>
      <c r="I23" s="12">
        <f t="shared" si="3"/>
        <v>-226.70114254999999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4.51</v>
      </c>
      <c r="C28" s="11">
        <v>0.69299999999999995</v>
      </c>
      <c r="D28" s="11">
        <v>0.13200000000000001</v>
      </c>
      <c r="E28" s="11">
        <v>0.01</v>
      </c>
      <c r="F28" s="11">
        <v>556</v>
      </c>
      <c r="G28" s="11">
        <v>28.9</v>
      </c>
      <c r="H28" s="11">
        <v>441</v>
      </c>
      <c r="I28" s="11">
        <v>31.8</v>
      </c>
      <c r="J28" s="11">
        <v>1.35</v>
      </c>
      <c r="K28" s="15">
        <v>0.9</v>
      </c>
      <c r="L28" s="11">
        <v>22.1</v>
      </c>
      <c r="M28" s="11">
        <v>14.8</v>
      </c>
      <c r="N28" s="11">
        <v>5310</v>
      </c>
      <c r="O28" s="11">
        <v>471000</v>
      </c>
      <c r="P28" s="11"/>
      <c r="Q28" s="11">
        <v>2690</v>
      </c>
      <c r="R28" s="11"/>
      <c r="S28" s="11">
        <v>14.1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239</v>
      </c>
      <c r="C31" s="65">
        <f>IF(C$27="%w/w SAR",((C$28*10)*$B31),IF(C$27="%w/w DM",(((C$28*10)*($B$28/100))*$B31),IF(C$27="kg/t SAR",(C$28*$B31),IF(C$27="kg/t DM",((C$28*($B$28/100))*$B31),IF(C$27="mg/kg SAR",((C$28*0.001)*$B31),IF(C$27="mg/kg DM",(((C$28*0.001)*($B$28/100))*$B31),0))))))</f>
        <v>74.697777000000002</v>
      </c>
      <c r="D31" s="65">
        <f>(IF(D$27="%w/w SAR",((D$28*10)*$B31),IF(D$27="%w/w DM",(((D$28*10)*($B$28/100))*$B31),IF(D$27="kg/t SAR",(D$28*$B31),IF(D$27="kg/t DM",((D$28*($B$28/100))*$B31),IF(D$27="mg/kg SAR",((D$28*0.001)*$B31),IF(D$27="mg/kg DM",(((D$28*0.001)*($B$28/100))*$B31),"0")))))))*2.291</f>
        <v>32.596687068000001</v>
      </c>
      <c r="E31" s="65">
        <f>(IF(E$27="%w/w SAR",((E$28*10)*$B31),IF(E$27="%w/w DM",(((E$28*10)*($B$28/100))*$B31),IF(E$27="kg/t SAR",(E$28*$B31),IF(E$27="kg/t DM",((E$28*($B$28/100))*$B31),IF(E$27="mg/kg SAR",((E$28*0.001)*$B31),IF(E$27="mg/kg DM",(((E$28*0.001)*($B$28/100))*$B31),"0")))))))*1.205</f>
        <v>1.2988574500000001</v>
      </c>
      <c r="F31" s="65">
        <f>(IF(F$27="%w/w SAR",((F$28*10)*$B31),IF(F$27="%w/w DM",(((F$28*10)*($B$28/100))*$B31),IF(F$27="kg/t SAR",(F$28*$B31),IF(F$27="kg/t DM",((F$28*($B$28/100))*$B31),IF(F$27="mg/kg SAR",((F$28*0.001)*$B31),IF(F$27="mg/kg DM",(((F$28*0.001)*($B$28/100))*$B31),"0")))))))*1.658</f>
        <v>9.9365074072000006</v>
      </c>
      <c r="G31" s="65">
        <f t="shared" ref="G31:P46" si="5">IF(G$27="%w/w SAR",((G$28*10)*$B31),IF(G$27="%w/w DM",(((G$28*10)*($B$28/100))*$B31),IF(G$27="kg/t SAR",(G$28*$B31),IF(G$27="kg/t DM",((G$28*($B$28/100))*$B31),IF(G$27="mg/kg SAR",((G$28*0.001)*$B31),IF(G$27="mg/kg DM",(((G$28*0.001)*($B$28/100))*$B31),0))))))</f>
        <v>0.31151021000000001</v>
      </c>
      <c r="H31" s="65">
        <f t="shared" si="5"/>
        <v>4.7534948999999997</v>
      </c>
      <c r="I31" s="65">
        <f t="shared" si="5"/>
        <v>0.34276902000000004</v>
      </c>
      <c r="J31" s="65">
        <f t="shared" si="5"/>
        <v>1.4551515000000001E-2</v>
      </c>
      <c r="K31" s="65">
        <f t="shared" si="5"/>
        <v>9.7010100000000012E-3</v>
      </c>
      <c r="L31" s="65">
        <f t="shared" si="5"/>
        <v>0.23821369000000001</v>
      </c>
      <c r="M31" s="65">
        <f t="shared" si="5"/>
        <v>0.15952772000000001</v>
      </c>
      <c r="N31" s="65">
        <f t="shared" si="5"/>
        <v>57.235959000000008</v>
      </c>
      <c r="O31" s="65">
        <f t="shared" si="5"/>
        <v>5076.8618999999999</v>
      </c>
      <c r="P31" s="65">
        <f t="shared" si="5"/>
        <v>0</v>
      </c>
      <c r="Q31" s="65">
        <f>(IF(Q$27="%w/w SAR",((Q$28*10)*$B31),IF(Q$27="%w/w DM",(((Q$28*10)*($B$28/100))*$B31),IF(Q$27="kg/t SAR",(Q$28*$B31),IF(Q$27="kg/t DM",((Q$28*($B$28/100))*$B31),IF(Q$27="mg/kg SAR",((Q$28*0.001)*$B31),IF(Q$27="mg/kg DM",(((Q$28*0.001)*($B$28/100))*$B31),0)))))))*2.5</f>
        <v>72.488102499999997</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0.15198249000000003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78.135750000000002</v>
      </c>
      <c r="D32" s="65">
        <f t="shared" ref="D32:D50" si="7">(IF(D$27="%w/w SAR",((D$28*10)*$B32),IF(D$27="%w/w DM",(((D$28*10)*($B$28/100))*$B32),IF(D$27="kg/t SAR",(D$28*$B32),IF(D$27="kg/t DM",((D$28*($B$28/100))*$B32),IF(D$27="mg/kg SAR",((D$28*0.001)*$B32),IF(D$27="mg/kg DM",(((D$28*0.001)*($B$28/100))*$B32),"0")))))))*2.291</f>
        <v>34.096952999999999</v>
      </c>
      <c r="E32" s="65">
        <f t="shared" ref="E32:E50" si="8">(IF(E$27="%w/w SAR",((E$28*10)*$B32),IF(E$27="%w/w DM",(((E$28*10)*($B$28/100))*$B32),IF(E$27="kg/t SAR",(E$28*$B32),IF(E$27="kg/t DM",((E$28*($B$28/100))*$B32),IF(E$27="mg/kg SAR",((E$28*0.001)*$B32),IF(E$27="mg/kg DM",(((E$28*0.001)*($B$28/100))*$B32),"0")))))))*1.205</f>
        <v>1.3586374999999999</v>
      </c>
      <c r="F32" s="65">
        <f t="shared" ref="F32:F50" si="9">(IF(F$27="%w/w SAR",((F$28*10)*$B32),IF(F$27="%w/w DM",(((F$28*10)*($B$28/100))*$B32),IF(F$27="kg/t SAR",(F$28*$B32),IF(F$27="kg/t DM",((F$28*($B$28/100))*$B32),IF(F$27="mg/kg SAR",((F$28*0.001)*$B32),IF(F$27="mg/kg DM",(((F$28*0.001)*($B$28/100))*$B32),"0")))))))*1.658</f>
        <v>10.393836200000001</v>
      </c>
      <c r="G32" s="65">
        <f t="shared" si="5"/>
        <v>0.32584750000000001</v>
      </c>
      <c r="H32" s="65">
        <f t="shared" si="5"/>
        <v>4.9722749999999998</v>
      </c>
      <c r="I32" s="65">
        <f t="shared" si="5"/>
        <v>0.35854500000000006</v>
      </c>
      <c r="J32" s="65">
        <f t="shared" si="5"/>
        <v>1.522125E-2</v>
      </c>
      <c r="K32" s="65">
        <f t="shared" si="5"/>
        <v>1.01475E-2</v>
      </c>
      <c r="L32" s="65">
        <f t="shared" si="5"/>
        <v>0.24917750000000002</v>
      </c>
      <c r="M32" s="65">
        <f t="shared" si="5"/>
        <v>0.16687000000000002</v>
      </c>
      <c r="N32" s="65">
        <f t="shared" si="5"/>
        <v>59.870250000000006</v>
      </c>
      <c r="O32" s="65">
        <f t="shared" si="5"/>
        <v>5310.5250000000005</v>
      </c>
      <c r="P32" s="65">
        <f t="shared" si="5"/>
        <v>0</v>
      </c>
      <c r="Q32" s="65">
        <f t="shared" ref="Q32:Q50" si="10">(IF(Q$27="%w/w SAR",((Q$28*10)*$B32),IF(Q$27="%w/w DM",(((Q$28*10)*($B$28/100))*$B32),IF(Q$27="kg/t SAR",(Q$28*$B32),IF(Q$27="kg/t DM",((Q$28*($B$28/100))*$B32),IF(Q$27="mg/kg SAR",((Q$28*0.001)*$B32),IF(Q$27="mg/kg DM",(((Q$28*0.001)*($B$28/100))*$B32),0)))))))*2.5</f>
        <v>75.824375000000003</v>
      </c>
      <c r="R32" s="65">
        <f t="shared" ref="R32:U50" si="11">IF(R$27="%w/w SAR",((R$28*10)*$B32),IF(R$27="%w/w DM",(((R$28*10)*($B$28/100))*$B32),IF(R$27="kg/t SAR",(R$28*$B32),IF(R$27="kg/t DM",((R$28*($B$28/100))*$B32),IF(R$27="mg/kg SAR",((R$28*0.001)*$B32),IF(R$27="mg/kg DM",(((R$28*0.001)*($B$28/100))*$B32),0))))))</f>
        <v>0</v>
      </c>
      <c r="S32" s="65">
        <f t="shared" si="11"/>
        <v>0.15897750000000002</v>
      </c>
      <c r="T32" s="65">
        <f t="shared" si="11"/>
        <v>0</v>
      </c>
      <c r="U32" s="126">
        <f t="shared" si="11"/>
        <v>0</v>
      </c>
    </row>
    <row r="33" spans="1:21" s="48" customFormat="1" ht="13" x14ac:dyDescent="0.35">
      <c r="A33" s="125">
        <f>E8</f>
        <v>1416</v>
      </c>
      <c r="B33" s="11">
        <v>239</v>
      </c>
      <c r="C33" s="65">
        <f t="shared" si="6"/>
        <v>74.697777000000002</v>
      </c>
      <c r="D33" s="65">
        <f t="shared" si="7"/>
        <v>32.596687068000001</v>
      </c>
      <c r="E33" s="65">
        <f t="shared" si="8"/>
        <v>1.2988574500000001</v>
      </c>
      <c r="F33" s="65">
        <f t="shared" si="9"/>
        <v>9.9365074072000006</v>
      </c>
      <c r="G33" s="65">
        <f t="shared" si="5"/>
        <v>0.31151021000000001</v>
      </c>
      <c r="H33" s="65">
        <f t="shared" si="5"/>
        <v>4.7534948999999997</v>
      </c>
      <c r="I33" s="65">
        <f t="shared" si="5"/>
        <v>0.34276902000000004</v>
      </c>
      <c r="J33" s="65">
        <f t="shared" si="5"/>
        <v>1.4551515000000001E-2</v>
      </c>
      <c r="K33" s="65">
        <f t="shared" si="5"/>
        <v>9.7010100000000012E-3</v>
      </c>
      <c r="L33" s="65">
        <f t="shared" si="5"/>
        <v>0.23821369000000001</v>
      </c>
      <c r="M33" s="65">
        <f t="shared" si="5"/>
        <v>0.15952772000000001</v>
      </c>
      <c r="N33" s="65">
        <f t="shared" si="5"/>
        <v>57.235959000000008</v>
      </c>
      <c r="O33" s="65">
        <f t="shared" si="5"/>
        <v>5076.8618999999999</v>
      </c>
      <c r="P33" s="65">
        <f t="shared" si="5"/>
        <v>0</v>
      </c>
      <c r="Q33" s="65">
        <f t="shared" si="10"/>
        <v>72.488102499999997</v>
      </c>
      <c r="R33" s="65">
        <f t="shared" si="11"/>
        <v>0</v>
      </c>
      <c r="S33" s="65">
        <f t="shared" si="11"/>
        <v>0.15198249000000003</v>
      </c>
      <c r="T33" s="65">
        <f t="shared" si="11"/>
        <v>0</v>
      </c>
      <c r="U33" s="126">
        <f t="shared" si="11"/>
        <v>0</v>
      </c>
    </row>
    <row r="34" spans="1:21" s="48" customFormat="1" ht="13" x14ac:dyDescent="0.35">
      <c r="A34" s="125">
        <f>F8</f>
        <v>9216</v>
      </c>
      <c r="B34" s="11">
        <v>239</v>
      </c>
      <c r="C34" s="65">
        <f t="shared" si="6"/>
        <v>74.697777000000002</v>
      </c>
      <c r="D34" s="65">
        <f t="shared" si="7"/>
        <v>32.596687068000001</v>
      </c>
      <c r="E34" s="65">
        <f t="shared" si="8"/>
        <v>1.2988574500000001</v>
      </c>
      <c r="F34" s="65">
        <f t="shared" si="9"/>
        <v>9.9365074072000006</v>
      </c>
      <c r="G34" s="65">
        <f t="shared" si="5"/>
        <v>0.31151021000000001</v>
      </c>
      <c r="H34" s="65">
        <f t="shared" si="5"/>
        <v>4.7534948999999997</v>
      </c>
      <c r="I34" s="65">
        <f t="shared" si="5"/>
        <v>0.34276902000000004</v>
      </c>
      <c r="J34" s="65">
        <f t="shared" si="5"/>
        <v>1.4551515000000001E-2</v>
      </c>
      <c r="K34" s="65">
        <f t="shared" si="5"/>
        <v>9.7010100000000012E-3</v>
      </c>
      <c r="L34" s="65">
        <f t="shared" si="5"/>
        <v>0.23821369000000001</v>
      </c>
      <c r="M34" s="65">
        <f t="shared" si="5"/>
        <v>0.15952772000000001</v>
      </c>
      <c r="N34" s="65">
        <f t="shared" si="5"/>
        <v>57.235959000000008</v>
      </c>
      <c r="O34" s="65">
        <f t="shared" si="5"/>
        <v>5076.8618999999999</v>
      </c>
      <c r="P34" s="65">
        <f t="shared" si="5"/>
        <v>0</v>
      </c>
      <c r="Q34" s="65">
        <f t="shared" si="10"/>
        <v>72.488102499999997</v>
      </c>
      <c r="R34" s="65">
        <f t="shared" si="11"/>
        <v>0</v>
      </c>
      <c r="S34" s="65">
        <f t="shared" si="11"/>
        <v>0.15198249000000003</v>
      </c>
      <c r="T34" s="65">
        <f t="shared" si="11"/>
        <v>0</v>
      </c>
      <c r="U34" s="126">
        <f t="shared" si="11"/>
        <v>0</v>
      </c>
    </row>
    <row r="35" spans="1:21" s="48" customFormat="1" ht="13" x14ac:dyDescent="0.35">
      <c r="A35" s="125">
        <f>G8</f>
        <v>1113</v>
      </c>
      <c r="B35" s="11">
        <v>239</v>
      </c>
      <c r="C35" s="65">
        <f t="shared" si="6"/>
        <v>74.697777000000002</v>
      </c>
      <c r="D35" s="65">
        <f t="shared" si="7"/>
        <v>32.596687068000001</v>
      </c>
      <c r="E35" s="65">
        <f t="shared" si="8"/>
        <v>1.2988574500000001</v>
      </c>
      <c r="F35" s="65">
        <f t="shared" si="9"/>
        <v>9.9365074072000006</v>
      </c>
      <c r="G35" s="65">
        <f t="shared" si="5"/>
        <v>0.31151021000000001</v>
      </c>
      <c r="H35" s="65">
        <f t="shared" si="5"/>
        <v>4.7534948999999997</v>
      </c>
      <c r="I35" s="65">
        <f t="shared" si="5"/>
        <v>0.34276902000000004</v>
      </c>
      <c r="J35" s="65">
        <f t="shared" si="5"/>
        <v>1.4551515000000001E-2</v>
      </c>
      <c r="K35" s="65">
        <f t="shared" si="5"/>
        <v>9.7010100000000012E-3</v>
      </c>
      <c r="L35" s="65">
        <f t="shared" si="5"/>
        <v>0.23821369000000001</v>
      </c>
      <c r="M35" s="65">
        <f t="shared" si="5"/>
        <v>0.15952772000000001</v>
      </c>
      <c r="N35" s="65">
        <f t="shared" si="5"/>
        <v>57.235959000000008</v>
      </c>
      <c r="O35" s="65">
        <f t="shared" si="5"/>
        <v>5076.8618999999999</v>
      </c>
      <c r="P35" s="65">
        <f t="shared" si="5"/>
        <v>0</v>
      </c>
      <c r="Q35" s="65">
        <f t="shared" si="10"/>
        <v>72.488102499999997</v>
      </c>
      <c r="R35" s="65">
        <f t="shared" si="11"/>
        <v>0</v>
      </c>
      <c r="S35" s="65">
        <f t="shared" si="11"/>
        <v>0.15198249000000003</v>
      </c>
      <c r="T35" s="65">
        <f t="shared" si="11"/>
        <v>0</v>
      </c>
      <c r="U35" s="126">
        <f t="shared" si="11"/>
        <v>0</v>
      </c>
    </row>
    <row r="36" spans="1:21" s="48" customFormat="1" ht="13" x14ac:dyDescent="0.35">
      <c r="A36" s="125">
        <f>H8</f>
        <v>264</v>
      </c>
      <c r="B36" s="11">
        <v>239</v>
      </c>
      <c r="C36" s="65">
        <f t="shared" si="6"/>
        <v>74.697777000000002</v>
      </c>
      <c r="D36" s="65">
        <f t="shared" si="7"/>
        <v>32.596687068000001</v>
      </c>
      <c r="E36" s="65">
        <f t="shared" si="8"/>
        <v>1.2988574500000001</v>
      </c>
      <c r="F36" s="65">
        <f t="shared" si="9"/>
        <v>9.9365074072000006</v>
      </c>
      <c r="G36" s="65">
        <f t="shared" si="5"/>
        <v>0.31151021000000001</v>
      </c>
      <c r="H36" s="65">
        <f t="shared" si="5"/>
        <v>4.7534948999999997</v>
      </c>
      <c r="I36" s="65">
        <f t="shared" si="5"/>
        <v>0.34276902000000004</v>
      </c>
      <c r="J36" s="65">
        <f t="shared" si="5"/>
        <v>1.4551515000000001E-2</v>
      </c>
      <c r="K36" s="65">
        <f t="shared" si="5"/>
        <v>9.7010100000000012E-3</v>
      </c>
      <c r="L36" s="65">
        <f t="shared" si="5"/>
        <v>0.23821369000000001</v>
      </c>
      <c r="M36" s="65">
        <f t="shared" si="5"/>
        <v>0.15952772000000001</v>
      </c>
      <c r="N36" s="65">
        <f t="shared" si="5"/>
        <v>57.235959000000008</v>
      </c>
      <c r="O36" s="65">
        <f t="shared" si="5"/>
        <v>5076.8618999999999</v>
      </c>
      <c r="P36" s="65">
        <f t="shared" si="5"/>
        <v>0</v>
      </c>
      <c r="Q36" s="65">
        <f t="shared" si="10"/>
        <v>72.488102499999997</v>
      </c>
      <c r="R36" s="65">
        <f t="shared" si="11"/>
        <v>0</v>
      </c>
      <c r="S36" s="65">
        <f t="shared" si="11"/>
        <v>0.15198249000000003</v>
      </c>
      <c r="T36" s="65">
        <f t="shared" si="11"/>
        <v>0</v>
      </c>
      <c r="U36" s="126">
        <f t="shared" si="11"/>
        <v>0</v>
      </c>
    </row>
    <row r="37" spans="1:21" s="48" customFormat="1" ht="13" x14ac:dyDescent="0.35">
      <c r="A37" s="125">
        <f>I8</f>
        <v>2585</v>
      </c>
      <c r="B37" s="11">
        <v>239</v>
      </c>
      <c r="C37" s="65">
        <f t="shared" si="6"/>
        <v>74.697777000000002</v>
      </c>
      <c r="D37" s="65">
        <f t="shared" si="7"/>
        <v>32.596687068000001</v>
      </c>
      <c r="E37" s="65">
        <f t="shared" si="8"/>
        <v>1.2988574500000001</v>
      </c>
      <c r="F37" s="65">
        <f t="shared" si="9"/>
        <v>9.9365074072000006</v>
      </c>
      <c r="G37" s="65">
        <f t="shared" si="5"/>
        <v>0.31151021000000001</v>
      </c>
      <c r="H37" s="65">
        <f t="shared" si="5"/>
        <v>4.7534948999999997</v>
      </c>
      <c r="I37" s="65">
        <f t="shared" si="5"/>
        <v>0.34276902000000004</v>
      </c>
      <c r="J37" s="65">
        <f t="shared" si="5"/>
        <v>1.4551515000000001E-2</v>
      </c>
      <c r="K37" s="65">
        <f t="shared" si="5"/>
        <v>9.7010100000000012E-3</v>
      </c>
      <c r="L37" s="65">
        <f t="shared" si="5"/>
        <v>0.23821369000000001</v>
      </c>
      <c r="M37" s="65">
        <f t="shared" si="5"/>
        <v>0.15952772000000001</v>
      </c>
      <c r="N37" s="65">
        <f t="shared" si="5"/>
        <v>57.235959000000008</v>
      </c>
      <c r="O37" s="65">
        <f t="shared" si="5"/>
        <v>5076.8618999999999</v>
      </c>
      <c r="P37" s="65">
        <f t="shared" si="5"/>
        <v>0</v>
      </c>
      <c r="Q37" s="65">
        <f t="shared" si="10"/>
        <v>72.488102499999997</v>
      </c>
      <c r="R37" s="65">
        <f t="shared" si="11"/>
        <v>0</v>
      </c>
      <c r="S37" s="65">
        <f t="shared" si="11"/>
        <v>0.15198249000000003</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"&amp;(VLOOKUP(C14,Table24581114[],6,FALSE))</f>
        <v>Medium/Clay I Grass</v>
      </c>
      <c r="C58" s="10" t="str">
        <f>D16&amp;" I "&amp;(VLOOKUP(D14,Table24581114[],6,FALSE))</f>
        <v>Medium/Clay I Grass</v>
      </c>
      <c r="D58" s="10" t="str">
        <f>E16&amp;" I "&amp;(VLOOKUP(E14,Table24581114[],6,FALSE))</f>
        <v>Medium/Clay I Grass</v>
      </c>
      <c r="E58" s="10" t="str">
        <f>F16&amp;" I "&amp;(VLOOKUP(F14,Table24581114[],6,FALSE))</f>
        <v>Medium/Clay I Grass</v>
      </c>
      <c r="F58" s="10" t="str">
        <f>G16&amp;" I "&amp;(VLOOKUP(G14,Table24581114[],6,FALSE))</f>
        <v>Medium/Clay I Grass</v>
      </c>
      <c r="G58" s="10" t="str">
        <f>H16&amp;" I "&amp;(VLOOKUP(H14,Table24581114[],6,FALSE))</f>
        <v>Medium/Clay I Grass</v>
      </c>
      <c r="H58" s="10" t="str">
        <f>I16&amp;" I "&amp;(VLOOKUP(I14,Table24581114[],6,FALSE))</f>
        <v>Medium/Clay I Grass</v>
      </c>
      <c r="I58" s="10" t="e">
        <f>J16&amp;" I "&amp;(VLOOKUP(J14,Table24581114[],6,FALSE))</f>
        <v>#N/A</v>
      </c>
      <c r="J58" s="10" t="e">
        <f>K16&amp;" I "&amp;(VLOOKUP(K14,Table24581114[],6,FALSE))</f>
        <v>#N/A</v>
      </c>
      <c r="K58" s="10" t="e">
        <f>L16&amp;" I "&amp;(VLOOKUP(L14,Table24581114[],6,FALSE))</f>
        <v>#N/A</v>
      </c>
      <c r="L58" s="10" t="e">
        <f>M16&amp;" I "&amp;(VLOOKUP(M14,Table24581114[],6,FALSE))</f>
        <v>#N/A</v>
      </c>
      <c r="M58" s="10" t="e">
        <f>N16&amp;" I "&amp;(VLOOKUP(N14,Table24581114[],6,FALSE))</f>
        <v>#N/A</v>
      </c>
      <c r="N58" s="10" t="e">
        <f>O16&amp;" I "&amp;(VLOOKUP(O14,Table24581114[],6,FALSE))</f>
        <v>#N/A</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ht="13" x14ac:dyDescent="0.3">
      <c r="A59" s="87" t="s">
        <v>132</v>
      </c>
      <c r="B59" s="64">
        <f>VLOOKUP(C$14,Table24581114[],5,FALSE)</f>
        <v>6.2</v>
      </c>
      <c r="C59" s="64">
        <f>VLOOKUP(D$14,Table24581114[],5,FALSE)</f>
        <v>6.2</v>
      </c>
      <c r="D59" s="64">
        <f>VLOOKUP(E$14,Table24581114[],5,FALSE)</f>
        <v>6.2</v>
      </c>
      <c r="E59" s="64">
        <f>VLOOKUP(F$14,Table24581114[],5,FALSE)</f>
        <v>6.2</v>
      </c>
      <c r="F59" s="64">
        <f>VLOOKUP(G$14,Table24581114[],5,FALSE)</f>
        <v>6.2</v>
      </c>
      <c r="G59" s="64">
        <f>VLOOKUP(H$14,Table24581114[],5,FALSE)</f>
        <v>6.2</v>
      </c>
      <c r="H59" s="64">
        <f>VLOOKUP(I$14,Table24581114[],5,FALSE)</f>
        <v>6.2</v>
      </c>
      <c r="I59" s="64" t="e">
        <f>VLOOKUP(J$14,Table24581114[],5,FALSE)</f>
        <v>#N/A</v>
      </c>
      <c r="J59" s="64" t="e">
        <f>VLOOKUP(K$14,Table24581114[],5,FALSE)</f>
        <v>#N/A</v>
      </c>
      <c r="K59" s="64" t="e">
        <f>VLOOKUP(L$14,Table24581114[],5,FALSE)</f>
        <v>#N/A</v>
      </c>
      <c r="L59" s="64" t="e">
        <f>VLOOKUP(M$14,Table24581114[],5,FALSE)</f>
        <v>#N/A</v>
      </c>
      <c r="M59" s="64" t="e">
        <f>VLOOKUP(N$14,Table24581114[],5,FALSE)</f>
        <v>#N/A</v>
      </c>
      <c r="N59" s="64" t="e">
        <f>VLOOKUP(O$14,Table24581114[],5,FALSE)</f>
        <v>#N/A</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239</v>
      </c>
      <c r="C62" s="65">
        <f>B32</f>
        <v>250</v>
      </c>
      <c r="D62" s="65">
        <f>B33</f>
        <v>239</v>
      </c>
      <c r="E62" s="65">
        <f>B34</f>
        <v>239</v>
      </c>
      <c r="F62" s="65">
        <f>B35</f>
        <v>239</v>
      </c>
      <c r="G62" s="65">
        <f>B36</f>
        <v>239</v>
      </c>
      <c r="H62" s="65">
        <f>B37</f>
        <v>239</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WhzUUPkBpyOD+UHSWyGlyOt9g+Pjx0KCoBM87iDPAlCt8cNnTMWlxM/ocKYCfu+8rcuYjaTIiP/MkCHQbTjt7Q==" saltValue="DifvXWJt52MeDgXfMqSce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9" operator="greaterThan">
      <formula>$B$51</formula>
    </cfRule>
  </conditionalFormatting>
  <conditionalFormatting sqref="B66:U66">
    <cfRule type="cellIs" dxfId="172" priority="14" operator="equal">
      <formula>"UNDER"</formula>
    </cfRule>
    <cfRule type="cellIs" dxfId="171" priority="15" operator="equal">
      <formula>"OVER"</formula>
    </cfRule>
  </conditionalFormatting>
  <conditionalFormatting sqref="C31:C50">
    <cfRule type="cellIs" dxfId="170" priority="38" operator="greaterThan">
      <formula>$C$51</formula>
    </cfRule>
  </conditionalFormatting>
  <conditionalFormatting sqref="C11:V13">
    <cfRule type="cellIs" dxfId="169" priority="1" operator="greaterThan">
      <formula>2</formula>
    </cfRule>
  </conditionalFormatting>
  <conditionalFormatting sqref="C17:V19">
    <cfRule type="cellIs" dxfId="168" priority="35" operator="equal">
      <formula>0</formula>
    </cfRule>
  </conditionalFormatting>
  <conditionalFormatting sqref="C20:V21">
    <cfRule type="cellIs" dxfId="167" priority="40" operator="equal">
      <formula>"DECREASE"</formula>
    </cfRule>
    <cfRule type="cellIs" dxfId="166" priority="41" operator="equal">
      <formula>"INCREASE"</formula>
    </cfRule>
  </conditionalFormatting>
  <conditionalFormatting sqref="C21:V21">
    <cfRule type="cellIs" dxfId="165" priority="16" operator="equal">
      <formula>0</formula>
    </cfRule>
  </conditionalFormatting>
  <conditionalFormatting sqref="C22:V23">
    <cfRule type="cellIs" dxfId="164" priority="20" operator="equal">
      <formula>0</formula>
    </cfRule>
  </conditionalFormatting>
  <conditionalFormatting sqref="C24:V24">
    <cfRule type="cellIs" dxfId="163" priority="21" operator="equal">
      <formula>"DECREASE"</formula>
    </cfRule>
    <cfRule type="cellIs" dxfId="162" priority="22" operator="equal">
      <formula>"INCREASE"</formula>
    </cfRule>
  </conditionalFormatting>
  <conditionalFormatting sqref="G31:G50">
    <cfRule type="cellIs" dxfId="161" priority="34" operator="greaterThan">
      <formula>$G$51</formula>
    </cfRule>
  </conditionalFormatting>
  <conditionalFormatting sqref="H31:H50">
    <cfRule type="cellIs" dxfId="160" priority="33" operator="greaterThan">
      <formula>$H$51</formula>
    </cfRule>
  </conditionalFormatting>
  <conditionalFormatting sqref="I1">
    <cfRule type="cellIs" dxfId="159" priority="6" operator="between">
      <formula>0.1</formula>
      <formula>5</formula>
    </cfRule>
  </conditionalFormatting>
  <conditionalFormatting sqref="I2">
    <cfRule type="cellIs" dxfId="158" priority="5" operator="greaterThan">
      <formula>5000.1</formula>
    </cfRule>
  </conditionalFormatting>
  <conditionalFormatting sqref="I3">
    <cfRule type="cellIs" dxfId="157" priority="4" operator="greaterThan">
      <formula>40000.01</formula>
    </cfRule>
  </conditionalFormatting>
  <conditionalFormatting sqref="I31:I50">
    <cfRule type="cellIs" dxfId="156" priority="32" operator="greaterThan">
      <formula>$I$51</formula>
    </cfRule>
  </conditionalFormatting>
  <conditionalFormatting sqref="J31:J50">
    <cfRule type="cellIs" dxfId="155" priority="11" operator="greaterThan">
      <formula>$J$51</formula>
    </cfRule>
  </conditionalFormatting>
  <conditionalFormatting sqref="K31:K50">
    <cfRule type="cellIs" dxfId="154" priority="31" operator="greaterThan">
      <formula>$K$51</formula>
    </cfRule>
  </conditionalFormatting>
  <conditionalFormatting sqref="L3">
    <cfRule type="cellIs" dxfId="153" priority="7" operator="lessThan">
      <formula>30</formula>
    </cfRule>
    <cfRule type="cellIs" dxfId="152" priority="8" operator="greaterThanOrEqual">
      <formula>30</formula>
    </cfRule>
  </conditionalFormatting>
  <conditionalFormatting sqref="L31:L50">
    <cfRule type="cellIs" dxfId="151" priority="30" operator="greaterThan">
      <formula>$L$51</formula>
    </cfRule>
  </conditionalFormatting>
  <conditionalFormatting sqref="M31:M50">
    <cfRule type="cellIs" dxfId="150" priority="29" operator="greaterThan">
      <formula>$M$51</formula>
    </cfRule>
  </conditionalFormatting>
  <conditionalFormatting sqref="P31:P50">
    <cfRule type="cellIs" dxfId="149" priority="28" operator="greaterThan">
      <formula>$P$51</formula>
    </cfRule>
  </conditionalFormatting>
  <conditionalFormatting sqref="R31:R50">
    <cfRule type="cellIs" dxfId="148" priority="27" operator="greaterThan">
      <formula>$R$51</formula>
    </cfRule>
  </conditionalFormatting>
  <conditionalFormatting sqref="S31:S50">
    <cfRule type="cellIs" dxfId="147" priority="26" operator="greaterThan">
      <formula>$S$51</formula>
    </cfRule>
  </conditionalFormatting>
  <conditionalFormatting sqref="T31:T50">
    <cfRule type="cellIs" dxfId="146" priority="25" operator="greaterThan">
      <formula>$T$51</formula>
    </cfRule>
  </conditionalFormatting>
  <conditionalFormatting sqref="U31:U50">
    <cfRule type="cellIs" dxfId="145" priority="24"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5.6</v>
      </c>
      <c r="J1" s="130" t="s">
        <v>153</v>
      </c>
      <c r="K1" s="131"/>
      <c r="L1" s="109">
        <v>102</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0.317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3.2176656151419554</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32.276707680000001</v>
      </c>
      <c r="D18" s="12">
        <f>$D32</f>
        <v>57.636978000000006</v>
      </c>
      <c r="E18" s="12">
        <f>$D33</f>
        <v>32.276707680000001</v>
      </c>
      <c r="F18" s="12">
        <f>$D34</f>
        <v>32.276707680000001</v>
      </c>
      <c r="G18" s="12">
        <f>$D35</f>
        <v>32.276707680000001</v>
      </c>
      <c r="H18" s="12">
        <f>$D36</f>
        <v>32.276707680000001</v>
      </c>
      <c r="I18" s="12">
        <f>$D37</f>
        <v>32.276707680000001</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-32.323292319999993</v>
      </c>
      <c r="D19" s="12">
        <f t="shared" ref="D19:V19" si="1">D18-D17</f>
        <v>-6.9630219999999881</v>
      </c>
      <c r="E19" s="12">
        <f t="shared" si="1"/>
        <v>-32.323292319999993</v>
      </c>
      <c r="F19" s="12">
        <f t="shared" si="1"/>
        <v>-32.323292319999993</v>
      </c>
      <c r="G19" s="12">
        <f t="shared" si="1"/>
        <v>-32.323292319999993</v>
      </c>
      <c r="H19" s="12">
        <f t="shared" si="1"/>
        <v>-32.323292319999993</v>
      </c>
      <c r="I19" s="12">
        <f t="shared" si="1"/>
        <v>-32.323292319999993</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1.0105130000000002</v>
      </c>
      <c r="D22" s="12">
        <f>$E32</f>
        <v>1.8044875000000002</v>
      </c>
      <c r="E22" s="12">
        <f>$E33</f>
        <v>1.0105130000000002</v>
      </c>
      <c r="F22" s="12">
        <f>$E34</f>
        <v>1.0105130000000002</v>
      </c>
      <c r="G22" s="12">
        <f>$E35</f>
        <v>1.0105130000000002</v>
      </c>
      <c r="H22" s="12">
        <f>$E36</f>
        <v>1.0105130000000002</v>
      </c>
      <c r="I22" s="12">
        <f>$E37</f>
        <v>1.0105130000000002</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-226.989487</v>
      </c>
      <c r="D23" s="12">
        <f t="shared" ref="D23:V23" si="3">D22-D21</f>
        <v>-226.19551250000001</v>
      </c>
      <c r="E23" s="12">
        <f t="shared" si="3"/>
        <v>-226.989487</v>
      </c>
      <c r="F23" s="12">
        <f t="shared" si="3"/>
        <v>-226.989487</v>
      </c>
      <c r="G23" s="12">
        <f t="shared" si="3"/>
        <v>-226.989487</v>
      </c>
      <c r="H23" s="12">
        <f t="shared" si="3"/>
        <v>-226.989487</v>
      </c>
      <c r="I23" s="12">
        <f t="shared" si="3"/>
        <v>-226.989487</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5.99</v>
      </c>
      <c r="C28" s="11">
        <v>0.317</v>
      </c>
      <c r="D28" s="11">
        <v>0.16800000000000001</v>
      </c>
      <c r="E28" s="11">
        <v>0.01</v>
      </c>
      <c r="F28" s="11">
        <v>320</v>
      </c>
      <c r="G28" s="11">
        <v>1.96</v>
      </c>
      <c r="H28" s="11">
        <v>163</v>
      </c>
      <c r="I28" s="11">
        <v>26.1</v>
      </c>
      <c r="J28" s="11">
        <v>0.3</v>
      </c>
      <c r="K28" s="15">
        <v>0.68</v>
      </c>
      <c r="L28" s="11">
        <v>61.5</v>
      </c>
      <c r="M28" s="11">
        <v>1.1499999999999999</v>
      </c>
      <c r="N28" s="11">
        <v>3230</v>
      </c>
      <c r="O28" s="11">
        <v>519000</v>
      </c>
      <c r="P28" s="11"/>
      <c r="Q28" s="11">
        <v>10800</v>
      </c>
      <c r="R28" s="11"/>
      <c r="S28" s="11">
        <v>15.2</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140</v>
      </c>
      <c r="C31" s="65">
        <f>IF(C$27="%w/w SAR",((C$28*10)*$B31),IF(C$27="%w/w DM",(((C$28*10)*($B$28/100))*$B31),IF(C$27="kg/t SAR",(C$28*$B31),IF(C$27="kg/t DM",((C$28*($B$28/100))*$B31),IF(C$27="mg/kg SAR",((C$28*0.001)*$B31),IF(C$27="mg/kg DM",(((C$28*0.001)*($B$28/100))*$B31),0))))))</f>
        <v>26.58362</v>
      </c>
      <c r="D31" s="65">
        <f>(IF(D$27="%w/w SAR",((D$28*10)*$B31),IF(D$27="%w/w DM",(((D$28*10)*($B$28/100))*$B31),IF(D$27="kg/t SAR",(D$28*$B31),IF(D$27="kg/t DM",((D$28*($B$28/100))*$B31),IF(D$27="mg/kg SAR",((D$28*0.001)*$B31),IF(D$27="mg/kg DM",(((D$28*0.001)*($B$28/100))*$B31),"0")))))))*2.291</f>
        <v>32.276707680000001</v>
      </c>
      <c r="E31" s="65">
        <f>(IF(E$27="%w/w SAR",((E$28*10)*$B31),IF(E$27="%w/w DM",(((E$28*10)*($B$28/100))*$B31),IF(E$27="kg/t SAR",(E$28*$B31),IF(E$27="kg/t DM",((E$28*($B$28/100))*$B31),IF(E$27="mg/kg SAR",((E$28*0.001)*$B31),IF(E$27="mg/kg DM",(((E$28*0.001)*($B$28/100))*$B31),"0")))))))*1.205</f>
        <v>1.0105130000000002</v>
      </c>
      <c r="F31" s="65">
        <f>(IF(F$27="%w/w SAR",((F$28*10)*$B31),IF(F$27="%w/w DM",(((F$28*10)*($B$28/100))*$B31),IF(F$27="kg/t SAR",(F$28*$B31),IF(F$27="kg/t DM",((F$28*($B$28/100))*$B31),IF(F$27="mg/kg SAR",((F$28*0.001)*$B31),IF(F$27="mg/kg DM",(((F$28*0.001)*($B$28/100))*$B31),"0")))))))*1.658</f>
        <v>4.4492761600000001</v>
      </c>
      <c r="G31" s="65">
        <f t="shared" ref="G31:P46" si="5">IF(G$27="%w/w SAR",((G$28*10)*$B31),IF(G$27="%w/w DM",(((G$28*10)*($B$28/100))*$B31),IF(G$27="kg/t SAR",(G$28*$B31),IF(G$27="kg/t DM",((G$28*($B$28/100))*$B31),IF(G$27="mg/kg SAR",((G$28*0.001)*$B31),IF(G$27="mg/kg DM",(((G$28*0.001)*($B$28/100))*$B31),0))))))</f>
        <v>1.6436559999999999E-2</v>
      </c>
      <c r="H31" s="65">
        <f t="shared" si="5"/>
        <v>1.3669180000000001</v>
      </c>
      <c r="I31" s="65">
        <f t="shared" si="5"/>
        <v>0.21887460000000003</v>
      </c>
      <c r="J31" s="65">
        <f t="shared" si="5"/>
        <v>2.5157999999999999E-3</v>
      </c>
      <c r="K31" s="65">
        <f t="shared" si="5"/>
        <v>5.7024800000000002E-3</v>
      </c>
      <c r="L31" s="65">
        <f t="shared" si="5"/>
        <v>0.51573900000000006</v>
      </c>
      <c r="M31" s="65">
        <f t="shared" si="5"/>
        <v>9.6439000000000004E-3</v>
      </c>
      <c r="N31" s="65">
        <f t="shared" si="5"/>
        <v>27.086780000000001</v>
      </c>
      <c r="O31" s="65">
        <f t="shared" si="5"/>
        <v>4352.3339999999998</v>
      </c>
      <c r="P31" s="65">
        <f t="shared" si="5"/>
        <v>0</v>
      </c>
      <c r="Q31" s="65">
        <f>(IF(Q$27="%w/w SAR",((Q$28*10)*$B31),IF(Q$27="%w/w DM",(((Q$28*10)*($B$28/100))*$B31),IF(Q$27="kg/t SAR",(Q$28*$B31),IF(Q$27="kg/t DM",((Q$28*($B$28/100))*$B31),IF(Q$27="mg/kg SAR",((Q$28*0.001)*$B31),IF(Q$27="mg/kg DM",(((Q$28*0.001)*($B$28/100))*$B31),0)))))))*2.5</f>
        <v>226.42200000000003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0.1274672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47.470750000000002</v>
      </c>
      <c r="D32" s="65">
        <f t="shared" ref="D32:D50" si="7">(IF(D$27="%w/w SAR",((D$28*10)*$B32),IF(D$27="%w/w DM",(((D$28*10)*($B$28/100))*$B32),IF(D$27="kg/t SAR",(D$28*$B32),IF(D$27="kg/t DM",((D$28*($B$28/100))*$B32),IF(D$27="mg/kg SAR",((D$28*0.001)*$B32),IF(D$27="mg/kg DM",(((D$28*0.001)*($B$28/100))*$B32),"0")))))))*2.291</f>
        <v>57.636978000000006</v>
      </c>
      <c r="E32" s="65">
        <f t="shared" ref="E32:E50" si="8">(IF(E$27="%w/w SAR",((E$28*10)*$B32),IF(E$27="%w/w DM",(((E$28*10)*($B$28/100))*$B32),IF(E$27="kg/t SAR",(E$28*$B32),IF(E$27="kg/t DM",((E$28*($B$28/100))*$B32),IF(E$27="mg/kg SAR",((E$28*0.001)*$B32),IF(E$27="mg/kg DM",(((E$28*0.001)*($B$28/100))*$B32),"0")))))))*1.205</f>
        <v>1.8044875000000002</v>
      </c>
      <c r="F32" s="65">
        <f t="shared" ref="F32:F50" si="9">(IF(F$27="%w/w SAR",((F$28*10)*$B32),IF(F$27="%w/w DM",(((F$28*10)*($B$28/100))*$B32),IF(F$27="kg/t SAR",(F$28*$B32),IF(F$27="kg/t DM",((F$28*($B$28/100))*$B32),IF(F$27="mg/kg SAR",((F$28*0.001)*$B32),IF(F$27="mg/kg DM",(((F$28*0.001)*($B$28/100))*$B32),"0")))))))*1.658</f>
        <v>7.9451359999999989</v>
      </c>
      <c r="G32" s="65">
        <f t="shared" si="5"/>
        <v>2.9351000000000002E-2</v>
      </c>
      <c r="H32" s="65">
        <f t="shared" si="5"/>
        <v>2.440925</v>
      </c>
      <c r="I32" s="65">
        <f t="shared" si="5"/>
        <v>0.39084750000000007</v>
      </c>
      <c r="J32" s="65">
        <f t="shared" si="5"/>
        <v>4.4925E-3</v>
      </c>
      <c r="K32" s="65">
        <f t="shared" si="5"/>
        <v>1.0183000000000001E-2</v>
      </c>
      <c r="L32" s="65">
        <f t="shared" si="5"/>
        <v>0.92096250000000002</v>
      </c>
      <c r="M32" s="65">
        <f t="shared" si="5"/>
        <v>1.722125E-2</v>
      </c>
      <c r="N32" s="65">
        <f t="shared" si="5"/>
        <v>48.369250000000001</v>
      </c>
      <c r="O32" s="65">
        <f t="shared" si="5"/>
        <v>7772.0250000000005</v>
      </c>
      <c r="P32" s="65">
        <f t="shared" si="5"/>
        <v>0</v>
      </c>
      <c r="Q32" s="65">
        <f t="shared" ref="Q32:Q50" si="10">(IF(Q$27="%w/w SAR",((Q$28*10)*$B32),IF(Q$27="%w/w DM",(((Q$28*10)*($B$28/100))*$B32),IF(Q$27="kg/t SAR",(Q$28*$B32),IF(Q$27="kg/t DM",((Q$28*($B$28/100))*$B32),IF(Q$27="mg/kg SAR",((Q$28*0.001)*$B32),IF(Q$27="mg/kg DM",(((Q$28*0.001)*($B$28/100))*$B32),0)))))))*2.5</f>
        <v>404.32500000000005</v>
      </c>
      <c r="R32" s="65">
        <f t="shared" ref="R32:U50" si="11">IF(R$27="%w/w SAR",((R$28*10)*$B32),IF(R$27="%w/w DM",(((R$28*10)*($B$28/100))*$B32),IF(R$27="kg/t SAR",(R$28*$B32),IF(R$27="kg/t DM",((R$28*($B$28/100))*$B32),IF(R$27="mg/kg SAR",((R$28*0.001)*$B32),IF(R$27="mg/kg DM",(((R$28*0.001)*($B$28/100))*$B32),0))))))</f>
        <v>0</v>
      </c>
      <c r="S32" s="65">
        <f t="shared" si="11"/>
        <v>0.22762000000000002</v>
      </c>
      <c r="T32" s="65">
        <f t="shared" si="11"/>
        <v>0</v>
      </c>
      <c r="U32" s="126">
        <f t="shared" si="11"/>
        <v>0</v>
      </c>
    </row>
    <row r="33" spans="1:21" s="48" customFormat="1" ht="13" x14ac:dyDescent="0.35">
      <c r="A33" s="125">
        <f>E8</f>
        <v>1416</v>
      </c>
      <c r="B33" s="11">
        <v>140</v>
      </c>
      <c r="C33" s="65">
        <f t="shared" si="6"/>
        <v>26.58362</v>
      </c>
      <c r="D33" s="65">
        <f t="shared" si="7"/>
        <v>32.276707680000001</v>
      </c>
      <c r="E33" s="65">
        <f t="shared" si="8"/>
        <v>1.0105130000000002</v>
      </c>
      <c r="F33" s="65">
        <f t="shared" si="9"/>
        <v>4.4492761600000001</v>
      </c>
      <c r="G33" s="65">
        <f t="shared" si="5"/>
        <v>1.6436559999999999E-2</v>
      </c>
      <c r="H33" s="65">
        <f t="shared" si="5"/>
        <v>1.3669180000000001</v>
      </c>
      <c r="I33" s="65">
        <f t="shared" si="5"/>
        <v>0.21887460000000003</v>
      </c>
      <c r="J33" s="65">
        <f t="shared" si="5"/>
        <v>2.5157999999999999E-3</v>
      </c>
      <c r="K33" s="65">
        <f t="shared" si="5"/>
        <v>5.7024800000000002E-3</v>
      </c>
      <c r="L33" s="65">
        <f t="shared" si="5"/>
        <v>0.51573900000000006</v>
      </c>
      <c r="M33" s="65">
        <f t="shared" si="5"/>
        <v>9.6439000000000004E-3</v>
      </c>
      <c r="N33" s="65">
        <f t="shared" si="5"/>
        <v>27.086780000000001</v>
      </c>
      <c r="O33" s="65">
        <f t="shared" si="5"/>
        <v>4352.3339999999998</v>
      </c>
      <c r="P33" s="65">
        <f t="shared" si="5"/>
        <v>0</v>
      </c>
      <c r="Q33" s="65">
        <f t="shared" si="10"/>
        <v>226.42200000000003</v>
      </c>
      <c r="R33" s="65">
        <f t="shared" si="11"/>
        <v>0</v>
      </c>
      <c r="S33" s="65">
        <f t="shared" si="11"/>
        <v>0.1274672</v>
      </c>
      <c r="T33" s="65">
        <f t="shared" si="11"/>
        <v>0</v>
      </c>
      <c r="U33" s="126">
        <f t="shared" si="11"/>
        <v>0</v>
      </c>
    </row>
    <row r="34" spans="1:21" s="48" customFormat="1" ht="13" x14ac:dyDescent="0.35">
      <c r="A34" s="125">
        <f>F8</f>
        <v>9216</v>
      </c>
      <c r="B34" s="11">
        <v>140</v>
      </c>
      <c r="C34" s="65">
        <f t="shared" si="6"/>
        <v>26.58362</v>
      </c>
      <c r="D34" s="65">
        <f t="shared" si="7"/>
        <v>32.276707680000001</v>
      </c>
      <c r="E34" s="65">
        <f t="shared" si="8"/>
        <v>1.0105130000000002</v>
      </c>
      <c r="F34" s="65">
        <f t="shared" si="9"/>
        <v>4.4492761600000001</v>
      </c>
      <c r="G34" s="65">
        <f t="shared" si="5"/>
        <v>1.6436559999999999E-2</v>
      </c>
      <c r="H34" s="65">
        <f t="shared" si="5"/>
        <v>1.3669180000000001</v>
      </c>
      <c r="I34" s="65">
        <f t="shared" si="5"/>
        <v>0.21887460000000003</v>
      </c>
      <c r="J34" s="65">
        <f t="shared" si="5"/>
        <v>2.5157999999999999E-3</v>
      </c>
      <c r="K34" s="65">
        <f t="shared" si="5"/>
        <v>5.7024800000000002E-3</v>
      </c>
      <c r="L34" s="65">
        <f t="shared" si="5"/>
        <v>0.51573900000000006</v>
      </c>
      <c r="M34" s="65">
        <f t="shared" si="5"/>
        <v>9.6439000000000004E-3</v>
      </c>
      <c r="N34" s="65">
        <f t="shared" si="5"/>
        <v>27.086780000000001</v>
      </c>
      <c r="O34" s="65">
        <f t="shared" si="5"/>
        <v>4352.3339999999998</v>
      </c>
      <c r="P34" s="65">
        <f t="shared" si="5"/>
        <v>0</v>
      </c>
      <c r="Q34" s="65">
        <f t="shared" si="10"/>
        <v>226.42200000000003</v>
      </c>
      <c r="R34" s="65">
        <f t="shared" si="11"/>
        <v>0</v>
      </c>
      <c r="S34" s="65">
        <f t="shared" si="11"/>
        <v>0.1274672</v>
      </c>
      <c r="T34" s="65">
        <f t="shared" si="11"/>
        <v>0</v>
      </c>
      <c r="U34" s="126">
        <f t="shared" si="11"/>
        <v>0</v>
      </c>
    </row>
    <row r="35" spans="1:21" s="48" customFormat="1" ht="13" x14ac:dyDescent="0.35">
      <c r="A35" s="125">
        <f>G8</f>
        <v>1113</v>
      </c>
      <c r="B35" s="11">
        <v>140</v>
      </c>
      <c r="C35" s="65">
        <f t="shared" si="6"/>
        <v>26.58362</v>
      </c>
      <c r="D35" s="65">
        <f t="shared" si="7"/>
        <v>32.276707680000001</v>
      </c>
      <c r="E35" s="65">
        <f t="shared" si="8"/>
        <v>1.0105130000000002</v>
      </c>
      <c r="F35" s="65">
        <f t="shared" si="9"/>
        <v>4.4492761600000001</v>
      </c>
      <c r="G35" s="65">
        <f t="shared" si="5"/>
        <v>1.6436559999999999E-2</v>
      </c>
      <c r="H35" s="65">
        <f t="shared" si="5"/>
        <v>1.3669180000000001</v>
      </c>
      <c r="I35" s="65">
        <f t="shared" si="5"/>
        <v>0.21887460000000003</v>
      </c>
      <c r="J35" s="65">
        <f t="shared" si="5"/>
        <v>2.5157999999999999E-3</v>
      </c>
      <c r="K35" s="65">
        <f t="shared" si="5"/>
        <v>5.7024800000000002E-3</v>
      </c>
      <c r="L35" s="65">
        <f t="shared" si="5"/>
        <v>0.51573900000000006</v>
      </c>
      <c r="M35" s="65">
        <f t="shared" si="5"/>
        <v>9.6439000000000004E-3</v>
      </c>
      <c r="N35" s="65">
        <f t="shared" si="5"/>
        <v>27.086780000000001</v>
      </c>
      <c r="O35" s="65">
        <f t="shared" si="5"/>
        <v>4352.3339999999998</v>
      </c>
      <c r="P35" s="65">
        <f t="shared" si="5"/>
        <v>0</v>
      </c>
      <c r="Q35" s="65">
        <f t="shared" si="10"/>
        <v>226.42200000000003</v>
      </c>
      <c r="R35" s="65">
        <f t="shared" si="11"/>
        <v>0</v>
      </c>
      <c r="S35" s="65">
        <f t="shared" si="11"/>
        <v>0.1274672</v>
      </c>
      <c r="T35" s="65">
        <f t="shared" si="11"/>
        <v>0</v>
      </c>
      <c r="U35" s="126">
        <f t="shared" si="11"/>
        <v>0</v>
      </c>
    </row>
    <row r="36" spans="1:21" s="48" customFormat="1" ht="13" x14ac:dyDescent="0.35">
      <c r="A36" s="125">
        <f>H8</f>
        <v>264</v>
      </c>
      <c r="B36" s="11">
        <v>140</v>
      </c>
      <c r="C36" s="65">
        <f t="shared" si="6"/>
        <v>26.58362</v>
      </c>
      <c r="D36" s="65">
        <f t="shared" si="7"/>
        <v>32.276707680000001</v>
      </c>
      <c r="E36" s="65">
        <f t="shared" si="8"/>
        <v>1.0105130000000002</v>
      </c>
      <c r="F36" s="65">
        <f t="shared" si="9"/>
        <v>4.4492761600000001</v>
      </c>
      <c r="G36" s="65">
        <f t="shared" si="5"/>
        <v>1.6436559999999999E-2</v>
      </c>
      <c r="H36" s="65">
        <f t="shared" si="5"/>
        <v>1.3669180000000001</v>
      </c>
      <c r="I36" s="65">
        <f t="shared" si="5"/>
        <v>0.21887460000000003</v>
      </c>
      <c r="J36" s="65">
        <f t="shared" si="5"/>
        <v>2.5157999999999999E-3</v>
      </c>
      <c r="K36" s="65">
        <f t="shared" si="5"/>
        <v>5.7024800000000002E-3</v>
      </c>
      <c r="L36" s="65">
        <f t="shared" si="5"/>
        <v>0.51573900000000006</v>
      </c>
      <c r="M36" s="65">
        <f t="shared" si="5"/>
        <v>9.6439000000000004E-3</v>
      </c>
      <c r="N36" s="65">
        <f t="shared" si="5"/>
        <v>27.086780000000001</v>
      </c>
      <c r="O36" s="65">
        <f t="shared" si="5"/>
        <v>4352.3339999999998</v>
      </c>
      <c r="P36" s="65">
        <f t="shared" si="5"/>
        <v>0</v>
      </c>
      <c r="Q36" s="65">
        <f t="shared" si="10"/>
        <v>226.42200000000003</v>
      </c>
      <c r="R36" s="65">
        <f t="shared" si="11"/>
        <v>0</v>
      </c>
      <c r="S36" s="65">
        <f t="shared" si="11"/>
        <v>0.1274672</v>
      </c>
      <c r="T36" s="65">
        <f t="shared" si="11"/>
        <v>0</v>
      </c>
      <c r="U36" s="126">
        <f t="shared" si="11"/>
        <v>0</v>
      </c>
    </row>
    <row r="37" spans="1:21" s="48" customFormat="1" ht="13" x14ac:dyDescent="0.35">
      <c r="A37" s="125">
        <f>I8</f>
        <v>2585</v>
      </c>
      <c r="B37" s="11">
        <v>140</v>
      </c>
      <c r="C37" s="65">
        <f t="shared" si="6"/>
        <v>26.58362</v>
      </c>
      <c r="D37" s="65">
        <f t="shared" si="7"/>
        <v>32.276707680000001</v>
      </c>
      <c r="E37" s="65">
        <f t="shared" si="8"/>
        <v>1.0105130000000002</v>
      </c>
      <c r="F37" s="65">
        <f t="shared" si="9"/>
        <v>4.4492761600000001</v>
      </c>
      <c r="G37" s="65">
        <f t="shared" si="5"/>
        <v>1.6436559999999999E-2</v>
      </c>
      <c r="H37" s="65">
        <f t="shared" si="5"/>
        <v>1.3669180000000001</v>
      </c>
      <c r="I37" s="65">
        <f t="shared" si="5"/>
        <v>0.21887460000000003</v>
      </c>
      <c r="J37" s="65">
        <f t="shared" si="5"/>
        <v>2.5157999999999999E-3</v>
      </c>
      <c r="K37" s="65">
        <f t="shared" si="5"/>
        <v>5.7024800000000002E-3</v>
      </c>
      <c r="L37" s="65">
        <f t="shared" si="5"/>
        <v>0.51573900000000006</v>
      </c>
      <c r="M37" s="65">
        <f t="shared" si="5"/>
        <v>9.6439000000000004E-3</v>
      </c>
      <c r="N37" s="65">
        <f t="shared" si="5"/>
        <v>27.086780000000001</v>
      </c>
      <c r="O37" s="65">
        <f t="shared" si="5"/>
        <v>4352.3339999999998</v>
      </c>
      <c r="P37" s="65">
        <f t="shared" si="5"/>
        <v>0</v>
      </c>
      <c r="Q37" s="65">
        <f t="shared" si="10"/>
        <v>226.42200000000003</v>
      </c>
      <c r="R37" s="65">
        <f t="shared" si="11"/>
        <v>0</v>
      </c>
      <c r="S37" s="65">
        <f t="shared" si="11"/>
        <v>0.1274672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"&amp;(VLOOKUP(C14,Table245810[],6,FALSE))</f>
        <v>Medium/Clay I Grass</v>
      </c>
      <c r="C58" s="10" t="str">
        <f>D16&amp;" I "&amp;(VLOOKUP(D14,Table245810[],6,FALSE))</f>
        <v>Medium/Clay I Grass</v>
      </c>
      <c r="D58" s="10" t="str">
        <f>E16&amp;" I "&amp;(VLOOKUP(E14,Table245810[],6,FALSE))</f>
        <v>Medium/Clay I Grass</v>
      </c>
      <c r="E58" s="10" t="str">
        <f>F16&amp;" I "&amp;(VLOOKUP(F14,Table245810[],6,FALSE))</f>
        <v>Medium/Clay I Grass</v>
      </c>
      <c r="F58" s="10" t="str">
        <f>G16&amp;" I "&amp;(VLOOKUP(G14,Table245810[],6,FALSE))</f>
        <v>Medium/Clay I Grass</v>
      </c>
      <c r="G58" s="10" t="str">
        <f>H16&amp;" I "&amp;(VLOOKUP(H14,Table245810[],6,FALSE))</f>
        <v>Medium/Clay I Grass</v>
      </c>
      <c r="H58" s="10" t="str">
        <f>I16&amp;" I "&amp;(VLOOKUP(I14,Table245810[],6,FALSE))</f>
        <v>Medium/Clay I Grass</v>
      </c>
      <c r="I58" s="10" t="e">
        <f>J16&amp;" I "&amp;(VLOOKUP(J14,Table245810[],6,FALSE))</f>
        <v>#N/A</v>
      </c>
      <c r="J58" s="10" t="e">
        <f>K16&amp;" I "&amp;(VLOOKUP(K14,Table245810[],6,FALSE))</f>
        <v>#N/A</v>
      </c>
      <c r="K58" s="10" t="e">
        <f>L16&amp;" I "&amp;(VLOOKUP(L14,Table245810[],6,FALSE))</f>
        <v>#N/A</v>
      </c>
      <c r="L58" s="10" t="e">
        <f>M16&amp;" I "&amp;(VLOOKUP(M14,Table245810[],6,FALSE))</f>
        <v>#N/A</v>
      </c>
      <c r="M58" s="10" t="e">
        <f>N16&amp;" I "&amp;(VLOOKUP(N14,Table245810[],6,FALSE))</f>
        <v>#N/A</v>
      </c>
      <c r="N58" s="10" t="e">
        <f>O16&amp;" I "&amp;(VLOOKUP(O14,Table245810[],6,FALSE))</f>
        <v>#N/A</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ht="13" x14ac:dyDescent="0.3">
      <c r="A59" s="87" t="s">
        <v>132</v>
      </c>
      <c r="B59" s="64">
        <f>VLOOKUP(C$14,Table245810[],5,FALSE)</f>
        <v>6.2</v>
      </c>
      <c r="C59" s="64">
        <f>VLOOKUP(D$14,Table245810[],5,FALSE)</f>
        <v>6.2</v>
      </c>
      <c r="D59" s="64">
        <f>VLOOKUP(E$14,Table245810[],5,FALSE)</f>
        <v>6.2</v>
      </c>
      <c r="E59" s="64">
        <f>VLOOKUP(F$14,Table245810[],5,FALSE)</f>
        <v>6.2</v>
      </c>
      <c r="F59" s="64">
        <f>VLOOKUP(G$14,Table245810[],5,FALSE)</f>
        <v>6.2</v>
      </c>
      <c r="G59" s="64">
        <f>VLOOKUP(H$14,Table245810[],5,FALSE)</f>
        <v>6.2</v>
      </c>
      <c r="H59" s="64">
        <f>VLOOKUP(I$14,Table245810[],5,FALSE)</f>
        <v>6.2</v>
      </c>
      <c r="I59" s="64" t="e">
        <f>VLOOKUP(J$14,Table245810[],5,FALSE)</f>
        <v>#N/A</v>
      </c>
      <c r="J59" s="64" t="e">
        <f>VLOOKUP(K$14,Table245810[],5,FALSE)</f>
        <v>#N/A</v>
      </c>
      <c r="K59" s="64" t="e">
        <f>VLOOKUP(L$14,Table245810[],5,FALSE)</f>
        <v>#N/A</v>
      </c>
      <c r="L59" s="64" t="e">
        <f>VLOOKUP(M$14,Table245810[],5,FALSE)</f>
        <v>#N/A</v>
      </c>
      <c r="M59" s="64" t="e">
        <f>VLOOKUP(N$14,Table245810[],5,FALSE)</f>
        <v>#N/A</v>
      </c>
      <c r="N59" s="64" t="e">
        <f>VLOOKUP(O$14,Table245810[],5,FALSE)</f>
        <v>#N/A</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140</v>
      </c>
      <c r="C62" s="65">
        <f>B32</f>
        <v>250</v>
      </c>
      <c r="D62" s="65">
        <f>B33</f>
        <v>140</v>
      </c>
      <c r="E62" s="65">
        <f>B34</f>
        <v>140</v>
      </c>
      <c r="F62" s="65">
        <f>B35</f>
        <v>140</v>
      </c>
      <c r="G62" s="65">
        <f>B36</f>
        <v>140</v>
      </c>
      <c r="H62" s="65">
        <f>B37</f>
        <v>140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CgSLzMkVwyhgkzHbH9rBx0jFwdFyHpt2edfSf5K3x4fA5q2kpxHty49O/6dEym1vcgQNcj1VMxJkRQjSC72/yg==" saltValue="MFVLg1wmFR4bm+mmmdEPq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9" operator="greaterThan">
      <formula>$B$51</formula>
    </cfRule>
  </conditionalFormatting>
  <conditionalFormatting sqref="B66:U66">
    <cfRule type="cellIs" dxfId="143" priority="14" operator="equal">
      <formula>"UNDER"</formula>
    </cfRule>
    <cfRule type="cellIs" dxfId="142" priority="15" operator="equal">
      <formula>"OVER"</formula>
    </cfRule>
  </conditionalFormatting>
  <conditionalFormatting sqref="C31:C50">
    <cfRule type="cellIs" dxfId="141" priority="38" operator="greaterThan">
      <formula>$C$51</formula>
    </cfRule>
  </conditionalFormatting>
  <conditionalFormatting sqref="C11:V13">
    <cfRule type="cellIs" dxfId="140" priority="1" operator="greaterThan">
      <formula>2</formula>
    </cfRule>
  </conditionalFormatting>
  <conditionalFormatting sqref="C17:V19">
    <cfRule type="cellIs" dxfId="139" priority="35" operator="equal">
      <formula>0</formula>
    </cfRule>
  </conditionalFormatting>
  <conditionalFormatting sqref="C20:V21">
    <cfRule type="cellIs" dxfId="138" priority="40" operator="equal">
      <formula>"DECREASE"</formula>
    </cfRule>
    <cfRule type="cellIs" dxfId="137" priority="41" operator="equal">
      <formula>"INCREASE"</formula>
    </cfRule>
  </conditionalFormatting>
  <conditionalFormatting sqref="C21:V21">
    <cfRule type="cellIs" dxfId="136" priority="16" operator="equal">
      <formula>0</formula>
    </cfRule>
  </conditionalFormatting>
  <conditionalFormatting sqref="C22:V23">
    <cfRule type="cellIs" dxfId="135" priority="20" operator="equal">
      <formula>0</formula>
    </cfRule>
  </conditionalFormatting>
  <conditionalFormatting sqref="C24:V24">
    <cfRule type="cellIs" dxfId="134" priority="21" operator="equal">
      <formula>"DECREASE"</formula>
    </cfRule>
    <cfRule type="cellIs" dxfId="133" priority="22" operator="equal">
      <formula>"INCREASE"</formula>
    </cfRule>
  </conditionalFormatting>
  <conditionalFormatting sqref="G31:G50">
    <cfRule type="cellIs" dxfId="132" priority="34" operator="greaterThan">
      <formula>$G$51</formula>
    </cfRule>
  </conditionalFormatting>
  <conditionalFormatting sqref="H31:H50">
    <cfRule type="cellIs" dxfId="131" priority="33" operator="greaterThan">
      <formula>$H$51</formula>
    </cfRule>
  </conditionalFormatting>
  <conditionalFormatting sqref="I1">
    <cfRule type="cellIs" dxfId="130" priority="6" operator="between">
      <formula>0.1</formula>
      <formula>5</formula>
    </cfRule>
  </conditionalFormatting>
  <conditionalFormatting sqref="I2">
    <cfRule type="cellIs" dxfId="129" priority="5" operator="greaterThan">
      <formula>5000.1</formula>
    </cfRule>
  </conditionalFormatting>
  <conditionalFormatting sqref="I3">
    <cfRule type="cellIs" dxfId="128" priority="4" operator="greaterThan">
      <formula>40000.01</formula>
    </cfRule>
  </conditionalFormatting>
  <conditionalFormatting sqref="I31:I50">
    <cfRule type="cellIs" dxfId="127" priority="32" operator="greaterThan">
      <formula>$I$51</formula>
    </cfRule>
  </conditionalFormatting>
  <conditionalFormatting sqref="J31:J50">
    <cfRule type="cellIs" dxfId="126" priority="11" operator="greaterThan">
      <formula>$J$51</formula>
    </cfRule>
  </conditionalFormatting>
  <conditionalFormatting sqref="K31:K50">
    <cfRule type="cellIs" dxfId="125" priority="31" operator="greaterThan">
      <formula>$K$51</formula>
    </cfRule>
  </conditionalFormatting>
  <conditionalFormatting sqref="L3">
    <cfRule type="cellIs" dxfId="124" priority="7" operator="lessThan">
      <formula>30</formula>
    </cfRule>
    <cfRule type="cellIs" dxfId="123" priority="8" operator="greaterThanOrEqual">
      <formula>30</formula>
    </cfRule>
  </conditionalFormatting>
  <conditionalFormatting sqref="L31:L50">
    <cfRule type="cellIs" dxfId="122" priority="30" operator="greaterThan">
      <formula>$L$51</formula>
    </cfRule>
  </conditionalFormatting>
  <conditionalFormatting sqref="M31:M50">
    <cfRule type="cellIs" dxfId="121" priority="29" operator="greaterThan">
      <formula>$M$51</formula>
    </cfRule>
  </conditionalFormatting>
  <conditionalFormatting sqref="P31:P50">
    <cfRule type="cellIs" dxfId="120" priority="28" operator="greaterThan">
      <formula>$P$51</formula>
    </cfRule>
  </conditionalFormatting>
  <conditionalFormatting sqref="R31:R50">
    <cfRule type="cellIs" dxfId="119" priority="27" operator="greaterThan">
      <formula>$R$51</formula>
    </cfRule>
  </conditionalFormatting>
  <conditionalFormatting sqref="S31:S50">
    <cfRule type="cellIs" dxfId="118" priority="26" operator="greaterThan">
      <formula>$S$51</formula>
    </cfRule>
  </conditionalFormatting>
  <conditionalFormatting sqref="T31:T50">
    <cfRule type="cellIs" dxfId="117" priority="25" operator="greaterThan">
      <formula>$T$51</formula>
    </cfRule>
  </conditionalFormatting>
  <conditionalFormatting sqref="U31:U50">
    <cfRule type="cellIs" dxfId="116" priority="24"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5.7</v>
      </c>
      <c r="J1" s="130" t="s">
        <v>153</v>
      </c>
      <c r="K1" s="131"/>
      <c r="L1" s="109">
        <v>149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0.59399999999999997</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2.5084175084175082</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22.398557160000003</v>
      </c>
      <c r="D18" s="12">
        <f>$D32</f>
        <v>22.398557160000003</v>
      </c>
      <c r="E18" s="12">
        <f>$D33</f>
        <v>22.398557160000003</v>
      </c>
      <c r="F18" s="12">
        <f>$D34</f>
        <v>22.398557160000003</v>
      </c>
      <c r="G18" s="12">
        <f>$D35</f>
        <v>22.398557160000003</v>
      </c>
      <c r="H18" s="12">
        <f>$D36</f>
        <v>22.398557160000003</v>
      </c>
      <c r="I18" s="12">
        <f>$D37</f>
        <v>22.398557160000003</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-42.201442839999991</v>
      </c>
      <c r="D19" s="12">
        <f t="shared" ref="D19:V19" si="1">D18-D17</f>
        <v>-42.201442839999991</v>
      </c>
      <c r="E19" s="12">
        <f t="shared" si="1"/>
        <v>-42.201442839999991</v>
      </c>
      <c r="F19" s="12">
        <f t="shared" si="1"/>
        <v>-42.201442839999991</v>
      </c>
      <c r="G19" s="12">
        <f t="shared" si="1"/>
        <v>-42.201442839999991</v>
      </c>
      <c r="H19" s="12">
        <f t="shared" si="1"/>
        <v>-42.201442839999991</v>
      </c>
      <c r="I19" s="12">
        <f t="shared" si="1"/>
        <v>-42.201442839999991</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1.0425660000000001</v>
      </c>
      <c r="D22" s="12">
        <f>$E32</f>
        <v>1.0425660000000001</v>
      </c>
      <c r="E22" s="12">
        <f>$E33</f>
        <v>1.0425660000000001</v>
      </c>
      <c r="F22" s="12">
        <f>$E34</f>
        <v>1.0425660000000001</v>
      </c>
      <c r="G22" s="12">
        <f>$E35</f>
        <v>1.0425660000000001</v>
      </c>
      <c r="H22" s="12">
        <f>$E36</f>
        <v>1.0425660000000001</v>
      </c>
      <c r="I22" s="12">
        <f>$E37</f>
        <v>1.0425660000000001</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-226.95743400000001</v>
      </c>
      <c r="D23" s="12">
        <f t="shared" ref="D23:V23" si="3">D22-D21</f>
        <v>-226.95743400000001</v>
      </c>
      <c r="E23" s="12">
        <f t="shared" si="3"/>
        <v>-226.95743400000001</v>
      </c>
      <c r="F23" s="12">
        <f t="shared" si="3"/>
        <v>-226.95743400000001</v>
      </c>
      <c r="G23" s="12">
        <f t="shared" si="3"/>
        <v>-226.95743400000001</v>
      </c>
      <c r="H23" s="12">
        <f t="shared" si="3"/>
        <v>-226.95743400000001</v>
      </c>
      <c r="I23" s="12">
        <f t="shared" si="3"/>
        <v>-226.95743400000001</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4.12</v>
      </c>
      <c r="C28" s="11">
        <v>0.59399999999999997</v>
      </c>
      <c r="D28" s="11">
        <v>0.113</v>
      </c>
      <c r="E28" s="11">
        <v>0.01</v>
      </c>
      <c r="F28" s="11">
        <v>353</v>
      </c>
      <c r="G28" s="11">
        <v>860</v>
      </c>
      <c r="H28" s="11">
        <v>360</v>
      </c>
      <c r="I28" s="11">
        <v>56.6</v>
      </c>
      <c r="J28" s="11">
        <v>1.1599999999999999</v>
      </c>
      <c r="K28" s="15">
        <v>0.97</v>
      </c>
      <c r="L28" s="11">
        <v>32.299999999999997</v>
      </c>
      <c r="M28" s="11">
        <v>14.4</v>
      </c>
      <c r="N28" s="11">
        <v>3410</v>
      </c>
      <c r="O28" s="11">
        <v>448000</v>
      </c>
      <c r="P28" s="11"/>
      <c r="Q28" s="11">
        <v>4260</v>
      </c>
      <c r="R28" s="11"/>
      <c r="S28" s="11">
        <v>25.6</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210</v>
      </c>
      <c r="C31" s="65">
        <f>IF(C$27="%w/w SAR",((C$28*10)*$B31),IF(C$27="%w/w DM",(((C$28*10)*($B$28/100))*$B31),IF(C$27="kg/t SAR",(C$28*$B31),IF(C$27="kg/t DM",((C$28*($B$28/100))*$B31),IF(C$27="mg/kg SAR",((C$28*0.001)*$B31),IF(C$27="mg/kg DM",(((C$28*0.001)*($B$28/100))*$B31),0))))))</f>
        <v>51.392879999999991</v>
      </c>
      <c r="D31" s="65">
        <f>(IF(D$27="%w/w SAR",((D$28*10)*$B31),IF(D$27="%w/w DM",(((D$28*10)*($B$28/100))*$B31),IF(D$27="kg/t SAR",(D$28*$B31),IF(D$27="kg/t DM",((D$28*($B$28/100))*$B31),IF(D$27="mg/kg SAR",((D$28*0.001)*$B31),IF(D$27="mg/kg DM",(((D$28*0.001)*($B$28/100))*$B31),"0")))))))*2.291</f>
        <v>22.398557160000003</v>
      </c>
      <c r="E31" s="65">
        <f>(IF(E$27="%w/w SAR",((E$28*10)*$B31),IF(E$27="%w/w DM",(((E$28*10)*($B$28/100))*$B31),IF(E$27="kg/t SAR",(E$28*$B31),IF(E$27="kg/t DM",((E$28*($B$28/100))*$B31),IF(E$27="mg/kg SAR",((E$28*0.001)*$B31),IF(E$27="mg/kg DM",(((E$28*0.001)*($B$28/100))*$B31),"0")))))))*1.205</f>
        <v>1.0425660000000001</v>
      </c>
      <c r="F31" s="65">
        <f>(IF(F$27="%w/w SAR",((F$28*10)*$B31),IF(F$27="%w/w DM",(((F$28*10)*($B$28/100))*$B31),IF(F$27="kg/t SAR",(F$28*$B31),IF(F$27="kg/t DM",((F$28*($B$28/100))*$B31),IF(F$27="mg/kg SAR",((F$28*0.001)*$B31),IF(F$27="mg/kg DM",(((F$28*0.001)*($B$28/100))*$B31),"0")))))))*1.658</f>
        <v>5.0637906479999995</v>
      </c>
      <c r="G31" s="65">
        <f t="shared" ref="G31:P46" si="5">IF(G$27="%w/w SAR",((G$28*10)*$B31),IF(G$27="%w/w DM",(((G$28*10)*($B$28/100))*$B31),IF(G$27="kg/t SAR",(G$28*$B31),IF(G$27="kg/t DM",((G$28*($B$28/100))*$B31),IF(G$27="mg/kg SAR",((G$28*0.001)*$B31),IF(G$27="mg/kg DM",(((G$28*0.001)*($B$28/100))*$B31),0))))))</f>
        <v>7.4407199999999998</v>
      </c>
      <c r="H31" s="65">
        <f t="shared" si="5"/>
        <v>3.1147200000000002</v>
      </c>
      <c r="I31" s="65">
        <f t="shared" si="5"/>
        <v>0.48970320000000006</v>
      </c>
      <c r="J31" s="65">
        <f t="shared" si="5"/>
        <v>1.003632E-2</v>
      </c>
      <c r="K31" s="65">
        <f t="shared" si="5"/>
        <v>8.3924399999999993E-3</v>
      </c>
      <c r="L31" s="65">
        <f t="shared" si="5"/>
        <v>0.27945959999999997</v>
      </c>
      <c r="M31" s="65">
        <f t="shared" si="5"/>
        <v>0.12458880000000001</v>
      </c>
      <c r="N31" s="65">
        <f t="shared" si="5"/>
        <v>29.503320000000002</v>
      </c>
      <c r="O31" s="65">
        <f t="shared" si="5"/>
        <v>3876.096</v>
      </c>
      <c r="P31" s="65">
        <f t="shared" si="5"/>
        <v>0</v>
      </c>
      <c r="Q31" s="65">
        <f>(IF(Q$27="%w/w SAR",((Q$28*10)*$B31),IF(Q$27="%w/w DM",(((Q$28*10)*($B$28/100))*$B31),IF(Q$27="kg/t SAR",(Q$28*$B31),IF(Q$27="kg/t DM",((Q$28*($B$28/100))*$B31),IF(Q$27="mg/kg SAR",((Q$28*0.001)*$B31),IF(Q$27="mg/kg DM",(((Q$28*0.001)*($B$28/100))*$B31),0)))))))*2.5</f>
        <v>92.143799999999999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0.22149120000000003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210</v>
      </c>
      <c r="C32" s="65">
        <f t="shared" ref="C32:C50" si="6">IF(C$27="%w/w SAR",((C$28*10)*$B32),IF(C$27="%w/w DM",(((C$28*10)*($B$28/100))*$B32),IF(C$27="kg/t SAR",(C$28*$B32),IF(C$27="kg/t DM",((C$28*($B$28/100))*$B32),IF(C$27="mg/kg SAR",((C$28*0.001)*$B32),IF(C$27="mg/kg DM",(((C$28*0.001)*($B$28/100))*$B32),0))))))</f>
        <v>51.392879999999991</v>
      </c>
      <c r="D32" s="65">
        <f t="shared" ref="D32:D50" si="7">(IF(D$27="%w/w SAR",((D$28*10)*$B32),IF(D$27="%w/w DM",(((D$28*10)*($B$28/100))*$B32),IF(D$27="kg/t SAR",(D$28*$B32),IF(D$27="kg/t DM",((D$28*($B$28/100))*$B32),IF(D$27="mg/kg SAR",((D$28*0.001)*$B32),IF(D$27="mg/kg DM",(((D$28*0.001)*($B$28/100))*$B32),"0")))))))*2.291</f>
        <v>22.398557160000003</v>
      </c>
      <c r="E32" s="65">
        <f t="shared" ref="E32:E50" si="8">(IF(E$27="%w/w SAR",((E$28*10)*$B32),IF(E$27="%w/w DM",(((E$28*10)*($B$28/100))*$B32),IF(E$27="kg/t SAR",(E$28*$B32),IF(E$27="kg/t DM",((E$28*($B$28/100))*$B32),IF(E$27="mg/kg SAR",((E$28*0.001)*$B32),IF(E$27="mg/kg DM",(((E$28*0.001)*($B$28/100))*$B32),"0")))))))*1.205</f>
        <v>1.0425660000000001</v>
      </c>
      <c r="F32" s="65">
        <f t="shared" ref="F32:F50" si="9">(IF(F$27="%w/w SAR",((F$28*10)*$B32),IF(F$27="%w/w DM",(((F$28*10)*($B$28/100))*$B32),IF(F$27="kg/t SAR",(F$28*$B32),IF(F$27="kg/t DM",((F$28*($B$28/100))*$B32),IF(F$27="mg/kg SAR",((F$28*0.001)*$B32),IF(F$27="mg/kg DM",(((F$28*0.001)*($B$28/100))*$B32),"0")))))))*1.658</f>
        <v>5.0637906479999995</v>
      </c>
      <c r="G32" s="65">
        <f t="shared" si="5"/>
        <v>7.4407199999999998</v>
      </c>
      <c r="H32" s="65">
        <f t="shared" si="5"/>
        <v>3.1147200000000002</v>
      </c>
      <c r="I32" s="65">
        <f t="shared" si="5"/>
        <v>0.48970320000000006</v>
      </c>
      <c r="J32" s="65">
        <f t="shared" si="5"/>
        <v>1.003632E-2</v>
      </c>
      <c r="K32" s="65">
        <f t="shared" si="5"/>
        <v>8.3924399999999993E-3</v>
      </c>
      <c r="L32" s="65">
        <f t="shared" si="5"/>
        <v>0.27945959999999997</v>
      </c>
      <c r="M32" s="65">
        <f t="shared" si="5"/>
        <v>0.12458880000000001</v>
      </c>
      <c r="N32" s="65">
        <f t="shared" si="5"/>
        <v>29.503320000000002</v>
      </c>
      <c r="O32" s="65">
        <f t="shared" si="5"/>
        <v>3876.096</v>
      </c>
      <c r="P32" s="65">
        <f t="shared" si="5"/>
        <v>0</v>
      </c>
      <c r="Q32" s="65">
        <f t="shared" ref="Q32:Q50" si="10">(IF(Q$27="%w/w SAR",((Q$28*10)*$B32),IF(Q$27="%w/w DM",(((Q$28*10)*($B$28/100))*$B32),IF(Q$27="kg/t SAR",(Q$28*$B32),IF(Q$27="kg/t DM",((Q$28*($B$28/100))*$B32),IF(Q$27="mg/kg SAR",((Q$28*0.001)*$B32),IF(Q$27="mg/kg DM",(((Q$28*0.001)*($B$28/100))*$B32),0)))))))*2.5</f>
        <v>92.143799999999999</v>
      </c>
      <c r="R32" s="65">
        <f t="shared" ref="R32:U50" si="11">IF(R$27="%w/w SAR",((R$28*10)*$B32),IF(R$27="%w/w DM",(((R$28*10)*($B$28/100))*$B32),IF(R$27="kg/t SAR",(R$28*$B32),IF(R$27="kg/t DM",((R$28*($B$28/100))*$B32),IF(R$27="mg/kg SAR",((R$28*0.001)*$B32),IF(R$27="mg/kg DM",(((R$28*0.001)*($B$28/100))*$B32),0))))))</f>
        <v>0</v>
      </c>
      <c r="S32" s="65">
        <f t="shared" si="11"/>
        <v>0.22149120000000003</v>
      </c>
      <c r="T32" s="65">
        <f t="shared" si="11"/>
        <v>0</v>
      </c>
      <c r="U32" s="126">
        <f t="shared" si="11"/>
        <v>0</v>
      </c>
    </row>
    <row r="33" spans="1:21" s="48" customFormat="1" ht="13" x14ac:dyDescent="0.35">
      <c r="A33" s="125">
        <f>E8</f>
        <v>1416</v>
      </c>
      <c r="B33" s="11">
        <v>210</v>
      </c>
      <c r="C33" s="65">
        <f t="shared" si="6"/>
        <v>51.392879999999991</v>
      </c>
      <c r="D33" s="65">
        <f t="shared" si="7"/>
        <v>22.398557160000003</v>
      </c>
      <c r="E33" s="65">
        <f t="shared" si="8"/>
        <v>1.0425660000000001</v>
      </c>
      <c r="F33" s="65">
        <f t="shared" si="9"/>
        <v>5.0637906479999995</v>
      </c>
      <c r="G33" s="65">
        <f t="shared" si="5"/>
        <v>7.4407199999999998</v>
      </c>
      <c r="H33" s="65">
        <f t="shared" si="5"/>
        <v>3.1147200000000002</v>
      </c>
      <c r="I33" s="65">
        <f t="shared" si="5"/>
        <v>0.48970320000000006</v>
      </c>
      <c r="J33" s="65">
        <f t="shared" si="5"/>
        <v>1.003632E-2</v>
      </c>
      <c r="K33" s="65">
        <f t="shared" si="5"/>
        <v>8.3924399999999993E-3</v>
      </c>
      <c r="L33" s="65">
        <f t="shared" si="5"/>
        <v>0.27945959999999997</v>
      </c>
      <c r="M33" s="65">
        <f t="shared" si="5"/>
        <v>0.12458880000000001</v>
      </c>
      <c r="N33" s="65">
        <f t="shared" si="5"/>
        <v>29.503320000000002</v>
      </c>
      <c r="O33" s="65">
        <f t="shared" si="5"/>
        <v>3876.096</v>
      </c>
      <c r="P33" s="65">
        <f t="shared" si="5"/>
        <v>0</v>
      </c>
      <c r="Q33" s="65">
        <f t="shared" si="10"/>
        <v>92.143799999999999</v>
      </c>
      <c r="R33" s="65">
        <f t="shared" si="11"/>
        <v>0</v>
      </c>
      <c r="S33" s="65">
        <f t="shared" si="11"/>
        <v>0.22149120000000003</v>
      </c>
      <c r="T33" s="65">
        <f t="shared" si="11"/>
        <v>0</v>
      </c>
      <c r="U33" s="126">
        <f t="shared" si="11"/>
        <v>0</v>
      </c>
    </row>
    <row r="34" spans="1:21" s="48" customFormat="1" ht="13" x14ac:dyDescent="0.35">
      <c r="A34" s="125">
        <f>F8</f>
        <v>9216</v>
      </c>
      <c r="B34" s="11">
        <v>210</v>
      </c>
      <c r="C34" s="65">
        <f t="shared" si="6"/>
        <v>51.392879999999991</v>
      </c>
      <c r="D34" s="65">
        <f t="shared" si="7"/>
        <v>22.398557160000003</v>
      </c>
      <c r="E34" s="65">
        <f t="shared" si="8"/>
        <v>1.0425660000000001</v>
      </c>
      <c r="F34" s="65">
        <f t="shared" si="9"/>
        <v>5.0637906479999995</v>
      </c>
      <c r="G34" s="65">
        <f t="shared" si="5"/>
        <v>7.4407199999999998</v>
      </c>
      <c r="H34" s="65">
        <f t="shared" si="5"/>
        <v>3.1147200000000002</v>
      </c>
      <c r="I34" s="65">
        <f t="shared" si="5"/>
        <v>0.48970320000000006</v>
      </c>
      <c r="J34" s="65">
        <f t="shared" si="5"/>
        <v>1.003632E-2</v>
      </c>
      <c r="K34" s="65">
        <f t="shared" si="5"/>
        <v>8.3924399999999993E-3</v>
      </c>
      <c r="L34" s="65">
        <f t="shared" si="5"/>
        <v>0.27945959999999997</v>
      </c>
      <c r="M34" s="65">
        <f t="shared" si="5"/>
        <v>0.12458880000000001</v>
      </c>
      <c r="N34" s="65">
        <f t="shared" si="5"/>
        <v>29.503320000000002</v>
      </c>
      <c r="O34" s="65">
        <f t="shared" si="5"/>
        <v>3876.096</v>
      </c>
      <c r="P34" s="65">
        <f t="shared" si="5"/>
        <v>0</v>
      </c>
      <c r="Q34" s="65">
        <f t="shared" si="10"/>
        <v>92.143799999999999</v>
      </c>
      <c r="R34" s="65">
        <f t="shared" si="11"/>
        <v>0</v>
      </c>
      <c r="S34" s="65">
        <f t="shared" si="11"/>
        <v>0.22149120000000003</v>
      </c>
      <c r="T34" s="65">
        <f t="shared" si="11"/>
        <v>0</v>
      </c>
      <c r="U34" s="126">
        <f t="shared" si="11"/>
        <v>0</v>
      </c>
    </row>
    <row r="35" spans="1:21" s="48" customFormat="1" ht="13" x14ac:dyDescent="0.35">
      <c r="A35" s="125">
        <f>G8</f>
        <v>1113</v>
      </c>
      <c r="B35" s="11">
        <v>210</v>
      </c>
      <c r="C35" s="65">
        <f t="shared" si="6"/>
        <v>51.392879999999991</v>
      </c>
      <c r="D35" s="65">
        <f t="shared" si="7"/>
        <v>22.398557160000003</v>
      </c>
      <c r="E35" s="65">
        <f t="shared" si="8"/>
        <v>1.0425660000000001</v>
      </c>
      <c r="F35" s="65">
        <f t="shared" si="9"/>
        <v>5.0637906479999995</v>
      </c>
      <c r="G35" s="65">
        <f t="shared" si="5"/>
        <v>7.4407199999999998</v>
      </c>
      <c r="H35" s="65">
        <f t="shared" si="5"/>
        <v>3.1147200000000002</v>
      </c>
      <c r="I35" s="65">
        <f t="shared" si="5"/>
        <v>0.48970320000000006</v>
      </c>
      <c r="J35" s="65">
        <f t="shared" si="5"/>
        <v>1.003632E-2</v>
      </c>
      <c r="K35" s="65">
        <f t="shared" si="5"/>
        <v>8.3924399999999993E-3</v>
      </c>
      <c r="L35" s="65">
        <f t="shared" si="5"/>
        <v>0.27945959999999997</v>
      </c>
      <c r="M35" s="65">
        <f t="shared" si="5"/>
        <v>0.12458880000000001</v>
      </c>
      <c r="N35" s="65">
        <f t="shared" si="5"/>
        <v>29.503320000000002</v>
      </c>
      <c r="O35" s="65">
        <f t="shared" si="5"/>
        <v>3876.096</v>
      </c>
      <c r="P35" s="65">
        <f t="shared" si="5"/>
        <v>0</v>
      </c>
      <c r="Q35" s="65">
        <f t="shared" si="10"/>
        <v>92.143799999999999</v>
      </c>
      <c r="R35" s="65">
        <f t="shared" si="11"/>
        <v>0</v>
      </c>
      <c r="S35" s="65">
        <f t="shared" si="11"/>
        <v>0.22149120000000003</v>
      </c>
      <c r="T35" s="65">
        <f t="shared" si="11"/>
        <v>0</v>
      </c>
      <c r="U35" s="126">
        <f t="shared" si="11"/>
        <v>0</v>
      </c>
    </row>
    <row r="36" spans="1:21" s="48" customFormat="1" ht="13" x14ac:dyDescent="0.35">
      <c r="A36" s="125">
        <f>H8</f>
        <v>264</v>
      </c>
      <c r="B36" s="11">
        <v>210</v>
      </c>
      <c r="C36" s="65">
        <f t="shared" si="6"/>
        <v>51.392879999999991</v>
      </c>
      <c r="D36" s="65">
        <f t="shared" si="7"/>
        <v>22.398557160000003</v>
      </c>
      <c r="E36" s="65">
        <f t="shared" si="8"/>
        <v>1.0425660000000001</v>
      </c>
      <c r="F36" s="65">
        <f t="shared" si="9"/>
        <v>5.0637906479999995</v>
      </c>
      <c r="G36" s="65">
        <f t="shared" si="5"/>
        <v>7.4407199999999998</v>
      </c>
      <c r="H36" s="65">
        <f t="shared" si="5"/>
        <v>3.1147200000000002</v>
      </c>
      <c r="I36" s="65">
        <f t="shared" si="5"/>
        <v>0.48970320000000006</v>
      </c>
      <c r="J36" s="65">
        <f t="shared" si="5"/>
        <v>1.003632E-2</v>
      </c>
      <c r="K36" s="65">
        <f t="shared" si="5"/>
        <v>8.3924399999999993E-3</v>
      </c>
      <c r="L36" s="65">
        <f t="shared" si="5"/>
        <v>0.27945959999999997</v>
      </c>
      <c r="M36" s="65">
        <f t="shared" si="5"/>
        <v>0.12458880000000001</v>
      </c>
      <c r="N36" s="65">
        <f t="shared" si="5"/>
        <v>29.503320000000002</v>
      </c>
      <c r="O36" s="65">
        <f t="shared" si="5"/>
        <v>3876.096</v>
      </c>
      <c r="P36" s="65">
        <f t="shared" si="5"/>
        <v>0</v>
      </c>
      <c r="Q36" s="65">
        <f t="shared" si="10"/>
        <v>92.143799999999999</v>
      </c>
      <c r="R36" s="65">
        <f t="shared" si="11"/>
        <v>0</v>
      </c>
      <c r="S36" s="65">
        <f t="shared" si="11"/>
        <v>0.22149120000000003</v>
      </c>
      <c r="T36" s="65">
        <f t="shared" si="11"/>
        <v>0</v>
      </c>
      <c r="U36" s="126">
        <f t="shared" si="11"/>
        <v>0</v>
      </c>
    </row>
    <row r="37" spans="1:21" s="48" customFormat="1" ht="13" x14ac:dyDescent="0.35">
      <c r="A37" s="125">
        <f>I8</f>
        <v>2585</v>
      </c>
      <c r="B37" s="11">
        <v>210</v>
      </c>
      <c r="C37" s="65">
        <f t="shared" si="6"/>
        <v>51.392879999999991</v>
      </c>
      <c r="D37" s="65">
        <f t="shared" si="7"/>
        <v>22.398557160000003</v>
      </c>
      <c r="E37" s="65">
        <f t="shared" si="8"/>
        <v>1.0425660000000001</v>
      </c>
      <c r="F37" s="65">
        <f t="shared" si="9"/>
        <v>5.0637906479999995</v>
      </c>
      <c r="G37" s="65">
        <f t="shared" si="5"/>
        <v>7.4407199999999998</v>
      </c>
      <c r="H37" s="65">
        <f t="shared" si="5"/>
        <v>3.1147200000000002</v>
      </c>
      <c r="I37" s="65">
        <f t="shared" si="5"/>
        <v>0.48970320000000006</v>
      </c>
      <c r="J37" s="65">
        <f t="shared" si="5"/>
        <v>1.003632E-2</v>
      </c>
      <c r="K37" s="65">
        <f t="shared" si="5"/>
        <v>8.3924399999999993E-3</v>
      </c>
      <c r="L37" s="65">
        <f t="shared" si="5"/>
        <v>0.27945959999999997</v>
      </c>
      <c r="M37" s="65">
        <f t="shared" si="5"/>
        <v>0.12458880000000001</v>
      </c>
      <c r="N37" s="65">
        <f t="shared" si="5"/>
        <v>29.503320000000002</v>
      </c>
      <c r="O37" s="65">
        <f t="shared" si="5"/>
        <v>3876.096</v>
      </c>
      <c r="P37" s="65">
        <f t="shared" si="5"/>
        <v>0</v>
      </c>
      <c r="Q37" s="65">
        <f t="shared" si="10"/>
        <v>92.143799999999999</v>
      </c>
      <c r="R37" s="65">
        <f t="shared" si="11"/>
        <v>0</v>
      </c>
      <c r="S37" s="65">
        <f t="shared" si="11"/>
        <v>0.22149120000000003</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"&amp;(VLOOKUP(C14,Table2458[],6,FALSE))</f>
        <v>Medium/Clay I Grass</v>
      </c>
      <c r="C58" s="10" t="str">
        <f>D16&amp;" I "&amp;(VLOOKUP(D14,Table2458[],6,FALSE))</f>
        <v>Medium/Clay I Grass</v>
      </c>
      <c r="D58" s="10" t="str">
        <f>E16&amp;" I "&amp;(VLOOKUP(E14,Table2458[],6,FALSE))</f>
        <v>Medium/Clay I Grass</v>
      </c>
      <c r="E58" s="10" t="str">
        <f>F16&amp;" I "&amp;(VLOOKUP(F14,Table2458[],6,FALSE))</f>
        <v>Medium/Clay I Grass</v>
      </c>
      <c r="F58" s="10" t="str">
        <f>G16&amp;" I "&amp;(VLOOKUP(G14,Table2458[],6,FALSE))</f>
        <v>Medium/Clay I Grass</v>
      </c>
      <c r="G58" s="10" t="str">
        <f>H16&amp;" I "&amp;(VLOOKUP(H14,Table2458[],6,FALSE))</f>
        <v>Medium/Clay I Grass</v>
      </c>
      <c r="H58" s="10" t="str">
        <f>I16&amp;" I "&amp;(VLOOKUP(I14,Table2458[],6,FALSE))</f>
        <v>Medium/Clay I Grass</v>
      </c>
      <c r="I58" s="10" t="e">
        <f>J16&amp;" I "&amp;(VLOOKUP(J14,Table2458[],6,FALSE))</f>
        <v>#N/A</v>
      </c>
      <c r="J58" s="10" t="e">
        <f>K16&amp;" I "&amp;(VLOOKUP(K14,Table2458[],6,FALSE))</f>
        <v>#N/A</v>
      </c>
      <c r="K58" s="10" t="e">
        <f>L16&amp;" I "&amp;(VLOOKUP(L14,Table2458[],6,FALSE))</f>
        <v>#N/A</v>
      </c>
      <c r="L58" s="10" t="e">
        <f>M16&amp;" I "&amp;(VLOOKUP(M14,Table2458[],6,FALSE))</f>
        <v>#N/A</v>
      </c>
      <c r="M58" s="10" t="e">
        <f>N16&amp;" I "&amp;(VLOOKUP(N14,Table2458[],6,FALSE))</f>
        <v>#N/A</v>
      </c>
      <c r="N58" s="10" t="e">
        <f>O16&amp;" I "&amp;(VLOOKUP(O14,Table2458[],6,FALSE))</f>
        <v>#N/A</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ht="13" x14ac:dyDescent="0.3">
      <c r="A59" s="87" t="s">
        <v>132</v>
      </c>
      <c r="B59" s="64">
        <f>VLOOKUP(C$14,Table2458[],5,FALSE)</f>
        <v>6.2</v>
      </c>
      <c r="C59" s="64">
        <f>VLOOKUP(D$14,Table2458[],5,FALSE)</f>
        <v>6.2</v>
      </c>
      <c r="D59" s="64">
        <f>VLOOKUP(E$14,Table2458[],5,FALSE)</f>
        <v>6.2</v>
      </c>
      <c r="E59" s="64">
        <f>VLOOKUP(F$14,Table2458[],5,FALSE)</f>
        <v>6.2</v>
      </c>
      <c r="F59" s="64">
        <f>VLOOKUP(G$14,Table2458[],5,FALSE)</f>
        <v>6.2</v>
      </c>
      <c r="G59" s="64">
        <f>VLOOKUP(H$14,Table2458[],5,FALSE)</f>
        <v>6.2</v>
      </c>
      <c r="H59" s="64">
        <f>VLOOKUP(I$14,Table2458[],5,FALSE)</f>
        <v>6.2</v>
      </c>
      <c r="I59" s="64" t="e">
        <f>VLOOKUP(J$14,Table2458[],5,FALSE)</f>
        <v>#N/A</v>
      </c>
      <c r="J59" s="64" t="e">
        <f>VLOOKUP(K$14,Table2458[],5,FALSE)</f>
        <v>#N/A</v>
      </c>
      <c r="K59" s="64" t="e">
        <f>VLOOKUP(L$14,Table2458[],5,FALSE)</f>
        <v>#N/A</v>
      </c>
      <c r="L59" s="64" t="e">
        <f>VLOOKUP(M$14,Table2458[],5,FALSE)</f>
        <v>#N/A</v>
      </c>
      <c r="M59" s="64" t="e">
        <f>VLOOKUP(N$14,Table2458[],5,FALSE)</f>
        <v>#N/A</v>
      </c>
      <c r="N59" s="64" t="e">
        <f>VLOOKUP(O$14,Table2458[],5,FALSE)</f>
        <v>#N/A</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210</v>
      </c>
      <c r="C62" s="65">
        <f>B32</f>
        <v>210</v>
      </c>
      <c r="D62" s="65">
        <f>B33</f>
        <v>210</v>
      </c>
      <c r="E62" s="65">
        <f>B34</f>
        <v>210</v>
      </c>
      <c r="F62" s="65">
        <f>B35</f>
        <v>210</v>
      </c>
      <c r="G62" s="65">
        <f>B36</f>
        <v>210</v>
      </c>
      <c r="H62" s="65">
        <f>B37</f>
        <v>210</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fKE1H2tt1uyhfM9Ub+8bEZip0D+z1FyzOCu9woD8MEF0tjHgA5d8Z6v2Uej6od/dATYFSWRNXBBAvojBjkpyg==" saltValue="ZWXjkTeofQZfiXngz2X15g=="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9" operator="greaterThan">
      <formula>$B$51</formula>
    </cfRule>
  </conditionalFormatting>
  <conditionalFormatting sqref="B66:U66">
    <cfRule type="cellIs" dxfId="114" priority="14" operator="equal">
      <formula>"UNDER"</formula>
    </cfRule>
    <cfRule type="cellIs" dxfId="113" priority="15" operator="equal">
      <formula>"OVER"</formula>
    </cfRule>
  </conditionalFormatting>
  <conditionalFormatting sqref="C31:C50">
    <cfRule type="cellIs" dxfId="112" priority="38" operator="greaterThan">
      <formula>$C$51</formula>
    </cfRule>
  </conditionalFormatting>
  <conditionalFormatting sqref="C11:V13">
    <cfRule type="cellIs" dxfId="111" priority="1" operator="greaterThan">
      <formula>2</formula>
    </cfRule>
  </conditionalFormatting>
  <conditionalFormatting sqref="C17:V19">
    <cfRule type="cellIs" dxfId="110" priority="35" operator="equal">
      <formula>0</formula>
    </cfRule>
  </conditionalFormatting>
  <conditionalFormatting sqref="C20:V21">
    <cfRule type="cellIs" dxfId="109" priority="40" operator="equal">
      <formula>"DECREASE"</formula>
    </cfRule>
    <cfRule type="cellIs" dxfId="108" priority="41" operator="equal">
      <formula>"INCREASE"</formula>
    </cfRule>
  </conditionalFormatting>
  <conditionalFormatting sqref="C21:V21">
    <cfRule type="cellIs" dxfId="107" priority="16" operator="equal">
      <formula>0</formula>
    </cfRule>
  </conditionalFormatting>
  <conditionalFormatting sqref="C22:V23">
    <cfRule type="cellIs" dxfId="106" priority="20" operator="equal">
      <formula>0</formula>
    </cfRule>
  </conditionalFormatting>
  <conditionalFormatting sqref="C24:V24">
    <cfRule type="cellIs" dxfId="105" priority="21" operator="equal">
      <formula>"DECREASE"</formula>
    </cfRule>
    <cfRule type="cellIs" dxfId="104" priority="22" operator="equal">
      <formula>"INCREASE"</formula>
    </cfRule>
  </conditionalFormatting>
  <conditionalFormatting sqref="G31:G50">
    <cfRule type="cellIs" dxfId="103" priority="34" operator="greaterThan">
      <formula>$G$51</formula>
    </cfRule>
  </conditionalFormatting>
  <conditionalFormatting sqref="H31:H50">
    <cfRule type="cellIs" dxfId="102" priority="33" operator="greaterThan">
      <formula>$H$51</formula>
    </cfRule>
  </conditionalFormatting>
  <conditionalFormatting sqref="I1">
    <cfRule type="cellIs" dxfId="101" priority="6" operator="between">
      <formula>0.1</formula>
      <formula>5</formula>
    </cfRule>
  </conditionalFormatting>
  <conditionalFormatting sqref="I2">
    <cfRule type="cellIs" dxfId="100" priority="5" operator="greaterThan">
      <formula>5000.1</formula>
    </cfRule>
  </conditionalFormatting>
  <conditionalFormatting sqref="I3">
    <cfRule type="cellIs" dxfId="99" priority="4" operator="greaterThan">
      <formula>40000.01</formula>
    </cfRule>
  </conditionalFormatting>
  <conditionalFormatting sqref="I31:I50">
    <cfRule type="cellIs" dxfId="98" priority="32" operator="greaterThan">
      <formula>$I$51</formula>
    </cfRule>
  </conditionalFormatting>
  <conditionalFormatting sqref="J31:J50">
    <cfRule type="cellIs" dxfId="97" priority="11" operator="greaterThan">
      <formula>$J$51</formula>
    </cfRule>
  </conditionalFormatting>
  <conditionalFormatting sqref="K31:K50">
    <cfRule type="cellIs" dxfId="96" priority="31" operator="greaterThan">
      <formula>$K$51</formula>
    </cfRule>
  </conditionalFormatting>
  <conditionalFormatting sqref="L3">
    <cfRule type="cellIs" dxfId="95" priority="7" operator="lessThan">
      <formula>30</formula>
    </cfRule>
    <cfRule type="cellIs" dxfId="94" priority="8" operator="greaterThanOrEqual">
      <formula>30</formula>
    </cfRule>
  </conditionalFormatting>
  <conditionalFormatting sqref="L31:L50">
    <cfRule type="cellIs" dxfId="93" priority="30" operator="greaterThan">
      <formula>$L$51</formula>
    </cfRule>
  </conditionalFormatting>
  <conditionalFormatting sqref="M31:M50">
    <cfRule type="cellIs" dxfId="92" priority="29" operator="greaterThan">
      <formula>$M$51</formula>
    </cfRule>
  </conditionalFormatting>
  <conditionalFormatting sqref="P31:P50">
    <cfRule type="cellIs" dxfId="91" priority="28" operator="greaterThan">
      <formula>$P$51</formula>
    </cfRule>
  </conditionalFormatting>
  <conditionalFormatting sqref="R31:R50">
    <cfRule type="cellIs" dxfId="90" priority="27" operator="greaterThan">
      <formula>$R$51</formula>
    </cfRule>
  </conditionalFormatting>
  <conditionalFormatting sqref="S31:S50">
    <cfRule type="cellIs" dxfId="89" priority="26" operator="greaterThan">
      <formula>$S$51</formula>
    </cfRule>
  </conditionalFormatting>
  <conditionalFormatting sqref="T31:T50">
    <cfRule type="cellIs" dxfId="88" priority="25" operator="greaterThan">
      <formula>$T$51</formula>
    </cfRule>
  </conditionalFormatting>
  <conditionalFormatting sqref="U31:U50">
    <cfRule type="cellIs" dxfId="87" priority="24"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zoomScale="90" zoomScaleNormal="90" workbookViewId="0">
      <selection activeCell="A28" sqref="A28"/>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6.8</v>
      </c>
      <c r="J1" s="130" t="s">
        <v>153</v>
      </c>
      <c r="K1" s="131"/>
      <c r="L1" s="109">
        <v>227</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0.85799999999999998</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2.6456876456876457</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31.847557560000009</v>
      </c>
      <c r="D18" s="12">
        <f>$D32</f>
        <v>65.036064912000015</v>
      </c>
      <c r="E18" s="12">
        <f>$D33</f>
        <v>31.847557560000009</v>
      </c>
      <c r="F18" s="12">
        <f>$D34</f>
        <v>31.847557560000009</v>
      </c>
      <c r="G18" s="12">
        <f>$D35</f>
        <v>0</v>
      </c>
      <c r="H18" s="12">
        <f>$D36</f>
        <v>0</v>
      </c>
      <c r="I18" s="12">
        <f>$D37</f>
        <v>31.847557560000009</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-32.752442439999982</v>
      </c>
      <c r="D19" s="12">
        <f t="shared" ref="D19:V19" si="1">D18-D17</f>
        <v>0.4360649120000204</v>
      </c>
      <c r="E19" s="12">
        <f t="shared" si="1"/>
        <v>-32.752442439999982</v>
      </c>
      <c r="F19" s="12">
        <f t="shared" si="1"/>
        <v>-32.752442439999982</v>
      </c>
      <c r="G19" s="12">
        <f t="shared" si="1"/>
        <v>-64.599999999999994</v>
      </c>
      <c r="H19" s="12">
        <f t="shared" si="1"/>
        <v>-64.599999999999994</v>
      </c>
      <c r="I19" s="12">
        <f t="shared" si="1"/>
        <v>-32.752442439999982</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0.61358599999999996</v>
      </c>
      <c r="D22" s="12">
        <f>$E32</f>
        <v>1.2530072000000001</v>
      </c>
      <c r="E22" s="12">
        <f>$E33</f>
        <v>0.61358599999999996</v>
      </c>
      <c r="F22" s="12">
        <f>$E34</f>
        <v>0.61358599999999996</v>
      </c>
      <c r="G22" s="12">
        <f>$E35</f>
        <v>0</v>
      </c>
      <c r="H22" s="12">
        <f>$E36</f>
        <v>0</v>
      </c>
      <c r="I22" s="12">
        <f>$E37</f>
        <v>0.61358599999999996</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-227.386414</v>
      </c>
      <c r="D23" s="12">
        <f t="shared" ref="D23:V23" si="3">D22-D21</f>
        <v>-226.74699279999999</v>
      </c>
      <c r="E23" s="12">
        <f t="shared" si="3"/>
        <v>-227.386414</v>
      </c>
      <c r="F23" s="12">
        <f t="shared" si="3"/>
        <v>-227.386414</v>
      </c>
      <c r="G23" s="12">
        <f t="shared" si="3"/>
        <v>-228</v>
      </c>
      <c r="H23" s="12">
        <f t="shared" si="3"/>
        <v>-228</v>
      </c>
      <c r="I23" s="12">
        <f t="shared" si="3"/>
        <v>-227.386414</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2.68</v>
      </c>
      <c r="C28" s="11">
        <v>0.85799999999999998</v>
      </c>
      <c r="D28" s="11">
        <v>0.54600000000000004</v>
      </c>
      <c r="E28" s="11">
        <v>0.02</v>
      </c>
      <c r="F28" s="11">
        <v>1070</v>
      </c>
      <c r="G28" s="11">
        <v>34.700000000000003</v>
      </c>
      <c r="H28" s="11">
        <v>99.7</v>
      </c>
      <c r="I28" s="11">
        <v>4.84</v>
      </c>
      <c r="J28" s="11">
        <v>0.35</v>
      </c>
      <c r="K28" s="15">
        <v>1.49</v>
      </c>
      <c r="L28" s="11">
        <v>34.700000000000003</v>
      </c>
      <c r="M28" s="11">
        <v>4.5599999999999996</v>
      </c>
      <c r="N28" s="11">
        <v>217000</v>
      </c>
      <c r="O28" s="11">
        <v>9250</v>
      </c>
      <c r="P28" s="11"/>
      <c r="Q28" s="11">
        <v>13000</v>
      </c>
      <c r="R28" s="11"/>
      <c r="S28" s="11">
        <v>47.7</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95</v>
      </c>
      <c r="C31" s="65">
        <f>IF(C$27="%w/w SAR",((C$28*10)*$B31),IF(C$27="%w/w DM",(((C$28*10)*($B$28/100))*$B31),IF(C$27="kg/t SAR",(C$28*$B31),IF(C$27="kg/t DM",((C$28*($B$28/100))*$B31),IF(C$27="mg/kg SAR",((C$28*0.001)*$B31),IF(C$27="mg/kg DM",(((C$28*0.001)*($B$28/100))*$B31),0))))))</f>
        <v>21.84468</v>
      </c>
      <c r="D31" s="65">
        <f>(IF(D$27="%w/w SAR",((D$28*10)*$B31),IF(D$27="%w/w DM",(((D$28*10)*($B$28/100))*$B31),IF(D$27="kg/t SAR",(D$28*$B31),IF(D$27="kg/t DM",((D$28*($B$28/100))*$B31),IF(D$27="mg/kg SAR",((D$28*0.001)*$B31),IF(D$27="mg/kg DM",(((D$28*0.001)*($B$28/100))*$B31),"0")))))))*2.291</f>
        <v>31.847557560000009</v>
      </c>
      <c r="E31" s="65">
        <f>(IF(E$27="%w/w SAR",((E$28*10)*$B31),IF(E$27="%w/w DM",(((E$28*10)*($B$28/100))*$B31),IF(E$27="kg/t SAR",(E$28*$B31),IF(E$27="kg/t DM",((E$28*($B$28/100))*$B31),IF(E$27="mg/kg SAR",((E$28*0.001)*$B31),IF(E$27="mg/kg DM",(((E$28*0.001)*($B$28/100))*$B31),"0")))))))*1.205</f>
        <v>0.61358599999999996</v>
      </c>
      <c r="F31" s="65">
        <f>(IF(F$27="%w/w SAR",((F$28*10)*$B31),IF(F$27="%w/w DM",(((F$28*10)*($B$28/100))*$B31),IF(F$27="kg/t SAR",(F$28*$B31),IF(F$27="kg/t DM",((F$28*($B$28/100))*$B31),IF(F$27="mg/kg SAR",((F$28*0.001)*$B31),IF(F$27="mg/kg DM",(((F$28*0.001)*($B$28/100))*$B31),"0")))))))*1.658</f>
        <v>4.5167567600000007</v>
      </c>
      <c r="G31" s="65">
        <f t="shared" ref="G31:P46" si="5">IF(G$27="%w/w SAR",((G$28*10)*$B31),IF(G$27="%w/w DM",(((G$28*10)*($B$28/100))*$B31),IF(G$27="kg/t SAR",(G$28*$B31),IF(G$27="kg/t DM",((G$28*($B$28/100))*$B31),IF(G$27="mg/kg SAR",((G$28*0.001)*$B31),IF(G$27="mg/kg DM",(((G$28*0.001)*($B$28/100))*$B31),0))))))</f>
        <v>8.8346200000000014E-2</v>
      </c>
      <c r="H31" s="65">
        <f t="shared" si="5"/>
        <v>0.25383620000000007</v>
      </c>
      <c r="I31" s="65">
        <f t="shared" si="5"/>
        <v>1.2322640000000001E-2</v>
      </c>
      <c r="J31" s="65">
        <f t="shared" si="5"/>
        <v>8.9110000000000003E-4</v>
      </c>
      <c r="K31" s="65">
        <f t="shared" si="5"/>
        <v>3.7935400000000002E-3</v>
      </c>
      <c r="L31" s="65">
        <f t="shared" si="5"/>
        <v>8.8346200000000014E-2</v>
      </c>
      <c r="M31" s="65">
        <f t="shared" si="5"/>
        <v>1.160976E-2</v>
      </c>
      <c r="N31" s="65">
        <f t="shared" si="5"/>
        <v>552.48199999999997</v>
      </c>
      <c r="O31" s="65">
        <f t="shared" si="5"/>
        <v>23.5505</v>
      </c>
      <c r="P31" s="65">
        <f t="shared" si="5"/>
        <v>0</v>
      </c>
      <c r="Q31" s="65">
        <f>(IF(Q$27="%w/w SAR",((Q$28*10)*$B31),IF(Q$27="%w/w DM",(((Q$28*10)*($B$28/100))*$B31),IF(Q$27="kg/t SAR",(Q$28*$B31),IF(Q$27="kg/t DM",((Q$28*($B$28/100))*$B31),IF(Q$27="mg/kg SAR",((Q$28*0.001)*$B31),IF(Q$27="mg/kg DM",(((Q$28*0.001)*($B$28/100))*$B31),0)))))))*2.5</f>
        <v>82.745000000000005</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0.12144420000000003</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194</v>
      </c>
      <c r="C32" s="65">
        <f t="shared" ref="C32:C50" si="6">IF(C$27="%w/w SAR",((C$28*10)*$B32),IF(C$27="%w/w DM",(((C$28*10)*($B$28/100))*$B32),IF(C$27="kg/t SAR",(C$28*$B32),IF(C$27="kg/t DM",((C$28*($B$28/100))*$B32),IF(C$27="mg/kg SAR",((C$28*0.001)*$B32),IF(C$27="mg/kg DM",(((C$28*0.001)*($B$28/100))*$B32),0))))))</f>
        <v>44.609135999999999</v>
      </c>
      <c r="D32" s="65">
        <f t="shared" ref="D32:D50" si="7">(IF(D$27="%w/w SAR",((D$28*10)*$B32),IF(D$27="%w/w DM",(((D$28*10)*($B$28/100))*$B32),IF(D$27="kg/t SAR",(D$28*$B32),IF(D$27="kg/t DM",((D$28*($B$28/100))*$B32),IF(D$27="mg/kg SAR",((D$28*0.001)*$B32),IF(D$27="mg/kg DM",(((D$28*0.001)*($B$28/100))*$B32),"0")))))))*2.291</f>
        <v>65.036064912000015</v>
      </c>
      <c r="E32" s="65">
        <f t="shared" ref="E32:E50" si="8">(IF(E$27="%w/w SAR",((E$28*10)*$B32),IF(E$27="%w/w DM",(((E$28*10)*($B$28/100))*$B32),IF(E$27="kg/t SAR",(E$28*$B32),IF(E$27="kg/t DM",((E$28*($B$28/100))*$B32),IF(E$27="mg/kg SAR",((E$28*0.001)*$B32),IF(E$27="mg/kg DM",(((E$28*0.001)*($B$28/100))*$B32),"0")))))))*1.205</f>
        <v>1.2530072000000001</v>
      </c>
      <c r="F32" s="65">
        <f t="shared" ref="F32:F50" si="9">(IF(F$27="%w/w SAR",((F$28*10)*$B32),IF(F$27="%w/w DM",(((F$28*10)*($B$28/100))*$B32),IF(F$27="kg/t SAR",(F$28*$B32),IF(F$27="kg/t DM",((F$28*($B$28/100))*$B32),IF(F$27="mg/kg SAR",((F$28*0.001)*$B32),IF(F$27="mg/kg DM",(((F$28*0.001)*($B$28/100))*$B32),"0")))))))*1.658</f>
        <v>9.2236927519999998</v>
      </c>
      <c r="G32" s="65">
        <f t="shared" si="5"/>
        <v>0.18041224</v>
      </c>
      <c r="H32" s="65">
        <f t="shared" si="5"/>
        <v>0.51836024000000014</v>
      </c>
      <c r="I32" s="65">
        <f t="shared" si="5"/>
        <v>2.5164128000000001E-2</v>
      </c>
      <c r="J32" s="65">
        <f t="shared" si="5"/>
        <v>1.8197199999999999E-3</v>
      </c>
      <c r="K32" s="65">
        <f t="shared" si="5"/>
        <v>7.7468080000000009E-3</v>
      </c>
      <c r="L32" s="65">
        <f t="shared" si="5"/>
        <v>0.18041224</v>
      </c>
      <c r="M32" s="65">
        <f t="shared" si="5"/>
        <v>2.3708352000000002E-2</v>
      </c>
      <c r="N32" s="65">
        <f t="shared" si="5"/>
        <v>1128.2264</v>
      </c>
      <c r="O32" s="65">
        <f t="shared" si="5"/>
        <v>48.092600000000004</v>
      </c>
      <c r="P32" s="65">
        <f t="shared" si="5"/>
        <v>0</v>
      </c>
      <c r="Q32" s="65">
        <f t="shared" ref="Q32:Q50" si="10">(IF(Q$27="%w/w SAR",((Q$28*10)*$B32),IF(Q$27="%w/w DM",(((Q$28*10)*($B$28/100))*$B32),IF(Q$27="kg/t SAR",(Q$28*$B32),IF(Q$27="kg/t DM",((Q$28*($B$28/100))*$B32),IF(Q$27="mg/kg SAR",((Q$28*0.001)*$B32),IF(Q$27="mg/kg DM",(((Q$28*0.001)*($B$28/100))*$B32),0)))))))*2.5</f>
        <v>168.97400000000002</v>
      </c>
      <c r="R32" s="65">
        <f t="shared" ref="R32:U50" si="11">IF(R$27="%w/w SAR",((R$28*10)*$B32),IF(R$27="%w/w DM",(((R$28*10)*($B$28/100))*$B32),IF(R$27="kg/t SAR",(R$28*$B32),IF(R$27="kg/t DM",((R$28*($B$28/100))*$B32),IF(R$27="mg/kg SAR",((R$28*0.001)*$B32),IF(R$27="mg/kg DM",(((R$28*0.001)*($B$28/100))*$B32),0))))))</f>
        <v>0</v>
      </c>
      <c r="S32" s="65">
        <f t="shared" si="11"/>
        <v>0.24800184000000006</v>
      </c>
      <c r="T32" s="65">
        <f t="shared" si="11"/>
        <v>0</v>
      </c>
      <c r="U32" s="126">
        <f t="shared" si="11"/>
        <v>0</v>
      </c>
    </row>
    <row r="33" spans="1:21" s="48" customFormat="1" ht="13" x14ac:dyDescent="0.35">
      <c r="A33" s="125">
        <f>E8</f>
        <v>1416</v>
      </c>
      <c r="B33" s="11">
        <v>95</v>
      </c>
      <c r="C33" s="65">
        <f t="shared" si="6"/>
        <v>21.84468</v>
      </c>
      <c r="D33" s="65">
        <f t="shared" si="7"/>
        <v>31.847557560000009</v>
      </c>
      <c r="E33" s="65">
        <f t="shared" si="8"/>
        <v>0.61358599999999996</v>
      </c>
      <c r="F33" s="65">
        <f t="shared" si="9"/>
        <v>4.5167567600000007</v>
      </c>
      <c r="G33" s="65">
        <f t="shared" si="5"/>
        <v>8.8346200000000014E-2</v>
      </c>
      <c r="H33" s="65">
        <f t="shared" si="5"/>
        <v>0.25383620000000007</v>
      </c>
      <c r="I33" s="65">
        <f t="shared" si="5"/>
        <v>1.2322640000000001E-2</v>
      </c>
      <c r="J33" s="65">
        <f t="shared" si="5"/>
        <v>8.9110000000000003E-4</v>
      </c>
      <c r="K33" s="65">
        <f t="shared" si="5"/>
        <v>3.7935400000000002E-3</v>
      </c>
      <c r="L33" s="65">
        <f t="shared" si="5"/>
        <v>8.8346200000000014E-2</v>
      </c>
      <c r="M33" s="65">
        <f t="shared" si="5"/>
        <v>1.160976E-2</v>
      </c>
      <c r="N33" s="65">
        <f t="shared" si="5"/>
        <v>552.48199999999997</v>
      </c>
      <c r="O33" s="65">
        <f t="shared" si="5"/>
        <v>23.5505</v>
      </c>
      <c r="P33" s="65">
        <f t="shared" si="5"/>
        <v>0</v>
      </c>
      <c r="Q33" s="65">
        <f t="shared" si="10"/>
        <v>82.745000000000005</v>
      </c>
      <c r="R33" s="65">
        <f t="shared" si="11"/>
        <v>0</v>
      </c>
      <c r="S33" s="65">
        <f t="shared" si="11"/>
        <v>0.12144420000000003</v>
      </c>
      <c r="T33" s="65">
        <f t="shared" si="11"/>
        <v>0</v>
      </c>
      <c r="U33" s="126">
        <f t="shared" si="11"/>
        <v>0</v>
      </c>
    </row>
    <row r="34" spans="1:21" s="48" customFormat="1" ht="13" x14ac:dyDescent="0.35">
      <c r="A34" s="125">
        <f>F8</f>
        <v>9216</v>
      </c>
      <c r="B34" s="11">
        <v>95</v>
      </c>
      <c r="C34" s="65">
        <f t="shared" si="6"/>
        <v>21.84468</v>
      </c>
      <c r="D34" s="65">
        <f t="shared" si="7"/>
        <v>31.847557560000009</v>
      </c>
      <c r="E34" s="65">
        <f t="shared" si="8"/>
        <v>0.61358599999999996</v>
      </c>
      <c r="F34" s="65">
        <f t="shared" si="9"/>
        <v>4.5167567600000007</v>
      </c>
      <c r="G34" s="65">
        <f t="shared" si="5"/>
        <v>8.8346200000000014E-2</v>
      </c>
      <c r="H34" s="65">
        <f t="shared" si="5"/>
        <v>0.25383620000000007</v>
      </c>
      <c r="I34" s="65">
        <f t="shared" si="5"/>
        <v>1.2322640000000001E-2</v>
      </c>
      <c r="J34" s="65">
        <f t="shared" si="5"/>
        <v>8.9110000000000003E-4</v>
      </c>
      <c r="K34" s="65">
        <f t="shared" si="5"/>
        <v>3.7935400000000002E-3</v>
      </c>
      <c r="L34" s="65">
        <f t="shared" si="5"/>
        <v>8.8346200000000014E-2</v>
      </c>
      <c r="M34" s="65">
        <f t="shared" si="5"/>
        <v>1.160976E-2</v>
      </c>
      <c r="N34" s="65">
        <f t="shared" si="5"/>
        <v>552.48199999999997</v>
      </c>
      <c r="O34" s="65">
        <f t="shared" si="5"/>
        <v>23.5505</v>
      </c>
      <c r="P34" s="65">
        <f t="shared" si="5"/>
        <v>0</v>
      </c>
      <c r="Q34" s="65">
        <f t="shared" si="10"/>
        <v>82.745000000000005</v>
      </c>
      <c r="R34" s="65">
        <f t="shared" si="11"/>
        <v>0</v>
      </c>
      <c r="S34" s="65">
        <f t="shared" si="11"/>
        <v>0.12144420000000003</v>
      </c>
      <c r="T34" s="65">
        <f t="shared" si="11"/>
        <v>0</v>
      </c>
      <c r="U34" s="126">
        <f t="shared" si="11"/>
        <v>0</v>
      </c>
    </row>
    <row r="35" spans="1:21" s="48" customFormat="1" ht="13" x14ac:dyDescent="0.35">
      <c r="A35" s="125">
        <f>G8</f>
        <v>1113</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95</v>
      </c>
      <c r="C37" s="65">
        <f t="shared" si="6"/>
        <v>21.84468</v>
      </c>
      <c r="D37" s="65">
        <f t="shared" si="7"/>
        <v>31.847557560000009</v>
      </c>
      <c r="E37" s="65">
        <f t="shared" si="8"/>
        <v>0.61358599999999996</v>
      </c>
      <c r="F37" s="65">
        <f t="shared" si="9"/>
        <v>4.5167567600000007</v>
      </c>
      <c r="G37" s="65">
        <f t="shared" si="5"/>
        <v>8.8346200000000014E-2</v>
      </c>
      <c r="H37" s="65">
        <f t="shared" si="5"/>
        <v>0.25383620000000007</v>
      </c>
      <c r="I37" s="65">
        <f t="shared" si="5"/>
        <v>1.2322640000000001E-2</v>
      </c>
      <c r="J37" s="65">
        <f t="shared" si="5"/>
        <v>8.9110000000000003E-4</v>
      </c>
      <c r="K37" s="65">
        <f t="shared" si="5"/>
        <v>3.7935400000000002E-3</v>
      </c>
      <c r="L37" s="65">
        <f t="shared" si="5"/>
        <v>8.8346200000000014E-2</v>
      </c>
      <c r="M37" s="65">
        <f t="shared" si="5"/>
        <v>1.160976E-2</v>
      </c>
      <c r="N37" s="65">
        <f t="shared" si="5"/>
        <v>552.48199999999997</v>
      </c>
      <c r="O37" s="65">
        <f t="shared" si="5"/>
        <v>23.5505</v>
      </c>
      <c r="P37" s="65">
        <f t="shared" si="5"/>
        <v>0</v>
      </c>
      <c r="Q37" s="65">
        <f t="shared" si="10"/>
        <v>82.745000000000005</v>
      </c>
      <c r="R37" s="65">
        <f t="shared" si="11"/>
        <v>0</v>
      </c>
      <c r="S37" s="65">
        <f t="shared" si="11"/>
        <v>0.12144420000000003</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"&amp;(VLOOKUP(C14,Table24581113[],6,FALSE))</f>
        <v>Medium/Clay I Grass</v>
      </c>
      <c r="C58" s="10" t="str">
        <f>D16&amp;" I "&amp;(VLOOKUP(D14,Table24581113[],6,FALSE))</f>
        <v>Medium/Clay I Grass</v>
      </c>
      <c r="D58" s="10" t="str">
        <f>E16&amp;" I "&amp;(VLOOKUP(E14,Table24581113[],6,FALSE))</f>
        <v>Medium/Clay I Grass</v>
      </c>
      <c r="E58" s="10" t="str">
        <f>F16&amp;" I "&amp;(VLOOKUP(F14,Table24581113[],6,FALSE))</f>
        <v>Medium/Clay I Grass</v>
      </c>
      <c r="F58" s="10" t="str">
        <f>G16&amp;" I "&amp;(VLOOKUP(G14,Table24581113[],6,FALSE))</f>
        <v>Medium/Clay I Grass</v>
      </c>
      <c r="G58" s="10" t="str">
        <f>H16&amp;" I "&amp;(VLOOKUP(H14,Table24581113[],6,FALSE))</f>
        <v>Medium/Clay I Grass</v>
      </c>
      <c r="H58" s="10" t="str">
        <f>I16&amp;" I "&amp;(VLOOKUP(I14,Table24581113[],6,FALSE))</f>
        <v>Medium/Clay I Grass</v>
      </c>
      <c r="I58" s="10" t="e">
        <f>J16&amp;" I "&amp;(VLOOKUP(J14,Table24581113[],6,FALSE))</f>
        <v>#N/A</v>
      </c>
      <c r="J58" s="10" t="e">
        <f>K16&amp;" I "&amp;(VLOOKUP(K14,Table24581113[],6,FALSE))</f>
        <v>#N/A</v>
      </c>
      <c r="K58" s="10" t="e">
        <f>L16&amp;" I "&amp;(VLOOKUP(L14,Table24581113[],6,FALSE))</f>
        <v>#N/A</v>
      </c>
      <c r="L58" s="10" t="e">
        <f>M16&amp;" I "&amp;(VLOOKUP(M14,Table24581113[],6,FALSE))</f>
        <v>#N/A</v>
      </c>
      <c r="M58" s="10" t="e">
        <f>N16&amp;" I "&amp;(VLOOKUP(N14,Table24581113[],6,FALSE))</f>
        <v>#N/A</v>
      </c>
      <c r="N58" s="10" t="e">
        <f>O16&amp;" I "&amp;(VLOOKUP(O14,Table24581113[],6,FALSE))</f>
        <v>#N/A</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ht="13" x14ac:dyDescent="0.3">
      <c r="A59" s="87" t="s">
        <v>132</v>
      </c>
      <c r="B59" s="64">
        <f>VLOOKUP(C$14,Table24581113[],5,FALSE)</f>
        <v>6.2</v>
      </c>
      <c r="C59" s="64">
        <f>VLOOKUP(D$14,Table24581113[],5,FALSE)</f>
        <v>6.2</v>
      </c>
      <c r="D59" s="64">
        <f>VLOOKUP(E$14,Table24581113[],5,FALSE)</f>
        <v>6.2</v>
      </c>
      <c r="E59" s="64">
        <f>VLOOKUP(F$14,Table24581113[],5,FALSE)</f>
        <v>6.2</v>
      </c>
      <c r="F59" s="64">
        <f>VLOOKUP(G$14,Table24581113[],5,FALSE)</f>
        <v>6.2</v>
      </c>
      <c r="G59" s="64">
        <f>VLOOKUP(H$14,Table24581113[],5,FALSE)</f>
        <v>6.2</v>
      </c>
      <c r="H59" s="64">
        <f>VLOOKUP(I$14,Table24581113[],5,FALSE)</f>
        <v>6.2</v>
      </c>
      <c r="I59" s="64" t="e">
        <f>VLOOKUP(J$14,Table24581113[],5,FALSE)</f>
        <v>#N/A</v>
      </c>
      <c r="J59" s="64" t="e">
        <f>VLOOKUP(K$14,Table24581113[],5,FALSE)</f>
        <v>#N/A</v>
      </c>
      <c r="K59" s="64" t="e">
        <f>VLOOKUP(L$14,Table24581113[],5,FALSE)</f>
        <v>#N/A</v>
      </c>
      <c r="L59" s="64" t="e">
        <f>VLOOKUP(M$14,Table24581113[],5,FALSE)</f>
        <v>#N/A</v>
      </c>
      <c r="M59" s="64" t="e">
        <f>VLOOKUP(N$14,Table24581113[],5,FALSE)</f>
        <v>#N/A</v>
      </c>
      <c r="N59" s="64" t="e">
        <f>VLOOKUP(O$14,Table24581113[],5,FALSE)</f>
        <v>#N/A</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95</v>
      </c>
      <c r="C62" s="65">
        <f>B32</f>
        <v>194</v>
      </c>
      <c r="D62" s="65">
        <f>B33</f>
        <v>95</v>
      </c>
      <c r="E62" s="65">
        <f>B34</f>
        <v>95</v>
      </c>
      <c r="F62" s="65">
        <f>B35</f>
        <v>0</v>
      </c>
      <c r="G62" s="65">
        <f>B36</f>
        <v>0</v>
      </c>
      <c r="H62" s="65">
        <f>B37</f>
        <v>95</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zJ+tZK0i4ZYg94/neXJOM08ZfdH8vXmGR8OwnU6IN9xO64qS95zOkajGcfJIPisQ1LE1qMvauRO0/RiHshDGw==" saltValue="oA5yQ8wPH2sErzXVmlDfR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9" operator="greaterThan">
      <formula>$B$51</formula>
    </cfRule>
  </conditionalFormatting>
  <conditionalFormatting sqref="B66:U66">
    <cfRule type="cellIs" dxfId="85" priority="14" operator="equal">
      <formula>"UNDER"</formula>
    </cfRule>
    <cfRule type="cellIs" dxfId="84" priority="15" operator="equal">
      <formula>"OVER"</formula>
    </cfRule>
  </conditionalFormatting>
  <conditionalFormatting sqref="C31:C50">
    <cfRule type="cellIs" dxfId="83" priority="38" operator="greaterThan">
      <formula>$C$51</formula>
    </cfRule>
  </conditionalFormatting>
  <conditionalFormatting sqref="C11:V13">
    <cfRule type="cellIs" dxfId="82" priority="1" operator="greaterThan">
      <formula>2</formula>
    </cfRule>
  </conditionalFormatting>
  <conditionalFormatting sqref="C17:V19">
    <cfRule type="cellIs" dxfId="81" priority="35" operator="equal">
      <formula>0</formula>
    </cfRule>
  </conditionalFormatting>
  <conditionalFormatting sqref="C20:V21">
    <cfRule type="cellIs" dxfId="80" priority="40" operator="equal">
      <formula>"DECREASE"</formula>
    </cfRule>
    <cfRule type="cellIs" dxfId="79" priority="41" operator="equal">
      <formula>"INCREASE"</formula>
    </cfRule>
  </conditionalFormatting>
  <conditionalFormatting sqref="C21:V21">
    <cfRule type="cellIs" dxfId="78" priority="16" operator="equal">
      <formula>0</formula>
    </cfRule>
  </conditionalFormatting>
  <conditionalFormatting sqref="C22:V23">
    <cfRule type="cellIs" dxfId="77" priority="20" operator="equal">
      <formula>0</formula>
    </cfRule>
  </conditionalFormatting>
  <conditionalFormatting sqref="C24:V24">
    <cfRule type="cellIs" dxfId="76" priority="21" operator="equal">
      <formula>"DECREASE"</formula>
    </cfRule>
    <cfRule type="cellIs" dxfId="75" priority="22" operator="equal">
      <formula>"INCREASE"</formula>
    </cfRule>
  </conditionalFormatting>
  <conditionalFormatting sqref="G31:G50">
    <cfRule type="cellIs" dxfId="74" priority="34" operator="greaterThan">
      <formula>$G$51</formula>
    </cfRule>
  </conditionalFormatting>
  <conditionalFormatting sqref="H31:H50">
    <cfRule type="cellIs" dxfId="73" priority="33" operator="greaterThan">
      <formula>$H$51</formula>
    </cfRule>
  </conditionalFormatting>
  <conditionalFormatting sqref="I1">
    <cfRule type="cellIs" dxfId="72" priority="6" operator="between">
      <formula>0.1</formula>
      <formula>5</formula>
    </cfRule>
  </conditionalFormatting>
  <conditionalFormatting sqref="I2">
    <cfRule type="cellIs" dxfId="71" priority="5" operator="greaterThan">
      <formula>5000.1</formula>
    </cfRule>
  </conditionalFormatting>
  <conditionalFormatting sqref="I3">
    <cfRule type="cellIs" dxfId="70" priority="4" operator="greaterThan">
      <formula>40000.01</formula>
    </cfRule>
  </conditionalFormatting>
  <conditionalFormatting sqref="I31:I50">
    <cfRule type="cellIs" dxfId="69" priority="32" operator="greaterThan">
      <formula>$I$51</formula>
    </cfRule>
  </conditionalFormatting>
  <conditionalFormatting sqref="J31:J50">
    <cfRule type="cellIs" dxfId="68" priority="11" operator="greaterThan">
      <formula>$J$51</formula>
    </cfRule>
  </conditionalFormatting>
  <conditionalFormatting sqref="K31:K50">
    <cfRule type="cellIs" dxfId="67" priority="31" operator="greaterThan">
      <formula>$K$51</formula>
    </cfRule>
  </conditionalFormatting>
  <conditionalFormatting sqref="L3">
    <cfRule type="cellIs" dxfId="66" priority="7" operator="lessThan">
      <formula>30</formula>
    </cfRule>
    <cfRule type="cellIs" dxfId="65" priority="8" operator="greaterThanOrEqual">
      <formula>30</formula>
    </cfRule>
  </conditionalFormatting>
  <conditionalFormatting sqref="L31:L50">
    <cfRule type="cellIs" dxfId="64" priority="30" operator="greaterThan">
      <formula>$L$51</formula>
    </cfRule>
  </conditionalFormatting>
  <conditionalFormatting sqref="M31:M50">
    <cfRule type="cellIs" dxfId="63" priority="29" operator="greaterThan">
      <formula>$M$51</formula>
    </cfRule>
  </conditionalFormatting>
  <conditionalFormatting sqref="P31:P50">
    <cfRule type="cellIs" dxfId="62" priority="28" operator="greaterThan">
      <formula>$P$51</formula>
    </cfRule>
  </conditionalFormatting>
  <conditionalFormatting sqref="R31:R50">
    <cfRule type="cellIs" dxfId="61" priority="27" operator="greaterThan">
      <formula>$R$51</formula>
    </cfRule>
  </conditionalFormatting>
  <conditionalFormatting sqref="S31:S50">
    <cfRule type="cellIs" dxfId="60" priority="26" operator="greaterThan">
      <formula>$S$51</formula>
    </cfRule>
  </conditionalFormatting>
  <conditionalFormatting sqref="T31:T50">
    <cfRule type="cellIs" dxfId="59" priority="25" operator="greaterThan">
      <formula>$T$51</formula>
    </cfRule>
  </conditionalFormatting>
  <conditionalFormatting sqref="U31:U50">
    <cfRule type="cellIs" dxfId="58" priority="24"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activeCell="B41" sqref="B41"/>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6.4</v>
      </c>
      <c r="J1" s="130" t="s">
        <v>153</v>
      </c>
      <c r="K1" s="131"/>
      <c r="L1" s="109">
        <v>220</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1.34</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1.6417910447761193</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32.699589623999998</v>
      </c>
      <c r="D18" s="12">
        <f>$D32</f>
        <v>48.372174000000001</v>
      </c>
      <c r="E18" s="12">
        <f>$D33</f>
        <v>32.699589623999998</v>
      </c>
      <c r="F18" s="12">
        <f>$D34</f>
        <v>32.699589623999998</v>
      </c>
      <c r="G18" s="12">
        <f>$D35</f>
        <v>0</v>
      </c>
      <c r="H18" s="12">
        <f>$D36</f>
        <v>0</v>
      </c>
      <c r="I18" s="12">
        <f>$D37</f>
        <v>32.699589623999998</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-31.900410375999996</v>
      </c>
      <c r="D19" s="12">
        <f t="shared" ref="D19:V19" si="1">D18-D17</f>
        <v>-16.227825999999993</v>
      </c>
      <c r="E19" s="12">
        <f t="shared" si="1"/>
        <v>-31.900410375999996</v>
      </c>
      <c r="F19" s="12">
        <f t="shared" si="1"/>
        <v>-31.900410375999996</v>
      </c>
      <c r="G19" s="12">
        <f t="shared" si="1"/>
        <v>-64.599999999999994</v>
      </c>
      <c r="H19" s="12">
        <f t="shared" si="1"/>
        <v>-64.599999999999994</v>
      </c>
      <c r="I19" s="12">
        <f t="shared" si="1"/>
        <v>-31.900410375999996</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0.4889923739999999</v>
      </c>
      <c r="D22" s="12">
        <f>$E32</f>
        <v>0.72336149999999999</v>
      </c>
      <c r="E22" s="12">
        <f>$E33</f>
        <v>0.4889923739999999</v>
      </c>
      <c r="F22" s="12">
        <f>$E34</f>
        <v>0.4889923739999999</v>
      </c>
      <c r="G22" s="12">
        <f>$E35</f>
        <v>0</v>
      </c>
      <c r="H22" s="12">
        <f>$E36</f>
        <v>0</v>
      </c>
      <c r="I22" s="12">
        <f>$E37</f>
        <v>0.4889923739999999</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-227.51100762600001</v>
      </c>
      <c r="D23" s="12">
        <f t="shared" ref="D23:V23" si="3">D22-D21</f>
        <v>-227.27663849999999</v>
      </c>
      <c r="E23" s="12">
        <f t="shared" si="3"/>
        <v>-227.51100762600001</v>
      </c>
      <c r="F23" s="12">
        <f t="shared" si="3"/>
        <v>-227.51100762600001</v>
      </c>
      <c r="G23" s="12">
        <f t="shared" si="3"/>
        <v>-228</v>
      </c>
      <c r="H23" s="12">
        <f t="shared" si="3"/>
        <v>-228</v>
      </c>
      <c r="I23" s="12">
        <f t="shared" si="3"/>
        <v>-227.51100762600001</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c r="P27" s="84"/>
      <c r="Q27" s="84" t="s">
        <v>55</v>
      </c>
      <c r="R27" s="84"/>
      <c r="S27" s="84" t="s">
        <v>55</v>
      </c>
      <c r="T27" s="84"/>
      <c r="U27" s="121"/>
    </row>
    <row r="28" spans="1:40" x14ac:dyDescent="0.35">
      <c r="A28" s="122"/>
      <c r="B28" s="16">
        <v>2.76</v>
      </c>
      <c r="C28" s="11">
        <v>1.34</v>
      </c>
      <c r="D28" s="11">
        <v>0.30599999999999999</v>
      </c>
      <c r="E28" s="11">
        <v>8.6999999999999994E-3</v>
      </c>
      <c r="F28" s="11">
        <v>489</v>
      </c>
      <c r="G28" s="11">
        <v>40.4</v>
      </c>
      <c r="H28" s="11">
        <v>78.2</v>
      </c>
      <c r="I28" s="11">
        <v>4.72</v>
      </c>
      <c r="J28" s="11">
        <v>0.34</v>
      </c>
      <c r="K28" s="15">
        <v>1.46</v>
      </c>
      <c r="L28" s="11">
        <v>3.13</v>
      </c>
      <c r="M28" s="11">
        <v>2.4700000000000002</v>
      </c>
      <c r="N28" s="11">
        <v>178000</v>
      </c>
      <c r="O28" s="11">
        <v>4360</v>
      </c>
      <c r="P28" s="11"/>
      <c r="Q28" s="11">
        <v>12800</v>
      </c>
      <c r="R28" s="11"/>
      <c r="S28" s="11">
        <v>43.1</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169</v>
      </c>
      <c r="C31" s="65">
        <f>IF(C$27="%w/w SAR",((C$28*10)*$B31),IF(C$27="%w/w DM",(((C$28*10)*($B$28/100))*$B31),IF(C$27="kg/t SAR",(C$28*$B31),IF(C$27="kg/t DM",((C$28*($B$28/100))*$B31),IF(C$27="mg/kg SAR",((C$28*0.001)*$B31),IF(C$27="mg/kg DM",(((C$28*0.001)*($B$28/100))*$B31),0))))))</f>
        <v>62.502960000000002</v>
      </c>
      <c r="D31" s="65">
        <f>(IF(D$27="%w/w SAR",((D$28*10)*$B31),IF(D$27="%w/w DM",(((D$28*10)*($B$28/100))*$B31),IF(D$27="kg/t SAR",(D$28*$B31),IF(D$27="kg/t DM",((D$28*($B$28/100))*$B31),IF(D$27="mg/kg SAR",((D$28*0.001)*$B31),IF(D$27="mg/kg DM",(((D$28*0.001)*($B$28/100))*$B31),"0")))))))*2.291</f>
        <v>32.699589623999998</v>
      </c>
      <c r="E31" s="65">
        <f>(IF(E$27="%w/w SAR",((E$28*10)*$B31),IF(E$27="%w/w DM",(((E$28*10)*($B$28/100))*$B31),IF(E$27="kg/t SAR",(E$28*$B31),IF(E$27="kg/t DM",((E$28*($B$28/100))*$B31),IF(E$27="mg/kg SAR",((E$28*0.001)*$B31),IF(E$27="mg/kg DM",(((E$28*0.001)*($B$28/100))*$B31),"0")))))))*1.205</f>
        <v>0.4889923739999999</v>
      </c>
      <c r="F31" s="65">
        <f>(IF(F$27="%w/w SAR",((F$28*10)*$B31),IF(F$27="%w/w DM",(((F$28*10)*($B$28/100))*$B31),IF(F$27="kg/t SAR",(F$28*$B31),IF(F$27="kg/t DM",((F$28*($B$28/100))*$B31),IF(F$27="mg/kg SAR",((F$28*0.001)*$B31),IF(F$27="mg/kg DM",(((F$28*0.001)*($B$28/100))*$B31),"0")))))))*1.658</f>
        <v>3.7817182727999996</v>
      </c>
      <c r="G31" s="65">
        <f t="shared" ref="G31:P46" si="5">IF(G$27="%w/w SAR",((G$28*10)*$B31),IF(G$27="%w/w DM",(((G$28*10)*($B$28/100))*$B31),IF(G$27="kg/t SAR",(G$28*$B31),IF(G$27="kg/t DM",((G$28*($B$28/100))*$B31),IF(G$27="mg/kg SAR",((G$28*0.001)*$B31),IF(G$27="mg/kg DM",(((G$28*0.001)*($B$28/100))*$B31),0))))))</f>
        <v>0.18844175999999999</v>
      </c>
      <c r="H31" s="65">
        <f t="shared" si="5"/>
        <v>0.36475607999999998</v>
      </c>
      <c r="I31" s="65">
        <f t="shared" si="5"/>
        <v>2.2015968000000004E-2</v>
      </c>
      <c r="J31" s="65">
        <f t="shared" si="5"/>
        <v>1.5858960000000001E-3</v>
      </c>
      <c r="K31" s="65">
        <f t="shared" si="5"/>
        <v>6.8100239999999996E-3</v>
      </c>
      <c r="L31" s="65">
        <f t="shared" si="5"/>
        <v>1.4599572E-2</v>
      </c>
      <c r="M31" s="65">
        <f t="shared" si="5"/>
        <v>1.1521068000000002E-2</v>
      </c>
      <c r="N31" s="65">
        <f t="shared" si="5"/>
        <v>830.26319999999998</v>
      </c>
      <c r="O31" s="65">
        <f t="shared" si="5"/>
        <v>0</v>
      </c>
      <c r="P31" s="65">
        <f t="shared" si="5"/>
        <v>0</v>
      </c>
      <c r="Q31" s="65">
        <f>(IF(Q$27="%w/w SAR",((Q$28*10)*$B31),IF(Q$27="%w/w DM",(((Q$28*10)*($B$28/100))*$B31),IF(Q$27="kg/t SAR",(Q$28*$B31),IF(Q$27="kg/t DM",((Q$28*($B$28/100))*$B31),IF(Q$27="mg/kg SAR",((Q$28*0.001)*$B31),IF(Q$27="mg/kg DM",(((Q$28*0.001)*($B$28/100))*$B31),0)))))))*2.5</f>
        <v>149.26080000000002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0.20103563999999999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250</v>
      </c>
      <c r="C32" s="65">
        <f t="shared" ref="C32:C50" si="6">IF(C$27="%w/w SAR",((C$28*10)*$B32),IF(C$27="%w/w DM",(((C$28*10)*($B$28/100))*$B32),IF(C$27="kg/t SAR",(C$28*$B32),IF(C$27="kg/t DM",((C$28*($B$28/100))*$B32),IF(C$27="mg/kg SAR",((C$28*0.001)*$B32),IF(C$27="mg/kg DM",(((C$28*0.001)*($B$28/100))*$B32),0))))))</f>
        <v>92.46</v>
      </c>
      <c r="D32" s="65">
        <f t="shared" ref="D32:D50" si="7">(IF(D$27="%w/w SAR",((D$28*10)*$B32),IF(D$27="%w/w DM",(((D$28*10)*($B$28/100))*$B32),IF(D$27="kg/t SAR",(D$28*$B32),IF(D$27="kg/t DM",((D$28*($B$28/100))*$B32),IF(D$27="mg/kg SAR",((D$28*0.001)*$B32),IF(D$27="mg/kg DM",(((D$28*0.001)*($B$28/100))*$B32),"0")))))))*2.291</f>
        <v>48.372174000000001</v>
      </c>
      <c r="E32" s="65">
        <f t="shared" ref="E32:E50" si="8">(IF(E$27="%w/w SAR",((E$28*10)*$B32),IF(E$27="%w/w DM",(((E$28*10)*($B$28/100))*$B32),IF(E$27="kg/t SAR",(E$28*$B32),IF(E$27="kg/t DM",((E$28*($B$28/100))*$B32),IF(E$27="mg/kg SAR",((E$28*0.001)*$B32),IF(E$27="mg/kg DM",(((E$28*0.001)*($B$28/100))*$B32),"0")))))))*1.205</f>
        <v>0.72336149999999999</v>
      </c>
      <c r="F32" s="65">
        <f t="shared" ref="F32:F50" si="9">(IF(F$27="%w/w SAR",((F$28*10)*$B32),IF(F$27="%w/w DM",(((F$28*10)*($B$28/100))*$B32),IF(F$27="kg/t SAR",(F$28*$B32),IF(F$27="kg/t DM",((F$28*($B$28/100))*$B32),IF(F$27="mg/kg SAR",((F$28*0.001)*$B32),IF(F$27="mg/kg DM",(((F$28*0.001)*($B$28/100))*$B32),"0")))))))*1.658</f>
        <v>5.5942577999999994</v>
      </c>
      <c r="G32" s="65">
        <f t="shared" si="5"/>
        <v>0.27875999999999995</v>
      </c>
      <c r="H32" s="65">
        <f t="shared" si="5"/>
        <v>0.53958000000000006</v>
      </c>
      <c r="I32" s="65">
        <f t="shared" si="5"/>
        <v>3.2568000000000007E-2</v>
      </c>
      <c r="J32" s="65">
        <f t="shared" si="5"/>
        <v>2.346E-3</v>
      </c>
      <c r="K32" s="65">
        <f t="shared" si="5"/>
        <v>1.0074E-2</v>
      </c>
      <c r="L32" s="65">
        <f t="shared" si="5"/>
        <v>2.1597000000000002E-2</v>
      </c>
      <c r="M32" s="65">
        <f t="shared" si="5"/>
        <v>1.7043000000000003E-2</v>
      </c>
      <c r="N32" s="65">
        <f t="shared" si="5"/>
        <v>1228.2</v>
      </c>
      <c r="O32" s="65">
        <f t="shared" si="5"/>
        <v>0</v>
      </c>
      <c r="P32" s="65">
        <f t="shared" si="5"/>
        <v>0</v>
      </c>
      <c r="Q32" s="65">
        <f t="shared" ref="Q32:Q50" si="10">(IF(Q$27="%w/w SAR",((Q$28*10)*$B32),IF(Q$27="%w/w DM",(((Q$28*10)*($B$28/100))*$B32),IF(Q$27="kg/t SAR",(Q$28*$B32),IF(Q$27="kg/t DM",((Q$28*($B$28/100))*$B32),IF(Q$27="mg/kg SAR",((Q$28*0.001)*$B32),IF(Q$27="mg/kg DM",(((Q$28*0.001)*($B$28/100))*$B32),0)))))))*2.5</f>
        <v>220.8</v>
      </c>
      <c r="R32" s="65">
        <f t="shared" ref="R32:U50" si="11">IF(R$27="%w/w SAR",((R$28*10)*$B32),IF(R$27="%w/w DM",(((R$28*10)*($B$28/100))*$B32),IF(R$27="kg/t SAR",(R$28*$B32),IF(R$27="kg/t DM",((R$28*($B$28/100))*$B32),IF(R$27="mg/kg SAR",((R$28*0.001)*$B32),IF(R$27="mg/kg DM",(((R$28*0.001)*($B$28/100))*$B32),0))))))</f>
        <v>0</v>
      </c>
      <c r="S32" s="65">
        <f t="shared" si="11"/>
        <v>0.29738999999999999</v>
      </c>
      <c r="T32" s="65">
        <f t="shared" si="11"/>
        <v>0</v>
      </c>
      <c r="U32" s="126">
        <f t="shared" si="11"/>
        <v>0</v>
      </c>
    </row>
    <row r="33" spans="1:21" s="48" customFormat="1" ht="13" x14ac:dyDescent="0.35">
      <c r="A33" s="125">
        <f>E8</f>
        <v>1416</v>
      </c>
      <c r="B33" s="11">
        <v>169</v>
      </c>
      <c r="C33" s="65">
        <f t="shared" si="6"/>
        <v>62.502960000000002</v>
      </c>
      <c r="D33" s="65">
        <f t="shared" si="7"/>
        <v>32.699589623999998</v>
      </c>
      <c r="E33" s="65">
        <f t="shared" si="8"/>
        <v>0.4889923739999999</v>
      </c>
      <c r="F33" s="65">
        <f t="shared" si="9"/>
        <v>3.7817182727999996</v>
      </c>
      <c r="G33" s="65">
        <f t="shared" si="5"/>
        <v>0.18844175999999999</v>
      </c>
      <c r="H33" s="65">
        <f t="shared" si="5"/>
        <v>0.36475607999999998</v>
      </c>
      <c r="I33" s="65">
        <f t="shared" si="5"/>
        <v>2.2015968000000004E-2</v>
      </c>
      <c r="J33" s="65">
        <f t="shared" si="5"/>
        <v>1.5858960000000001E-3</v>
      </c>
      <c r="K33" s="65">
        <f t="shared" si="5"/>
        <v>6.8100239999999996E-3</v>
      </c>
      <c r="L33" s="65">
        <f t="shared" si="5"/>
        <v>1.4599572E-2</v>
      </c>
      <c r="M33" s="65">
        <f t="shared" si="5"/>
        <v>1.1521068000000002E-2</v>
      </c>
      <c r="N33" s="65">
        <f t="shared" si="5"/>
        <v>830.26319999999998</v>
      </c>
      <c r="O33" s="65">
        <f t="shared" si="5"/>
        <v>0</v>
      </c>
      <c r="P33" s="65">
        <f t="shared" si="5"/>
        <v>0</v>
      </c>
      <c r="Q33" s="65">
        <f t="shared" si="10"/>
        <v>149.26080000000002</v>
      </c>
      <c r="R33" s="65">
        <f t="shared" si="11"/>
        <v>0</v>
      </c>
      <c r="S33" s="65">
        <f t="shared" si="11"/>
        <v>0.20103563999999999</v>
      </c>
      <c r="T33" s="65">
        <f t="shared" si="11"/>
        <v>0</v>
      </c>
      <c r="U33" s="126">
        <f t="shared" si="11"/>
        <v>0</v>
      </c>
    </row>
    <row r="34" spans="1:21" s="48" customFormat="1" ht="13" x14ac:dyDescent="0.35">
      <c r="A34" s="125">
        <f>F8</f>
        <v>9216</v>
      </c>
      <c r="B34" s="11">
        <v>169</v>
      </c>
      <c r="C34" s="65">
        <f t="shared" si="6"/>
        <v>62.502960000000002</v>
      </c>
      <c r="D34" s="65">
        <f t="shared" si="7"/>
        <v>32.699589623999998</v>
      </c>
      <c r="E34" s="65">
        <f t="shared" si="8"/>
        <v>0.4889923739999999</v>
      </c>
      <c r="F34" s="65">
        <f t="shared" si="9"/>
        <v>3.7817182727999996</v>
      </c>
      <c r="G34" s="65">
        <f t="shared" si="5"/>
        <v>0.18844175999999999</v>
      </c>
      <c r="H34" s="65">
        <f t="shared" si="5"/>
        <v>0.36475607999999998</v>
      </c>
      <c r="I34" s="65">
        <f t="shared" si="5"/>
        <v>2.2015968000000004E-2</v>
      </c>
      <c r="J34" s="65">
        <f t="shared" si="5"/>
        <v>1.5858960000000001E-3</v>
      </c>
      <c r="K34" s="65">
        <f t="shared" si="5"/>
        <v>6.8100239999999996E-3</v>
      </c>
      <c r="L34" s="65">
        <f t="shared" si="5"/>
        <v>1.4599572E-2</v>
      </c>
      <c r="M34" s="65">
        <f t="shared" si="5"/>
        <v>1.1521068000000002E-2</v>
      </c>
      <c r="N34" s="65">
        <f t="shared" si="5"/>
        <v>830.26319999999998</v>
      </c>
      <c r="O34" s="65">
        <f t="shared" si="5"/>
        <v>0</v>
      </c>
      <c r="P34" s="65">
        <f t="shared" si="5"/>
        <v>0</v>
      </c>
      <c r="Q34" s="65">
        <f t="shared" si="10"/>
        <v>149.26080000000002</v>
      </c>
      <c r="R34" s="65">
        <f t="shared" si="11"/>
        <v>0</v>
      </c>
      <c r="S34" s="65">
        <f t="shared" si="11"/>
        <v>0.20103563999999999</v>
      </c>
      <c r="T34" s="65">
        <f t="shared" si="11"/>
        <v>0</v>
      </c>
      <c r="U34" s="126">
        <f t="shared" si="11"/>
        <v>0</v>
      </c>
    </row>
    <row r="35" spans="1:21" s="48" customFormat="1" ht="13" x14ac:dyDescent="0.35">
      <c r="A35" s="125">
        <f>G8</f>
        <v>1113</v>
      </c>
      <c r="B35" s="11">
        <v>0</v>
      </c>
      <c r="C35" s="65">
        <f t="shared" si="6"/>
        <v>0</v>
      </c>
      <c r="D35" s="65">
        <f t="shared" si="7"/>
        <v>0</v>
      </c>
      <c r="E35" s="65">
        <f t="shared" si="8"/>
        <v>0</v>
      </c>
      <c r="F35" s="65">
        <f t="shared" si="9"/>
        <v>0</v>
      </c>
      <c r="G35" s="65">
        <f t="shared" si="5"/>
        <v>0</v>
      </c>
      <c r="H35" s="65">
        <f t="shared" si="5"/>
        <v>0</v>
      </c>
      <c r="I35" s="65">
        <f t="shared" si="5"/>
        <v>0</v>
      </c>
      <c r="J35" s="65">
        <f t="shared" si="5"/>
        <v>0</v>
      </c>
      <c r="K35" s="65">
        <f t="shared" si="5"/>
        <v>0</v>
      </c>
      <c r="L35" s="65">
        <f t="shared" si="5"/>
        <v>0</v>
      </c>
      <c r="M35" s="65">
        <f t="shared" si="5"/>
        <v>0</v>
      </c>
      <c r="N35" s="65">
        <f t="shared" si="5"/>
        <v>0</v>
      </c>
      <c r="O35" s="65">
        <f t="shared" si="5"/>
        <v>0</v>
      </c>
      <c r="P35" s="65">
        <f t="shared" si="5"/>
        <v>0</v>
      </c>
      <c r="Q35" s="65">
        <f t="shared" si="10"/>
        <v>0</v>
      </c>
      <c r="R35" s="65">
        <f t="shared" si="11"/>
        <v>0</v>
      </c>
      <c r="S35" s="65">
        <f t="shared" si="11"/>
        <v>0</v>
      </c>
      <c r="T35" s="65">
        <f t="shared" si="11"/>
        <v>0</v>
      </c>
      <c r="U35" s="126">
        <f t="shared" si="11"/>
        <v>0</v>
      </c>
    </row>
    <row r="36" spans="1:21" s="48" customFormat="1" ht="13" x14ac:dyDescent="0.35">
      <c r="A36" s="125">
        <f>H8</f>
        <v>264</v>
      </c>
      <c r="B36" s="11">
        <v>0</v>
      </c>
      <c r="C36" s="65">
        <f t="shared" si="6"/>
        <v>0</v>
      </c>
      <c r="D36" s="65">
        <f t="shared" si="7"/>
        <v>0</v>
      </c>
      <c r="E36" s="65">
        <f t="shared" si="8"/>
        <v>0</v>
      </c>
      <c r="F36" s="65">
        <f t="shared" si="9"/>
        <v>0</v>
      </c>
      <c r="G36" s="65">
        <f t="shared" si="5"/>
        <v>0</v>
      </c>
      <c r="H36" s="65">
        <f t="shared" si="5"/>
        <v>0</v>
      </c>
      <c r="I36" s="65">
        <f t="shared" si="5"/>
        <v>0</v>
      </c>
      <c r="J36" s="65">
        <f t="shared" si="5"/>
        <v>0</v>
      </c>
      <c r="K36" s="65">
        <f t="shared" si="5"/>
        <v>0</v>
      </c>
      <c r="L36" s="65">
        <f t="shared" si="5"/>
        <v>0</v>
      </c>
      <c r="M36" s="65">
        <f t="shared" si="5"/>
        <v>0</v>
      </c>
      <c r="N36" s="65">
        <f t="shared" si="5"/>
        <v>0</v>
      </c>
      <c r="O36" s="65">
        <f t="shared" si="5"/>
        <v>0</v>
      </c>
      <c r="P36" s="65">
        <f t="shared" si="5"/>
        <v>0</v>
      </c>
      <c r="Q36" s="65">
        <f t="shared" si="10"/>
        <v>0</v>
      </c>
      <c r="R36" s="65">
        <f t="shared" si="11"/>
        <v>0</v>
      </c>
      <c r="S36" s="65">
        <f t="shared" si="11"/>
        <v>0</v>
      </c>
      <c r="T36" s="65">
        <f t="shared" si="11"/>
        <v>0</v>
      </c>
      <c r="U36" s="126">
        <f t="shared" si="11"/>
        <v>0</v>
      </c>
    </row>
    <row r="37" spans="1:21" s="48" customFormat="1" ht="13" x14ac:dyDescent="0.35">
      <c r="A37" s="125">
        <f>I8</f>
        <v>2585</v>
      </c>
      <c r="B37" s="11">
        <v>169</v>
      </c>
      <c r="C37" s="65">
        <f t="shared" si="6"/>
        <v>62.502960000000002</v>
      </c>
      <c r="D37" s="65">
        <f t="shared" si="7"/>
        <v>32.699589623999998</v>
      </c>
      <c r="E37" s="65">
        <f t="shared" si="8"/>
        <v>0.4889923739999999</v>
      </c>
      <c r="F37" s="65">
        <f t="shared" si="9"/>
        <v>3.7817182727999996</v>
      </c>
      <c r="G37" s="65">
        <f t="shared" si="5"/>
        <v>0.18844175999999999</v>
      </c>
      <c r="H37" s="65">
        <f t="shared" si="5"/>
        <v>0.36475607999999998</v>
      </c>
      <c r="I37" s="65">
        <f t="shared" si="5"/>
        <v>2.2015968000000004E-2</v>
      </c>
      <c r="J37" s="65">
        <f t="shared" si="5"/>
        <v>1.5858960000000001E-3</v>
      </c>
      <c r="K37" s="65">
        <f t="shared" si="5"/>
        <v>6.8100239999999996E-3</v>
      </c>
      <c r="L37" s="65">
        <f t="shared" si="5"/>
        <v>1.4599572E-2</v>
      </c>
      <c r="M37" s="65">
        <f t="shared" si="5"/>
        <v>1.1521068000000002E-2</v>
      </c>
      <c r="N37" s="65">
        <f t="shared" si="5"/>
        <v>830.26319999999998</v>
      </c>
      <c r="O37" s="65">
        <f t="shared" si="5"/>
        <v>0</v>
      </c>
      <c r="P37" s="65">
        <f t="shared" si="5"/>
        <v>0</v>
      </c>
      <c r="Q37" s="65">
        <f t="shared" si="10"/>
        <v>149.26080000000002</v>
      </c>
      <c r="R37" s="65">
        <f t="shared" si="11"/>
        <v>0</v>
      </c>
      <c r="S37" s="65">
        <f t="shared" si="11"/>
        <v>0.20103563999999999</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"&amp;(VLOOKUP(C14,Table24567[],6,FALSE))</f>
        <v>Medium/Clay I Grass</v>
      </c>
      <c r="C58" s="10" t="str">
        <f>D16&amp;" I "&amp;(VLOOKUP(D14,Table24567[],6,FALSE))</f>
        <v>Medium/Clay I Grass</v>
      </c>
      <c r="D58" s="10" t="str">
        <f>E16&amp;" I "&amp;(VLOOKUP(E14,Table24567[],6,FALSE))</f>
        <v>Medium/Clay I Grass</v>
      </c>
      <c r="E58" s="10" t="str">
        <f>F16&amp;" I "&amp;(VLOOKUP(F14,Table24567[],6,FALSE))</f>
        <v>Medium/Clay I Grass</v>
      </c>
      <c r="F58" s="10" t="str">
        <f>G16&amp;" I "&amp;(VLOOKUP(G14,Table24567[],6,FALSE))</f>
        <v>Medium/Clay I Grass</v>
      </c>
      <c r="G58" s="10" t="str">
        <f>H16&amp;" I "&amp;(VLOOKUP(H14,Table24567[],6,FALSE))</f>
        <v>Medium/Clay I Grass</v>
      </c>
      <c r="H58" s="10" t="str">
        <f>I16&amp;" I "&amp;(VLOOKUP(I14,Table24567[],6,FALSE))</f>
        <v>Medium/Clay I Grass</v>
      </c>
      <c r="I58" s="10" t="e">
        <f>J16&amp;" I "&amp;(VLOOKUP(J14,Table24567[],6,FALSE))</f>
        <v>#N/A</v>
      </c>
      <c r="J58" s="10" t="e">
        <f>K16&amp;" I "&amp;(VLOOKUP(K14,Table24567[],6,FALSE))</f>
        <v>#N/A</v>
      </c>
      <c r="K58" s="10" t="e">
        <f>L16&amp;" I "&amp;(VLOOKUP(L14,Table24567[],6,FALSE))</f>
        <v>#N/A</v>
      </c>
      <c r="L58" s="10" t="e">
        <f>M16&amp;" I "&amp;(VLOOKUP(M14,Table24567[],6,FALSE))</f>
        <v>#N/A</v>
      </c>
      <c r="M58" s="10" t="e">
        <f>N16&amp;" I "&amp;(VLOOKUP(N14,Table24567[],6,FALSE))</f>
        <v>#N/A</v>
      </c>
      <c r="N58" s="10" t="e">
        <f>O16&amp;" I "&amp;(VLOOKUP(O14,Table24567[],6,FALSE))</f>
        <v>#N/A</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ht="13" x14ac:dyDescent="0.3">
      <c r="A59" s="87" t="s">
        <v>132</v>
      </c>
      <c r="B59" s="64">
        <f>VLOOKUP(C$14,Table24567[],5,FALSE)</f>
        <v>6.2</v>
      </c>
      <c r="C59" s="64">
        <f>VLOOKUP(D$14,Table24567[],5,FALSE)</f>
        <v>6.2</v>
      </c>
      <c r="D59" s="64">
        <f>VLOOKUP(E$14,Table24567[],5,FALSE)</f>
        <v>6.2</v>
      </c>
      <c r="E59" s="64">
        <f>VLOOKUP(F$14,Table24567[],5,FALSE)</f>
        <v>6.2</v>
      </c>
      <c r="F59" s="64">
        <f>VLOOKUP(G$14,Table24567[],5,FALSE)</f>
        <v>6.2</v>
      </c>
      <c r="G59" s="64">
        <f>VLOOKUP(H$14,Table24567[],5,FALSE)</f>
        <v>6.2</v>
      </c>
      <c r="H59" s="64">
        <f>VLOOKUP(I$14,Table24567[],5,FALSE)</f>
        <v>6.2</v>
      </c>
      <c r="I59" s="64" t="e">
        <f>VLOOKUP(J$14,Table24567[],5,FALSE)</f>
        <v>#N/A</v>
      </c>
      <c r="J59" s="64" t="e">
        <f>VLOOKUP(K$14,Table24567[],5,FALSE)</f>
        <v>#N/A</v>
      </c>
      <c r="K59" s="64" t="e">
        <f>VLOOKUP(L$14,Table24567[],5,FALSE)</f>
        <v>#N/A</v>
      </c>
      <c r="L59" s="64" t="e">
        <f>VLOOKUP(M$14,Table24567[],5,FALSE)</f>
        <v>#N/A</v>
      </c>
      <c r="M59" s="64" t="e">
        <f>VLOOKUP(N$14,Table24567[],5,FALSE)</f>
        <v>#N/A</v>
      </c>
      <c r="N59" s="64" t="e">
        <f>VLOOKUP(O$14,Table24567[],5,FALSE)</f>
        <v>#N/A</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169</v>
      </c>
      <c r="C62" s="65">
        <f>B32</f>
        <v>250</v>
      </c>
      <c r="D62" s="65">
        <f>B33</f>
        <v>169</v>
      </c>
      <c r="E62" s="65">
        <f>B34</f>
        <v>169</v>
      </c>
      <c r="F62" s="65">
        <f>B35</f>
        <v>0</v>
      </c>
      <c r="G62" s="65">
        <f>B36</f>
        <v>0</v>
      </c>
      <c r="H62" s="65">
        <f>B37</f>
        <v>169</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NDDrYIY/ax7BvtLh1noUQ56oQp+dAUlOfemcRXgKbe6HXDAR9XFpb9BU6vbhPf4Al8/v3LBgpqAsLtOtuabJvg==" saltValue="JWvPQMusrQG3qJpUdMYds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9" operator="greaterThan">
      <formula>$B$51</formula>
    </cfRule>
  </conditionalFormatting>
  <conditionalFormatting sqref="B66:U66">
    <cfRule type="cellIs" dxfId="56" priority="14" operator="equal">
      <formula>"UNDER"</formula>
    </cfRule>
    <cfRule type="cellIs" dxfId="55" priority="15" operator="equal">
      <formula>"OVER"</formula>
    </cfRule>
  </conditionalFormatting>
  <conditionalFormatting sqref="C31:C50">
    <cfRule type="cellIs" dxfId="54" priority="38" operator="greaterThan">
      <formula>$C$51</formula>
    </cfRule>
  </conditionalFormatting>
  <conditionalFormatting sqref="C11:V13">
    <cfRule type="cellIs" dxfId="53" priority="1" operator="greaterThan">
      <formula>2</formula>
    </cfRule>
  </conditionalFormatting>
  <conditionalFormatting sqref="C17:V19">
    <cfRule type="cellIs" dxfId="52" priority="35" operator="equal">
      <formula>0</formula>
    </cfRule>
  </conditionalFormatting>
  <conditionalFormatting sqref="C20:V21">
    <cfRule type="cellIs" dxfId="51" priority="40" operator="equal">
      <formula>"DECREASE"</formula>
    </cfRule>
    <cfRule type="cellIs" dxfId="50" priority="41" operator="equal">
      <formula>"INCREASE"</formula>
    </cfRule>
  </conditionalFormatting>
  <conditionalFormatting sqref="C21:V21">
    <cfRule type="cellIs" dxfId="49" priority="16" operator="equal">
      <formula>0</formula>
    </cfRule>
  </conditionalFormatting>
  <conditionalFormatting sqref="C22:V23">
    <cfRule type="cellIs" dxfId="48" priority="20" operator="equal">
      <formula>0</formula>
    </cfRule>
  </conditionalFormatting>
  <conditionalFormatting sqref="C24:V24">
    <cfRule type="cellIs" dxfId="47" priority="21" operator="equal">
      <formula>"DECREASE"</formula>
    </cfRule>
    <cfRule type="cellIs" dxfId="46" priority="22" operator="equal">
      <formula>"INCREASE"</formula>
    </cfRule>
  </conditionalFormatting>
  <conditionalFormatting sqref="G31:G50">
    <cfRule type="cellIs" dxfId="45" priority="34" operator="greaterThan">
      <formula>$G$51</formula>
    </cfRule>
  </conditionalFormatting>
  <conditionalFormatting sqref="H31:H50">
    <cfRule type="cellIs" dxfId="44" priority="33" operator="greaterThan">
      <formula>$H$51</formula>
    </cfRule>
  </conditionalFormatting>
  <conditionalFormatting sqref="I1">
    <cfRule type="cellIs" dxfId="43" priority="6" operator="between">
      <formula>0.1</formula>
      <formula>5</formula>
    </cfRule>
  </conditionalFormatting>
  <conditionalFormatting sqref="I2">
    <cfRule type="cellIs" dxfId="42" priority="5" operator="greaterThan">
      <formula>5000.1</formula>
    </cfRule>
  </conditionalFormatting>
  <conditionalFormatting sqref="I3">
    <cfRule type="cellIs" dxfId="41" priority="4" operator="greaterThan">
      <formula>40000.01</formula>
    </cfRule>
  </conditionalFormatting>
  <conditionalFormatting sqref="I31:I50">
    <cfRule type="cellIs" dxfId="40" priority="32" operator="greaterThan">
      <formula>$I$51</formula>
    </cfRule>
  </conditionalFormatting>
  <conditionalFormatting sqref="J31:J50">
    <cfRule type="cellIs" dxfId="39" priority="11" operator="greaterThan">
      <formula>$J$51</formula>
    </cfRule>
  </conditionalFormatting>
  <conditionalFormatting sqref="K31:K50">
    <cfRule type="cellIs" dxfId="38" priority="31" operator="greaterThan">
      <formula>$K$51</formula>
    </cfRule>
  </conditionalFormatting>
  <conditionalFormatting sqref="L3">
    <cfRule type="cellIs" dxfId="37" priority="7" operator="lessThan">
      <formula>30</formula>
    </cfRule>
    <cfRule type="cellIs" dxfId="36" priority="8" operator="greaterThanOrEqual">
      <formula>30</formula>
    </cfRule>
  </conditionalFormatting>
  <conditionalFormatting sqref="L31:L50">
    <cfRule type="cellIs" dxfId="35" priority="30" operator="greaterThan">
      <formula>$L$51</formula>
    </cfRule>
  </conditionalFormatting>
  <conditionalFormatting sqref="M31:M50">
    <cfRule type="cellIs" dxfId="34" priority="29" operator="greaterThan">
      <formula>$M$51</formula>
    </cfRule>
  </conditionalFormatting>
  <conditionalFormatting sqref="P31:P50">
    <cfRule type="cellIs" dxfId="33" priority="28" operator="greaterThan">
      <formula>$P$51</formula>
    </cfRule>
  </conditionalFormatting>
  <conditionalFormatting sqref="R31:R50">
    <cfRule type="cellIs" dxfId="32" priority="27" operator="greaterThan">
      <formula>$R$51</formula>
    </cfRule>
  </conditionalFormatting>
  <conditionalFormatting sqref="S31:S50">
    <cfRule type="cellIs" dxfId="31" priority="26" operator="greaterThan">
      <formula>$S$51</formula>
    </cfRule>
  </conditionalFormatting>
  <conditionalFormatting sqref="T31:T50">
    <cfRule type="cellIs" dxfId="30" priority="25" operator="greaterThan">
      <formula>$T$51</formula>
    </cfRule>
  </conditionalFormatting>
  <conditionalFormatting sqref="U31:U50">
    <cfRule type="cellIs" dxfId="29" priority="24"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zoomScale="90" zoomScaleNormal="90" workbookViewId="0">
      <selection activeCell="E27" sqref="E27"/>
    </sheetView>
  </sheetViews>
  <sheetFormatPr defaultColWidth="13.1796875" defaultRowHeight="12.5" x14ac:dyDescent="0.35"/>
  <cols>
    <col min="1" max="1" width="13.1796875" style="9"/>
    <col min="2" max="2" width="15.81640625" style="9" customWidth="1"/>
    <col min="3" max="3" width="20.54296875" style="9" customWidth="1"/>
    <col min="4" max="4" width="20.26953125" style="9" bestFit="1" customWidth="1"/>
    <col min="5" max="22" width="21.26953125" style="9" customWidth="1"/>
    <col min="23" max="26" width="13.1796875" style="9"/>
    <col min="27" max="27" width="0" style="9" hidden="1" customWidth="1"/>
    <col min="28" max="29" width="10.7265625" style="9" hidden="1" customWidth="1"/>
    <col min="30" max="30" width="19.7265625" style="9" hidden="1" customWidth="1"/>
    <col min="31" max="34" width="12.453125" style="9" hidden="1" customWidth="1"/>
    <col min="35" max="35" width="27.7265625" style="9" hidden="1" customWidth="1"/>
    <col min="36" max="40" width="0" style="9" hidden="1" customWidth="1"/>
    <col min="41" max="41" width="67.26953125" style="9" hidden="1" customWidth="1"/>
    <col min="42" max="16384" width="13.1796875" style="9"/>
  </cols>
  <sheetData>
    <row r="1" spans="1:41" ht="13" x14ac:dyDescent="0.3">
      <c r="A1" s="130" t="s">
        <v>41</v>
      </c>
      <c r="B1" s="131"/>
      <c r="C1" s="172" t="str">
        <f>'Field data and Bala'!C1:D1</f>
        <v>PAN-030677</v>
      </c>
      <c r="D1" s="173"/>
      <c r="E1" s="106" t="s">
        <v>45</v>
      </c>
      <c r="F1" s="113">
        <f>'Field data and Bala'!F1</f>
        <v>21.3</v>
      </c>
      <c r="G1" s="162" t="s">
        <v>43</v>
      </c>
      <c r="H1" s="163"/>
      <c r="I1" s="109">
        <v>6.2</v>
      </c>
      <c r="J1" s="130" t="s">
        <v>153</v>
      </c>
      <c r="K1" s="131"/>
      <c r="L1" s="109">
        <v>139</v>
      </c>
      <c r="AB1" s="13"/>
      <c r="AC1" s="13"/>
      <c r="AD1" s="22" t="s">
        <v>126</v>
      </c>
      <c r="AE1" s="13"/>
      <c r="AF1" s="13"/>
      <c r="AG1" s="13"/>
      <c r="AH1" s="13"/>
      <c r="AI1" s="30" t="s">
        <v>79</v>
      </c>
      <c r="AJ1" s="31" t="s">
        <v>94</v>
      </c>
      <c r="AK1" s="32" t="s">
        <v>95</v>
      </c>
      <c r="AL1" s="33" t="s">
        <v>125</v>
      </c>
      <c r="AM1" s="33" t="s">
        <v>131</v>
      </c>
      <c r="AN1" s="33" t="s">
        <v>111</v>
      </c>
    </row>
    <row r="2" spans="1:41" ht="12.75" customHeight="1" x14ac:dyDescent="0.3">
      <c r="A2" s="132" t="s">
        <v>87</v>
      </c>
      <c r="B2" s="133"/>
      <c r="C2" s="168" t="str">
        <f>'Field data and Bala'!C2:D2</f>
        <v>GP3792SK</v>
      </c>
      <c r="D2" s="169"/>
      <c r="E2" s="96" t="s">
        <v>109</v>
      </c>
      <c r="F2" s="110">
        <v>190902</v>
      </c>
      <c r="G2" s="164" t="s">
        <v>110</v>
      </c>
      <c r="H2" s="165"/>
      <c r="I2" s="110"/>
      <c r="J2" s="132" t="s">
        <v>158</v>
      </c>
      <c r="K2" s="133"/>
      <c r="L2" s="110">
        <v>0.61599999999999999</v>
      </c>
      <c r="AB2" s="22" t="s">
        <v>56</v>
      </c>
      <c r="AC2" s="13"/>
      <c r="AD2" s="22" t="s">
        <v>70</v>
      </c>
      <c r="AE2" s="13"/>
      <c r="AF2" s="13"/>
      <c r="AG2" s="34" t="s">
        <v>76</v>
      </c>
      <c r="AH2" s="13"/>
      <c r="AI2" s="35" t="s">
        <v>126</v>
      </c>
      <c r="AJ2" s="36">
        <v>0</v>
      </c>
      <c r="AK2" s="37">
        <v>0</v>
      </c>
      <c r="AL2" s="7">
        <v>0</v>
      </c>
      <c r="AM2" s="9">
        <v>0</v>
      </c>
      <c r="AN2" s="9">
        <v>0</v>
      </c>
    </row>
    <row r="3" spans="1:41" ht="13" x14ac:dyDescent="0.25">
      <c r="A3" s="134" t="s">
        <v>42</v>
      </c>
      <c r="B3" s="135"/>
      <c r="C3" s="168" t="str">
        <f>'Field data and Bala'!C3:D3</f>
        <v>Byproduct Recovery Ltd.</v>
      </c>
      <c r="D3" s="169"/>
      <c r="E3" s="96" t="s">
        <v>108</v>
      </c>
      <c r="F3" s="111" t="s">
        <v>78</v>
      </c>
      <c r="G3" s="132" t="s">
        <v>159</v>
      </c>
      <c r="H3" s="133"/>
      <c r="I3" s="110"/>
      <c r="J3" s="134" t="s">
        <v>154</v>
      </c>
      <c r="K3" s="135"/>
      <c r="L3" s="110">
        <f>(L1/(L2*10000))*100</f>
        <v>2.2564935064935066</v>
      </c>
      <c r="AB3" s="22" t="s">
        <v>57</v>
      </c>
      <c r="AC3" s="13"/>
      <c r="AD3" s="22" t="s">
        <v>71</v>
      </c>
      <c r="AE3" s="13"/>
      <c r="AF3" s="13"/>
      <c r="AG3" s="34" t="s">
        <v>77</v>
      </c>
      <c r="AH3" s="13"/>
      <c r="AI3" s="38" t="s">
        <v>113</v>
      </c>
      <c r="AJ3" s="39">
        <v>1.7</v>
      </c>
      <c r="AK3" s="40">
        <v>6</v>
      </c>
      <c r="AL3" s="41">
        <v>1</v>
      </c>
      <c r="AM3" s="9">
        <v>6.2</v>
      </c>
      <c r="AN3" s="9" t="s">
        <v>112</v>
      </c>
    </row>
    <row r="4" spans="1:41" ht="13" x14ac:dyDescent="0.25">
      <c r="A4" s="132" t="s">
        <v>0</v>
      </c>
      <c r="B4" s="133"/>
      <c r="C4" s="170" t="str">
        <f>'Field data and Bala'!C4:D4</f>
        <v>Cefn Naw Clawdd, Dolgellau, Gywnedd LL40 2SG</v>
      </c>
      <c r="D4" s="171"/>
      <c r="E4" s="99" t="s">
        <v>1</v>
      </c>
      <c r="F4" s="110" t="s">
        <v>175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3">
      <c r="A5" s="146" t="s">
        <v>47</v>
      </c>
      <c r="B5" s="147"/>
      <c r="C5" s="166" t="str">
        <f>'Field data and Bala'!C5:D5</f>
        <v>Bryan Burn</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 thickBot="1" x14ac:dyDescent="0.3">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ht="13" x14ac:dyDescent="0.25">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ht="13" x14ac:dyDescent="0.25">
      <c r="A8" s="132" t="s">
        <v>2</v>
      </c>
      <c r="B8" s="133"/>
      <c r="C8" s="49">
        <f>'Field data and Bala'!C8</f>
        <v>865</v>
      </c>
      <c r="D8" s="49">
        <f>'Field data and Bala'!D8</f>
        <v>9846</v>
      </c>
      <c r="E8" s="49">
        <f>'Field data and Bala'!E8</f>
        <v>1416</v>
      </c>
      <c r="F8" s="49">
        <f>'Field data and Bala'!F8</f>
        <v>9216</v>
      </c>
      <c r="G8" s="49">
        <f>'Field data and Bala'!G8</f>
        <v>1113</v>
      </c>
      <c r="H8" s="49">
        <f>'Field data and Bala'!H8</f>
        <v>264</v>
      </c>
      <c r="I8" s="49">
        <f>'Field data and Bala'!I8</f>
        <v>2585</v>
      </c>
      <c r="J8" s="49">
        <f>'Field data and Bala'!J8</f>
        <v>0</v>
      </c>
      <c r="K8" s="49">
        <f>'Field data and Bala'!K8</f>
        <v>0</v>
      </c>
      <c r="L8" s="49">
        <f>'Field data and Bala'!L8</f>
        <v>0</v>
      </c>
      <c r="M8" s="49">
        <f>'Field data and Bala'!M8</f>
        <v>0</v>
      </c>
      <c r="N8" s="49">
        <f>'Field data and Bala'!N8</f>
        <v>0</v>
      </c>
      <c r="O8" s="49">
        <f>'Field data and Bala'!O8</f>
        <v>0</v>
      </c>
      <c r="P8" s="49">
        <f>'Field data and Bala'!P8</f>
        <v>0</v>
      </c>
      <c r="Q8" s="49">
        <f>'Field data and Bala'!Q8</f>
        <v>0</v>
      </c>
      <c r="R8" s="49">
        <f>'Field data and Bala'!R8</f>
        <v>0</v>
      </c>
      <c r="S8" s="49">
        <f>'Field data and Bala'!S8</f>
        <v>0</v>
      </c>
      <c r="T8" s="49">
        <f>'Field data and Bala'!T8</f>
        <v>0</v>
      </c>
      <c r="U8" s="49">
        <f>'Field data and Bala'!U8</f>
        <v>0</v>
      </c>
      <c r="V8" s="102">
        <f>'Field data and Bala'!V8</f>
        <v>0</v>
      </c>
      <c r="AB8" s="50"/>
      <c r="AC8" s="50"/>
      <c r="AD8" s="13"/>
      <c r="AE8" s="13" t="s">
        <v>139</v>
      </c>
      <c r="AF8" s="13"/>
      <c r="AG8" s="13"/>
      <c r="AH8" s="13"/>
      <c r="AI8" s="43" t="s">
        <v>105</v>
      </c>
      <c r="AJ8" s="51">
        <v>1.4</v>
      </c>
      <c r="AK8" s="45">
        <v>4.4000000000000004</v>
      </c>
      <c r="AL8" s="9">
        <v>6</v>
      </c>
      <c r="AM8" s="9">
        <v>6.7</v>
      </c>
      <c r="AN8" s="9" t="s">
        <v>135</v>
      </c>
      <c r="AO8" s="13"/>
    </row>
    <row r="9" spans="1:41" ht="13" x14ac:dyDescent="0.25">
      <c r="A9" s="132" t="s">
        <v>3</v>
      </c>
      <c r="B9" s="133"/>
      <c r="C9" s="49" t="str">
        <f>'Field data and Bala'!C9</f>
        <v>m</v>
      </c>
      <c r="D9" s="49" t="str">
        <f>'Field data and Bala'!D9</f>
        <v>m</v>
      </c>
      <c r="E9" s="49" t="str">
        <f>'Field data and Bala'!E9</f>
        <v>m</v>
      </c>
      <c r="F9" s="49" t="str">
        <f>'Field data and Bala'!F9</f>
        <v>m</v>
      </c>
      <c r="G9" s="49" t="str">
        <f>'Field data and Bala'!G9</f>
        <v>m</v>
      </c>
      <c r="H9" s="49" t="str">
        <f>'Field data and Bala'!H9</f>
        <v>m</v>
      </c>
      <c r="I9" s="49" t="str">
        <f>'Field data and Bala'!I9</f>
        <v>m</v>
      </c>
      <c r="J9" s="49">
        <f>'Field data and Bala'!J9</f>
        <v>0</v>
      </c>
      <c r="K9" s="49">
        <f>'Field data and Bala'!K9</f>
        <v>0</v>
      </c>
      <c r="L9" s="49">
        <f>'Field data and Bala'!L9</f>
        <v>0</v>
      </c>
      <c r="M9" s="49">
        <f>'Field data and Bala'!M9</f>
        <v>0</v>
      </c>
      <c r="N9" s="49">
        <f>'Field data and Bala'!N9</f>
        <v>0</v>
      </c>
      <c r="O9" s="49">
        <f>'Field data and Bala'!O9</f>
        <v>0</v>
      </c>
      <c r="P9" s="49">
        <f>'Field data and Bala'!P9</f>
        <v>0</v>
      </c>
      <c r="Q9" s="49">
        <f>'Field data and Bala'!Q9</f>
        <v>0</v>
      </c>
      <c r="R9" s="49">
        <f>'Field data and Bala'!R9</f>
        <v>0</v>
      </c>
      <c r="S9" s="49">
        <f>'Field data and Bala'!S9</f>
        <v>0</v>
      </c>
      <c r="T9" s="49">
        <f>'Field data and Bala'!T9</f>
        <v>0</v>
      </c>
      <c r="U9" s="49">
        <f>'Field data and Bala'!U9</f>
        <v>0</v>
      </c>
      <c r="V9" s="102">
        <f>'Field data and Bala'!V9</f>
        <v>0</v>
      </c>
      <c r="AB9" s="13"/>
      <c r="AC9" s="13"/>
      <c r="AD9" s="22" t="s">
        <v>137</v>
      </c>
      <c r="AE9" s="22">
        <v>4.5</v>
      </c>
      <c r="AF9" s="13"/>
      <c r="AG9" s="13"/>
      <c r="AH9" s="13"/>
      <c r="AI9" s="52" t="s">
        <v>103</v>
      </c>
      <c r="AJ9" s="53">
        <v>0.7</v>
      </c>
      <c r="AK9" s="54">
        <v>4</v>
      </c>
      <c r="AL9" s="21">
        <v>7</v>
      </c>
      <c r="AM9" s="9">
        <v>6.7</v>
      </c>
      <c r="AN9" s="9" t="s">
        <v>135</v>
      </c>
      <c r="AO9" s="81"/>
    </row>
    <row r="10" spans="1:41" ht="13" x14ac:dyDescent="0.25">
      <c r="A10" s="132" t="s">
        <v>4</v>
      </c>
      <c r="B10" s="133"/>
      <c r="C10" s="49">
        <f>'Field data and Bala'!C10</f>
        <v>6.1</v>
      </c>
      <c r="D10" s="49">
        <f>'Field data and Bala'!D10</f>
        <v>6.2</v>
      </c>
      <c r="E10" s="49">
        <f>'Field data and Bala'!E10</f>
        <v>6.1</v>
      </c>
      <c r="F10" s="49">
        <f>'Field data and Bala'!F10</f>
        <v>6.1</v>
      </c>
      <c r="G10" s="49">
        <f>'Field data and Bala'!G10</f>
        <v>5.8</v>
      </c>
      <c r="H10" s="49">
        <f>'Field data and Bala'!H10</f>
        <v>5.9</v>
      </c>
      <c r="I10" s="49">
        <f>'Field data and Bala'!I10</f>
        <v>6.7</v>
      </c>
      <c r="J10" s="49">
        <f>'Field data and Bala'!J10</f>
        <v>0</v>
      </c>
      <c r="K10" s="49">
        <f>'Field data and Bala'!K10</f>
        <v>0</v>
      </c>
      <c r="L10" s="49">
        <f>'Field data and Bala'!L10</f>
        <v>0</v>
      </c>
      <c r="M10" s="49">
        <f>'Field data and Bala'!M10</f>
        <v>0</v>
      </c>
      <c r="N10" s="49">
        <f>'Field data and Bala'!N10</f>
        <v>0</v>
      </c>
      <c r="O10" s="49">
        <f>'Field data and Bala'!O10</f>
        <v>0</v>
      </c>
      <c r="P10" s="49">
        <f>'Field data and Bala'!P10</f>
        <v>0</v>
      </c>
      <c r="Q10" s="49">
        <f>'Field data and Bala'!Q10</f>
        <v>0</v>
      </c>
      <c r="R10" s="49">
        <f>'Field data and Bala'!R10</f>
        <v>0</v>
      </c>
      <c r="S10" s="49">
        <f>'Field data and Bala'!S10</f>
        <v>0</v>
      </c>
      <c r="T10" s="49">
        <f>'Field data and Bala'!T10</f>
        <v>0</v>
      </c>
      <c r="U10" s="49">
        <f>'Field data and Bala'!U10</f>
        <v>0</v>
      </c>
      <c r="V10" s="102">
        <f>'Field data and Bala'!V10</f>
        <v>0</v>
      </c>
      <c r="AB10" s="13"/>
      <c r="AC10" s="13"/>
      <c r="AD10" s="22" t="s">
        <v>140</v>
      </c>
      <c r="AE10" s="22">
        <v>5</v>
      </c>
      <c r="AF10" s="13"/>
      <c r="AG10" s="13"/>
      <c r="AH10" s="13"/>
      <c r="AI10" s="43" t="s">
        <v>97</v>
      </c>
      <c r="AJ10" s="44">
        <v>9</v>
      </c>
      <c r="AK10" s="45">
        <v>16.5</v>
      </c>
      <c r="AL10" s="9">
        <v>8</v>
      </c>
      <c r="AM10" s="9">
        <v>6.7</v>
      </c>
      <c r="AN10" s="9" t="s">
        <v>135</v>
      </c>
    </row>
    <row r="11" spans="1:41" ht="13" x14ac:dyDescent="0.25">
      <c r="A11" s="132" t="s">
        <v>5</v>
      </c>
      <c r="B11" s="133"/>
      <c r="C11" s="49">
        <f>'Field data and Bala'!C11</f>
        <v>3</v>
      </c>
      <c r="D11" s="49">
        <f>'Field data and Bala'!D11</f>
        <v>2</v>
      </c>
      <c r="E11" s="49">
        <f>'Field data and Bala'!E11</f>
        <v>3</v>
      </c>
      <c r="F11" s="49">
        <f>'Field data and Bala'!F11</f>
        <v>3</v>
      </c>
      <c r="G11" s="49">
        <f>'Field data and Bala'!G11</f>
        <v>3</v>
      </c>
      <c r="H11" s="49">
        <f>'Field data and Bala'!H11</f>
        <v>3</v>
      </c>
      <c r="I11" s="49">
        <f>'Field data and Bala'!I11</f>
        <v>3</v>
      </c>
      <c r="J11" s="49">
        <f>'Field data and Bala'!J11</f>
        <v>0</v>
      </c>
      <c r="K11" s="49">
        <f>'Field data and Bala'!K11</f>
        <v>0</v>
      </c>
      <c r="L11" s="49">
        <f>'Field data and Bala'!L11</f>
        <v>0</v>
      </c>
      <c r="M11" s="49">
        <f>'Field data and Bala'!M11</f>
        <v>0</v>
      </c>
      <c r="N11" s="49">
        <f>'Field data and Bala'!N11</f>
        <v>0</v>
      </c>
      <c r="O11" s="49">
        <f>'Field data and Bala'!O11</f>
        <v>0</v>
      </c>
      <c r="P11" s="49">
        <f>'Field data and Bala'!P11</f>
        <v>0</v>
      </c>
      <c r="Q11" s="49">
        <f>'Field data and Bala'!Q11</f>
        <v>0</v>
      </c>
      <c r="R11" s="49">
        <f>'Field data and Bala'!R11</f>
        <v>0</v>
      </c>
      <c r="S11" s="49">
        <f>'Field data and Bala'!S11</f>
        <v>0</v>
      </c>
      <c r="T11" s="49">
        <f>'Field data and Bala'!T11</f>
        <v>0</v>
      </c>
      <c r="U11" s="49">
        <f>'Field data and Bala'!U11</f>
        <v>0</v>
      </c>
      <c r="V11" s="102">
        <f>'Field data and Bala'!V11</f>
        <v>0</v>
      </c>
      <c r="AB11" s="13"/>
      <c r="AC11" s="13"/>
      <c r="AD11" s="42" t="s">
        <v>141</v>
      </c>
      <c r="AE11" s="22">
        <v>6</v>
      </c>
      <c r="AF11" s="13"/>
      <c r="AG11" s="13"/>
      <c r="AH11" s="13"/>
      <c r="AI11" s="43" t="s">
        <v>122</v>
      </c>
      <c r="AJ11" s="44">
        <v>15</v>
      </c>
      <c r="AK11" s="45">
        <v>17.5</v>
      </c>
      <c r="AL11" s="9">
        <v>9</v>
      </c>
      <c r="AM11" s="9">
        <v>7</v>
      </c>
      <c r="AN11" s="9" t="s">
        <v>135</v>
      </c>
    </row>
    <row r="12" spans="1:41" ht="13" x14ac:dyDescent="0.25">
      <c r="A12" s="132" t="s">
        <v>6</v>
      </c>
      <c r="B12" s="133"/>
      <c r="C12" s="49">
        <f>'Field data and Bala'!C12</f>
        <v>3</v>
      </c>
      <c r="D12" s="49">
        <f>'Field data and Bala'!D12</f>
        <v>2</v>
      </c>
      <c r="E12" s="49">
        <f>'Field data and Bala'!E12</f>
        <v>2</v>
      </c>
      <c r="F12" s="49">
        <f>'Field data and Bala'!F12</f>
        <v>1</v>
      </c>
      <c r="G12" s="49">
        <f>'Field data and Bala'!G12</f>
        <v>1</v>
      </c>
      <c r="H12" s="49">
        <f>'Field data and Bala'!H12</f>
        <v>1</v>
      </c>
      <c r="I12" s="49">
        <f>'Field data and Bala'!I12</f>
        <v>1</v>
      </c>
      <c r="J12" s="49">
        <f>'Field data and Bala'!J12</f>
        <v>0</v>
      </c>
      <c r="K12" s="49">
        <f>'Field data and Bala'!K12</f>
        <v>0</v>
      </c>
      <c r="L12" s="49">
        <f>'Field data and Bala'!L12</f>
        <v>0</v>
      </c>
      <c r="M12" s="49">
        <f>'Field data and Bala'!M12</f>
        <v>0</v>
      </c>
      <c r="N12" s="49">
        <f>'Field data and Bala'!N12</f>
        <v>0</v>
      </c>
      <c r="O12" s="49">
        <f>'Field data and Bala'!O12</f>
        <v>0</v>
      </c>
      <c r="P12" s="49">
        <f>'Field data and Bala'!P12</f>
        <v>0</v>
      </c>
      <c r="Q12" s="49">
        <f>'Field data and Bala'!Q12</f>
        <v>0</v>
      </c>
      <c r="R12" s="49">
        <f>'Field data and Bala'!R12</f>
        <v>0</v>
      </c>
      <c r="S12" s="49">
        <f>'Field data and Bala'!S12</f>
        <v>0</v>
      </c>
      <c r="T12" s="49">
        <f>'Field data and Bala'!T12</f>
        <v>0</v>
      </c>
      <c r="U12" s="49">
        <f>'Field data and Bala'!U12</f>
        <v>0</v>
      </c>
      <c r="V12" s="102">
        <f>'Field data and Bala'!V12</f>
        <v>0</v>
      </c>
      <c r="AB12" s="13"/>
      <c r="AC12" s="13"/>
      <c r="AD12" s="42" t="s">
        <v>142</v>
      </c>
      <c r="AE12" s="22">
        <v>7.5</v>
      </c>
      <c r="AF12" s="13"/>
      <c r="AG12" s="13"/>
      <c r="AH12" s="13"/>
      <c r="AI12" s="43" t="s">
        <v>121</v>
      </c>
      <c r="AJ12" s="44">
        <v>14</v>
      </c>
      <c r="AK12" s="45">
        <v>11</v>
      </c>
      <c r="AL12" s="9">
        <v>10</v>
      </c>
      <c r="AM12" s="9">
        <v>7</v>
      </c>
      <c r="AN12" s="9" t="s">
        <v>135</v>
      </c>
    </row>
    <row r="13" spans="1:41" ht="13" x14ac:dyDescent="0.25">
      <c r="A13" s="132" t="s">
        <v>7</v>
      </c>
      <c r="B13" s="133"/>
      <c r="C13" s="49">
        <f>'Field data and Bala'!C13</f>
        <v>3</v>
      </c>
      <c r="D13" s="49">
        <f>'Field data and Bala'!D13</f>
        <v>2</v>
      </c>
      <c r="E13" s="49">
        <f>'Field data and Bala'!E13</f>
        <v>2</v>
      </c>
      <c r="F13" s="49">
        <f>'Field data and Bala'!F13</f>
        <v>2</v>
      </c>
      <c r="G13" s="49">
        <f>'Field data and Bala'!G13</f>
        <v>2</v>
      </c>
      <c r="H13" s="49">
        <f>'Field data and Bala'!H13</f>
        <v>3</v>
      </c>
      <c r="I13" s="49">
        <f>'Field data and Bala'!I13</f>
        <v>2</v>
      </c>
      <c r="J13" s="49">
        <f>'Field data and Bala'!J13</f>
        <v>0</v>
      </c>
      <c r="K13" s="49">
        <f>'Field data and Bala'!K13</f>
        <v>0</v>
      </c>
      <c r="L13" s="49">
        <f>'Field data and Bala'!L13</f>
        <v>0</v>
      </c>
      <c r="M13" s="49">
        <f>'Field data and Bala'!M13</f>
        <v>0</v>
      </c>
      <c r="N13" s="49">
        <f>'Field data and Bala'!N13</f>
        <v>0</v>
      </c>
      <c r="O13" s="49">
        <f>'Field data and Bala'!O13</f>
        <v>0</v>
      </c>
      <c r="P13" s="49">
        <f>'Field data and Bala'!P13</f>
        <v>0</v>
      </c>
      <c r="Q13" s="49">
        <f>'Field data and Bala'!Q13</f>
        <v>0</v>
      </c>
      <c r="R13" s="49">
        <f>'Field data and Bala'!R13</f>
        <v>0</v>
      </c>
      <c r="S13" s="49">
        <f>'Field data and Bala'!S13</f>
        <v>0</v>
      </c>
      <c r="T13" s="49">
        <f>'Field data and Bala'!T13</f>
        <v>0</v>
      </c>
      <c r="U13" s="49">
        <f>'Field data and Bala'!U13</f>
        <v>0</v>
      </c>
      <c r="V13" s="102">
        <f>'Field data and Bala'!V13</f>
        <v>0</v>
      </c>
      <c r="AB13" s="13"/>
      <c r="AC13" s="13"/>
      <c r="AD13" s="42" t="s">
        <v>143</v>
      </c>
      <c r="AE13" s="22">
        <v>12</v>
      </c>
      <c r="AF13" s="13"/>
      <c r="AG13" s="13"/>
      <c r="AH13" s="13"/>
      <c r="AI13" s="43" t="s">
        <v>120</v>
      </c>
      <c r="AJ13" s="44">
        <v>1.9</v>
      </c>
      <c r="AK13" s="45">
        <v>7.5</v>
      </c>
      <c r="AL13" s="9">
        <v>11</v>
      </c>
      <c r="AM13" s="9">
        <v>6.7</v>
      </c>
      <c r="AN13" s="9" t="s">
        <v>135</v>
      </c>
    </row>
    <row r="14" spans="1:41" ht="13" x14ac:dyDescent="0.25">
      <c r="A14" s="150" t="s">
        <v>8</v>
      </c>
      <c r="B14" s="151"/>
      <c r="C14" s="83" t="str">
        <f>'Field data and Bala'!C14</f>
        <v xml:space="preserve">Grass Silage (25% DM) </v>
      </c>
      <c r="D14" s="83" t="str">
        <f>'Field data and Bala'!D14</f>
        <v xml:space="preserve">Grass Silage (25% DM) </v>
      </c>
      <c r="E14" s="83" t="str">
        <f>'Field data and Bala'!E14</f>
        <v xml:space="preserve">Grass Silage (25% DM) </v>
      </c>
      <c r="F14" s="83" t="str">
        <f>'Field data and Bala'!F14</f>
        <v xml:space="preserve">Grass Silage (25% DM) </v>
      </c>
      <c r="G14" s="83" t="str">
        <f>'Field data and Bala'!G14</f>
        <v xml:space="preserve">Grass Silage (25% DM) </v>
      </c>
      <c r="H14" s="83" t="str">
        <f>'Field data and Bala'!H14</f>
        <v xml:space="preserve">Grass Silage (25% DM) </v>
      </c>
      <c r="I14" s="83" t="str">
        <f>'Field data and Bala'!I14</f>
        <v xml:space="preserve">Grass Silage (25% DM) </v>
      </c>
      <c r="J14" s="83">
        <f>'Field data and Bala'!J14</f>
        <v>0</v>
      </c>
      <c r="K14" s="83">
        <f>'Field data and Bala'!K14</f>
        <v>0</v>
      </c>
      <c r="L14" s="83">
        <f>'Field data and Bala'!L14</f>
        <v>0</v>
      </c>
      <c r="M14" s="83">
        <f>'Field data and Bala'!M14</f>
        <v>0</v>
      </c>
      <c r="N14" s="83">
        <f>'Field data and Bala'!N14</f>
        <v>0</v>
      </c>
      <c r="O14" s="83">
        <f>'Field data and Bala'!O14</f>
        <v>0</v>
      </c>
      <c r="P14" s="83">
        <f>'Field data and Bala'!P14</f>
        <v>0</v>
      </c>
      <c r="Q14" s="83">
        <f>'Field data and Bala'!Q14</f>
        <v>0</v>
      </c>
      <c r="R14" s="83">
        <f>'Field data and Bala'!R14</f>
        <v>0</v>
      </c>
      <c r="S14" s="83">
        <f>'Field data and Bala'!S14</f>
        <v>0</v>
      </c>
      <c r="T14" s="83">
        <f>'Field data and Bala'!T14</f>
        <v>0</v>
      </c>
      <c r="U14" s="83">
        <f>'Field data and Bala'!U14</f>
        <v>0</v>
      </c>
      <c r="V14" s="103">
        <f>'Field data and Bala'!V14</f>
        <v>0</v>
      </c>
      <c r="AD14" s="22" t="s">
        <v>138</v>
      </c>
      <c r="AE14" s="22">
        <v>6</v>
      </c>
      <c r="AI14" s="43" t="s">
        <v>119</v>
      </c>
      <c r="AJ14" s="44">
        <v>0.8</v>
      </c>
      <c r="AK14" s="45">
        <v>1.7</v>
      </c>
      <c r="AL14" s="9">
        <v>12</v>
      </c>
      <c r="AM14" s="9">
        <v>6.7</v>
      </c>
      <c r="AN14" s="9" t="s">
        <v>135</v>
      </c>
    </row>
    <row r="15" spans="1:41" ht="13" x14ac:dyDescent="0.25">
      <c r="A15" s="148" t="s">
        <v>9</v>
      </c>
      <c r="B15" s="149"/>
      <c r="C15" s="49">
        <f>'Field data and Bala'!C15</f>
        <v>38</v>
      </c>
      <c r="D15" s="49">
        <f>'Field data and Bala'!D15</f>
        <v>38</v>
      </c>
      <c r="E15" s="49">
        <f>'Field data and Bala'!E15</f>
        <v>38</v>
      </c>
      <c r="F15" s="49">
        <f>'Field data and Bala'!F15</f>
        <v>38</v>
      </c>
      <c r="G15" s="49">
        <f>'Field data and Bala'!G15</f>
        <v>38</v>
      </c>
      <c r="H15" s="49">
        <f>'Field data and Bala'!H15</f>
        <v>38</v>
      </c>
      <c r="I15" s="49">
        <f>'Field data and Bala'!I15</f>
        <v>38</v>
      </c>
      <c r="J15" s="49">
        <f>'Field data and Bala'!J15</f>
        <v>0</v>
      </c>
      <c r="K15" s="49">
        <f>'Field data and Bala'!K15</f>
        <v>0</v>
      </c>
      <c r="L15" s="49">
        <f>'Field data and Bala'!L15</f>
        <v>0</v>
      </c>
      <c r="M15" s="49">
        <f>'Field data and Bala'!M15</f>
        <v>0</v>
      </c>
      <c r="N15" s="49">
        <f>'Field data and Bala'!N15</f>
        <v>0</v>
      </c>
      <c r="O15" s="49">
        <f>'Field data and Bala'!O15</f>
        <v>0</v>
      </c>
      <c r="P15" s="49">
        <f>'Field data and Bala'!P15</f>
        <v>0</v>
      </c>
      <c r="Q15" s="49">
        <f>'Field data and Bala'!Q15</f>
        <v>0</v>
      </c>
      <c r="R15" s="49">
        <f>'Field data and Bala'!R15</f>
        <v>0</v>
      </c>
      <c r="S15" s="49">
        <f>'Field data and Bala'!S15</f>
        <v>0</v>
      </c>
      <c r="T15" s="49">
        <f>'Field data and Bala'!T15</f>
        <v>0</v>
      </c>
      <c r="U15" s="49">
        <f>'Field data and Bala'!U15</f>
        <v>0</v>
      </c>
      <c r="V15" s="102">
        <f>'Field data and Bala'!V15</f>
        <v>0</v>
      </c>
      <c r="AD15" s="22" t="s">
        <v>144</v>
      </c>
      <c r="AE15" s="22">
        <v>7</v>
      </c>
      <c r="AI15" s="43" t="s">
        <v>101</v>
      </c>
      <c r="AJ15" s="51">
        <v>1.8</v>
      </c>
      <c r="AK15" s="45">
        <v>5.4</v>
      </c>
      <c r="AL15" s="9">
        <v>13</v>
      </c>
      <c r="AM15" s="9">
        <v>6.7</v>
      </c>
      <c r="AN15" s="9" t="s">
        <v>135</v>
      </c>
    </row>
    <row r="16" spans="1:41" ht="13.5" thickBot="1" x14ac:dyDescent="0.3">
      <c r="A16" s="152" t="s">
        <v>44</v>
      </c>
      <c r="B16" s="153"/>
      <c r="C16" s="104" t="str">
        <f>'Field data and Bala'!C16</f>
        <v>Medium/Clay</v>
      </c>
      <c r="D16" s="104" t="str">
        <f>'Field data and Bala'!D16</f>
        <v>Medium/Clay</v>
      </c>
      <c r="E16" s="104" t="str">
        <f>'Field data and Bala'!E16</f>
        <v>Medium/Clay</v>
      </c>
      <c r="F16" s="104" t="str">
        <f>'Field data and Bala'!F16</f>
        <v>Medium/Clay</v>
      </c>
      <c r="G16" s="104" t="str">
        <f>'Field data and Bala'!G16</f>
        <v>Medium/Clay</v>
      </c>
      <c r="H16" s="104" t="str">
        <f>'Field data and Bala'!H16</f>
        <v>Medium/Clay</v>
      </c>
      <c r="I16" s="104" t="str">
        <f>'Field data and Bala'!I16</f>
        <v>Medium/Clay</v>
      </c>
      <c r="J16" s="104">
        <f>'Field data and Bala'!J16</f>
        <v>0</v>
      </c>
      <c r="K16" s="104">
        <f>'Field data and Bala'!K16</f>
        <v>0</v>
      </c>
      <c r="L16" s="104">
        <f>'Field data and Bala'!L16</f>
        <v>0</v>
      </c>
      <c r="M16" s="104">
        <f>'Field data and Bala'!M16</f>
        <v>0</v>
      </c>
      <c r="N16" s="104">
        <f>'Field data and Bala'!N16</f>
        <v>0</v>
      </c>
      <c r="O16" s="104">
        <f>'Field data and Bala'!O16</f>
        <v>0</v>
      </c>
      <c r="P16" s="104">
        <f>'Field data and Bala'!P16</f>
        <v>0</v>
      </c>
      <c r="Q16" s="104">
        <f>'Field data and Bala'!Q16</f>
        <v>0</v>
      </c>
      <c r="R16" s="104">
        <f>'Field data and Bala'!R16</f>
        <v>0</v>
      </c>
      <c r="S16" s="104">
        <f>'Field data and Bala'!S16</f>
        <v>0</v>
      </c>
      <c r="T16" s="104">
        <f>'Field data and Bala'!T16</f>
        <v>0</v>
      </c>
      <c r="U16" s="104">
        <f>'Field data and Bala'!U16</f>
        <v>0</v>
      </c>
      <c r="V16" s="105">
        <f>'Field data and Bala'!V16</f>
        <v>0</v>
      </c>
      <c r="AD16" s="42" t="s">
        <v>145</v>
      </c>
      <c r="AE16" s="22">
        <v>8</v>
      </c>
      <c r="AI16" s="43" t="s">
        <v>118</v>
      </c>
      <c r="AJ16" s="44">
        <v>8</v>
      </c>
      <c r="AK16" s="45">
        <v>5.5</v>
      </c>
      <c r="AL16" s="7">
        <v>14</v>
      </c>
      <c r="AM16" s="9">
        <v>6.7</v>
      </c>
      <c r="AN16" s="9" t="s">
        <v>135</v>
      </c>
    </row>
    <row r="17" spans="1:40" ht="13" x14ac:dyDescent="0.25">
      <c r="A17" s="138" t="s">
        <v>69</v>
      </c>
      <c r="B17" s="139"/>
      <c r="C17" s="20">
        <f>(VLOOKUP(C$14,$AI2:$AK26,2,FALSE))*C$15</f>
        <v>64.599999999999994</v>
      </c>
      <c r="D17" s="20">
        <f t="shared" ref="D17:V17" si="0">(VLOOKUP(D$14,$AI2:$AK26,2,FALSE))*D$15</f>
        <v>64.599999999999994</v>
      </c>
      <c r="E17" s="20">
        <f t="shared" si="0"/>
        <v>64.599999999999994</v>
      </c>
      <c r="F17" s="20">
        <f t="shared" si="0"/>
        <v>64.599999999999994</v>
      </c>
      <c r="G17" s="20">
        <f t="shared" si="0"/>
        <v>64.599999999999994</v>
      </c>
      <c r="H17" s="20">
        <f t="shared" si="0"/>
        <v>64.599999999999994</v>
      </c>
      <c r="I17" s="20">
        <f t="shared" si="0"/>
        <v>64.599999999999994</v>
      </c>
      <c r="J17" s="20" t="e">
        <f t="shared" si="0"/>
        <v>#N/A</v>
      </c>
      <c r="K17" s="20" t="e">
        <f t="shared" si="0"/>
        <v>#N/A</v>
      </c>
      <c r="L17" s="20" t="e">
        <f t="shared" si="0"/>
        <v>#N/A</v>
      </c>
      <c r="M17" s="20" t="e">
        <f t="shared" si="0"/>
        <v>#N/A</v>
      </c>
      <c r="N17" s="20" t="e">
        <f t="shared" si="0"/>
        <v>#N/A</v>
      </c>
      <c r="O17" s="20" t="e">
        <f t="shared" si="0"/>
        <v>#N/A</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ht="13" x14ac:dyDescent="0.25">
      <c r="A18" s="140" t="s">
        <v>23</v>
      </c>
      <c r="B18" s="141"/>
      <c r="C18" s="12">
        <f>$D31</f>
        <v>32.691745240000003</v>
      </c>
      <c r="D18" s="12">
        <f>$D32</f>
        <v>65.094183000000001</v>
      </c>
      <c r="E18" s="12">
        <f>$D33</f>
        <v>32.691745240000003</v>
      </c>
      <c r="F18" s="12">
        <f>$D34</f>
        <v>32.691745240000003</v>
      </c>
      <c r="G18" s="12">
        <f>$D35</f>
        <v>32.691745240000003</v>
      </c>
      <c r="H18" s="12">
        <f>$D36</f>
        <v>32.691745240000003</v>
      </c>
      <c r="I18" s="12">
        <f>$D37</f>
        <v>32.691745240000003</v>
      </c>
      <c r="J18" s="12">
        <f>$D38</f>
        <v>0</v>
      </c>
      <c r="K18" s="12">
        <f>$D39</f>
        <v>0</v>
      </c>
      <c r="L18" s="12">
        <f>$D40</f>
        <v>0</v>
      </c>
      <c r="M18" s="12">
        <f>$D41</f>
        <v>0</v>
      </c>
      <c r="N18" s="12">
        <f>$D42</f>
        <v>0</v>
      </c>
      <c r="O18" s="12">
        <f>$D43</f>
        <v>0</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ht="13" x14ac:dyDescent="0.25">
      <c r="A19" s="140" t="s">
        <v>90</v>
      </c>
      <c r="B19" s="141"/>
      <c r="C19" s="12">
        <f>C18-C17</f>
        <v>-31.908254759999991</v>
      </c>
      <c r="D19" s="12">
        <f t="shared" ref="D19:V19" si="1">D18-D17</f>
        <v>0.4941830000000067</v>
      </c>
      <c r="E19" s="12">
        <f t="shared" si="1"/>
        <v>-31.908254759999991</v>
      </c>
      <c r="F19" s="12">
        <f t="shared" si="1"/>
        <v>-31.908254759999991</v>
      </c>
      <c r="G19" s="12">
        <f t="shared" si="1"/>
        <v>-31.908254759999991</v>
      </c>
      <c r="H19" s="12">
        <f t="shared" si="1"/>
        <v>-31.908254759999991</v>
      </c>
      <c r="I19" s="12">
        <f t="shared" si="1"/>
        <v>-31.908254759999991</v>
      </c>
      <c r="J19" s="12" t="e">
        <f t="shared" si="1"/>
        <v>#N/A</v>
      </c>
      <c r="K19" s="12" t="e">
        <f t="shared" si="1"/>
        <v>#N/A</v>
      </c>
      <c r="L19" s="12" t="e">
        <f t="shared" si="1"/>
        <v>#N/A</v>
      </c>
      <c r="M19" s="12" t="e">
        <f t="shared" si="1"/>
        <v>#N/A</v>
      </c>
      <c r="N19" s="12" t="e">
        <f t="shared" si="1"/>
        <v>#N/A</v>
      </c>
      <c r="O19" s="12" t="e">
        <f t="shared" si="1"/>
        <v>#N/A</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3">
      <c r="A20" s="142" t="s">
        <v>91</v>
      </c>
      <c r="B20" s="143"/>
      <c r="C20" s="18" t="str">
        <f>IF($B31="","",IF(C$19&gt;=0,"INCREASE","DECREASE"))</f>
        <v>DECREASE</v>
      </c>
      <c r="D20" s="18" t="str">
        <f>IF($B32="","",IF(D$19&gt;=0,"INCREASE","DECREASE"))</f>
        <v>INCREASE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
      </c>
      <c r="K20" s="18" t="str">
        <f>IF($B39="","",IF(K$19&gt;=0,"INCREASE","DECREASE"))</f>
        <v/>
      </c>
      <c r="L20" s="18" t="str">
        <f>IF($B40="","",IF(L$19&gt;=0,"INCREASE","DECREASE"))</f>
        <v/>
      </c>
      <c r="M20" s="18" t="str">
        <f>IF($B41="","",IF(M$19&gt;=0,"INCREASE","DECREASE"))</f>
        <v/>
      </c>
      <c r="N20" s="18" t="str">
        <f>IF($B42="","",IF(N$19&gt;=0,"INCREASE","DECREASE"))</f>
        <v/>
      </c>
      <c r="O20" s="18" t="str">
        <f>IF($B43="","",IF(O$19&gt;=0,"INCREASE","DECREASE"))</f>
        <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ht="13" x14ac:dyDescent="0.25">
      <c r="A21" s="138" t="s">
        <v>88</v>
      </c>
      <c r="B21" s="139"/>
      <c r="C21" s="20">
        <f>(VLOOKUP(C$14,$AI2:$AK26,3,FALSE))*C$15</f>
        <v>228</v>
      </c>
      <c r="D21" s="20">
        <f t="shared" ref="D21:V21" si="2">(VLOOKUP(D$14,$AI2:$AK26,3,FALSE))*D$15</f>
        <v>228</v>
      </c>
      <c r="E21" s="20">
        <f t="shared" si="2"/>
        <v>228</v>
      </c>
      <c r="F21" s="20">
        <f t="shared" si="2"/>
        <v>228</v>
      </c>
      <c r="G21" s="20">
        <f t="shared" si="2"/>
        <v>228</v>
      </c>
      <c r="H21" s="20">
        <f t="shared" si="2"/>
        <v>228</v>
      </c>
      <c r="I21" s="20">
        <f t="shared" si="2"/>
        <v>228</v>
      </c>
      <c r="J21" s="20" t="e">
        <f t="shared" si="2"/>
        <v>#N/A</v>
      </c>
      <c r="K21" s="20" t="e">
        <f t="shared" si="2"/>
        <v>#N/A</v>
      </c>
      <c r="L21" s="20" t="e">
        <f t="shared" si="2"/>
        <v>#N/A</v>
      </c>
      <c r="M21" s="20" t="e">
        <f t="shared" si="2"/>
        <v>#N/A</v>
      </c>
      <c r="N21" s="20" t="e">
        <f t="shared" si="2"/>
        <v>#N/A</v>
      </c>
      <c r="O21" s="20" t="e">
        <f t="shared" si="2"/>
        <v>#N/A</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ht="13" x14ac:dyDescent="0.25">
      <c r="A22" s="140" t="s">
        <v>89</v>
      </c>
      <c r="B22" s="141"/>
      <c r="C22" s="12">
        <f>$E31</f>
        <v>0.59912600000000005</v>
      </c>
      <c r="D22" s="12">
        <f>$E32</f>
        <v>1.1929500000000002</v>
      </c>
      <c r="E22" s="12">
        <f>$E33</f>
        <v>0.59912600000000005</v>
      </c>
      <c r="F22" s="12">
        <f>$E34</f>
        <v>0.59912600000000005</v>
      </c>
      <c r="G22" s="12">
        <f>$E35</f>
        <v>0.59912600000000005</v>
      </c>
      <c r="H22" s="12">
        <f>$E36</f>
        <v>0.59912600000000005</v>
      </c>
      <c r="I22" s="12">
        <f>$E37</f>
        <v>0.59912600000000005</v>
      </c>
      <c r="J22" s="12">
        <f>$E38</f>
        <v>0</v>
      </c>
      <c r="K22" s="12">
        <f>$E39</f>
        <v>0</v>
      </c>
      <c r="L22" s="12">
        <f>$E40</f>
        <v>0</v>
      </c>
      <c r="M22" s="12">
        <f>$E41</f>
        <v>0</v>
      </c>
      <c r="N22" s="12">
        <f>$E42</f>
        <v>0</v>
      </c>
      <c r="O22" s="12">
        <f>$E43</f>
        <v>0</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ht="13" x14ac:dyDescent="0.25">
      <c r="A23" s="140" t="s">
        <v>92</v>
      </c>
      <c r="B23" s="141"/>
      <c r="C23" s="12">
        <f>C22-C21</f>
        <v>-227.40087399999999</v>
      </c>
      <c r="D23" s="12">
        <f t="shared" ref="D23:V23" si="3">D22-D21</f>
        <v>-226.80705</v>
      </c>
      <c r="E23" s="12">
        <f t="shared" si="3"/>
        <v>-227.40087399999999</v>
      </c>
      <c r="F23" s="12">
        <f t="shared" si="3"/>
        <v>-227.40087399999999</v>
      </c>
      <c r="G23" s="12">
        <f t="shared" si="3"/>
        <v>-227.40087399999999</v>
      </c>
      <c r="H23" s="12">
        <f t="shared" si="3"/>
        <v>-227.40087399999999</v>
      </c>
      <c r="I23" s="12">
        <f t="shared" si="3"/>
        <v>-227.40087399999999</v>
      </c>
      <c r="J23" s="12" t="e">
        <f t="shared" si="3"/>
        <v>#N/A</v>
      </c>
      <c r="K23" s="12" t="e">
        <f t="shared" si="3"/>
        <v>#N/A</v>
      </c>
      <c r="L23" s="12" t="e">
        <f t="shared" si="3"/>
        <v>#N/A</v>
      </c>
      <c r="M23" s="12" t="e">
        <f t="shared" si="3"/>
        <v>#N/A</v>
      </c>
      <c r="N23" s="12" t="e">
        <f t="shared" si="3"/>
        <v>#N/A</v>
      </c>
      <c r="O23" s="12" t="e">
        <f t="shared" si="3"/>
        <v>#N/A</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3">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e">
        <f t="shared" si="4"/>
        <v>#N/A</v>
      </c>
      <c r="K24" s="18" t="e">
        <f t="shared" si="4"/>
        <v>#N/A</v>
      </c>
      <c r="L24" s="18" t="e">
        <f t="shared" si="4"/>
        <v>#N/A</v>
      </c>
      <c r="M24" s="18" t="e">
        <f t="shared" si="4"/>
        <v>#N/A</v>
      </c>
      <c r="N24" s="18" t="e">
        <f t="shared" si="4"/>
        <v>#N/A</v>
      </c>
      <c r="O24" s="18" t="e">
        <f t="shared" si="4"/>
        <v>#N/A</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 thickBot="1" x14ac:dyDescent="0.3">
      <c r="D25" s="56"/>
      <c r="E25" s="56"/>
      <c r="F25" s="56"/>
      <c r="AI25" s="52" t="s">
        <v>117</v>
      </c>
      <c r="AJ25" s="55">
        <v>1</v>
      </c>
      <c r="AK25" s="54">
        <v>5.8</v>
      </c>
      <c r="AL25" s="21">
        <v>23</v>
      </c>
      <c r="AM25" s="9">
        <v>6.7</v>
      </c>
      <c r="AN25" s="9" t="s">
        <v>135</v>
      </c>
    </row>
    <row r="26" spans="1:40" s="7" customFormat="1" ht="13" x14ac:dyDescent="0.25">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3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35">
      <c r="A28" s="122"/>
      <c r="B28" s="16">
        <v>4.4000000000000004</v>
      </c>
      <c r="C28" s="11">
        <v>0.61599999999999999</v>
      </c>
      <c r="D28" s="11">
        <v>0.28699999999999998</v>
      </c>
      <c r="E28" s="11">
        <v>0.01</v>
      </c>
      <c r="F28" s="11">
        <v>437</v>
      </c>
      <c r="G28" s="11">
        <v>16.7</v>
      </c>
      <c r="H28" s="11">
        <v>299</v>
      </c>
      <c r="I28" s="11">
        <v>27.7</v>
      </c>
      <c r="J28" s="11">
        <v>0.87</v>
      </c>
      <c r="K28" s="15">
        <v>0.91</v>
      </c>
      <c r="L28" s="11">
        <v>15.9</v>
      </c>
      <c r="M28" s="11">
        <v>14.7</v>
      </c>
      <c r="N28" s="11">
        <v>5030</v>
      </c>
      <c r="O28" s="11">
        <v>464000</v>
      </c>
      <c r="P28" s="11"/>
      <c r="Q28" s="11">
        <v>3100</v>
      </c>
      <c r="R28" s="11"/>
      <c r="S28" s="11">
        <v>11.5</v>
      </c>
      <c r="T28" s="11"/>
      <c r="U28" s="97"/>
    </row>
    <row r="29" spans="1:40" s="7" customFormat="1" ht="28" x14ac:dyDescent="0.3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8" x14ac:dyDescent="0.3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ht="13" x14ac:dyDescent="0.35">
      <c r="A31" s="125">
        <f>C8</f>
        <v>865</v>
      </c>
      <c r="B31" s="11">
        <v>113</v>
      </c>
      <c r="C31" s="65">
        <f>IF(C$27="%w/w SAR",((C$28*10)*$B31),IF(C$27="%w/w DM",(((C$28*10)*($B$28/100))*$B31),IF(C$27="kg/t SAR",(C$28*$B31),IF(C$27="kg/t DM",((C$28*($B$28/100))*$B31),IF(C$27="mg/kg SAR",((C$28*0.001)*$B31),IF(C$27="mg/kg DM",(((C$28*0.001)*($B$28/100))*$B31),0))))))</f>
        <v>30.627520000000008</v>
      </c>
      <c r="D31" s="65">
        <f>(IF(D$27="%w/w SAR",((D$28*10)*$B31),IF(D$27="%w/w DM",(((D$28*10)*($B$28/100))*$B31),IF(D$27="kg/t SAR",(D$28*$B31),IF(D$27="kg/t DM",((D$28*($B$28/100))*$B31),IF(D$27="mg/kg SAR",((D$28*0.001)*$B31),IF(D$27="mg/kg DM",(((D$28*0.001)*($B$28/100))*$B31),"0")))))))*2.291</f>
        <v>32.691745240000003</v>
      </c>
      <c r="E31" s="65">
        <f>(IF(E$27="%w/w SAR",((E$28*10)*$B31),IF(E$27="%w/w DM",(((E$28*10)*($B$28/100))*$B31),IF(E$27="kg/t SAR",(E$28*$B31),IF(E$27="kg/t DM",((E$28*($B$28/100))*$B31),IF(E$27="mg/kg SAR",((E$28*0.001)*$B31),IF(E$27="mg/kg DM",(((E$28*0.001)*($B$28/100))*$B31),"0")))))))*1.205</f>
        <v>0.59912600000000005</v>
      </c>
      <c r="F31" s="65">
        <f>(IF(F$27="%w/w SAR",((F$28*10)*$B31),IF(F$27="%w/w DM",(((F$28*10)*($B$28/100))*$B31),IF(F$27="kg/t SAR",(F$28*$B31),IF(F$27="kg/t DM",((F$28*($B$28/100))*$B31),IF(F$27="mg/kg SAR",((F$28*0.001)*$B31),IF(F$27="mg/kg DM",(((F$28*0.001)*($B$28/100))*$B31),"0")))))))*1.658</f>
        <v>3.6024427120000002</v>
      </c>
      <c r="G31" s="65">
        <f t="shared" ref="G31:P46" si="5">IF(G$27="%w/w SAR",((G$28*10)*$B31),IF(G$27="%w/w DM",(((G$28*10)*($B$28/100))*$B31),IF(G$27="kg/t SAR",(G$28*$B31),IF(G$27="kg/t DM",((G$28*($B$28/100))*$B31),IF(G$27="mg/kg SAR",((G$28*0.001)*$B31),IF(G$27="mg/kg DM",(((G$28*0.001)*($B$28/100))*$B31),0))))))</f>
        <v>8.3032400000000006E-2</v>
      </c>
      <c r="H31" s="65">
        <f t="shared" si="5"/>
        <v>1.4866280000000001</v>
      </c>
      <c r="I31" s="65">
        <f t="shared" si="5"/>
        <v>0.13772440000000002</v>
      </c>
      <c r="J31" s="65">
        <f t="shared" si="5"/>
        <v>4.3256400000000004E-3</v>
      </c>
      <c r="K31" s="65">
        <f t="shared" si="5"/>
        <v>4.5245200000000006E-3</v>
      </c>
      <c r="L31" s="65">
        <f t="shared" si="5"/>
        <v>7.9054800000000008E-2</v>
      </c>
      <c r="M31" s="65">
        <f t="shared" si="5"/>
        <v>7.3088399999999998E-2</v>
      </c>
      <c r="N31" s="65">
        <f t="shared" si="5"/>
        <v>25.009160000000005</v>
      </c>
      <c r="O31" s="65">
        <f t="shared" si="5"/>
        <v>2307.0080000000003</v>
      </c>
      <c r="P31" s="65">
        <f t="shared" si="5"/>
        <v>0</v>
      </c>
      <c r="Q31" s="65">
        <f>(IF(Q$27="%w/w SAR",((Q$28*10)*$B31),IF(Q$27="%w/w DM",(((Q$28*10)*($B$28/100))*$B31),IF(Q$27="kg/t SAR",(Q$28*$B31),IF(Q$27="kg/t DM",((Q$28*($B$28/100))*$B31),IF(Q$27="mg/kg SAR",((Q$28*0.001)*$B31),IF(Q$27="mg/kg DM",(((Q$28*0.001)*($B$28/100))*$B31),0)))))))*2.5</f>
        <v>38.533000000000001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5.7178000000000007E-2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ht="13" x14ac:dyDescent="0.35">
      <c r="A32" s="125">
        <f>D8</f>
        <v>9846</v>
      </c>
      <c r="B32" s="11">
        <v>225</v>
      </c>
      <c r="C32" s="65">
        <f t="shared" ref="C32:C50" si="6">IF(C$27="%w/w SAR",((C$28*10)*$B32),IF(C$27="%w/w DM",(((C$28*10)*($B$28/100))*$B32),IF(C$27="kg/t SAR",(C$28*$B32),IF(C$27="kg/t DM",((C$28*($B$28/100))*$B32),IF(C$27="mg/kg SAR",((C$28*0.001)*$B32),IF(C$27="mg/kg DM",(((C$28*0.001)*($B$28/100))*$B32),0))))))</f>
        <v>60.984000000000016</v>
      </c>
      <c r="D32" s="65">
        <f t="shared" ref="D32:D50" si="7">(IF(D$27="%w/w SAR",((D$28*10)*$B32),IF(D$27="%w/w DM",(((D$28*10)*($B$28/100))*$B32),IF(D$27="kg/t SAR",(D$28*$B32),IF(D$27="kg/t DM",((D$28*($B$28/100))*$B32),IF(D$27="mg/kg SAR",((D$28*0.001)*$B32),IF(D$27="mg/kg DM",(((D$28*0.001)*($B$28/100))*$B32),"0")))))))*2.291</f>
        <v>65.094183000000001</v>
      </c>
      <c r="E32" s="65">
        <f t="shared" ref="E32:E50" si="8">(IF(E$27="%w/w SAR",((E$28*10)*$B32),IF(E$27="%w/w DM",(((E$28*10)*($B$28/100))*$B32),IF(E$27="kg/t SAR",(E$28*$B32),IF(E$27="kg/t DM",((E$28*($B$28/100))*$B32),IF(E$27="mg/kg SAR",((E$28*0.001)*$B32),IF(E$27="mg/kg DM",(((E$28*0.001)*($B$28/100))*$B32),"0")))))))*1.205</f>
        <v>1.1929500000000002</v>
      </c>
      <c r="F32" s="65">
        <f t="shared" ref="F32:F50" si="9">(IF(F$27="%w/w SAR",((F$28*10)*$B32),IF(F$27="%w/w DM",(((F$28*10)*($B$28/100))*$B32),IF(F$27="kg/t SAR",(F$28*$B32),IF(F$27="kg/t DM",((F$28*($B$28/100))*$B32),IF(F$27="mg/kg SAR",((F$28*0.001)*$B32),IF(F$27="mg/kg DM",(((F$28*0.001)*($B$28/100))*$B32),"0")))))))*1.658</f>
        <v>7.173005400000001</v>
      </c>
      <c r="G32" s="65">
        <f t="shared" si="5"/>
        <v>0.16533</v>
      </c>
      <c r="H32" s="65">
        <f t="shared" si="5"/>
        <v>2.9601000000000002</v>
      </c>
      <c r="I32" s="65">
        <f t="shared" si="5"/>
        <v>0.27423000000000003</v>
      </c>
      <c r="J32" s="65">
        <f t="shared" si="5"/>
        <v>8.6130000000000009E-3</v>
      </c>
      <c r="K32" s="65">
        <f t="shared" si="5"/>
        <v>9.0090000000000014E-3</v>
      </c>
      <c r="L32" s="65">
        <f t="shared" si="5"/>
        <v>0.15741000000000002</v>
      </c>
      <c r="M32" s="65">
        <f t="shared" si="5"/>
        <v>0.14552999999999999</v>
      </c>
      <c r="N32" s="65">
        <f t="shared" si="5"/>
        <v>49.797000000000011</v>
      </c>
      <c r="O32" s="65">
        <f t="shared" si="5"/>
        <v>4593.6000000000004</v>
      </c>
      <c r="P32" s="65">
        <f t="shared" si="5"/>
        <v>0</v>
      </c>
      <c r="Q32" s="65">
        <f t="shared" ref="Q32:Q50" si="10">(IF(Q$27="%w/w SAR",((Q$28*10)*$B32),IF(Q$27="%w/w DM",(((Q$28*10)*($B$28/100))*$B32),IF(Q$27="kg/t SAR",(Q$28*$B32),IF(Q$27="kg/t DM",((Q$28*($B$28/100))*$B32),IF(Q$27="mg/kg SAR",((Q$28*0.001)*$B32),IF(Q$27="mg/kg DM",(((Q$28*0.001)*($B$28/100))*$B32),0)))))))*2.5</f>
        <v>76.725000000000009</v>
      </c>
      <c r="R32" s="65">
        <f t="shared" ref="R32:U50" si="11">IF(R$27="%w/w SAR",((R$28*10)*$B32),IF(R$27="%w/w DM",(((R$28*10)*($B$28/100))*$B32),IF(R$27="kg/t SAR",(R$28*$B32),IF(R$27="kg/t DM",((R$28*($B$28/100))*$B32),IF(R$27="mg/kg SAR",((R$28*0.001)*$B32),IF(R$27="mg/kg DM",(((R$28*0.001)*($B$28/100))*$B32),0))))))</f>
        <v>0</v>
      </c>
      <c r="S32" s="65">
        <f t="shared" si="11"/>
        <v>0.11385000000000001</v>
      </c>
      <c r="T32" s="65">
        <f t="shared" si="11"/>
        <v>0</v>
      </c>
      <c r="U32" s="126">
        <f t="shared" si="11"/>
        <v>0</v>
      </c>
    </row>
    <row r="33" spans="1:21" s="48" customFormat="1" ht="13" x14ac:dyDescent="0.35">
      <c r="A33" s="125">
        <f>E8</f>
        <v>1416</v>
      </c>
      <c r="B33" s="11">
        <v>113</v>
      </c>
      <c r="C33" s="65">
        <f t="shared" si="6"/>
        <v>30.627520000000008</v>
      </c>
      <c r="D33" s="65">
        <f t="shared" si="7"/>
        <v>32.691745240000003</v>
      </c>
      <c r="E33" s="65">
        <f t="shared" si="8"/>
        <v>0.59912600000000005</v>
      </c>
      <c r="F33" s="65">
        <f t="shared" si="9"/>
        <v>3.6024427120000002</v>
      </c>
      <c r="G33" s="65">
        <f t="shared" si="5"/>
        <v>8.3032400000000006E-2</v>
      </c>
      <c r="H33" s="65">
        <f t="shared" si="5"/>
        <v>1.4866280000000001</v>
      </c>
      <c r="I33" s="65">
        <f t="shared" si="5"/>
        <v>0.13772440000000002</v>
      </c>
      <c r="J33" s="65">
        <f t="shared" si="5"/>
        <v>4.3256400000000004E-3</v>
      </c>
      <c r="K33" s="65">
        <f t="shared" si="5"/>
        <v>4.5245200000000006E-3</v>
      </c>
      <c r="L33" s="65">
        <f t="shared" si="5"/>
        <v>7.9054800000000008E-2</v>
      </c>
      <c r="M33" s="65">
        <f t="shared" si="5"/>
        <v>7.3088399999999998E-2</v>
      </c>
      <c r="N33" s="65">
        <f t="shared" si="5"/>
        <v>25.009160000000005</v>
      </c>
      <c r="O33" s="65">
        <f t="shared" si="5"/>
        <v>2307.0080000000003</v>
      </c>
      <c r="P33" s="65">
        <f t="shared" si="5"/>
        <v>0</v>
      </c>
      <c r="Q33" s="65">
        <f t="shared" si="10"/>
        <v>38.533000000000001</v>
      </c>
      <c r="R33" s="65">
        <f t="shared" si="11"/>
        <v>0</v>
      </c>
      <c r="S33" s="65">
        <f t="shared" si="11"/>
        <v>5.7178000000000007E-2</v>
      </c>
      <c r="T33" s="65">
        <f t="shared" si="11"/>
        <v>0</v>
      </c>
      <c r="U33" s="126">
        <f t="shared" si="11"/>
        <v>0</v>
      </c>
    </row>
    <row r="34" spans="1:21" s="48" customFormat="1" ht="13" x14ac:dyDescent="0.35">
      <c r="A34" s="125">
        <f>F8</f>
        <v>9216</v>
      </c>
      <c r="B34" s="11">
        <v>113</v>
      </c>
      <c r="C34" s="65">
        <f t="shared" si="6"/>
        <v>30.627520000000008</v>
      </c>
      <c r="D34" s="65">
        <f t="shared" si="7"/>
        <v>32.691745240000003</v>
      </c>
      <c r="E34" s="65">
        <f t="shared" si="8"/>
        <v>0.59912600000000005</v>
      </c>
      <c r="F34" s="65">
        <f t="shared" si="9"/>
        <v>3.6024427120000002</v>
      </c>
      <c r="G34" s="65">
        <f t="shared" si="5"/>
        <v>8.3032400000000006E-2</v>
      </c>
      <c r="H34" s="65">
        <f t="shared" si="5"/>
        <v>1.4866280000000001</v>
      </c>
      <c r="I34" s="65">
        <f t="shared" si="5"/>
        <v>0.13772440000000002</v>
      </c>
      <c r="J34" s="65">
        <f t="shared" si="5"/>
        <v>4.3256400000000004E-3</v>
      </c>
      <c r="K34" s="65">
        <f t="shared" si="5"/>
        <v>4.5245200000000006E-3</v>
      </c>
      <c r="L34" s="65">
        <f t="shared" si="5"/>
        <v>7.9054800000000008E-2</v>
      </c>
      <c r="M34" s="65">
        <f t="shared" si="5"/>
        <v>7.3088399999999998E-2</v>
      </c>
      <c r="N34" s="65">
        <f t="shared" si="5"/>
        <v>25.009160000000005</v>
      </c>
      <c r="O34" s="65">
        <f t="shared" si="5"/>
        <v>2307.0080000000003</v>
      </c>
      <c r="P34" s="65">
        <f t="shared" si="5"/>
        <v>0</v>
      </c>
      <c r="Q34" s="65">
        <f t="shared" si="10"/>
        <v>38.533000000000001</v>
      </c>
      <c r="R34" s="65">
        <f t="shared" si="11"/>
        <v>0</v>
      </c>
      <c r="S34" s="65">
        <f t="shared" si="11"/>
        <v>5.7178000000000007E-2</v>
      </c>
      <c r="T34" s="65">
        <f t="shared" si="11"/>
        <v>0</v>
      </c>
      <c r="U34" s="126">
        <f t="shared" si="11"/>
        <v>0</v>
      </c>
    </row>
    <row r="35" spans="1:21" s="48" customFormat="1" ht="13" x14ac:dyDescent="0.35">
      <c r="A35" s="125">
        <f>G8</f>
        <v>1113</v>
      </c>
      <c r="B35" s="11">
        <v>113</v>
      </c>
      <c r="C35" s="65">
        <f t="shared" si="6"/>
        <v>30.627520000000008</v>
      </c>
      <c r="D35" s="65">
        <f t="shared" si="7"/>
        <v>32.691745240000003</v>
      </c>
      <c r="E35" s="65">
        <f t="shared" si="8"/>
        <v>0.59912600000000005</v>
      </c>
      <c r="F35" s="65">
        <f t="shared" si="9"/>
        <v>3.6024427120000002</v>
      </c>
      <c r="G35" s="65">
        <f t="shared" si="5"/>
        <v>8.3032400000000006E-2</v>
      </c>
      <c r="H35" s="65">
        <f t="shared" si="5"/>
        <v>1.4866280000000001</v>
      </c>
      <c r="I35" s="65">
        <f t="shared" si="5"/>
        <v>0.13772440000000002</v>
      </c>
      <c r="J35" s="65">
        <f t="shared" si="5"/>
        <v>4.3256400000000004E-3</v>
      </c>
      <c r="K35" s="65">
        <f t="shared" si="5"/>
        <v>4.5245200000000006E-3</v>
      </c>
      <c r="L35" s="65">
        <f t="shared" si="5"/>
        <v>7.9054800000000008E-2</v>
      </c>
      <c r="M35" s="65">
        <f t="shared" si="5"/>
        <v>7.3088399999999998E-2</v>
      </c>
      <c r="N35" s="65">
        <f t="shared" si="5"/>
        <v>25.009160000000005</v>
      </c>
      <c r="O35" s="65">
        <f t="shared" si="5"/>
        <v>2307.0080000000003</v>
      </c>
      <c r="P35" s="65">
        <f t="shared" si="5"/>
        <v>0</v>
      </c>
      <c r="Q35" s="65">
        <f t="shared" si="10"/>
        <v>38.533000000000001</v>
      </c>
      <c r="R35" s="65">
        <f t="shared" si="11"/>
        <v>0</v>
      </c>
      <c r="S35" s="65">
        <f t="shared" si="11"/>
        <v>5.7178000000000007E-2</v>
      </c>
      <c r="T35" s="65">
        <f t="shared" si="11"/>
        <v>0</v>
      </c>
      <c r="U35" s="126">
        <f t="shared" si="11"/>
        <v>0</v>
      </c>
    </row>
    <row r="36" spans="1:21" s="48" customFormat="1" ht="13" x14ac:dyDescent="0.35">
      <c r="A36" s="125">
        <f>H8</f>
        <v>264</v>
      </c>
      <c r="B36" s="11">
        <v>113</v>
      </c>
      <c r="C36" s="65">
        <f t="shared" si="6"/>
        <v>30.627520000000008</v>
      </c>
      <c r="D36" s="65">
        <f t="shared" si="7"/>
        <v>32.691745240000003</v>
      </c>
      <c r="E36" s="65">
        <f t="shared" si="8"/>
        <v>0.59912600000000005</v>
      </c>
      <c r="F36" s="65">
        <f t="shared" si="9"/>
        <v>3.6024427120000002</v>
      </c>
      <c r="G36" s="65">
        <f t="shared" si="5"/>
        <v>8.3032400000000006E-2</v>
      </c>
      <c r="H36" s="65">
        <f t="shared" si="5"/>
        <v>1.4866280000000001</v>
      </c>
      <c r="I36" s="65">
        <f t="shared" si="5"/>
        <v>0.13772440000000002</v>
      </c>
      <c r="J36" s="65">
        <f t="shared" si="5"/>
        <v>4.3256400000000004E-3</v>
      </c>
      <c r="K36" s="65">
        <f t="shared" si="5"/>
        <v>4.5245200000000006E-3</v>
      </c>
      <c r="L36" s="65">
        <f t="shared" si="5"/>
        <v>7.9054800000000008E-2</v>
      </c>
      <c r="M36" s="65">
        <f t="shared" si="5"/>
        <v>7.3088399999999998E-2</v>
      </c>
      <c r="N36" s="65">
        <f t="shared" si="5"/>
        <v>25.009160000000005</v>
      </c>
      <c r="O36" s="65">
        <f t="shared" si="5"/>
        <v>2307.0080000000003</v>
      </c>
      <c r="P36" s="65">
        <f t="shared" si="5"/>
        <v>0</v>
      </c>
      <c r="Q36" s="65">
        <f t="shared" si="10"/>
        <v>38.533000000000001</v>
      </c>
      <c r="R36" s="65">
        <f t="shared" si="11"/>
        <v>0</v>
      </c>
      <c r="S36" s="65">
        <f t="shared" si="11"/>
        <v>5.7178000000000007E-2</v>
      </c>
      <c r="T36" s="65">
        <f t="shared" si="11"/>
        <v>0</v>
      </c>
      <c r="U36" s="126">
        <f t="shared" si="11"/>
        <v>0</v>
      </c>
    </row>
    <row r="37" spans="1:21" s="48" customFormat="1" ht="13" x14ac:dyDescent="0.35">
      <c r="A37" s="125">
        <f>I8</f>
        <v>2585</v>
      </c>
      <c r="B37" s="11">
        <v>113</v>
      </c>
      <c r="C37" s="65">
        <f t="shared" si="6"/>
        <v>30.627520000000008</v>
      </c>
      <c r="D37" s="65">
        <f t="shared" si="7"/>
        <v>32.691745240000003</v>
      </c>
      <c r="E37" s="65">
        <f t="shared" si="8"/>
        <v>0.59912600000000005</v>
      </c>
      <c r="F37" s="65">
        <f t="shared" si="9"/>
        <v>3.6024427120000002</v>
      </c>
      <c r="G37" s="65">
        <f t="shared" si="5"/>
        <v>8.3032400000000006E-2</v>
      </c>
      <c r="H37" s="65">
        <f t="shared" si="5"/>
        <v>1.4866280000000001</v>
      </c>
      <c r="I37" s="65">
        <f t="shared" si="5"/>
        <v>0.13772440000000002</v>
      </c>
      <c r="J37" s="65">
        <f t="shared" si="5"/>
        <v>4.3256400000000004E-3</v>
      </c>
      <c r="K37" s="65">
        <f t="shared" si="5"/>
        <v>4.5245200000000006E-3</v>
      </c>
      <c r="L37" s="65">
        <f t="shared" si="5"/>
        <v>7.9054800000000008E-2</v>
      </c>
      <c r="M37" s="65">
        <f t="shared" si="5"/>
        <v>7.3088399999999998E-2</v>
      </c>
      <c r="N37" s="65">
        <f t="shared" si="5"/>
        <v>25.009160000000005</v>
      </c>
      <c r="O37" s="65">
        <f t="shared" si="5"/>
        <v>2307.0080000000003</v>
      </c>
      <c r="P37" s="65">
        <f t="shared" si="5"/>
        <v>0</v>
      </c>
      <c r="Q37" s="65">
        <f t="shared" si="10"/>
        <v>38.533000000000001</v>
      </c>
      <c r="R37" s="65">
        <f t="shared" si="11"/>
        <v>0</v>
      </c>
      <c r="S37" s="65">
        <f t="shared" si="11"/>
        <v>5.7178000000000007E-2</v>
      </c>
      <c r="T37" s="65">
        <f t="shared" si="11"/>
        <v>0</v>
      </c>
      <c r="U37" s="126">
        <f t="shared" si="11"/>
        <v>0</v>
      </c>
    </row>
    <row r="38" spans="1:21" s="48" customFormat="1" ht="13" x14ac:dyDescent="0.35">
      <c r="A38" s="125">
        <f>J8</f>
        <v>0</v>
      </c>
      <c r="B38" s="11"/>
      <c r="C38" s="65">
        <f t="shared" si="6"/>
        <v>0</v>
      </c>
      <c r="D38" s="65">
        <f t="shared" si="7"/>
        <v>0</v>
      </c>
      <c r="E38" s="65">
        <f t="shared" si="8"/>
        <v>0</v>
      </c>
      <c r="F38" s="65">
        <f t="shared" si="9"/>
        <v>0</v>
      </c>
      <c r="G38" s="65">
        <f t="shared" si="5"/>
        <v>0</v>
      </c>
      <c r="H38" s="65">
        <f t="shared" si="5"/>
        <v>0</v>
      </c>
      <c r="I38" s="65">
        <f t="shared" si="5"/>
        <v>0</v>
      </c>
      <c r="J38" s="65">
        <f t="shared" si="5"/>
        <v>0</v>
      </c>
      <c r="K38" s="65">
        <f t="shared" si="5"/>
        <v>0</v>
      </c>
      <c r="L38" s="65">
        <f t="shared" si="5"/>
        <v>0</v>
      </c>
      <c r="M38" s="65">
        <f t="shared" si="5"/>
        <v>0</v>
      </c>
      <c r="N38" s="65">
        <f t="shared" si="5"/>
        <v>0</v>
      </c>
      <c r="O38" s="65">
        <f t="shared" si="5"/>
        <v>0</v>
      </c>
      <c r="P38" s="65">
        <f t="shared" si="5"/>
        <v>0</v>
      </c>
      <c r="Q38" s="65">
        <f t="shared" si="10"/>
        <v>0</v>
      </c>
      <c r="R38" s="65">
        <f t="shared" si="11"/>
        <v>0</v>
      </c>
      <c r="S38" s="65">
        <f t="shared" si="11"/>
        <v>0</v>
      </c>
      <c r="T38" s="65">
        <f t="shared" si="11"/>
        <v>0</v>
      </c>
      <c r="U38" s="126">
        <f t="shared" si="11"/>
        <v>0</v>
      </c>
    </row>
    <row r="39" spans="1:21" s="48" customFormat="1" ht="13" x14ac:dyDescent="0.35">
      <c r="A39" s="125">
        <f>K8</f>
        <v>0</v>
      </c>
      <c r="B39" s="11"/>
      <c r="C39" s="65">
        <f t="shared" si="6"/>
        <v>0</v>
      </c>
      <c r="D39" s="65">
        <f t="shared" si="7"/>
        <v>0</v>
      </c>
      <c r="E39" s="65">
        <f t="shared" si="8"/>
        <v>0</v>
      </c>
      <c r="F39" s="65">
        <f t="shared" si="9"/>
        <v>0</v>
      </c>
      <c r="G39" s="65">
        <f t="shared" si="5"/>
        <v>0</v>
      </c>
      <c r="H39" s="65">
        <f t="shared" si="5"/>
        <v>0</v>
      </c>
      <c r="I39" s="65">
        <f t="shared" si="5"/>
        <v>0</v>
      </c>
      <c r="J39" s="65">
        <f t="shared" si="5"/>
        <v>0</v>
      </c>
      <c r="K39" s="65">
        <f t="shared" si="5"/>
        <v>0</v>
      </c>
      <c r="L39" s="65">
        <f t="shared" si="5"/>
        <v>0</v>
      </c>
      <c r="M39" s="65">
        <f t="shared" si="5"/>
        <v>0</v>
      </c>
      <c r="N39" s="65">
        <f t="shared" si="5"/>
        <v>0</v>
      </c>
      <c r="O39" s="65">
        <f t="shared" si="5"/>
        <v>0</v>
      </c>
      <c r="P39" s="65">
        <f t="shared" si="5"/>
        <v>0</v>
      </c>
      <c r="Q39" s="65">
        <f t="shared" si="10"/>
        <v>0</v>
      </c>
      <c r="R39" s="65">
        <f t="shared" si="11"/>
        <v>0</v>
      </c>
      <c r="S39" s="65">
        <f t="shared" si="11"/>
        <v>0</v>
      </c>
      <c r="T39" s="65">
        <f t="shared" si="11"/>
        <v>0</v>
      </c>
      <c r="U39" s="126">
        <f t="shared" si="11"/>
        <v>0</v>
      </c>
    </row>
    <row r="40" spans="1:21" s="48" customFormat="1" ht="13" x14ac:dyDescent="0.35">
      <c r="A40" s="125">
        <f>L8</f>
        <v>0</v>
      </c>
      <c r="B40" s="11"/>
      <c r="C40" s="65">
        <f t="shared" si="6"/>
        <v>0</v>
      </c>
      <c r="D40" s="65">
        <f t="shared" si="7"/>
        <v>0</v>
      </c>
      <c r="E40" s="65">
        <f t="shared" si="8"/>
        <v>0</v>
      </c>
      <c r="F40" s="65">
        <f t="shared" si="9"/>
        <v>0</v>
      </c>
      <c r="G40" s="65">
        <f t="shared" si="5"/>
        <v>0</v>
      </c>
      <c r="H40" s="65">
        <f t="shared" si="5"/>
        <v>0</v>
      </c>
      <c r="I40" s="65">
        <f t="shared" si="5"/>
        <v>0</v>
      </c>
      <c r="J40" s="65">
        <f t="shared" si="5"/>
        <v>0</v>
      </c>
      <c r="K40" s="65">
        <f t="shared" si="5"/>
        <v>0</v>
      </c>
      <c r="L40" s="65">
        <f t="shared" si="5"/>
        <v>0</v>
      </c>
      <c r="M40" s="65">
        <f t="shared" si="5"/>
        <v>0</v>
      </c>
      <c r="N40" s="65">
        <f t="shared" si="5"/>
        <v>0</v>
      </c>
      <c r="O40" s="65">
        <f t="shared" si="5"/>
        <v>0</v>
      </c>
      <c r="P40" s="65">
        <f t="shared" si="5"/>
        <v>0</v>
      </c>
      <c r="Q40" s="65">
        <f t="shared" si="10"/>
        <v>0</v>
      </c>
      <c r="R40" s="65">
        <f t="shared" si="11"/>
        <v>0</v>
      </c>
      <c r="S40" s="65">
        <f t="shared" si="11"/>
        <v>0</v>
      </c>
      <c r="T40" s="65">
        <f t="shared" si="11"/>
        <v>0</v>
      </c>
      <c r="U40" s="126">
        <f t="shared" si="11"/>
        <v>0</v>
      </c>
    </row>
    <row r="41" spans="1:21" s="48" customFormat="1" ht="13" x14ac:dyDescent="0.35">
      <c r="A41" s="125">
        <f>M8</f>
        <v>0</v>
      </c>
      <c r="B41" s="11"/>
      <c r="C41" s="65">
        <f t="shared" si="6"/>
        <v>0</v>
      </c>
      <c r="D41" s="65">
        <f t="shared" si="7"/>
        <v>0</v>
      </c>
      <c r="E41" s="65">
        <f t="shared" si="8"/>
        <v>0</v>
      </c>
      <c r="F41" s="65">
        <f t="shared" si="9"/>
        <v>0</v>
      </c>
      <c r="G41" s="65">
        <f t="shared" si="5"/>
        <v>0</v>
      </c>
      <c r="H41" s="65">
        <f t="shared" si="5"/>
        <v>0</v>
      </c>
      <c r="I41" s="65">
        <f t="shared" si="5"/>
        <v>0</v>
      </c>
      <c r="J41" s="65">
        <f t="shared" si="5"/>
        <v>0</v>
      </c>
      <c r="K41" s="65">
        <f t="shared" si="5"/>
        <v>0</v>
      </c>
      <c r="L41" s="65">
        <f t="shared" si="5"/>
        <v>0</v>
      </c>
      <c r="M41" s="65">
        <f t="shared" si="5"/>
        <v>0</v>
      </c>
      <c r="N41" s="65">
        <f t="shared" si="5"/>
        <v>0</v>
      </c>
      <c r="O41" s="65">
        <f t="shared" si="5"/>
        <v>0</v>
      </c>
      <c r="P41" s="65">
        <f t="shared" si="5"/>
        <v>0</v>
      </c>
      <c r="Q41" s="65">
        <f t="shared" si="10"/>
        <v>0</v>
      </c>
      <c r="R41" s="65">
        <f t="shared" si="11"/>
        <v>0</v>
      </c>
      <c r="S41" s="65">
        <f t="shared" si="11"/>
        <v>0</v>
      </c>
      <c r="T41" s="65">
        <f t="shared" si="11"/>
        <v>0</v>
      </c>
      <c r="U41" s="126">
        <f t="shared" si="11"/>
        <v>0</v>
      </c>
    </row>
    <row r="42" spans="1:21" s="48" customFormat="1" ht="13" x14ac:dyDescent="0.35">
      <c r="A42" s="125">
        <f>N8</f>
        <v>0</v>
      </c>
      <c r="B42" s="11"/>
      <c r="C42" s="65">
        <f t="shared" si="6"/>
        <v>0</v>
      </c>
      <c r="D42" s="65">
        <f t="shared" si="7"/>
        <v>0</v>
      </c>
      <c r="E42" s="65">
        <f t="shared" si="8"/>
        <v>0</v>
      </c>
      <c r="F42" s="65">
        <f t="shared" si="9"/>
        <v>0</v>
      </c>
      <c r="G42" s="65">
        <f t="shared" si="5"/>
        <v>0</v>
      </c>
      <c r="H42" s="65">
        <f t="shared" si="5"/>
        <v>0</v>
      </c>
      <c r="I42" s="65">
        <f t="shared" si="5"/>
        <v>0</v>
      </c>
      <c r="J42" s="65">
        <f t="shared" si="5"/>
        <v>0</v>
      </c>
      <c r="K42" s="65">
        <f t="shared" si="5"/>
        <v>0</v>
      </c>
      <c r="L42" s="65">
        <f t="shared" si="5"/>
        <v>0</v>
      </c>
      <c r="M42" s="65">
        <f t="shared" si="5"/>
        <v>0</v>
      </c>
      <c r="N42" s="65">
        <f t="shared" si="5"/>
        <v>0</v>
      </c>
      <c r="O42" s="65">
        <f t="shared" si="5"/>
        <v>0</v>
      </c>
      <c r="P42" s="65">
        <f t="shared" si="5"/>
        <v>0</v>
      </c>
      <c r="Q42" s="65">
        <f t="shared" si="10"/>
        <v>0</v>
      </c>
      <c r="R42" s="65">
        <f t="shared" si="11"/>
        <v>0</v>
      </c>
      <c r="S42" s="65">
        <f t="shared" si="11"/>
        <v>0</v>
      </c>
      <c r="T42" s="65">
        <f t="shared" si="11"/>
        <v>0</v>
      </c>
      <c r="U42" s="126">
        <f t="shared" si="11"/>
        <v>0</v>
      </c>
    </row>
    <row r="43" spans="1:21" s="48" customFormat="1" ht="13" x14ac:dyDescent="0.35">
      <c r="A43" s="125">
        <f>O8</f>
        <v>0</v>
      </c>
      <c r="B43" s="11"/>
      <c r="C43" s="65">
        <f t="shared" si="6"/>
        <v>0</v>
      </c>
      <c r="D43" s="65">
        <f t="shared" si="7"/>
        <v>0</v>
      </c>
      <c r="E43" s="65">
        <f t="shared" si="8"/>
        <v>0</v>
      </c>
      <c r="F43" s="65">
        <f t="shared" si="9"/>
        <v>0</v>
      </c>
      <c r="G43" s="65">
        <f t="shared" si="5"/>
        <v>0</v>
      </c>
      <c r="H43" s="65">
        <f t="shared" si="5"/>
        <v>0</v>
      </c>
      <c r="I43" s="65">
        <f t="shared" si="5"/>
        <v>0</v>
      </c>
      <c r="J43" s="65">
        <f t="shared" si="5"/>
        <v>0</v>
      </c>
      <c r="K43" s="65">
        <f t="shared" si="5"/>
        <v>0</v>
      </c>
      <c r="L43" s="65">
        <f t="shared" si="5"/>
        <v>0</v>
      </c>
      <c r="M43" s="65">
        <f t="shared" si="5"/>
        <v>0</v>
      </c>
      <c r="N43" s="65">
        <f t="shared" si="5"/>
        <v>0</v>
      </c>
      <c r="O43" s="65">
        <f t="shared" si="5"/>
        <v>0</v>
      </c>
      <c r="P43" s="65">
        <f t="shared" si="5"/>
        <v>0</v>
      </c>
      <c r="Q43" s="65">
        <f t="shared" si="10"/>
        <v>0</v>
      </c>
      <c r="R43" s="65">
        <f t="shared" si="11"/>
        <v>0</v>
      </c>
      <c r="S43" s="65">
        <f t="shared" si="11"/>
        <v>0</v>
      </c>
      <c r="T43" s="65">
        <f t="shared" si="11"/>
        <v>0</v>
      </c>
      <c r="U43" s="126">
        <f t="shared" si="11"/>
        <v>0</v>
      </c>
    </row>
    <row r="44" spans="1:21" s="48" customFormat="1" ht="13" x14ac:dyDescent="0.3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ht="13" x14ac:dyDescent="0.3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ht="13" x14ac:dyDescent="0.3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ht="13" x14ac:dyDescent="0.3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ht="13" x14ac:dyDescent="0.3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ht="13" x14ac:dyDescent="0.3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4">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4">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ht="13" x14ac:dyDescent="0.35">
      <c r="A53" s="7" t="s">
        <v>130</v>
      </c>
    </row>
    <row r="54" spans="1:21" ht="26" x14ac:dyDescent="0.3">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5">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ht="13" x14ac:dyDescent="0.3">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ht="13" x14ac:dyDescent="0.35">
      <c r="A57" s="79" t="s">
        <v>2</v>
      </c>
      <c r="B57" s="8">
        <f>C8</f>
        <v>865</v>
      </c>
      <c r="C57" s="8">
        <f t="shared" ref="C57:U57" si="13">D8</f>
        <v>9846</v>
      </c>
      <c r="D57" s="8">
        <f t="shared" si="13"/>
        <v>1416</v>
      </c>
      <c r="E57" s="8">
        <f t="shared" si="13"/>
        <v>9216</v>
      </c>
      <c r="F57" s="8">
        <f t="shared" si="13"/>
        <v>1113</v>
      </c>
      <c r="G57" s="8">
        <f t="shared" si="13"/>
        <v>264</v>
      </c>
      <c r="H57" s="8">
        <f t="shared" si="13"/>
        <v>2585</v>
      </c>
      <c r="I57" s="8">
        <f t="shared" si="13"/>
        <v>0</v>
      </c>
      <c r="J57" s="8">
        <f t="shared" si="13"/>
        <v>0</v>
      </c>
      <c r="K57" s="8">
        <f t="shared" si="13"/>
        <v>0</v>
      </c>
      <c r="L57" s="8">
        <f t="shared" si="13"/>
        <v>0</v>
      </c>
      <c r="M57" s="8">
        <f t="shared" si="13"/>
        <v>0</v>
      </c>
      <c r="N57" s="8">
        <f t="shared" si="13"/>
        <v>0</v>
      </c>
      <c r="O57" s="8">
        <f t="shared" si="13"/>
        <v>0</v>
      </c>
      <c r="P57" s="8">
        <f t="shared" si="13"/>
        <v>0</v>
      </c>
      <c r="Q57" s="8">
        <f t="shared" si="13"/>
        <v>0</v>
      </c>
      <c r="R57" s="8">
        <f t="shared" si="13"/>
        <v>0</v>
      </c>
      <c r="S57" s="8">
        <f t="shared" si="13"/>
        <v>0</v>
      </c>
      <c r="T57" s="8">
        <f t="shared" si="13"/>
        <v>0</v>
      </c>
      <c r="U57" s="8">
        <f t="shared" si="13"/>
        <v>0</v>
      </c>
    </row>
    <row r="58" spans="1:21" ht="13" x14ac:dyDescent="0.35">
      <c r="A58" s="79" t="s">
        <v>136</v>
      </c>
      <c r="B58" s="10" t="str">
        <f>C16&amp;" I "&amp;(VLOOKUP(C14,Table2456[],6,FALSE))</f>
        <v>Medium/Clay I Grass</v>
      </c>
      <c r="C58" s="10" t="str">
        <f>D16&amp;" I "&amp;(VLOOKUP(D14,Table2456[],6,FALSE))</f>
        <v>Medium/Clay I Grass</v>
      </c>
      <c r="D58" s="10" t="str">
        <f>E16&amp;" I "&amp;(VLOOKUP(E14,Table2456[],6,FALSE))</f>
        <v>Medium/Clay I Grass</v>
      </c>
      <c r="E58" s="10" t="str">
        <f>F16&amp;" I "&amp;(VLOOKUP(F14,Table2456[],6,FALSE))</f>
        <v>Medium/Clay I Grass</v>
      </c>
      <c r="F58" s="10" t="str">
        <f>G16&amp;" I "&amp;(VLOOKUP(G14,Table2456[],6,FALSE))</f>
        <v>Medium/Clay I Grass</v>
      </c>
      <c r="G58" s="10" t="str">
        <f>H16&amp;" I "&amp;(VLOOKUP(H14,Table2456[],6,FALSE))</f>
        <v>Medium/Clay I Grass</v>
      </c>
      <c r="H58" s="10" t="str">
        <f>I16&amp;" I "&amp;(VLOOKUP(I14,Table2456[],6,FALSE))</f>
        <v>Medium/Clay I Grass</v>
      </c>
      <c r="I58" s="10" t="e">
        <f>J16&amp;" I "&amp;(VLOOKUP(J14,Table2456[],6,FALSE))</f>
        <v>#N/A</v>
      </c>
      <c r="J58" s="10" t="e">
        <f>K16&amp;" I "&amp;(VLOOKUP(K14,Table2456[],6,FALSE))</f>
        <v>#N/A</v>
      </c>
      <c r="K58" s="10" t="e">
        <f>L16&amp;" I "&amp;(VLOOKUP(L14,Table2456[],6,FALSE))</f>
        <v>#N/A</v>
      </c>
      <c r="L58" s="10" t="e">
        <f>M16&amp;" I "&amp;(VLOOKUP(M14,Table2456[],6,FALSE))</f>
        <v>#N/A</v>
      </c>
      <c r="M58" s="10" t="e">
        <f>N16&amp;" I "&amp;(VLOOKUP(N14,Table2456[],6,FALSE))</f>
        <v>#N/A</v>
      </c>
      <c r="N58" s="10" t="e">
        <f>O16&amp;" I "&amp;(VLOOKUP(O14,Table2456[],6,FALSE))</f>
        <v>#N/A</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ht="13" x14ac:dyDescent="0.3">
      <c r="A59" s="87" t="s">
        <v>132</v>
      </c>
      <c r="B59" s="64">
        <f>VLOOKUP(C$14,Table2456[],5,FALSE)</f>
        <v>6.2</v>
      </c>
      <c r="C59" s="64">
        <f>VLOOKUP(D$14,Table2456[],5,FALSE)</f>
        <v>6.2</v>
      </c>
      <c r="D59" s="64">
        <f>VLOOKUP(E$14,Table2456[],5,FALSE)</f>
        <v>6.2</v>
      </c>
      <c r="E59" s="64">
        <f>VLOOKUP(F$14,Table2456[],5,FALSE)</f>
        <v>6.2</v>
      </c>
      <c r="F59" s="64">
        <f>VLOOKUP(G$14,Table2456[],5,FALSE)</f>
        <v>6.2</v>
      </c>
      <c r="G59" s="64">
        <f>VLOOKUP(H$14,Table2456[],5,FALSE)</f>
        <v>6.2</v>
      </c>
      <c r="H59" s="64">
        <f>VLOOKUP(I$14,Table2456[],5,FALSE)</f>
        <v>6.2</v>
      </c>
      <c r="I59" s="64" t="e">
        <f>VLOOKUP(J$14,Table2456[],5,FALSE)</f>
        <v>#N/A</v>
      </c>
      <c r="J59" s="64" t="e">
        <f>VLOOKUP(K$14,Table2456[],5,FALSE)</f>
        <v>#N/A</v>
      </c>
      <c r="K59" s="64" t="e">
        <f>VLOOKUP(L$14,Table2456[],5,FALSE)</f>
        <v>#N/A</v>
      </c>
      <c r="L59" s="64" t="e">
        <f>VLOOKUP(M$14,Table2456[],5,FALSE)</f>
        <v>#N/A</v>
      </c>
      <c r="M59" s="64" t="e">
        <f>VLOOKUP(N$14,Table2456[],5,FALSE)</f>
        <v>#N/A</v>
      </c>
      <c r="N59" s="64" t="e">
        <f>VLOOKUP(O$14,Table2456[],5,FALSE)</f>
        <v>#N/A</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ht="13" x14ac:dyDescent="0.3">
      <c r="A60" s="87" t="s">
        <v>4</v>
      </c>
      <c r="B60" s="64">
        <f>C10</f>
        <v>6.1</v>
      </c>
      <c r="C60" s="64">
        <f t="shared" ref="C60:U60" si="14">D10</f>
        <v>6.2</v>
      </c>
      <c r="D60" s="64">
        <f t="shared" si="14"/>
        <v>6.1</v>
      </c>
      <c r="E60" s="64">
        <f t="shared" si="14"/>
        <v>6.1</v>
      </c>
      <c r="F60" s="64">
        <f t="shared" si="14"/>
        <v>5.8</v>
      </c>
      <c r="G60" s="64">
        <f t="shared" si="14"/>
        <v>5.9</v>
      </c>
      <c r="H60" s="64">
        <f t="shared" si="14"/>
        <v>6.7</v>
      </c>
      <c r="I60" s="64">
        <f t="shared" si="14"/>
        <v>0</v>
      </c>
      <c r="J60" s="64">
        <f t="shared" si="14"/>
        <v>0</v>
      </c>
      <c r="K60" s="64">
        <f t="shared" si="14"/>
        <v>0</v>
      </c>
      <c r="L60" s="64">
        <f t="shared" si="14"/>
        <v>0</v>
      </c>
      <c r="M60" s="64">
        <f t="shared" si="14"/>
        <v>0</v>
      </c>
      <c r="N60" s="64">
        <f t="shared" si="14"/>
        <v>0</v>
      </c>
      <c r="O60" s="64">
        <f t="shared" si="14"/>
        <v>0</v>
      </c>
      <c r="P60" s="64">
        <f t="shared" si="14"/>
        <v>0</v>
      </c>
      <c r="Q60" s="64">
        <f t="shared" si="14"/>
        <v>0</v>
      </c>
      <c r="R60" s="64">
        <f t="shared" si="14"/>
        <v>0</v>
      </c>
      <c r="S60" s="64">
        <f t="shared" si="14"/>
        <v>0</v>
      </c>
      <c r="T60" s="64">
        <f t="shared" si="14"/>
        <v>0</v>
      </c>
      <c r="U60" s="64">
        <f t="shared" si="14"/>
        <v>0</v>
      </c>
    </row>
    <row r="61" spans="1:21" ht="13" x14ac:dyDescent="0.3">
      <c r="A61" s="87" t="s">
        <v>133</v>
      </c>
      <c r="B61" s="64">
        <f t="shared" ref="B61:U61" si="15">VLOOKUP(B58,$AD9:$AE18,2,FALSE)</f>
        <v>6</v>
      </c>
      <c r="C61" s="64">
        <f t="shared" si="15"/>
        <v>6</v>
      </c>
      <c r="D61" s="64">
        <f t="shared" si="15"/>
        <v>6</v>
      </c>
      <c r="E61" s="64">
        <f t="shared" si="15"/>
        <v>6</v>
      </c>
      <c r="F61" s="64">
        <f t="shared" si="15"/>
        <v>6</v>
      </c>
      <c r="G61" s="64">
        <f t="shared" si="15"/>
        <v>6</v>
      </c>
      <c r="H61" s="64">
        <f t="shared" si="15"/>
        <v>6</v>
      </c>
      <c r="I61" s="64" t="e">
        <f t="shared" si="15"/>
        <v>#N/A</v>
      </c>
      <c r="J61" s="64" t="e">
        <f t="shared" si="15"/>
        <v>#N/A</v>
      </c>
      <c r="K61" s="64" t="e">
        <f t="shared" si="15"/>
        <v>#N/A</v>
      </c>
      <c r="L61" s="64" t="e">
        <f t="shared" si="15"/>
        <v>#N/A</v>
      </c>
      <c r="M61" s="64" t="e">
        <f t="shared" si="15"/>
        <v>#N/A</v>
      </c>
      <c r="N61" s="64" t="e">
        <f t="shared" si="15"/>
        <v>#N/A</v>
      </c>
      <c r="O61" s="64" t="e">
        <f t="shared" si="15"/>
        <v>#N/A</v>
      </c>
      <c r="P61" s="64" t="e">
        <f t="shared" si="15"/>
        <v>#N/A</v>
      </c>
      <c r="Q61" s="64" t="e">
        <f t="shared" si="15"/>
        <v>#N/A</v>
      </c>
      <c r="R61" s="64" t="e">
        <f t="shared" si="15"/>
        <v>#N/A</v>
      </c>
      <c r="S61" s="64" t="e">
        <f t="shared" si="15"/>
        <v>#N/A</v>
      </c>
      <c r="T61" s="64" t="e">
        <f t="shared" si="15"/>
        <v>#N/A</v>
      </c>
      <c r="U61" s="64" t="e">
        <f t="shared" si="15"/>
        <v>#N/A</v>
      </c>
    </row>
    <row r="62" spans="1:21" ht="13" x14ac:dyDescent="0.3">
      <c r="A62" s="87" t="s">
        <v>134</v>
      </c>
      <c r="B62" s="65">
        <f>B31</f>
        <v>113</v>
      </c>
      <c r="C62" s="65">
        <f>B32</f>
        <v>225</v>
      </c>
      <c r="D62" s="65">
        <f>B33</f>
        <v>113</v>
      </c>
      <c r="E62" s="65">
        <f>B34</f>
        <v>113</v>
      </c>
      <c r="F62" s="65">
        <f>B35</f>
        <v>113</v>
      </c>
      <c r="G62" s="65">
        <f>B36</f>
        <v>113</v>
      </c>
      <c r="H62" s="65">
        <f>B37</f>
        <v>113</v>
      </c>
      <c r="I62" s="65">
        <f>B38</f>
        <v>0</v>
      </c>
      <c r="J62" s="65">
        <f>B39</f>
        <v>0</v>
      </c>
      <c r="K62" s="65">
        <f>B40</f>
        <v>0</v>
      </c>
      <c r="L62" s="65">
        <f>B41</f>
        <v>0</v>
      </c>
      <c r="M62" s="65">
        <f>B42</f>
        <v>0</v>
      </c>
      <c r="N62" s="65">
        <f>B43</f>
        <v>0</v>
      </c>
      <c r="O62" s="65">
        <f>B44</f>
        <v>0</v>
      </c>
      <c r="P62" s="65">
        <f>B45</f>
        <v>0</v>
      </c>
      <c r="Q62" s="65">
        <f>B46</f>
        <v>0</v>
      </c>
      <c r="R62" s="65">
        <f>B47</f>
        <v>0</v>
      </c>
      <c r="S62" s="65">
        <f>B48</f>
        <v>0</v>
      </c>
      <c r="T62" s="65">
        <f>B49</f>
        <v>0</v>
      </c>
      <c r="U62" s="65">
        <f>B50</f>
        <v>0</v>
      </c>
    </row>
    <row r="63" spans="1:21" ht="39" x14ac:dyDescent="0.3">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52" x14ac:dyDescent="0.3">
      <c r="A64" s="88" t="s">
        <v>156</v>
      </c>
      <c r="B64" s="65">
        <f>(B59-B60)*B61</f>
        <v>0.6000000000000032</v>
      </c>
      <c r="C64" s="65">
        <f t="shared" ref="C64:U64" si="17">(C59-C60)*C61</f>
        <v>0</v>
      </c>
      <c r="D64" s="65">
        <f t="shared" si="17"/>
        <v>0.6000000000000032</v>
      </c>
      <c r="E64" s="65">
        <f t="shared" si="17"/>
        <v>0.6000000000000032</v>
      </c>
      <c r="F64" s="65">
        <f t="shared" si="17"/>
        <v>2.4000000000000021</v>
      </c>
      <c r="G64" s="65">
        <f t="shared" si="17"/>
        <v>1.7999999999999989</v>
      </c>
      <c r="H64" s="65">
        <f t="shared" si="17"/>
        <v>-3</v>
      </c>
      <c r="I64" s="65" t="e">
        <f t="shared" si="17"/>
        <v>#N/A</v>
      </c>
      <c r="J64" s="65" t="e">
        <f t="shared" si="17"/>
        <v>#N/A</v>
      </c>
      <c r="K64" s="65" t="e">
        <f t="shared" si="17"/>
        <v>#N/A</v>
      </c>
      <c r="L64" s="65" t="e">
        <f t="shared" si="17"/>
        <v>#N/A</v>
      </c>
      <c r="M64" s="65" t="e">
        <f t="shared" si="17"/>
        <v>#N/A</v>
      </c>
      <c r="N64" s="65" t="e">
        <f t="shared" si="17"/>
        <v>#N/A</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2" x14ac:dyDescent="0.3">
      <c r="A65" s="88" t="s">
        <v>157</v>
      </c>
      <c r="B65" s="65">
        <f>B63-B64</f>
        <v>-0.6000000000000032</v>
      </c>
      <c r="C65" s="65">
        <f t="shared" ref="C65:U65" si="18">C63-C64</f>
        <v>0</v>
      </c>
      <c r="D65" s="65">
        <f t="shared" si="18"/>
        <v>-0.6000000000000032</v>
      </c>
      <c r="E65" s="65">
        <f t="shared" si="18"/>
        <v>-0.6000000000000032</v>
      </c>
      <c r="F65" s="65">
        <f t="shared" si="18"/>
        <v>-2.4000000000000021</v>
      </c>
      <c r="G65" s="65">
        <f t="shared" si="18"/>
        <v>-1.7999999999999989</v>
      </c>
      <c r="H65" s="65">
        <f t="shared" si="18"/>
        <v>3</v>
      </c>
      <c r="I65" s="65" t="e">
        <f t="shared" si="18"/>
        <v>#N/A</v>
      </c>
      <c r="J65" s="65" t="e">
        <f t="shared" si="18"/>
        <v>#N/A</v>
      </c>
      <c r="K65" s="65" t="e">
        <f t="shared" si="18"/>
        <v>#N/A</v>
      </c>
      <c r="L65" s="65" t="e">
        <f t="shared" si="18"/>
        <v>#N/A</v>
      </c>
      <c r="M65" s="65" t="e">
        <f t="shared" si="18"/>
        <v>#N/A</v>
      </c>
      <c r="N65" s="65" t="e">
        <f t="shared" si="18"/>
        <v>#N/A</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9" x14ac:dyDescent="0.3">
      <c r="A66" s="88" t="s">
        <v>148</v>
      </c>
      <c r="B66" s="66" t="str">
        <f>IF(B64&lt;=B63,"OVER","UNDER")</f>
        <v>UNDER</v>
      </c>
      <c r="C66" s="66" t="str">
        <f t="shared" ref="C66:U66" si="19">IF(C64&lt;=C63,"OVER","UNDER")</f>
        <v>OVER</v>
      </c>
      <c r="D66" s="66" t="str">
        <f t="shared" si="19"/>
        <v>UNDER</v>
      </c>
      <c r="E66" s="66" t="str">
        <f t="shared" si="19"/>
        <v>UNDER</v>
      </c>
      <c r="F66" s="66" t="str">
        <f t="shared" si="19"/>
        <v>UNDER</v>
      </c>
      <c r="G66" s="66" t="str">
        <f t="shared" si="19"/>
        <v>UNDER</v>
      </c>
      <c r="H66" s="66" t="str">
        <f t="shared" si="19"/>
        <v>OVER</v>
      </c>
      <c r="I66" s="66" t="e">
        <f t="shared" si="19"/>
        <v>#N/A</v>
      </c>
      <c r="J66" s="66" t="e">
        <f t="shared" si="19"/>
        <v>#N/A</v>
      </c>
      <c r="K66" s="66" t="e">
        <f t="shared" si="19"/>
        <v>#N/A</v>
      </c>
      <c r="L66" s="66" t="e">
        <f t="shared" si="19"/>
        <v>#N/A</v>
      </c>
      <c r="M66" s="66" t="e">
        <f t="shared" si="19"/>
        <v>#N/A</v>
      </c>
      <c r="N66" s="66" t="e">
        <f t="shared" si="19"/>
        <v>#N/A</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0vGcPHNYfjt+rSfJym3GIEwBfEjt6laIw8XPoILOXvAkzR3LX1B3Eig41OMTX5CUeyCWjg/cjP4Gvh3uVerhg==" saltValue="U/JkVur87ymmLsh0qvaXa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9" operator="greaterThan">
      <formula>$B$51</formula>
    </cfRule>
  </conditionalFormatting>
  <conditionalFormatting sqref="B66:U66">
    <cfRule type="cellIs" dxfId="27" priority="14" operator="equal">
      <formula>"UNDER"</formula>
    </cfRule>
    <cfRule type="cellIs" dxfId="26" priority="15" operator="equal">
      <formula>"OVER"</formula>
    </cfRule>
  </conditionalFormatting>
  <conditionalFormatting sqref="C31:C50">
    <cfRule type="cellIs" dxfId="25" priority="38" operator="greaterThan">
      <formula>$C$51</formula>
    </cfRule>
  </conditionalFormatting>
  <conditionalFormatting sqref="C11:V13">
    <cfRule type="cellIs" dxfId="24" priority="1" operator="greaterThan">
      <formula>2</formula>
    </cfRule>
  </conditionalFormatting>
  <conditionalFormatting sqref="C17:V19">
    <cfRule type="cellIs" dxfId="23" priority="35" operator="equal">
      <formula>0</formula>
    </cfRule>
  </conditionalFormatting>
  <conditionalFormatting sqref="C20:V21">
    <cfRule type="cellIs" dxfId="22" priority="40" operator="equal">
      <formula>"DECREASE"</formula>
    </cfRule>
    <cfRule type="cellIs" dxfId="21" priority="41" operator="equal">
      <formula>"INCREASE"</formula>
    </cfRule>
  </conditionalFormatting>
  <conditionalFormatting sqref="C21:V21">
    <cfRule type="cellIs" dxfId="20" priority="16" operator="equal">
      <formula>0</formula>
    </cfRule>
  </conditionalFormatting>
  <conditionalFormatting sqref="C22:V23">
    <cfRule type="cellIs" dxfId="19" priority="20" operator="equal">
      <formula>0</formula>
    </cfRule>
  </conditionalFormatting>
  <conditionalFormatting sqref="C24:V24">
    <cfRule type="cellIs" dxfId="18" priority="21" operator="equal">
      <formula>"DECREASE"</formula>
    </cfRule>
    <cfRule type="cellIs" dxfId="17" priority="22" operator="equal">
      <formula>"INCREASE"</formula>
    </cfRule>
  </conditionalFormatting>
  <conditionalFormatting sqref="G31:G50">
    <cfRule type="cellIs" dxfId="16" priority="34" operator="greaterThan">
      <formula>$G$51</formula>
    </cfRule>
  </conditionalFormatting>
  <conditionalFormatting sqref="H31:H50">
    <cfRule type="cellIs" dxfId="15" priority="33" operator="greaterThan">
      <formula>$H$51</formula>
    </cfRule>
  </conditionalFormatting>
  <conditionalFormatting sqref="I1">
    <cfRule type="cellIs" dxfId="14" priority="6" operator="between">
      <formula>0.1</formula>
      <formula>5</formula>
    </cfRule>
  </conditionalFormatting>
  <conditionalFormatting sqref="I2">
    <cfRule type="cellIs" dxfId="13" priority="5" operator="greaterThan">
      <formula>5000.1</formula>
    </cfRule>
  </conditionalFormatting>
  <conditionalFormatting sqref="I3">
    <cfRule type="cellIs" dxfId="12" priority="4" operator="greaterThan">
      <formula>40000.01</formula>
    </cfRule>
  </conditionalFormatting>
  <conditionalFormatting sqref="I31:I50">
    <cfRule type="cellIs" dxfId="11" priority="32" operator="greaterThan">
      <formula>$I$51</formula>
    </cfRule>
  </conditionalFormatting>
  <conditionalFormatting sqref="J31:J50">
    <cfRule type="cellIs" dxfId="10" priority="11" operator="greaterThan">
      <formula>$J$51</formula>
    </cfRule>
  </conditionalFormatting>
  <conditionalFormatting sqref="K31:K50">
    <cfRule type="cellIs" dxfId="9" priority="31" operator="greaterThan">
      <formula>$K$51</formula>
    </cfRule>
  </conditionalFormatting>
  <conditionalFormatting sqref="L3">
    <cfRule type="cellIs" dxfId="8" priority="7" operator="lessThan">
      <formula>30</formula>
    </cfRule>
    <cfRule type="cellIs" dxfId="7" priority="8" operator="greaterThanOrEqual">
      <formula>30</formula>
    </cfRule>
  </conditionalFormatting>
  <conditionalFormatting sqref="L31:L50">
    <cfRule type="cellIs" dxfId="6" priority="30" operator="greaterThan">
      <formula>$L$51</formula>
    </cfRule>
  </conditionalFormatting>
  <conditionalFormatting sqref="M31:M50">
    <cfRule type="cellIs" dxfId="5" priority="29" operator="greaterThan">
      <formula>$M$51</formula>
    </cfRule>
  </conditionalFormatting>
  <conditionalFormatting sqref="P31:P50">
    <cfRule type="cellIs" dxfId="4" priority="28" operator="greaterThan">
      <formula>$P$51</formula>
    </cfRule>
  </conditionalFormatting>
  <conditionalFormatting sqref="R31:R50">
    <cfRule type="cellIs" dxfId="3" priority="27" operator="greaterThan">
      <formula>$R$51</formula>
    </cfRule>
  </conditionalFormatting>
  <conditionalFormatting sqref="S31:S50">
    <cfRule type="cellIs" dxfId="2" priority="26" operator="greaterThan">
      <formula>$S$51</formula>
    </cfRule>
  </conditionalFormatting>
  <conditionalFormatting sqref="T31:T50">
    <cfRule type="cellIs" dxfId="1" priority="25" operator="greaterThan">
      <formula>$T$51</formula>
    </cfRule>
  </conditionalFormatting>
  <conditionalFormatting sqref="U31:U50">
    <cfRule type="cellIs" dxfId="0" priority="24"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796875" defaultRowHeight="12.5" x14ac:dyDescent="0.25"/>
  <cols>
    <col min="1" max="13" width="9.1796875" style="13"/>
    <col min="14" max="14" width="9.7265625" style="13" bestFit="1" customWidth="1"/>
    <col min="15" max="19" width="9.1796875" style="13"/>
    <col min="20" max="20" width="10" style="13" bestFit="1" customWidth="1"/>
    <col min="21" max="16384" width="9.1796875" style="13"/>
  </cols>
  <sheetData>
    <row r="1" spans="1:21" ht="37.5" x14ac:dyDescent="0.25">
      <c r="A1" s="174" t="s">
        <v>84</v>
      </c>
      <c r="B1" s="29" t="str">
        <f>'Field data and Bala'!B29</f>
        <v>Application Rate</v>
      </c>
      <c r="C1" s="29" t="str">
        <f>'Field data and Bala'!C29</f>
        <v>Nitrogen Addition</v>
      </c>
      <c r="D1" s="29" t="str">
        <f>'Field data and Bala'!D29</f>
        <v>Phosphate Addition</v>
      </c>
      <c r="E1" s="29" t="str">
        <f>'Field data and Bala'!E29</f>
        <v>Potash  Addition</v>
      </c>
      <c r="F1" s="29" t="str">
        <f>'Field data and Bala'!F29</f>
        <v>Mg Oxide Addition</v>
      </c>
      <c r="G1" s="29" t="str">
        <f>'Field data and Bala'!G29</f>
        <v>Copper Addition</v>
      </c>
      <c r="H1" s="29" t="str">
        <f>'Field data and Bala'!H29</f>
        <v>Zinc Addition</v>
      </c>
      <c r="I1" s="29" t="str">
        <f>'Field data and Bala'!I29</f>
        <v>Lead Addition</v>
      </c>
      <c r="J1" s="29" t="str">
        <f>'Field data and Bala'!J29</f>
        <v>Cadmium Addition</v>
      </c>
      <c r="K1" s="29" t="str">
        <f>'Field data and Bala'!K29</f>
        <v>Mercury Addition</v>
      </c>
      <c r="L1" s="29" t="str">
        <f>'Field data and Bala'!L29</f>
        <v>Nickel Addition</v>
      </c>
      <c r="M1" s="29" t="str">
        <f>'Field data and Bala'!M29</f>
        <v>Chromium Addition</v>
      </c>
      <c r="N1" s="29" t="str">
        <f>'Field data and Bala'!N29</f>
        <v>Aluminium Addition</v>
      </c>
      <c r="O1" s="29" t="str">
        <f>'Field data and Bala'!O29</f>
        <v>Iron Addition</v>
      </c>
      <c r="P1" s="29" t="str">
        <f>'Field data and Bala'!P29</f>
        <v xml:space="preserve">Sodium Addition                 </v>
      </c>
      <c r="Q1" s="29" t="str">
        <f>'Field data and Bala'!Q29</f>
        <v>SO3  Addition                             kg/ha</v>
      </c>
      <c r="R1" s="29" t="str">
        <f>'Field data and Bala'!R29</f>
        <v xml:space="preserve">Selenium Addition </v>
      </c>
      <c r="S1" s="29" t="str">
        <f>'Field data and Bala'!S29</f>
        <v xml:space="preserve">Arsenic  Addition  </v>
      </c>
      <c r="T1" s="29" t="str">
        <f>'Field data and Bala'!T29</f>
        <v xml:space="preserve">Molybdenum Addition  </v>
      </c>
      <c r="U1" s="29" t="str">
        <f>'Field data and Bala'!U29</f>
        <v xml:space="preserve">Fluoride Addition </v>
      </c>
    </row>
    <row r="2" spans="1:21" ht="25" x14ac:dyDescent="0.25">
      <c r="A2" s="174"/>
      <c r="B2" s="29" t="str">
        <f>'Field data and Bala'!B30</f>
        <v>tonnes/ha</v>
      </c>
      <c r="C2" s="29" t="str">
        <f>'Field data and Bala'!C30</f>
        <v>kg/ha</v>
      </c>
      <c r="D2" s="29" t="str">
        <f>'Field data and Bala'!D30</f>
        <v>P2O5 
kg/ha</v>
      </c>
      <c r="E2" s="29" t="str">
        <f>'Field data and Bala'!E30</f>
        <v>K2O 
kg/ha</v>
      </c>
      <c r="F2" s="29" t="str">
        <f>'Field data and Bala'!F30</f>
        <v>MgO 
kg/ha</v>
      </c>
      <c r="G2" s="29" t="str">
        <f>'Field data and Bala'!G30</f>
        <v>kg/ha</v>
      </c>
      <c r="H2" s="29" t="str">
        <f>'Field data and Bala'!H30</f>
        <v>kg/ha</v>
      </c>
      <c r="I2" s="29" t="str">
        <f>'Field data and Bala'!I30</f>
        <v>kg/ha</v>
      </c>
      <c r="J2" s="29" t="str">
        <f>'Field data and Bala'!J30</f>
        <v>kg/ha</v>
      </c>
      <c r="K2" s="29" t="str">
        <f>'Field data and Bala'!K30</f>
        <v>kg/ha</v>
      </c>
      <c r="L2" s="29" t="str">
        <f>'Field data and Bala'!L30</f>
        <v>kg/ha</v>
      </c>
      <c r="M2" s="29" t="str">
        <f>'Field data and Bala'!M30</f>
        <v>kg/ha</v>
      </c>
      <c r="N2" s="29" t="str">
        <f>'Field data and Bala'!N30</f>
        <v>kg/ha</v>
      </c>
      <c r="O2" s="29" t="str">
        <f>'Field data and Bala'!O30</f>
        <v>kg/ha</v>
      </c>
      <c r="P2" s="29" t="str">
        <f>'Field data and Bala'!P30</f>
        <v>kg/ha</v>
      </c>
      <c r="Q2" s="29" t="str">
        <f>'Field data and Bala'!Q30</f>
        <v>kg/ha</v>
      </c>
      <c r="R2" s="29" t="str">
        <f>'Field data and Bala'!R30</f>
        <v>kg/ha</v>
      </c>
      <c r="S2" s="29" t="str">
        <f>'Field data and Bala'!S30</f>
        <v>kg/ha</v>
      </c>
      <c r="T2" s="29" t="str">
        <f>'Field data and Bala'!T30</f>
        <v>kg/ha</v>
      </c>
      <c r="U2" s="29" t="str">
        <f>'Field data and Bala'!U30</f>
        <v>kg/ha</v>
      </c>
    </row>
    <row r="3" spans="1:21" x14ac:dyDescent="0.25">
      <c r="A3" s="27">
        <v>1</v>
      </c>
      <c r="B3" s="24">
        <f>'Field data and Bala'!B31</f>
        <v>250</v>
      </c>
      <c r="C3" s="24">
        <f>'Field data and Bala'!C31</f>
        <v>69.907499999999999</v>
      </c>
      <c r="D3" s="24">
        <f>'Field data and Bala'!D31</f>
        <v>6.7759188750000003</v>
      </c>
      <c r="E3" s="24">
        <f>'Field data and Bala'!E31</f>
        <v>0.62638912499999999</v>
      </c>
      <c r="F3" s="24">
        <f>'Field data and Bala'!F31</f>
        <v>18.029921000000002</v>
      </c>
      <c r="G3" s="24">
        <f>'Field data and Bala'!G31</f>
        <v>0.15535000000000002</v>
      </c>
      <c r="H3" s="24">
        <f>'Field data and Bala'!H31</f>
        <v>0.96795000000000009</v>
      </c>
      <c r="I3" s="24">
        <f>'Field data and Bala'!I31</f>
        <v>3.2324749999999999E-2</v>
      </c>
      <c r="J3" s="24">
        <f>'Field data and Bala'!J31</f>
        <v>3.0472500000000005E-3</v>
      </c>
      <c r="K3" s="24">
        <f>'Field data and Bala'!K31</f>
        <v>9.978250000000001E-3</v>
      </c>
      <c r="L3" s="24">
        <f>'Field data and Bala'!L31</f>
        <v>2.13905E-2</v>
      </c>
      <c r="M3" s="24">
        <f>'Field data and Bala'!M31</f>
        <v>1.6909250000000001E-2</v>
      </c>
      <c r="N3" s="24">
        <f>'Field data and Bala'!N31</f>
        <v>1081.4749999999999</v>
      </c>
      <c r="O3" s="24">
        <f>'Field data and Bala'!O31</f>
        <v>37.045000000000002</v>
      </c>
      <c r="P3" s="24">
        <f>'Field data and Bala'!P31</f>
        <v>0</v>
      </c>
      <c r="Q3" s="24">
        <f>'Field data and Bala'!Q31</f>
        <v>69.758125000000007</v>
      </c>
      <c r="R3" s="24">
        <f>'Field data and Bala'!R31</f>
        <v>0</v>
      </c>
      <c r="S3" s="24">
        <f>'Field data and Bala'!S31</f>
        <v>7.4687500000000004E-2</v>
      </c>
      <c r="T3" s="24">
        <f>'Field data and Bala'!T31</f>
        <v>0</v>
      </c>
      <c r="U3" s="24">
        <f>'Field data and Bala'!U31</f>
        <v>0</v>
      </c>
    </row>
    <row r="4" spans="1:21" x14ac:dyDescent="0.25">
      <c r="A4" s="27">
        <v>2</v>
      </c>
      <c r="B4" s="24">
        <f>Cilfor!B31</f>
        <v>70</v>
      </c>
      <c r="C4" s="24">
        <f>Cilfor!C31</f>
        <v>30.235100000000003</v>
      </c>
      <c r="D4" s="24">
        <f>Cilfor!D31</f>
        <v>31.958533599999999</v>
      </c>
      <c r="E4" s="24">
        <f>Cilfor!E31</f>
        <v>0.34490715</v>
      </c>
      <c r="F4" s="24">
        <f>Cilfor!F31</f>
        <v>6.5457839999999994</v>
      </c>
      <c r="G4" s="24">
        <f>Cilfor!G31</f>
        <v>0.10725400000000002</v>
      </c>
      <c r="H4" s="24">
        <f>Cilfor!H31</f>
        <v>0.26780600000000004</v>
      </c>
      <c r="I4" s="24">
        <f>Cilfor!I31</f>
        <v>9.1132999999999995E-3</v>
      </c>
      <c r="J4" s="24">
        <f>Cilfor!J31</f>
        <v>1.0199E-3</v>
      </c>
      <c r="K4" s="24">
        <f>Cilfor!K31</f>
        <v>2.8293999999999997E-3</v>
      </c>
      <c r="L4" s="24">
        <f>Cilfor!L31</f>
        <v>0.10462200000000001</v>
      </c>
      <c r="M4" s="24">
        <f>Cilfor!M31</f>
        <v>1.4147E-2</v>
      </c>
      <c r="N4" s="24">
        <f>Cilfor!N31</f>
        <v>756.7</v>
      </c>
      <c r="O4" s="24">
        <f>Cilfor!O31</f>
        <v>18.753</v>
      </c>
      <c r="P4" s="24">
        <f>Cilfor!P31</f>
        <v>0</v>
      </c>
      <c r="Q4" s="24">
        <f>Cilfor!Q31</f>
        <v>100.345</v>
      </c>
      <c r="R4" s="24">
        <f>Cilfor!R31</f>
        <v>0</v>
      </c>
      <c r="S4" s="24">
        <f>Cilfor!S31</f>
        <v>3.0926000000000002E-2</v>
      </c>
      <c r="T4" s="24">
        <f>Cilfor!T31</f>
        <v>0</v>
      </c>
      <c r="U4" s="24">
        <f>Cilfor!U31</f>
        <v>0</v>
      </c>
    </row>
    <row r="5" spans="1:21" x14ac:dyDescent="0.25">
      <c r="A5" s="27">
        <v>3</v>
      </c>
      <c r="B5" s="24">
        <f>Dolbenmaen!B31</f>
        <v>220</v>
      </c>
      <c r="C5" s="24">
        <f>Dolbenmaen!C31</f>
        <v>40.753679999999996</v>
      </c>
      <c r="D5" s="24">
        <f>Dolbenmaen!D31</f>
        <v>31.599029879999993</v>
      </c>
      <c r="E5" s="24">
        <f>Dolbenmaen!E31</f>
        <v>0.59504345999999997</v>
      </c>
      <c r="F5" s="24">
        <f>Dolbenmaen!F31</f>
        <v>1.759821096</v>
      </c>
      <c r="G5" s="24">
        <f>Dolbenmaen!G31</f>
        <v>0.12543959999999998</v>
      </c>
      <c r="H5" s="24">
        <f>Dolbenmaen!H31</f>
        <v>1.9809240000000001</v>
      </c>
      <c r="I5" s="24">
        <f>Dolbenmaen!I31</f>
        <v>2.8323240000000006E-2</v>
      </c>
      <c r="J5" s="24">
        <f>Dolbenmaen!J31</f>
        <v>5.4489600000000001E-3</v>
      </c>
      <c r="K5" s="24">
        <f>Dolbenmaen!K31</f>
        <v>8.741040000000002E-3</v>
      </c>
      <c r="L5" s="24">
        <f>Dolbenmaen!L31</f>
        <v>1.8787559999999998E-2</v>
      </c>
      <c r="M5" s="24">
        <f>Dolbenmaen!M31</f>
        <v>1.481436E-2</v>
      </c>
      <c r="N5" s="24">
        <f>Dolbenmaen!N31</f>
        <v>1776.588</v>
      </c>
      <c r="O5" s="24">
        <f>Dolbenmaen!O31</f>
        <v>28.15296</v>
      </c>
      <c r="P5" s="24">
        <f>Dolbenmaen!P31</f>
        <v>0</v>
      </c>
      <c r="Q5" s="24">
        <f>Dolbenmaen!Q31</f>
        <v>235.55400000000003</v>
      </c>
      <c r="R5" s="24">
        <f>Dolbenmaen!R31</f>
        <v>0</v>
      </c>
      <c r="S5" s="24">
        <f>Dolbenmaen!S31</f>
        <v>8.2869600000000002E-2</v>
      </c>
      <c r="T5" s="24">
        <f>Dolbenmaen!T31</f>
        <v>0</v>
      </c>
      <c r="U5" s="24">
        <f>Dolbenmaen!U31</f>
        <v>0</v>
      </c>
    </row>
    <row r="6" spans="1:21" x14ac:dyDescent="0.25">
      <c r="A6" s="27">
        <v>4</v>
      </c>
      <c r="B6" s="24">
        <f>Eithin!B31</f>
        <v>175</v>
      </c>
      <c r="C6" s="24">
        <f>Eithin!C31</f>
        <v>51.173850000000002</v>
      </c>
      <c r="D6" s="24">
        <f>Eithin!D31</f>
        <v>32.366675250000007</v>
      </c>
      <c r="E6" s="24">
        <f>Eithin!E31</f>
        <v>1.2610325000000002</v>
      </c>
      <c r="F6" s="24">
        <f>Eithin!F31</f>
        <v>3.0884726599999999</v>
      </c>
      <c r="G6" s="24">
        <f>Eithin!G31</f>
        <v>0.13447525000000002</v>
      </c>
      <c r="H6" s="24">
        <f>Eithin!H31</f>
        <v>0.18052125000000005</v>
      </c>
      <c r="I6" s="24">
        <f>Eithin!I31</f>
        <v>2.2813700000000006E-2</v>
      </c>
      <c r="J6" s="24">
        <f>Eithin!J31</f>
        <v>1.6220750000000002E-3</v>
      </c>
      <c r="K6" s="24">
        <f>Eithin!K31</f>
        <v>7.0115500000000009E-3</v>
      </c>
      <c r="L6" s="24">
        <f>Eithin!L31</f>
        <v>1.5121925000000001E-2</v>
      </c>
      <c r="M6" s="24">
        <f>Eithin!M31</f>
        <v>1.1930100000000003E-2</v>
      </c>
      <c r="N6" s="24">
        <f>Eithin!N31</f>
        <v>1067.43</v>
      </c>
      <c r="O6" s="24">
        <f>Eithin!O31</f>
        <v>8.4243250000000014</v>
      </c>
      <c r="P6" s="24">
        <f>Eithin!P31</f>
        <v>0</v>
      </c>
      <c r="Q6" s="24">
        <f>Eithin!Q31</f>
        <v>192.29437500000003</v>
      </c>
      <c r="R6" s="24">
        <f>Eithin!R31</f>
        <v>0</v>
      </c>
      <c r="S6" s="24">
        <f>Eithin!S31</f>
        <v>5.2848250000000006E-2</v>
      </c>
      <c r="T6" s="24">
        <f>Eithin!T31</f>
        <v>0</v>
      </c>
      <c r="U6" s="24">
        <f>Eithin!U31</f>
        <v>0</v>
      </c>
    </row>
    <row r="7" spans="1:21" x14ac:dyDescent="0.25">
      <c r="A7" s="27">
        <v>5</v>
      </c>
      <c r="B7" s="24">
        <f>Garreglwyd!B31</f>
        <v>239</v>
      </c>
      <c r="C7" s="24">
        <f>Garreglwyd!C31</f>
        <v>74.697777000000002</v>
      </c>
      <c r="D7" s="24">
        <f>Garreglwyd!D31</f>
        <v>32.596687068000001</v>
      </c>
      <c r="E7" s="24">
        <f>Garreglwyd!E31</f>
        <v>1.2988574500000001</v>
      </c>
      <c r="F7" s="24">
        <f>Garreglwyd!F31</f>
        <v>9.9365074072000006</v>
      </c>
      <c r="G7" s="24">
        <f>Garreglwyd!G31</f>
        <v>0.31151021000000001</v>
      </c>
      <c r="H7" s="24">
        <f>Garreglwyd!H31</f>
        <v>4.7534948999999997</v>
      </c>
      <c r="I7" s="24">
        <f>Garreglwyd!I31</f>
        <v>0.34276902000000004</v>
      </c>
      <c r="J7" s="24">
        <f>Garreglwyd!J31</f>
        <v>1.4551515000000001E-2</v>
      </c>
      <c r="K7" s="24">
        <f>Garreglwyd!K31</f>
        <v>9.7010100000000012E-3</v>
      </c>
      <c r="L7" s="24">
        <f>Garreglwyd!L31</f>
        <v>0.23821369000000001</v>
      </c>
      <c r="M7" s="24">
        <f>Garreglwyd!M31</f>
        <v>0.15952772000000001</v>
      </c>
      <c r="N7" s="24">
        <f>Garreglwyd!N31</f>
        <v>57.235959000000008</v>
      </c>
      <c r="O7" s="24">
        <f>Garreglwyd!O31</f>
        <v>5076.8618999999999</v>
      </c>
      <c r="P7" s="24">
        <f>Garreglwyd!P31</f>
        <v>0</v>
      </c>
      <c r="Q7" s="24">
        <f>Garreglwyd!Q31</f>
        <v>72.488102499999997</v>
      </c>
      <c r="R7" s="24">
        <f>Garreglwyd!R31</f>
        <v>0</v>
      </c>
      <c r="S7" s="24">
        <f>Garreglwyd!S31</f>
        <v>0.15198249000000003</v>
      </c>
      <c r="T7" s="24">
        <f>Garreglwyd!T31</f>
        <v>0</v>
      </c>
      <c r="U7" s="24">
        <f>Garreglwyd!U31</f>
        <v>0</v>
      </c>
    </row>
    <row r="8" spans="1:21" x14ac:dyDescent="0.25">
      <c r="A8" s="27">
        <v>6</v>
      </c>
      <c r="B8" s="24">
        <f>Gwastadgoed!B31</f>
        <v>140</v>
      </c>
      <c r="C8" s="24">
        <f>Gwastadgoed!C31</f>
        <v>26.58362</v>
      </c>
      <c r="D8" s="24">
        <f>Gwastadgoed!D31</f>
        <v>32.276707680000001</v>
      </c>
      <c r="E8" s="24">
        <f>Gwastadgoed!E31</f>
        <v>1.0105130000000002</v>
      </c>
      <c r="F8" s="24">
        <f>Gwastadgoed!F31</f>
        <v>4.4492761600000001</v>
      </c>
      <c r="G8" s="24">
        <f>Gwastadgoed!G31</f>
        <v>1.6436559999999999E-2</v>
      </c>
      <c r="H8" s="24">
        <f>Gwastadgoed!H31</f>
        <v>1.3669180000000001</v>
      </c>
      <c r="I8" s="24">
        <f>Gwastadgoed!I31</f>
        <v>0.21887460000000003</v>
      </c>
      <c r="J8" s="24">
        <f>Gwastadgoed!J31</f>
        <v>2.5157999999999999E-3</v>
      </c>
      <c r="K8" s="24">
        <f>Gwastadgoed!K31</f>
        <v>5.7024800000000002E-3</v>
      </c>
      <c r="L8" s="24">
        <f>Gwastadgoed!L31</f>
        <v>0.51573900000000006</v>
      </c>
      <c r="M8" s="24">
        <f>Gwastadgoed!M31</f>
        <v>9.6439000000000004E-3</v>
      </c>
      <c r="N8" s="24">
        <f>Gwastadgoed!N31</f>
        <v>27.086780000000001</v>
      </c>
      <c r="O8" s="24">
        <f>Gwastadgoed!O31</f>
        <v>4352.3339999999998</v>
      </c>
      <c r="P8" s="24">
        <f>Gwastadgoed!P31</f>
        <v>0</v>
      </c>
      <c r="Q8" s="24">
        <f>Gwastadgoed!Q31</f>
        <v>226.42200000000003</v>
      </c>
      <c r="R8" s="24">
        <f>Gwastadgoed!R31</f>
        <v>0</v>
      </c>
      <c r="S8" s="24">
        <f>Gwastadgoed!S31</f>
        <v>0.1274672</v>
      </c>
      <c r="T8" s="24">
        <f>Gwastadgoed!T31</f>
        <v>0</v>
      </c>
      <c r="U8" s="24">
        <f>Gwastadgoed!U31</f>
        <v>0</v>
      </c>
    </row>
    <row r="9" spans="1:21" x14ac:dyDescent="0.25">
      <c r="A9" s="27">
        <v>7</v>
      </c>
      <c r="B9" s="24">
        <f>Llyn!B31</f>
        <v>210</v>
      </c>
      <c r="C9" s="24">
        <f>Llyn!C31</f>
        <v>51.392879999999991</v>
      </c>
      <c r="D9" s="24">
        <f>Llyn!D31</f>
        <v>22.398557160000003</v>
      </c>
      <c r="E9" s="24">
        <f>Llyn!E31</f>
        <v>1.0425660000000001</v>
      </c>
      <c r="F9" s="24">
        <f>Llyn!F31</f>
        <v>5.0637906479999995</v>
      </c>
      <c r="G9" s="24">
        <f>Llyn!G31</f>
        <v>7.4407199999999998</v>
      </c>
      <c r="H9" s="24">
        <f>Llyn!H31</f>
        <v>3.1147200000000002</v>
      </c>
      <c r="I9" s="24">
        <f>Llyn!I31</f>
        <v>0.48970320000000006</v>
      </c>
      <c r="J9" s="24">
        <f>Llyn!J31</f>
        <v>1.003632E-2</v>
      </c>
      <c r="K9" s="24">
        <f>Llyn!K31</f>
        <v>8.3924399999999993E-3</v>
      </c>
      <c r="L9" s="24">
        <f>Llyn!L31</f>
        <v>0.27945959999999997</v>
      </c>
      <c r="M9" s="24">
        <f>Llyn!M31</f>
        <v>0.12458880000000001</v>
      </c>
      <c r="N9" s="24">
        <f>Llyn!N31</f>
        <v>29.503320000000002</v>
      </c>
      <c r="O9" s="24">
        <f>Llyn!O31</f>
        <v>3876.096</v>
      </c>
      <c r="P9" s="24">
        <f>Llyn!P31</f>
        <v>0</v>
      </c>
      <c r="Q9" s="24">
        <f>Llyn!Q31</f>
        <v>92.143799999999999</v>
      </c>
      <c r="R9" s="24">
        <f>Llyn!R31</f>
        <v>0</v>
      </c>
      <c r="S9" s="24">
        <f>Llyn!S31</f>
        <v>0.22149120000000003</v>
      </c>
      <c r="T9" s="24">
        <f>Llyn!T31</f>
        <v>0</v>
      </c>
      <c r="U9" s="24">
        <f>Llyn!U31</f>
        <v>0</v>
      </c>
    </row>
    <row r="10" spans="1:21" x14ac:dyDescent="0.25">
      <c r="A10" s="27">
        <v>8</v>
      </c>
      <c r="B10" s="24">
        <f>'Pen y Bont'!B31</f>
        <v>95</v>
      </c>
      <c r="C10" s="24">
        <f>'Pen y Bont'!C31</f>
        <v>21.84468</v>
      </c>
      <c r="D10" s="24">
        <f>'Pen y Bont'!D31</f>
        <v>31.847557560000009</v>
      </c>
      <c r="E10" s="24">
        <f>'Pen y Bont'!E31</f>
        <v>0.61358599999999996</v>
      </c>
      <c r="F10" s="24">
        <f>'Pen y Bont'!F31</f>
        <v>4.5167567600000007</v>
      </c>
      <c r="G10" s="24">
        <f>'Pen y Bont'!G31</f>
        <v>8.8346200000000014E-2</v>
      </c>
      <c r="H10" s="24">
        <f>'Pen y Bont'!H31</f>
        <v>0.25383620000000007</v>
      </c>
      <c r="I10" s="24">
        <f>'Pen y Bont'!I31</f>
        <v>1.2322640000000001E-2</v>
      </c>
      <c r="J10" s="24">
        <f>'Pen y Bont'!J31</f>
        <v>8.9110000000000003E-4</v>
      </c>
      <c r="K10" s="24">
        <f>'Pen y Bont'!K31</f>
        <v>3.7935400000000002E-3</v>
      </c>
      <c r="L10" s="24">
        <f>'Pen y Bont'!L31</f>
        <v>8.8346200000000014E-2</v>
      </c>
      <c r="M10" s="24">
        <f>'Pen y Bont'!M31</f>
        <v>1.160976E-2</v>
      </c>
      <c r="N10" s="24">
        <f>'Pen y Bont'!N31</f>
        <v>552.48199999999997</v>
      </c>
      <c r="O10" s="24">
        <f>'Pen y Bont'!O31</f>
        <v>23.5505</v>
      </c>
      <c r="P10" s="24">
        <f>'Pen y Bont'!P31</f>
        <v>0</v>
      </c>
      <c r="Q10" s="24">
        <f>'Pen y Bont'!Q31</f>
        <v>82.745000000000005</v>
      </c>
      <c r="R10" s="24">
        <f>'Pen y Bont'!R31</f>
        <v>0</v>
      </c>
      <c r="S10" s="24">
        <f>'Pen y Bont'!S31</f>
        <v>0.12144420000000003</v>
      </c>
      <c r="T10" s="24">
        <f>'Pen y Bont'!T31</f>
        <v>0</v>
      </c>
      <c r="U10" s="24">
        <f>'Pen y Bont'!U31</f>
        <v>0</v>
      </c>
    </row>
    <row r="11" spans="1:21" x14ac:dyDescent="0.25">
      <c r="A11" s="27">
        <v>9</v>
      </c>
      <c r="B11" s="24">
        <f>'Pen y Cefyn'!B31</f>
        <v>169</v>
      </c>
      <c r="C11" s="24">
        <f>'Pen y Cefyn'!C31</f>
        <v>62.502960000000002</v>
      </c>
      <c r="D11" s="24">
        <f>'Pen y Cefyn'!D31</f>
        <v>32.699589623999998</v>
      </c>
      <c r="E11" s="24">
        <f>'Pen y Cefyn'!E31</f>
        <v>0.4889923739999999</v>
      </c>
      <c r="F11" s="24">
        <f>'Pen y Cefyn'!F31</f>
        <v>3.7817182727999996</v>
      </c>
      <c r="G11" s="24">
        <f>'Pen y Cefyn'!G31</f>
        <v>0.18844175999999999</v>
      </c>
      <c r="H11" s="24">
        <f>'Pen y Cefyn'!H31</f>
        <v>0.36475607999999998</v>
      </c>
      <c r="I11" s="24">
        <f>'Pen y Cefyn'!I31</f>
        <v>2.2015968000000004E-2</v>
      </c>
      <c r="J11" s="24">
        <f>'Pen y Cefyn'!J31</f>
        <v>1.5858960000000001E-3</v>
      </c>
      <c r="K11" s="24">
        <f>'Pen y Cefyn'!K31</f>
        <v>6.8100239999999996E-3</v>
      </c>
      <c r="L11" s="24">
        <f>'Pen y Cefyn'!L31</f>
        <v>1.4599572E-2</v>
      </c>
      <c r="M11" s="24">
        <f>'Pen y Cefyn'!M31</f>
        <v>1.1521068000000002E-2</v>
      </c>
      <c r="N11" s="24">
        <f>'Pen y Cefyn'!N31</f>
        <v>830.26319999999998</v>
      </c>
      <c r="O11" s="24">
        <f>'Pen y Cefyn'!O31</f>
        <v>0</v>
      </c>
      <c r="P11" s="24">
        <f>'Pen y Cefyn'!P31</f>
        <v>0</v>
      </c>
      <c r="Q11" s="24">
        <f>'Pen y Cefyn'!Q31</f>
        <v>149.26080000000002</v>
      </c>
      <c r="R11" s="24">
        <f>'Pen y Cefyn'!R31</f>
        <v>0</v>
      </c>
      <c r="S11" s="24">
        <f>'Pen y Cefyn'!S31</f>
        <v>0.20103563999999999</v>
      </c>
      <c r="T11" s="24">
        <f>'Pen y Cefyn'!T31</f>
        <v>0</v>
      </c>
      <c r="U11" s="24">
        <f>'Pen y Cefyn'!U31</f>
        <v>0</v>
      </c>
    </row>
    <row r="12" spans="1:21" x14ac:dyDescent="0.25">
      <c r="A12" s="27">
        <v>10</v>
      </c>
      <c r="B12" s="24">
        <f>Rhiwgoch!B31</f>
        <v>113</v>
      </c>
      <c r="C12" s="24">
        <f>Rhiwgoch!C31</f>
        <v>30.627520000000008</v>
      </c>
      <c r="D12" s="24">
        <f>Rhiwgoch!D31</f>
        <v>32.691745240000003</v>
      </c>
      <c r="E12" s="24">
        <f>Rhiwgoch!E31</f>
        <v>0.59912600000000005</v>
      </c>
      <c r="F12" s="24">
        <f>Rhiwgoch!F31</f>
        <v>3.6024427120000002</v>
      </c>
      <c r="G12" s="24">
        <f>Rhiwgoch!G31</f>
        <v>8.3032400000000006E-2</v>
      </c>
      <c r="H12" s="24">
        <f>Rhiwgoch!H31</f>
        <v>1.4866280000000001</v>
      </c>
      <c r="I12" s="24">
        <f>Rhiwgoch!I31</f>
        <v>0.13772440000000002</v>
      </c>
      <c r="J12" s="24">
        <f>Rhiwgoch!J31</f>
        <v>4.3256400000000004E-3</v>
      </c>
      <c r="K12" s="24">
        <f>Rhiwgoch!K31</f>
        <v>4.5245200000000006E-3</v>
      </c>
      <c r="L12" s="24">
        <f>Rhiwgoch!L31</f>
        <v>7.9054800000000008E-2</v>
      </c>
      <c r="M12" s="24">
        <f>Rhiwgoch!M31</f>
        <v>7.3088399999999998E-2</v>
      </c>
      <c r="N12" s="24">
        <f>Rhiwgoch!N31</f>
        <v>25.009160000000005</v>
      </c>
      <c r="O12" s="24">
        <f>Rhiwgoch!O31</f>
        <v>2307.0080000000003</v>
      </c>
      <c r="P12" s="24">
        <f>Rhiwgoch!P31</f>
        <v>0</v>
      </c>
      <c r="Q12" s="24">
        <f>Rhiwgoch!Q31</f>
        <v>38.533000000000001</v>
      </c>
      <c r="R12" s="24">
        <f>Rhiwgoch!R31</f>
        <v>0</v>
      </c>
      <c r="S12" s="24">
        <f>Rhiwgoch!S31</f>
        <v>5.7178000000000007E-2</v>
      </c>
      <c r="T12" s="24">
        <f>Rhiwgoch!T31</f>
        <v>0</v>
      </c>
      <c r="U12" s="24">
        <f>Rhiwgoch!U31</f>
        <v>0</v>
      </c>
    </row>
    <row r="13" spans="1:21" s="69" customFormat="1" ht="15.5" x14ac:dyDescent="0.35">
      <c r="A13" s="67" t="s">
        <v>85</v>
      </c>
      <c r="B13" s="68">
        <f>SUM(B3:B12)</f>
        <v>1681</v>
      </c>
      <c r="C13" s="68">
        <f t="shared" ref="C13:U13" si="0">SUM(C3:C12)</f>
        <v>459.71956699999998</v>
      </c>
      <c r="D13" s="68">
        <f t="shared" si="0"/>
        <v>287.21100193699999</v>
      </c>
      <c r="E13" s="68">
        <f t="shared" si="0"/>
        <v>7.8810130589999998</v>
      </c>
      <c r="F13" s="68">
        <f t="shared" si="0"/>
        <v>60.774490715999995</v>
      </c>
      <c r="G13" s="68">
        <f t="shared" si="0"/>
        <v>8.6510059800000008</v>
      </c>
      <c r="H13" s="68">
        <f t="shared" si="0"/>
        <v>14.737554429999999</v>
      </c>
      <c r="I13" s="68">
        <f t="shared" si="0"/>
        <v>1.3159848180000002</v>
      </c>
      <c r="J13" s="68">
        <f t="shared" si="0"/>
        <v>4.5044456000000004E-2</v>
      </c>
      <c r="K13" s="68">
        <f t="shared" si="0"/>
        <v>6.7484254000000007E-2</v>
      </c>
      <c r="L13" s="68">
        <f t="shared" si="0"/>
        <v>1.375334847</v>
      </c>
      <c r="M13" s="68">
        <f t="shared" si="0"/>
        <v>0.4477803580000001</v>
      </c>
      <c r="N13" s="68">
        <f t="shared" si="0"/>
        <v>6203.7734189999992</v>
      </c>
      <c r="O13" s="68">
        <f t="shared" si="0"/>
        <v>15728.225684999999</v>
      </c>
      <c r="P13" s="68">
        <f t="shared" si="0"/>
        <v>0</v>
      </c>
      <c r="Q13" s="68">
        <f t="shared" si="0"/>
        <v>1259.5442025000002</v>
      </c>
      <c r="R13" s="68">
        <f t="shared" si="0"/>
        <v>0</v>
      </c>
      <c r="S13" s="68">
        <f t="shared" si="0"/>
        <v>1.1219300800000001</v>
      </c>
      <c r="T13" s="68">
        <f t="shared" si="0"/>
        <v>0</v>
      </c>
      <c r="U13" s="68">
        <f t="shared" si="0"/>
        <v>0</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796875" defaultRowHeight="12.5" x14ac:dyDescent="0.25"/>
  <cols>
    <col min="1" max="2" width="9.1796875" style="13"/>
    <col min="3" max="3" width="11" style="13" customWidth="1"/>
    <col min="4" max="4" width="9.1796875" style="13"/>
    <col min="5" max="5" width="9.7265625" style="13" customWidth="1"/>
    <col min="6" max="14" width="9.1796875" style="13"/>
    <col min="15" max="15" width="9.7265625" style="13" bestFit="1" customWidth="1"/>
    <col min="16" max="20" width="9.1796875" style="13"/>
    <col min="21" max="21" width="10" style="13" bestFit="1" customWidth="1"/>
    <col min="22" max="16384" width="9.1796875" style="13"/>
  </cols>
  <sheetData>
    <row r="1" spans="1:22" s="70" customFormat="1" ht="37.5" x14ac:dyDescent="0.35">
      <c r="A1" s="175" t="s">
        <v>84</v>
      </c>
      <c r="B1" s="25" t="s">
        <v>152</v>
      </c>
      <c r="C1" s="26" t="str">
        <f>'Field data and Bala'!B29</f>
        <v>Application Rate</v>
      </c>
      <c r="D1" s="26" t="str">
        <f>'Field data and Bala'!C29</f>
        <v>Nitrogen Addition</v>
      </c>
      <c r="E1" s="26" t="str">
        <f>'Field data and Bala'!D29</f>
        <v>Phosphate Addition</v>
      </c>
      <c r="F1" s="26" t="str">
        <f>'Field data and Bala'!E29</f>
        <v>Potash  Addition</v>
      </c>
      <c r="G1" s="26" t="str">
        <f>'Field data and Bala'!F29</f>
        <v>Mg Oxide Addition</v>
      </c>
      <c r="H1" s="26" t="str">
        <f>'Field data and Bala'!G29</f>
        <v>Copper Addition</v>
      </c>
      <c r="I1" s="26" t="str">
        <f>'Field data and Bala'!H29</f>
        <v>Zinc Addition</v>
      </c>
      <c r="J1" s="26" t="str">
        <f>'Field data and Bala'!I29</f>
        <v>Lead Addition</v>
      </c>
      <c r="K1" s="26" t="str">
        <f>'Field data and Bala'!J29</f>
        <v>Cadmium Addition</v>
      </c>
      <c r="L1" s="26" t="str">
        <f>'Field data and Bala'!K29</f>
        <v>Mercury Addition</v>
      </c>
      <c r="M1" s="26" t="str">
        <f>'Field data and Bala'!L29</f>
        <v>Nickel Addition</v>
      </c>
      <c r="N1" s="26" t="str">
        <f>'Field data and Bala'!M29</f>
        <v>Chromium Addition</v>
      </c>
      <c r="O1" s="26" t="str">
        <f>'Field data and Bala'!N29</f>
        <v>Aluminium Addition</v>
      </c>
      <c r="P1" s="26" t="str">
        <f>'Field data and Bala'!O29</f>
        <v>Iron Addition</v>
      </c>
      <c r="Q1" s="26" t="str">
        <f>'Field data and Bala'!P29</f>
        <v xml:space="preserve">Sodium Addition                 </v>
      </c>
      <c r="R1" s="26" t="str">
        <f>'Field data and Bala'!Q29</f>
        <v>SO3  Addition                             kg/ha</v>
      </c>
      <c r="S1" s="26" t="str">
        <f>'Field data and Bala'!R29</f>
        <v xml:space="preserve">Selenium Addition </v>
      </c>
      <c r="T1" s="26" t="str">
        <f>'Field data and Bala'!S29</f>
        <v xml:space="preserve">Arsenic  Addition  </v>
      </c>
      <c r="U1" s="26" t="str">
        <f>'Field data and Bala'!T29</f>
        <v xml:space="preserve">Molybdenum Addition  </v>
      </c>
      <c r="V1" s="26" t="str">
        <f>'Field data and Bala'!U29</f>
        <v xml:space="preserve">Fluoride Addition </v>
      </c>
    </row>
    <row r="2" spans="1:22" s="70" customFormat="1" ht="25" x14ac:dyDescent="0.35">
      <c r="A2" s="175"/>
      <c r="B2" s="23" t="s">
        <v>46</v>
      </c>
      <c r="C2" s="26" t="str">
        <f>'Field data and Bala'!B30</f>
        <v>tonnes/ha</v>
      </c>
      <c r="D2" s="26" t="str">
        <f>'Field data and Bala'!C30</f>
        <v>kg/ha</v>
      </c>
      <c r="E2" s="26" t="str">
        <f>'Field data and Bala'!D30</f>
        <v>P2O5 
kg/ha</v>
      </c>
      <c r="F2" s="26" t="str">
        <f>'Field data and Bala'!E30</f>
        <v>K2O 
kg/ha</v>
      </c>
      <c r="G2" s="26" t="str">
        <f>'Field data and Bala'!F30</f>
        <v>MgO 
kg/ha</v>
      </c>
      <c r="H2" s="26" t="str">
        <f>'Field data and Bala'!G30</f>
        <v>kg/ha</v>
      </c>
      <c r="I2" s="26" t="str">
        <f>'Field data and Bala'!H30</f>
        <v>kg/ha</v>
      </c>
      <c r="J2" s="26" t="str">
        <f>'Field data and Bala'!I30</f>
        <v>kg/ha</v>
      </c>
      <c r="K2" s="26" t="str">
        <f>'Field data and Bala'!J30</f>
        <v>kg/ha</v>
      </c>
      <c r="L2" s="26" t="str">
        <f>'Field data and Bala'!K30</f>
        <v>kg/ha</v>
      </c>
      <c r="M2" s="26" t="str">
        <f>'Field data and Bala'!L30</f>
        <v>kg/ha</v>
      </c>
      <c r="N2" s="26" t="str">
        <f>'Field data and Bala'!M30</f>
        <v>kg/ha</v>
      </c>
      <c r="O2" s="26" t="str">
        <f>'Field data and Bala'!N30</f>
        <v>kg/ha</v>
      </c>
      <c r="P2" s="26" t="str">
        <f>'Field data and Bala'!O30</f>
        <v>kg/ha</v>
      </c>
      <c r="Q2" s="26" t="str">
        <f>'Field data and Bala'!P30</f>
        <v>kg/ha</v>
      </c>
      <c r="R2" s="26" t="str">
        <f>'Field data and Bala'!Q30</f>
        <v>kg/ha</v>
      </c>
      <c r="S2" s="26" t="str">
        <f>'Field data and Bala'!R30</f>
        <v>kg/ha</v>
      </c>
      <c r="T2" s="26" t="str">
        <f>'Field data and Bala'!S30</f>
        <v>kg/ha</v>
      </c>
      <c r="U2" s="26" t="str">
        <f>'Field data and Bala'!T30</f>
        <v>kg/ha</v>
      </c>
      <c r="V2" s="26" t="str">
        <f>'Field data and Bala'!U30</f>
        <v>kg/ha</v>
      </c>
    </row>
    <row r="3" spans="1:22" x14ac:dyDescent="0.25">
      <c r="A3" s="27">
        <v>1</v>
      </c>
      <c r="B3" s="78"/>
      <c r="C3" s="24">
        <f>'Field data and Bala'!B31</f>
        <v>250</v>
      </c>
      <c r="D3" s="24">
        <f>'Field data and Bala'!C31</f>
        <v>69.907499999999999</v>
      </c>
      <c r="E3" s="24">
        <f>'Field data and Bala'!D31</f>
        <v>6.7759188750000003</v>
      </c>
      <c r="F3" s="24">
        <f>'Field data and Bala'!E31</f>
        <v>0.62638912499999999</v>
      </c>
      <c r="G3" s="24">
        <f>'Field data and Bala'!F31</f>
        <v>18.029921000000002</v>
      </c>
      <c r="H3" s="24">
        <f>'Field data and Bala'!G31</f>
        <v>0.15535000000000002</v>
      </c>
      <c r="I3" s="24">
        <f>'Field data and Bala'!H31</f>
        <v>0.96795000000000009</v>
      </c>
      <c r="J3" s="24">
        <f>'Field data and Bala'!I31</f>
        <v>3.2324749999999999E-2</v>
      </c>
      <c r="K3" s="24">
        <f>'Field data and Bala'!J31</f>
        <v>3.0472500000000005E-3</v>
      </c>
      <c r="L3" s="24">
        <f>'Field data and Bala'!K31</f>
        <v>9.978250000000001E-3</v>
      </c>
      <c r="M3" s="24">
        <f>'Field data and Bala'!L31</f>
        <v>2.13905E-2</v>
      </c>
      <c r="N3" s="24">
        <f>'Field data and Bala'!M31</f>
        <v>1.6909250000000001E-2</v>
      </c>
      <c r="O3" s="24">
        <f>'Field data and Bala'!N31</f>
        <v>1081.4749999999999</v>
      </c>
      <c r="P3" s="24">
        <f>'Field data and Bala'!O31</f>
        <v>37.045000000000002</v>
      </c>
      <c r="Q3" s="24">
        <f>'Field data and Bala'!P31</f>
        <v>0</v>
      </c>
      <c r="R3" s="24">
        <f>'Field data and Bala'!Q31</f>
        <v>69.758125000000007</v>
      </c>
      <c r="S3" s="24">
        <f>'Field data and Bala'!R31</f>
        <v>0</v>
      </c>
      <c r="T3" s="24">
        <f>'Field data and Bala'!S31</f>
        <v>7.4687500000000004E-2</v>
      </c>
      <c r="U3" s="24">
        <f>'Field data and Bala'!T31</f>
        <v>0</v>
      </c>
      <c r="V3" s="24">
        <f>'Field data and Bala'!U31</f>
        <v>0</v>
      </c>
    </row>
    <row r="4" spans="1:22" x14ac:dyDescent="0.25">
      <c r="A4" s="27">
        <v>2</v>
      </c>
      <c r="B4" s="78"/>
      <c r="C4" s="24">
        <f>Cilfor!B31</f>
        <v>70</v>
      </c>
      <c r="D4" s="24">
        <f>Cilfor!C31</f>
        <v>30.235100000000003</v>
      </c>
      <c r="E4" s="24">
        <f>Cilfor!D31</f>
        <v>31.958533599999999</v>
      </c>
      <c r="F4" s="24">
        <f>Cilfor!E31</f>
        <v>0.34490715</v>
      </c>
      <c r="G4" s="24">
        <f>Cilfor!F31</f>
        <v>6.5457839999999994</v>
      </c>
      <c r="H4" s="24">
        <f>Cilfor!G31</f>
        <v>0.10725400000000002</v>
      </c>
      <c r="I4" s="24">
        <f>Cilfor!H31</f>
        <v>0.26780600000000004</v>
      </c>
      <c r="J4" s="24">
        <f>Cilfor!I31</f>
        <v>9.1132999999999995E-3</v>
      </c>
      <c r="K4" s="24">
        <f>Cilfor!J31</f>
        <v>1.0199E-3</v>
      </c>
      <c r="L4" s="24">
        <f>Cilfor!K31</f>
        <v>2.8293999999999997E-3</v>
      </c>
      <c r="M4" s="24">
        <f>Cilfor!L31</f>
        <v>0.10462200000000001</v>
      </c>
      <c r="N4" s="24">
        <f>Cilfor!M31</f>
        <v>1.4147E-2</v>
      </c>
      <c r="O4" s="24">
        <f>Cilfor!N31</f>
        <v>756.7</v>
      </c>
      <c r="P4" s="24">
        <f>Cilfor!O31</f>
        <v>18.753</v>
      </c>
      <c r="Q4" s="24">
        <f>Cilfor!P31</f>
        <v>0</v>
      </c>
      <c r="R4" s="24">
        <f>Cilfor!Q31</f>
        <v>100.345</v>
      </c>
      <c r="S4" s="24">
        <f>Cilfor!R31</f>
        <v>0</v>
      </c>
      <c r="T4" s="24">
        <f>Cilfor!S31</f>
        <v>3.0926000000000002E-2</v>
      </c>
      <c r="U4" s="24">
        <f>Cilfor!T31</f>
        <v>0</v>
      </c>
      <c r="V4" s="24">
        <f>Cilfor!U31</f>
        <v>0</v>
      </c>
    </row>
    <row r="5" spans="1:22" x14ac:dyDescent="0.25">
      <c r="A5" s="27">
        <v>3</v>
      </c>
      <c r="B5" s="78"/>
      <c r="C5" s="24">
        <f>Dolbenmaen!B31</f>
        <v>220</v>
      </c>
      <c r="D5" s="24">
        <f>Dolbenmaen!C31</f>
        <v>40.753679999999996</v>
      </c>
      <c r="E5" s="24">
        <f>Dolbenmaen!D31</f>
        <v>31.599029879999993</v>
      </c>
      <c r="F5" s="24">
        <f>Dolbenmaen!E31</f>
        <v>0.59504345999999997</v>
      </c>
      <c r="G5" s="24">
        <f>Dolbenmaen!F31</f>
        <v>1.759821096</v>
      </c>
      <c r="H5" s="24">
        <f>Dolbenmaen!G31</f>
        <v>0.12543959999999998</v>
      </c>
      <c r="I5" s="24">
        <f>Dolbenmaen!H31</f>
        <v>1.9809240000000001</v>
      </c>
      <c r="J5" s="24">
        <f>Dolbenmaen!I31</f>
        <v>2.8323240000000006E-2</v>
      </c>
      <c r="K5" s="24">
        <f>Dolbenmaen!J31</f>
        <v>5.4489600000000001E-3</v>
      </c>
      <c r="L5" s="24">
        <f>Dolbenmaen!K31</f>
        <v>8.741040000000002E-3</v>
      </c>
      <c r="M5" s="24">
        <f>Dolbenmaen!L31</f>
        <v>1.8787559999999998E-2</v>
      </c>
      <c r="N5" s="24">
        <f>Dolbenmaen!M31</f>
        <v>1.481436E-2</v>
      </c>
      <c r="O5" s="24">
        <f>Dolbenmaen!N31</f>
        <v>1776.588</v>
      </c>
      <c r="P5" s="24">
        <f>Dolbenmaen!O31</f>
        <v>28.15296</v>
      </c>
      <c r="Q5" s="24">
        <f>Dolbenmaen!P31</f>
        <v>0</v>
      </c>
      <c r="R5" s="24">
        <f>Dolbenmaen!Q31</f>
        <v>235.55400000000003</v>
      </c>
      <c r="S5" s="24">
        <f>Dolbenmaen!R31</f>
        <v>0</v>
      </c>
      <c r="T5" s="24">
        <f>Dolbenmaen!S31</f>
        <v>8.2869600000000002E-2</v>
      </c>
      <c r="U5" s="24">
        <f>Dolbenmaen!T31</f>
        <v>0</v>
      </c>
      <c r="V5" s="24">
        <f>Dolbenmaen!U31</f>
        <v>0</v>
      </c>
    </row>
    <row r="6" spans="1:22" x14ac:dyDescent="0.25">
      <c r="A6" s="27">
        <v>4</v>
      </c>
      <c r="B6" s="78"/>
      <c r="C6" s="24">
        <f>Eithin!B31</f>
        <v>175</v>
      </c>
      <c r="D6" s="24">
        <f>Eithin!C31</f>
        <v>51.173850000000002</v>
      </c>
      <c r="E6" s="24">
        <f>Eithin!D31</f>
        <v>32.366675250000007</v>
      </c>
      <c r="F6" s="24">
        <f>Eithin!E31</f>
        <v>1.2610325000000002</v>
      </c>
      <c r="G6" s="24">
        <f>Eithin!F31</f>
        <v>3.0884726599999999</v>
      </c>
      <c r="H6" s="24">
        <f>Eithin!G31</f>
        <v>0.13447525000000002</v>
      </c>
      <c r="I6" s="24">
        <f>Eithin!H31</f>
        <v>0.18052125000000005</v>
      </c>
      <c r="J6" s="24">
        <f>Eithin!I31</f>
        <v>2.2813700000000006E-2</v>
      </c>
      <c r="K6" s="24">
        <f>Eithin!J31</f>
        <v>1.6220750000000002E-3</v>
      </c>
      <c r="L6" s="24">
        <f>Eithin!K31</f>
        <v>7.0115500000000009E-3</v>
      </c>
      <c r="M6" s="24">
        <f>Eithin!L31</f>
        <v>1.5121925000000001E-2</v>
      </c>
      <c r="N6" s="24">
        <f>Eithin!M31</f>
        <v>1.1930100000000003E-2</v>
      </c>
      <c r="O6" s="24">
        <f>Eithin!N31</f>
        <v>1067.43</v>
      </c>
      <c r="P6" s="24">
        <f>Eithin!O31</f>
        <v>8.4243250000000014</v>
      </c>
      <c r="Q6" s="24">
        <f>Eithin!P31</f>
        <v>0</v>
      </c>
      <c r="R6" s="24">
        <f>Eithin!Q31</f>
        <v>192.29437500000003</v>
      </c>
      <c r="S6" s="24">
        <f>Eithin!R31</f>
        <v>0</v>
      </c>
      <c r="T6" s="24">
        <f>Eithin!S31</f>
        <v>5.2848250000000006E-2</v>
      </c>
      <c r="U6" s="24">
        <f>Eithin!T31</f>
        <v>0</v>
      </c>
      <c r="V6" s="24">
        <f>Eithin!U31</f>
        <v>0</v>
      </c>
    </row>
    <row r="7" spans="1:22" x14ac:dyDescent="0.25">
      <c r="A7" s="27">
        <v>5</v>
      </c>
      <c r="B7" s="78"/>
      <c r="C7" s="24">
        <f>Garreglwyd!B31</f>
        <v>239</v>
      </c>
      <c r="D7" s="24">
        <f>Garreglwyd!C31</f>
        <v>74.697777000000002</v>
      </c>
      <c r="E7" s="24">
        <f>Garreglwyd!D31</f>
        <v>32.596687068000001</v>
      </c>
      <c r="F7" s="24">
        <f>Garreglwyd!E31</f>
        <v>1.2988574500000001</v>
      </c>
      <c r="G7" s="24">
        <f>Garreglwyd!F31</f>
        <v>9.9365074072000006</v>
      </c>
      <c r="H7" s="24">
        <f>Garreglwyd!G31</f>
        <v>0.31151021000000001</v>
      </c>
      <c r="I7" s="24">
        <f>Garreglwyd!H31</f>
        <v>4.7534948999999997</v>
      </c>
      <c r="J7" s="24">
        <f>Garreglwyd!I31</f>
        <v>0.34276902000000004</v>
      </c>
      <c r="K7" s="24">
        <f>Garreglwyd!J31</f>
        <v>1.4551515000000001E-2</v>
      </c>
      <c r="L7" s="24">
        <f>Garreglwyd!K31</f>
        <v>9.7010100000000012E-3</v>
      </c>
      <c r="M7" s="24">
        <f>Garreglwyd!L31</f>
        <v>0.23821369000000001</v>
      </c>
      <c r="N7" s="24">
        <f>Garreglwyd!M31</f>
        <v>0.15952772000000001</v>
      </c>
      <c r="O7" s="24">
        <f>Garreglwyd!N31</f>
        <v>57.235959000000008</v>
      </c>
      <c r="P7" s="24">
        <f>Garreglwyd!O31</f>
        <v>5076.8618999999999</v>
      </c>
      <c r="Q7" s="24">
        <f>Garreglwyd!P31</f>
        <v>0</v>
      </c>
      <c r="R7" s="24">
        <f>Garreglwyd!Q31</f>
        <v>72.488102499999997</v>
      </c>
      <c r="S7" s="24">
        <f>Garreglwyd!R31</f>
        <v>0</v>
      </c>
      <c r="T7" s="24">
        <f>Garreglwyd!S31</f>
        <v>0.15198249000000003</v>
      </c>
      <c r="U7" s="24">
        <f>Garreglwyd!T31</f>
        <v>0</v>
      </c>
      <c r="V7" s="24">
        <f>Garreglwyd!U31</f>
        <v>0</v>
      </c>
    </row>
    <row r="8" spans="1:22" x14ac:dyDescent="0.25">
      <c r="A8" s="27">
        <v>6</v>
      </c>
      <c r="B8" s="78"/>
      <c r="C8" s="24">
        <f>Gwastadgoed!B31</f>
        <v>140</v>
      </c>
      <c r="D8" s="24">
        <f>Gwastadgoed!C31</f>
        <v>26.58362</v>
      </c>
      <c r="E8" s="24">
        <f>Gwastadgoed!D31</f>
        <v>32.276707680000001</v>
      </c>
      <c r="F8" s="24">
        <f>Gwastadgoed!E31</f>
        <v>1.0105130000000002</v>
      </c>
      <c r="G8" s="24">
        <f>Gwastadgoed!F31</f>
        <v>4.4492761600000001</v>
      </c>
      <c r="H8" s="24">
        <f>Gwastadgoed!G31</f>
        <v>1.6436559999999999E-2</v>
      </c>
      <c r="I8" s="24">
        <f>Gwastadgoed!H31</f>
        <v>1.3669180000000001</v>
      </c>
      <c r="J8" s="24">
        <f>Gwastadgoed!I31</f>
        <v>0.21887460000000003</v>
      </c>
      <c r="K8" s="24">
        <f>Gwastadgoed!J31</f>
        <v>2.5157999999999999E-3</v>
      </c>
      <c r="L8" s="24">
        <f>Gwastadgoed!K31</f>
        <v>5.7024800000000002E-3</v>
      </c>
      <c r="M8" s="24">
        <f>Gwastadgoed!L31</f>
        <v>0.51573900000000006</v>
      </c>
      <c r="N8" s="24">
        <f>Gwastadgoed!M31</f>
        <v>9.6439000000000004E-3</v>
      </c>
      <c r="O8" s="24">
        <f>Gwastadgoed!N31</f>
        <v>27.086780000000001</v>
      </c>
      <c r="P8" s="24">
        <f>Gwastadgoed!O31</f>
        <v>4352.3339999999998</v>
      </c>
      <c r="Q8" s="24">
        <f>Gwastadgoed!P31</f>
        <v>0</v>
      </c>
      <c r="R8" s="24">
        <f>Gwastadgoed!Q31</f>
        <v>226.42200000000003</v>
      </c>
      <c r="S8" s="24">
        <f>Gwastadgoed!R31</f>
        <v>0</v>
      </c>
      <c r="T8" s="24">
        <f>Gwastadgoed!S31</f>
        <v>0.1274672</v>
      </c>
      <c r="U8" s="24">
        <f>Gwastadgoed!T31</f>
        <v>0</v>
      </c>
      <c r="V8" s="24">
        <f>Gwastadgoed!U31</f>
        <v>0</v>
      </c>
    </row>
    <row r="9" spans="1:22" x14ac:dyDescent="0.25">
      <c r="A9" s="27">
        <v>7</v>
      </c>
      <c r="B9" s="78"/>
      <c r="C9" s="24">
        <f>Llyn!B31</f>
        <v>210</v>
      </c>
      <c r="D9" s="24">
        <f>Llyn!C31</f>
        <v>51.392879999999991</v>
      </c>
      <c r="E9" s="24">
        <f>Llyn!D31</f>
        <v>22.398557160000003</v>
      </c>
      <c r="F9" s="24">
        <f>Llyn!E31</f>
        <v>1.0425660000000001</v>
      </c>
      <c r="G9" s="24">
        <f>Llyn!F31</f>
        <v>5.0637906479999995</v>
      </c>
      <c r="H9" s="24">
        <f>Llyn!G31</f>
        <v>7.4407199999999998</v>
      </c>
      <c r="I9" s="24">
        <f>Llyn!H31</f>
        <v>3.1147200000000002</v>
      </c>
      <c r="J9" s="24">
        <f>Llyn!I31</f>
        <v>0.48970320000000006</v>
      </c>
      <c r="K9" s="24">
        <f>Llyn!J31</f>
        <v>1.003632E-2</v>
      </c>
      <c r="L9" s="24">
        <f>Llyn!K31</f>
        <v>8.3924399999999993E-3</v>
      </c>
      <c r="M9" s="24">
        <f>Llyn!L31</f>
        <v>0.27945959999999997</v>
      </c>
      <c r="N9" s="24">
        <f>Llyn!M31</f>
        <v>0.12458880000000001</v>
      </c>
      <c r="O9" s="24">
        <f>Llyn!N31</f>
        <v>29.503320000000002</v>
      </c>
      <c r="P9" s="24">
        <f>Llyn!O31</f>
        <v>3876.096</v>
      </c>
      <c r="Q9" s="24">
        <f>Llyn!P31</f>
        <v>0</v>
      </c>
      <c r="R9" s="24">
        <f>Llyn!Q31</f>
        <v>92.143799999999999</v>
      </c>
      <c r="S9" s="24">
        <f>Llyn!R31</f>
        <v>0</v>
      </c>
      <c r="T9" s="24">
        <f>Llyn!S31</f>
        <v>0.22149120000000003</v>
      </c>
      <c r="U9" s="24">
        <f>Llyn!T31</f>
        <v>0</v>
      </c>
      <c r="V9" s="24">
        <f>Llyn!U31</f>
        <v>0</v>
      </c>
    </row>
    <row r="10" spans="1:22" x14ac:dyDescent="0.25">
      <c r="A10" s="27">
        <v>8</v>
      </c>
      <c r="B10" s="78"/>
      <c r="C10" s="24">
        <f>'Pen y Bont'!B31</f>
        <v>95</v>
      </c>
      <c r="D10" s="24">
        <f>'Pen y Bont'!C31</f>
        <v>21.84468</v>
      </c>
      <c r="E10" s="24">
        <f>'Pen y Bont'!D31</f>
        <v>31.847557560000009</v>
      </c>
      <c r="F10" s="24">
        <f>'Pen y Bont'!E31</f>
        <v>0.61358599999999996</v>
      </c>
      <c r="G10" s="24">
        <f>'Pen y Bont'!F31</f>
        <v>4.5167567600000007</v>
      </c>
      <c r="H10" s="24">
        <f>'Pen y Bont'!G31</f>
        <v>8.8346200000000014E-2</v>
      </c>
      <c r="I10" s="24">
        <f>'Pen y Bont'!H31</f>
        <v>0.25383620000000007</v>
      </c>
      <c r="J10" s="24">
        <f>'Pen y Bont'!I31</f>
        <v>1.2322640000000001E-2</v>
      </c>
      <c r="K10" s="24">
        <f>'Pen y Bont'!J31</f>
        <v>8.9110000000000003E-4</v>
      </c>
      <c r="L10" s="24">
        <f>'Pen y Bont'!K31</f>
        <v>3.7935400000000002E-3</v>
      </c>
      <c r="M10" s="24">
        <f>'Pen y Bont'!L31</f>
        <v>8.8346200000000014E-2</v>
      </c>
      <c r="N10" s="24">
        <f>'Pen y Bont'!M31</f>
        <v>1.160976E-2</v>
      </c>
      <c r="O10" s="24">
        <f>'Pen y Bont'!N31</f>
        <v>552.48199999999997</v>
      </c>
      <c r="P10" s="24">
        <f>'Pen y Bont'!O31</f>
        <v>23.5505</v>
      </c>
      <c r="Q10" s="24">
        <f>'Pen y Bont'!P31</f>
        <v>0</v>
      </c>
      <c r="R10" s="24">
        <f>'Pen y Bont'!Q31</f>
        <v>82.745000000000005</v>
      </c>
      <c r="S10" s="24">
        <f>'Pen y Bont'!R31</f>
        <v>0</v>
      </c>
      <c r="T10" s="24">
        <f>'Pen y Bont'!S31</f>
        <v>0.12144420000000003</v>
      </c>
      <c r="U10" s="24">
        <f>'Pen y Bont'!T31</f>
        <v>0</v>
      </c>
      <c r="V10" s="24">
        <f>'Pen y Bont'!U31</f>
        <v>0</v>
      </c>
    </row>
    <row r="11" spans="1:22" x14ac:dyDescent="0.25">
      <c r="A11" s="27">
        <v>9</v>
      </c>
      <c r="B11" s="78"/>
      <c r="C11" s="24">
        <f>'Pen y Cefyn'!B31</f>
        <v>169</v>
      </c>
      <c r="D11" s="24">
        <f>'Pen y Cefyn'!C31</f>
        <v>62.502960000000002</v>
      </c>
      <c r="E11" s="24">
        <f>'Pen y Cefyn'!D31</f>
        <v>32.699589623999998</v>
      </c>
      <c r="F11" s="24">
        <f>'Pen y Cefyn'!E31</f>
        <v>0.4889923739999999</v>
      </c>
      <c r="G11" s="24">
        <f>'Pen y Cefyn'!F31</f>
        <v>3.7817182727999996</v>
      </c>
      <c r="H11" s="24">
        <f>'Pen y Cefyn'!G31</f>
        <v>0.18844175999999999</v>
      </c>
      <c r="I11" s="24">
        <f>'Pen y Cefyn'!H31</f>
        <v>0.36475607999999998</v>
      </c>
      <c r="J11" s="24">
        <f>'Pen y Cefyn'!I31</f>
        <v>2.2015968000000004E-2</v>
      </c>
      <c r="K11" s="24">
        <f>'Pen y Cefyn'!J31</f>
        <v>1.5858960000000001E-3</v>
      </c>
      <c r="L11" s="24">
        <f>'Pen y Cefyn'!K31</f>
        <v>6.8100239999999996E-3</v>
      </c>
      <c r="M11" s="24">
        <f>'Pen y Cefyn'!L31</f>
        <v>1.4599572E-2</v>
      </c>
      <c r="N11" s="24">
        <f>'Pen y Cefyn'!M31</f>
        <v>1.1521068000000002E-2</v>
      </c>
      <c r="O11" s="24">
        <f>'Pen y Cefyn'!N31</f>
        <v>830.26319999999998</v>
      </c>
      <c r="P11" s="24">
        <f>'Pen y Cefyn'!O31</f>
        <v>0</v>
      </c>
      <c r="Q11" s="24">
        <f>'Pen y Cefyn'!P31</f>
        <v>0</v>
      </c>
      <c r="R11" s="24">
        <f>'Pen y Cefyn'!Q31</f>
        <v>149.26080000000002</v>
      </c>
      <c r="S11" s="24">
        <f>'Pen y Cefyn'!R31</f>
        <v>0</v>
      </c>
      <c r="T11" s="24">
        <f>'Pen y Cefyn'!S31</f>
        <v>0.20103563999999999</v>
      </c>
      <c r="U11" s="24">
        <f>'Pen y Cefyn'!T31</f>
        <v>0</v>
      </c>
      <c r="V11" s="24">
        <f>'Pen y Cefyn'!U31</f>
        <v>0</v>
      </c>
    </row>
    <row r="12" spans="1:22" x14ac:dyDescent="0.25">
      <c r="A12" s="27">
        <v>10</v>
      </c>
      <c r="B12" s="78"/>
      <c r="C12" s="24">
        <f>Rhiwgoch!B31</f>
        <v>113</v>
      </c>
      <c r="D12" s="24">
        <f>Rhiwgoch!C31</f>
        <v>30.627520000000008</v>
      </c>
      <c r="E12" s="24">
        <f>Rhiwgoch!D31</f>
        <v>32.691745240000003</v>
      </c>
      <c r="F12" s="24">
        <f>Rhiwgoch!E31</f>
        <v>0.59912600000000005</v>
      </c>
      <c r="G12" s="24">
        <f>Rhiwgoch!F31</f>
        <v>3.6024427120000002</v>
      </c>
      <c r="H12" s="24">
        <f>Rhiwgoch!G31</f>
        <v>8.3032400000000006E-2</v>
      </c>
      <c r="I12" s="24">
        <f>Rhiwgoch!H31</f>
        <v>1.4866280000000001</v>
      </c>
      <c r="J12" s="24">
        <f>Rhiwgoch!I31</f>
        <v>0.13772440000000002</v>
      </c>
      <c r="K12" s="24">
        <f>Rhiwgoch!J31</f>
        <v>4.3256400000000004E-3</v>
      </c>
      <c r="L12" s="24">
        <f>Rhiwgoch!K31</f>
        <v>4.5245200000000006E-3</v>
      </c>
      <c r="M12" s="24">
        <f>Rhiwgoch!L31</f>
        <v>7.9054800000000008E-2</v>
      </c>
      <c r="N12" s="24">
        <f>Rhiwgoch!M31</f>
        <v>7.3088399999999998E-2</v>
      </c>
      <c r="O12" s="24">
        <f>Rhiwgoch!N31</f>
        <v>25.009160000000005</v>
      </c>
      <c r="P12" s="24">
        <f>Rhiwgoch!O31</f>
        <v>2307.0080000000003</v>
      </c>
      <c r="Q12" s="24">
        <f>Rhiwgoch!P31</f>
        <v>0</v>
      </c>
      <c r="R12" s="24">
        <f>Rhiwgoch!Q31</f>
        <v>38.533000000000001</v>
      </c>
      <c r="S12" s="24">
        <f>Rhiwgoch!R31</f>
        <v>0</v>
      </c>
      <c r="T12" s="24">
        <f>Rhiwgoch!S31</f>
        <v>5.7178000000000007E-2</v>
      </c>
      <c r="U12" s="24">
        <f>Rhiwgoch!T31</f>
        <v>0</v>
      </c>
      <c r="V12" s="24">
        <f>Rhiwgoch!U31</f>
        <v>0</v>
      </c>
    </row>
    <row r="13" spans="1:22" x14ac:dyDescent="0.25">
      <c r="B13" s="28"/>
      <c r="C13" s="14"/>
      <c r="D13" s="14"/>
      <c r="E13" s="14"/>
      <c r="F13" s="14"/>
      <c r="G13" s="14"/>
      <c r="H13" s="14"/>
      <c r="I13" s="14"/>
      <c r="J13" s="14"/>
      <c r="K13" s="14"/>
      <c r="L13" s="14"/>
      <c r="M13" s="14"/>
      <c r="N13" s="14"/>
      <c r="O13" s="14"/>
      <c r="P13" s="14"/>
      <c r="Q13" s="14"/>
      <c r="R13" s="14"/>
      <c r="S13" s="14"/>
      <c r="T13" s="14"/>
      <c r="U13" s="14"/>
      <c r="V13" s="14"/>
    </row>
    <row r="14" spans="1:22" x14ac:dyDescent="0.25">
      <c r="A14" s="71" t="s">
        <v>86</v>
      </c>
      <c r="C14" s="71"/>
      <c r="D14" s="71"/>
      <c r="E14" s="71"/>
      <c r="F14" s="71"/>
      <c r="G14" s="71"/>
      <c r="H14" s="71"/>
      <c r="I14" s="71"/>
      <c r="J14" s="71"/>
      <c r="K14" s="71"/>
      <c r="L14" s="71"/>
      <c r="M14" s="71"/>
      <c r="N14" s="71"/>
    </row>
    <row r="15" spans="1:22" ht="37.5" x14ac:dyDescent="0.25">
      <c r="A15" s="174" t="s">
        <v>84</v>
      </c>
      <c r="B15" s="26" t="s">
        <v>152</v>
      </c>
      <c r="C15" s="26">
        <f>'Field data and Bala'!B43</f>
        <v>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 x14ac:dyDescent="0.25">
      <c r="A16" s="174"/>
      <c r="B16" s="23" t="s">
        <v>46</v>
      </c>
      <c r="C16" s="26">
        <f>'Field data and Bala'!B44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5">
      <c r="A17" s="72">
        <v>1</v>
      </c>
      <c r="B17" s="73">
        <f>B3</f>
        <v>0</v>
      </c>
      <c r="C17" s="74">
        <f>C3</f>
        <v>250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5">
      <c r="A18" s="72">
        <v>2</v>
      </c>
      <c r="B18" s="73">
        <f t="shared" ref="B18:C18" si="3">B4</f>
        <v>0</v>
      </c>
      <c r="C18" s="74">
        <f t="shared" si="3"/>
        <v>70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5">
      <c r="A19" s="72">
        <v>3</v>
      </c>
      <c r="B19" s="73">
        <f t="shared" ref="B19:C19" si="5">B5</f>
        <v>0</v>
      </c>
      <c r="C19" s="74">
        <f t="shared" si="5"/>
        <v>220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5">
      <c r="A20" s="72">
        <v>4</v>
      </c>
      <c r="B20" s="73">
        <f t="shared" ref="B20:C20" si="7">B6</f>
        <v>0</v>
      </c>
      <c r="C20" s="74">
        <f t="shared" si="7"/>
        <v>175</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5">
      <c r="A21" s="72">
        <v>5</v>
      </c>
      <c r="B21" s="73">
        <f t="shared" ref="B21:C21" si="9">B7</f>
        <v>0</v>
      </c>
      <c r="C21" s="74">
        <f t="shared" si="9"/>
        <v>239</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5">
      <c r="A22" s="72">
        <v>6</v>
      </c>
      <c r="B22" s="73">
        <f t="shared" ref="B22:C22" si="11">B8</f>
        <v>0</v>
      </c>
      <c r="C22" s="74">
        <f t="shared" si="11"/>
        <v>140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5">
      <c r="A23" s="72">
        <v>7</v>
      </c>
      <c r="B23" s="73">
        <f t="shared" ref="B23:C23" si="13">B9</f>
        <v>0</v>
      </c>
      <c r="C23" s="74">
        <f t="shared" si="13"/>
        <v>210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5">
      <c r="A24" s="72">
        <v>8</v>
      </c>
      <c r="B24" s="73">
        <f t="shared" ref="B24:C24" si="15">B10</f>
        <v>0</v>
      </c>
      <c r="C24" s="74">
        <f t="shared" si="15"/>
        <v>95</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5">
      <c r="A25" s="72">
        <v>9</v>
      </c>
      <c r="B25" s="73">
        <f t="shared" ref="B25:C25" si="17">B11</f>
        <v>0</v>
      </c>
      <c r="C25" s="74">
        <f t="shared" si="17"/>
        <v>169</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5">
      <c r="A26" s="72">
        <v>10</v>
      </c>
      <c r="B26" s="73">
        <f t="shared" ref="B26:C26" si="19">B12</f>
        <v>0</v>
      </c>
      <c r="C26" s="74">
        <f t="shared" si="19"/>
        <v>113</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5" x14ac:dyDescent="0.3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0C44ECD5239ADD4297E53D0272D49A6B" ma:contentTypeVersion="783" ma:contentTypeDescription="Permitting &amp; Compliance Excel Document" ma:contentTypeScope="" ma:versionID="4e8d2c7b4b8a0eb4a4ee585224ea17f8">
  <xsd:schema xmlns:xsd="http://www.w3.org/2001/XMLSchema" xmlns:xs="http://www.w3.org/2001/XMLSchema" xmlns:p="http://schemas.microsoft.com/office/2006/metadata/properties" xmlns:ns2="859f7ad6-93f6-4205-b62b-a17f28acbbac" xmlns:ns4="005db27c-c37f-4c3b-898d-3fee1249b087" xmlns:ns5="9be56660-2c31-41ef-bc00-23e72f632f2a" xmlns:ns6="dfa7b5af-bd1f-4e1a-a117-ad96be72b59f" targetNamespace="http://schemas.microsoft.com/office/2006/metadata/properties" ma:root="true" ma:fieldsID="7af58acacc79e0cc56e84632f09585fe" ns2:_="" ns4:_="" ns5:_="" ns6:_="">
    <xsd:import namespace="859f7ad6-93f6-4205-b62b-a17f28acbbac"/>
    <xsd:import namespace="005db27c-c37f-4c3b-898d-3fee1249b087"/>
    <xsd:import namespace="9be56660-2c31-41ef-bc00-23e72f632f2a"/>
    <xsd:import namespace="dfa7b5af-bd1f-4e1a-a117-ad96be72b59f"/>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description=""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dfa7b5af-bd1f-4e1a-a117-ad96be72b59f"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REGU-415-1633021</_dlc_DocId>
    <_dlc_DocIdUrl xmlns="9be56660-2c31-41ef-bc00-23e72f632f2a">
      <Url>https://cyfoethnaturiolcymru.sharepoint.com/teams/Regulatory/Permitting/_layouts/15/DocIdRedir.aspx?ID=REGU-415-1633021</Url>
      <Description>REGU-415-1633021</Description>
    </_dlc_DocIdUrl>
    <Site_x0020_Name xmlns="859f7ad6-93f6-4205-b62b-a17f28acbbac">Mobile Plant</Site_x0020_Name>
    <Internal_x002f_External xmlns="859f7ad6-93f6-4205-b62b-a17f28acbbac">Internal document</Internal_x002f_External>
    <Post_x0020_code xmlns="859f7ad6-93f6-4205-b62b-a17f28acbbac" xsi:nil="true"/>
    <TaxCatchAll xmlns="859f7ad6-93f6-4205-b62b-a17f28acbbac" xsi:nil="true"/>
    <lcf76f155ced4ddcb4097134ff3c332f xmlns="dfa7b5af-bd1f-4e1a-a117-ad96be72b59f"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Control House A1 Business Park, Knottingley Road, Knottingley, West Yorkshire, England, WF11 0BU</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2025-11-14T00:00:00+00:00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ByProduct Recovery Limited</Customer_x0020_Name>
    <Surrendered_x002f_Expired_x0020_Date xmlns="859f7ad6-93f6-4205-b62b-a17f28acbbac" xsi:nil="true"/>
  </documentManagement>
</p:properties>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AEA60B66-0495-4F42-887D-83AD6F26B1CA}">
  <ds:schemaRefs>
    <ds:schemaRef ds:uri="http://schemas.microsoft.com/sharepoint/v3/contenttype/forms"/>
  </ds:schemaRefs>
</ds:datastoreItem>
</file>

<file path=customXml/itemProps2.xml><?xml version="1.0" encoding="utf-8"?>
<ds:datastoreItem xmlns:ds="http://schemas.openxmlformats.org/officeDocument/2006/customXml" ds:itemID="{809704E8-53EF-4C23-8F2D-CFE253574617}"/>
</file>

<file path=customXml/itemProps3.xml><?xml version="1.0" encoding="utf-8"?>
<ds:datastoreItem xmlns:ds="http://schemas.openxmlformats.org/officeDocument/2006/customXml" ds:itemID="{062D66E1-01F4-47B4-8F56-E019B026B58B}"/>
</file>

<file path=customXml/itemProps4.xml><?xml version="1.0" encoding="utf-8"?>
<ds:datastoreItem xmlns:ds="http://schemas.openxmlformats.org/officeDocument/2006/customXml" ds:itemID="{3EB88BFD-E29A-4849-A8E6-116EB74B98EA}">
  <ds:schemaRefs>
    <ds:schemaRef ds:uri="http://purl.org/dc/terms/"/>
    <ds:schemaRef ds:uri="http://schemas.openxmlformats.org/package/2006/metadata/core-properties"/>
    <ds:schemaRef ds:uri="http://schemas.microsoft.com/office/infopath/2007/PartnerControls"/>
    <ds:schemaRef ds:uri="http://www.w3.org/XML/1998/namespace"/>
    <ds:schemaRef ds:uri="http://purl.org/dc/dcmitype/"/>
    <ds:schemaRef ds:uri="http://purl.org/dc/elements/1.1/"/>
    <ds:schemaRef ds:uri="http://schemas.microsoft.com/office/2006/documentManagement/types"/>
    <ds:schemaRef ds:uri="9be56660-2c31-41ef-bc00-23e72f632f2a"/>
    <ds:schemaRef ds:uri="http://schemas.microsoft.com/office/2006/metadata/properties"/>
  </ds:schemaRefs>
</ds:datastoreItem>
</file>

<file path=customXml/itemProps5.xml><?xml version="1.0" encoding="utf-8"?>
<ds:datastoreItem xmlns:ds="http://schemas.openxmlformats.org/officeDocument/2006/customXml" ds:itemID="{F3EE4955-DA3A-40AC-A3F0-DB6816BE0801}">
  <ds:schemaRefs>
    <ds:schemaRef ds:uri="http://schemas.microsoft.com/sharepoint/event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Field data and Bala</vt:lpstr>
      <vt:lpstr>Cilfor</vt:lpstr>
      <vt:lpstr>Dolbenmaen</vt:lpstr>
      <vt:lpstr>Eithin</vt:lpstr>
      <vt:lpstr>Garreglwyd</vt:lpstr>
      <vt:lpstr>Gwastadgoed</vt:lpstr>
      <vt:lpstr>Llyn</vt:lpstr>
      <vt:lpstr>Pen y Bont</vt:lpstr>
      <vt:lpstr>Pen y Cefyn</vt:lpstr>
      <vt:lpstr>Rhiwgoch</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creator/>
  <cp:keywords>NRW Nutrient Calculator</cp:keywords>
  <cp:lastModifiedBy>Burn, Bryan</cp:lastModifiedBy>
  <dcterms:created xsi:type="dcterms:W3CDTF">2016-09-26T10:07:59Z</dcterms:created>
  <dcterms:modified xsi:type="dcterms:W3CDTF">2025-11-13T14:13:17Z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0x01010067EB80C5FE939D4A9B3D8BA62129B7F50202000C44ECD5239ADD4297E53D0272D49A6B</vt:lpwstr>
  </property>
  <property fmtid="{D5CDD505-2E9C-101B-9397-08002B2CF9AE}" pid="3" name="_dlc_DocIdItemGuid">
    <vt:lpwstr>feac662e-727f-422b-91fa-c9682bb1893d</vt:lpwstr>
  </property>
  <property fmtid="{D5CDD505-2E9C-101B-9397-08002B2CF9AE}" pid="4" name="MediaServiceImageTags">
    <vt:lpwstr/>
  </property>
</Properties>
</file>