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926 Severn trent high/Issue/"/>
    </mc:Choice>
  </mc:AlternateContent>
  <xr:revisionPtr revIDLastSave="0" documentId="8_{A871A057-647F-4DBA-BE75-3FE24BD66727}" xr6:coauthVersionLast="47" xr6:coauthVersionMax="47" xr10:uidLastSave="{00000000-0000-0000-0000-000000000000}"/>
  <bookViews>
    <workbookView xWindow="33720" yWindow="-120" windowWidth="29040" windowHeight="15720" tabRatio="870" xr2:uid="{00000000-000D-0000-FFFF-FFFF00000000}"/>
  </bookViews>
  <sheets>
    <sheet name="Field data and Waste 1"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S65" i="1" l="1"/>
  <c r="U65" i="1"/>
  <c r="S65" i="21"/>
  <c r="T65" i="21"/>
  <c r="U65" i="21"/>
  <c r="S65" i="27"/>
  <c r="T65" i="27"/>
  <c r="U65" i="27"/>
  <c r="S65" i="28"/>
  <c r="T65" i="28"/>
  <c r="U65" i="28"/>
  <c r="S65" i="30"/>
  <c r="T65" i="30"/>
  <c r="U65" i="30"/>
  <c r="S65" i="26"/>
  <c r="T65" i="26"/>
  <c r="U65" i="26"/>
  <c r="S65" i="24"/>
  <c r="T65" i="24"/>
  <c r="U65" i="24"/>
  <c r="S65" i="29"/>
  <c r="T65" i="29"/>
  <c r="U65" i="29"/>
  <c r="S65" i="23"/>
  <c r="T65" i="23"/>
  <c r="U65" i="23"/>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19" i="26" s="1"/>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S19" i="21" s="1"/>
  <c r="J59" i="21"/>
  <c r="K21" i="21"/>
  <c r="K23" i="21" s="1"/>
  <c r="K24" i="21" s="1"/>
  <c r="K17" i="21"/>
  <c r="J59" i="22"/>
  <c r="K17" i="22"/>
  <c r="K19" i="22" s="1"/>
  <c r="K21" i="22"/>
  <c r="R59" i="22"/>
  <c r="S17" i="22"/>
  <c r="S21" i="22"/>
  <c r="S23" i="22" s="1"/>
  <c r="D59" i="23"/>
  <c r="E17" i="23"/>
  <c r="E21" i="23"/>
  <c r="L59" i="23"/>
  <c r="M17" i="23"/>
  <c r="M21" i="23"/>
  <c r="T59" i="23"/>
  <c r="U17" i="23"/>
  <c r="U19" i="23" s="1"/>
  <c r="U21" i="23"/>
  <c r="U23" i="23" s="1"/>
  <c r="H21" i="24"/>
  <c r="H23" i="24" s="1"/>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M19" i="26" s="1"/>
  <c r="T59" i="26"/>
  <c r="U21" i="26"/>
  <c r="U23" i="26" s="1"/>
  <c r="U17" i="26"/>
  <c r="U19" i="26" s="1"/>
  <c r="C59" i="27"/>
  <c r="D17" i="27"/>
  <c r="K59" i="27"/>
  <c r="L17" i="27"/>
  <c r="S59" i="27"/>
  <c r="T17" i="27"/>
  <c r="T19" i="27" s="1"/>
  <c r="C59" i="28"/>
  <c r="D21" i="28"/>
  <c r="D23" i="28" s="1"/>
  <c r="D24" i="28" s="1"/>
  <c r="D17" i="28"/>
  <c r="K59" i="28"/>
  <c r="L21" i="28"/>
  <c r="L23" i="28" s="1"/>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17" i="24"/>
  <c r="K19" i="24" s="1"/>
  <c r="R59" i="24"/>
  <c r="S21" i="24"/>
  <c r="S23" i="24" s="1"/>
  <c r="S17" i="24"/>
  <c r="G21" i="26"/>
  <c r="G17" i="26"/>
  <c r="O17" i="26"/>
  <c r="O21" i="26"/>
  <c r="E59" i="27"/>
  <c r="F17" i="27"/>
  <c r="F19" i="27" s="1"/>
  <c r="M59" i="27"/>
  <c r="N17" i="27"/>
  <c r="N19" i="27" s="1"/>
  <c r="U59" i="27"/>
  <c r="V17" i="27"/>
  <c r="E59" i="28"/>
  <c r="F17" i="28"/>
  <c r="F19" i="28" s="1"/>
  <c r="F21" i="28"/>
  <c r="M59" i="28"/>
  <c r="N17" i="28"/>
  <c r="N19" i="28" s="1"/>
  <c r="N21" i="28"/>
  <c r="N23" i="28" s="1"/>
  <c r="U59" i="28"/>
  <c r="V17" i="28"/>
  <c r="V21" i="28"/>
  <c r="D59" i="29"/>
  <c r="E17" i="29"/>
  <c r="E19" i="29" s="1"/>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G23" i="22" s="1"/>
  <c r="O17" i="22"/>
  <c r="O19" i="22" s="1"/>
  <c r="O21" i="22"/>
  <c r="O23" i="22" s="1"/>
  <c r="H59" i="23"/>
  <c r="I21" i="23"/>
  <c r="I23" i="23" s="1"/>
  <c r="I17" i="23"/>
  <c r="I19" i="23" s="1"/>
  <c r="P59" i="23"/>
  <c r="Q17" i="23"/>
  <c r="Q21" i="23"/>
  <c r="Q23" i="23" s="1"/>
  <c r="C59" i="24"/>
  <c r="D17" i="24"/>
  <c r="D19" i="24" s="1"/>
  <c r="D21" i="24"/>
  <c r="K59" i="24"/>
  <c r="L21" i="24"/>
  <c r="L23" i="24" s="1"/>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23" i="23" s="1"/>
  <c r="J17" i="23"/>
  <c r="J19" i="23" s="1"/>
  <c r="Q59" i="23"/>
  <c r="R21" i="23"/>
  <c r="R17" i="23"/>
  <c r="R19" i="23" s="1"/>
  <c r="D59" i="24"/>
  <c r="E17" i="24"/>
  <c r="E21" i="24"/>
  <c r="L59" i="24"/>
  <c r="M17" i="24"/>
  <c r="M19" i="24" s="1"/>
  <c r="M21" i="24"/>
  <c r="M23" i="24" s="1"/>
  <c r="T59" i="24"/>
  <c r="U21" i="24"/>
  <c r="U17" i="24"/>
  <c r="H59" i="26"/>
  <c r="I17" i="26"/>
  <c r="I21" i="26"/>
  <c r="I23" i="26" s="1"/>
  <c r="P59" i="26"/>
  <c r="Q17" i="26"/>
  <c r="Q19" i="26" s="1"/>
  <c r="Q21" i="26"/>
  <c r="Q23" i="26" s="1"/>
  <c r="E63" i="26"/>
  <c r="H17" i="27"/>
  <c r="P17" i="27"/>
  <c r="P19" i="27" s="1"/>
  <c r="H21" i="28"/>
  <c r="H23" i="28" s="1"/>
  <c r="H17" i="28"/>
  <c r="H19" i="28" s="1"/>
  <c r="P21" i="28"/>
  <c r="P23" i="28" s="1"/>
  <c r="P17" i="28"/>
  <c r="P19" i="28" s="1"/>
  <c r="G17" i="29"/>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Q23" i="22" s="1"/>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23" i="29" s="1"/>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I21" i="27"/>
  <c r="I23" i="27" s="1"/>
  <c r="Q21" i="27"/>
  <c r="R58" i="21"/>
  <c r="R61" i="21" s="1"/>
  <c r="R64" i="21" s="1"/>
  <c r="R65" i="21" s="1"/>
  <c r="O57" i="21"/>
  <c r="A43" i="21"/>
  <c r="J58" i="21"/>
  <c r="J61" i="21" s="1"/>
  <c r="G23" i="26"/>
  <c r="D58" i="29"/>
  <c r="D61" i="29" s="1"/>
  <c r="P23" i="26"/>
  <c r="G21" i="27"/>
  <c r="G23" i="27" s="1"/>
  <c r="O21" i="27"/>
  <c r="O23" i="27" s="1"/>
  <c r="D58" i="30"/>
  <c r="D61" i="30" s="1"/>
  <c r="D64" i="30" s="1"/>
  <c r="D65" i="30" s="1"/>
  <c r="L58" i="30"/>
  <c r="L61" i="30" s="1"/>
  <c r="L64" i="30" s="1"/>
  <c r="L65" i="30" s="1"/>
  <c r="R58" i="23"/>
  <c r="R61" i="23" s="1"/>
  <c r="H21" i="27"/>
  <c r="H23" i="27" s="1"/>
  <c r="P21" i="27"/>
  <c r="J58" i="22"/>
  <c r="J61" i="22" s="1"/>
  <c r="J58" i="26"/>
  <c r="J61" i="26" s="1"/>
  <c r="J58" i="27"/>
  <c r="J61" i="27" s="1"/>
  <c r="R58" i="27"/>
  <c r="R61" i="27" s="1"/>
  <c r="R64" i="27" s="1"/>
  <c r="R65" i="27" s="1"/>
  <c r="R58" i="28"/>
  <c r="R61" i="28" s="1"/>
  <c r="R64" i="28" s="1"/>
  <c r="R65"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F59" i="22"/>
  <c r="K58" i="29"/>
  <c r="K61" i="29" s="1"/>
  <c r="I58" i="23"/>
  <c r="I61" i="23" s="1"/>
  <c r="Q58" i="23"/>
  <c r="Q61" i="23" s="1"/>
  <c r="L58" i="29"/>
  <c r="L61" i="29" s="1"/>
  <c r="T58" i="29"/>
  <c r="T61" i="29" s="1"/>
  <c r="T64" i="29" s="1"/>
  <c r="I23" i="30"/>
  <c r="Q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R65" i="30" s="1"/>
  <c r="P57" i="30"/>
  <c r="J57" i="21"/>
  <c r="H59" i="21"/>
  <c r="J19" i="27"/>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T23" i="30"/>
  <c r="G58" i="30"/>
  <c r="G61" i="30" s="1"/>
  <c r="O58" i="30"/>
  <c r="O61" i="30" s="1"/>
  <c r="Q57" i="30"/>
  <c r="A36" i="22"/>
  <c r="G58" i="27"/>
  <c r="G61" i="27" s="1"/>
  <c r="T58" i="28"/>
  <c r="T61" i="28" s="1"/>
  <c r="T64" i="28" s="1"/>
  <c r="C58" i="29"/>
  <c r="C61"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Q65"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A37" i="22"/>
  <c r="N57" i="22"/>
  <c r="G58" i="23"/>
  <c r="G61" i="23" s="1"/>
  <c r="O58" i="23"/>
  <c r="O61" i="23" s="1"/>
  <c r="N57" i="23"/>
  <c r="I23" i="24"/>
  <c r="H58" i="24"/>
  <c r="H61" i="24" s="1"/>
  <c r="P58" i="24"/>
  <c r="P61" i="24" s="1"/>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M19" i="21"/>
  <c r="G57" i="21"/>
  <c r="E58" i="22"/>
  <c r="E61" i="22" s="1"/>
  <c r="E64" i="22" s="1"/>
  <c r="E65" i="22" s="1"/>
  <c r="M58" i="22"/>
  <c r="M61"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Q58" i="28"/>
  <c r="Q61" i="28" s="1"/>
  <c r="Q64" i="28" s="1"/>
  <c r="Q65"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V19" i="30"/>
  <c r="F23" i="30"/>
  <c r="B63" i="30"/>
  <c r="J63" i="30"/>
  <c r="R63" i="30"/>
  <c r="G19" i="30"/>
  <c r="A32" i="30"/>
  <c r="A34" i="30"/>
  <c r="A40" i="30"/>
  <c r="A42" i="30"/>
  <c r="A48" i="30"/>
  <c r="A50" i="30"/>
  <c r="C63" i="30"/>
  <c r="K63" i="30"/>
  <c r="S63" i="30"/>
  <c r="P19" i="30"/>
  <c r="D63" i="30"/>
  <c r="L63" i="30"/>
  <c r="T63" i="30"/>
  <c r="H63" i="30"/>
  <c r="Q19" i="30"/>
  <c r="E63" i="30"/>
  <c r="M63" i="30"/>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T23" i="28"/>
  <c r="H59" i="28"/>
  <c r="P59" i="28"/>
  <c r="H63" i="28"/>
  <c r="P63" i="28"/>
  <c r="E19" i="28"/>
  <c r="M19" i="28"/>
  <c r="U19" i="28"/>
  <c r="M23" i="28"/>
  <c r="I57" i="28"/>
  <c r="Q57" i="28"/>
  <c r="I63" i="28"/>
  <c r="Q63" i="28"/>
  <c r="R19" i="28"/>
  <c r="V19" i="28"/>
  <c r="F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H64" i="26"/>
  <c r="H65" i="26" s="1"/>
  <c r="C19" i="26"/>
  <c r="C20" i="26" s="1"/>
  <c r="K23" i="26"/>
  <c r="A31" i="26"/>
  <c r="A33" i="26"/>
  <c r="A37" i="26"/>
  <c r="A39" i="26"/>
  <c r="A41" i="26"/>
  <c r="A45" i="26"/>
  <c r="A47" i="26"/>
  <c r="A49" i="26"/>
  <c r="G57" i="26"/>
  <c r="O57" i="26"/>
  <c r="G59" i="26"/>
  <c r="O59" i="26"/>
  <c r="G63" i="26"/>
  <c r="O63" i="26"/>
  <c r="L19" i="26"/>
  <c r="T19" i="26"/>
  <c r="L23" i="26"/>
  <c r="T23" i="26"/>
  <c r="H63" i="26"/>
  <c r="P63" i="26"/>
  <c r="E23" i="26"/>
  <c r="M23" i="26"/>
  <c r="I57" i="26"/>
  <c r="Q57" i="26"/>
  <c r="I59" i="26"/>
  <c r="I64" i="26" s="1"/>
  <c r="I65" i="26" s="1"/>
  <c r="Q59" i="26"/>
  <c r="Q64" i="26" s="1"/>
  <c r="Q65" i="26" s="1"/>
  <c r="I63" i="26"/>
  <c r="Q63" i="26"/>
  <c r="N23" i="26"/>
  <c r="V23" i="26"/>
  <c r="B63" i="26"/>
  <c r="J63" i="26"/>
  <c r="R63" i="26"/>
  <c r="G19" i="26"/>
  <c r="O19" i="26"/>
  <c r="A32" i="26"/>
  <c r="A34" i="26"/>
  <c r="A40" i="26"/>
  <c r="A42" i="26"/>
  <c r="A48" i="26"/>
  <c r="A50" i="26"/>
  <c r="C63" i="26"/>
  <c r="K63" i="26"/>
  <c r="S63" i="26"/>
  <c r="P19" i="26"/>
  <c r="D63" i="26"/>
  <c r="L63" i="26"/>
  <c r="I19" i="26"/>
  <c r="P23"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T19" i="22"/>
  <c r="T23" i="22"/>
  <c r="K23" i="22"/>
  <c r="A31" i="22"/>
  <c r="A33" i="22"/>
  <c r="A41" i="22"/>
  <c r="A47" i="22"/>
  <c r="M19" i="22"/>
  <c r="E23" i="22"/>
  <c r="U23" i="22"/>
  <c r="I57" i="22"/>
  <c r="Q57" i="22"/>
  <c r="A39" i="22"/>
  <c r="A49" i="22"/>
  <c r="V19" i="22"/>
  <c r="V23" i="22"/>
  <c r="G19" i="22"/>
  <c r="A32" i="22"/>
  <c r="A34" i="22"/>
  <c r="A40" i="22"/>
  <c r="A42" i="22"/>
  <c r="A48" i="22"/>
  <c r="A50" i="22"/>
  <c r="P19" i="22"/>
  <c r="H23" i="21"/>
  <c r="H24" i="21" s="1"/>
  <c r="L23" i="21"/>
  <c r="L24" i="21" s="1"/>
  <c r="F23" i="21"/>
  <c r="F24" i="21" s="1"/>
  <c r="A33" i="21"/>
  <c r="A37" i="21"/>
  <c r="A41" i="21"/>
  <c r="A45" i="21"/>
  <c r="A49" i="21"/>
  <c r="E58" i="21"/>
  <c r="E61" i="21" s="1"/>
  <c r="M58" i="21"/>
  <c r="M61" i="21" s="1"/>
  <c r="U58" i="21"/>
  <c r="U61" i="21" s="1"/>
  <c r="U64" i="21" s="1"/>
  <c r="U66" i="21" s="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30" l="1"/>
  <c r="H65" i="30" s="1"/>
  <c r="P64" i="21"/>
  <c r="P65" i="21" s="1"/>
  <c r="L64" i="28"/>
  <c r="L65" i="28" s="1"/>
  <c r="O64" i="21"/>
  <c r="O65" i="21" s="1"/>
  <c r="P64" i="22"/>
  <c r="P65" i="22" s="1"/>
  <c r="N64" i="22"/>
  <c r="N65" i="22" s="1"/>
  <c r="M64" i="22"/>
  <c r="M65" i="22" s="1"/>
  <c r="J64" i="27"/>
  <c r="J65" i="27" s="1"/>
  <c r="I64" i="23"/>
  <c r="I65" i="23" s="1"/>
  <c r="I64" i="28"/>
  <c r="I65" i="28" s="1"/>
  <c r="C64" i="30"/>
  <c r="C65" i="30" s="1"/>
  <c r="C64" i="22"/>
  <c r="C65" i="22" s="1"/>
  <c r="C64" i="29"/>
  <c r="C65" i="29" s="1"/>
  <c r="N66" i="21"/>
  <c r="N65" i="21"/>
  <c r="M66" i="26"/>
  <c r="M65" i="26"/>
  <c r="F66" i="26"/>
  <c r="F65" i="26"/>
  <c r="L64" i="22"/>
  <c r="L65" i="22" s="1"/>
  <c r="D64" i="22"/>
  <c r="D65" i="22" s="1"/>
  <c r="Q64" i="22"/>
  <c r="Q65" i="22" s="1"/>
  <c r="U64" i="22"/>
  <c r="U66" i="22" s="1"/>
  <c r="S64" i="23"/>
  <c r="M64" i="23"/>
  <c r="R64" i="23"/>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Q66" i="22"/>
  <c r="T66" i="21"/>
  <c r="S66" i="23"/>
  <c r="H66" i="30"/>
  <c r="E66" i="30"/>
  <c r="S66" i="24"/>
  <c r="L66" i="21"/>
  <c r="S66" i="26"/>
  <c r="L66" i="28"/>
  <c r="L66" i="26"/>
  <c r="T66" i="30"/>
  <c r="H66" i="22"/>
  <c r="R66" i="28"/>
  <c r="N64" i="26"/>
  <c r="O64" i="29"/>
  <c r="P64" i="29"/>
  <c r="S64" i="1"/>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Q66" i="26"/>
  <c r="P66" i="26"/>
  <c r="C66" i="26"/>
  <c r="I66" i="26"/>
  <c r="H66" i="26"/>
  <c r="L66" i="24"/>
  <c r="D66" i="24"/>
  <c r="K66" i="24"/>
  <c r="I66" i="23"/>
  <c r="E66" i="23"/>
  <c r="I66" i="22"/>
  <c r="S66" i="22"/>
  <c r="K66" i="22"/>
  <c r="T66" i="22"/>
  <c r="K66" i="21"/>
  <c r="C66" i="21"/>
  <c r="D66" i="21"/>
  <c r="R66" i="21"/>
  <c r="N64" i="1"/>
  <c r="N65" i="1" s="1"/>
  <c r="M64" i="1"/>
  <c r="T64" i="1"/>
  <c r="L64" i="1"/>
  <c r="J64" i="1"/>
  <c r="K64" i="1"/>
  <c r="O64" i="1"/>
  <c r="O65" i="1" s="1"/>
  <c r="C64" i="1"/>
  <c r="I64" i="1"/>
  <c r="I65" i="1" s="1"/>
  <c r="H64" i="1"/>
  <c r="G64" i="1"/>
  <c r="F64" i="1"/>
  <c r="F65" i="1" s="1"/>
  <c r="E64" i="1"/>
  <c r="D64" i="1"/>
  <c r="B64" i="1"/>
  <c r="B65" i="1" s="1"/>
  <c r="D63" i="1"/>
  <c r="L63" i="1"/>
  <c r="F63" i="1"/>
  <c r="R63" i="1"/>
  <c r="J63" i="1"/>
  <c r="Q63" i="1"/>
  <c r="I63" i="1"/>
  <c r="C63" i="1"/>
  <c r="K63" i="1"/>
  <c r="P63" i="1"/>
  <c r="H63" i="1"/>
  <c r="T63" i="1"/>
  <c r="S63" i="1"/>
  <c r="O63" i="1"/>
  <c r="G63" i="1"/>
  <c r="N63" i="1"/>
  <c r="E63" i="1"/>
  <c r="B63" i="1"/>
  <c r="U63" i="1"/>
  <c r="M63" i="1"/>
  <c r="T66" i="1" l="1"/>
  <c r="T65" i="1"/>
  <c r="K65" i="1"/>
  <c r="J65" i="1"/>
  <c r="Q65" i="1"/>
  <c r="P65" i="1"/>
  <c r="G65" i="1"/>
  <c r="R65" i="1"/>
  <c r="L65" i="1"/>
  <c r="H65" i="1"/>
  <c r="M65" i="1"/>
  <c r="E65" i="1"/>
  <c r="D65" i="1"/>
  <c r="C65" i="1"/>
  <c r="C66" i="29"/>
  <c r="P66" i="27"/>
  <c r="P66" i="24"/>
  <c r="O66" i="21"/>
  <c r="L66" i="22"/>
  <c r="L66" i="29"/>
  <c r="M66" i="22"/>
  <c r="I66" i="24"/>
  <c r="H66" i="21"/>
  <c r="D66" i="22"/>
  <c r="D66" i="23"/>
  <c r="D66" i="29"/>
  <c r="D66" i="26"/>
  <c r="M66" i="24"/>
  <c r="C66" i="22"/>
  <c r="R66" i="23"/>
  <c r="R65" i="23"/>
  <c r="R66" i="26"/>
  <c r="R66" i="24"/>
  <c r="R65" i="24"/>
  <c r="Q66" i="23"/>
  <c r="Q65" i="23"/>
  <c r="Q66" i="1"/>
  <c r="P66" i="28"/>
  <c r="P65" i="28"/>
  <c r="P66" i="29"/>
  <c r="P65" i="29"/>
  <c r="P66" i="30"/>
  <c r="P65" i="30"/>
  <c r="O66" i="24"/>
  <c r="O65" i="24"/>
  <c r="O66" i="29"/>
  <c r="O65" i="29"/>
  <c r="O66" i="26"/>
  <c r="O65" i="26"/>
  <c r="O66" i="28"/>
  <c r="O65" i="28"/>
  <c r="O66" i="27"/>
  <c r="O65" i="27"/>
  <c r="O66" i="30"/>
  <c r="O65" i="30"/>
  <c r="O66" i="23"/>
  <c r="O65" i="23"/>
  <c r="N66" i="30"/>
  <c r="N65" i="30"/>
  <c r="N66" i="27"/>
  <c r="N65" i="27"/>
  <c r="N66" i="26"/>
  <c r="N65" i="26"/>
  <c r="N66" i="29"/>
  <c r="N65" i="29"/>
  <c r="N66" i="28"/>
  <c r="N65" i="28"/>
  <c r="N66" i="24"/>
  <c r="N65" i="24"/>
  <c r="N66" i="23"/>
  <c r="M66" i="29"/>
  <c r="M66" i="27"/>
  <c r="M65" i="27"/>
  <c r="M66" i="28"/>
  <c r="M66" i="30"/>
  <c r="M65" i="30"/>
  <c r="M66" i="21"/>
  <c r="M66" i="23"/>
  <c r="M65" i="23"/>
  <c r="L66" i="27"/>
  <c r="L65" i="27"/>
  <c r="K66" i="29"/>
  <c r="K65" i="29"/>
  <c r="K66" i="26"/>
  <c r="K65" i="26"/>
  <c r="K66" i="23"/>
  <c r="K65" i="23"/>
  <c r="J66" i="26"/>
  <c r="I66" i="21"/>
  <c r="I65" i="21"/>
  <c r="H66" i="28"/>
  <c r="H65" i="28"/>
  <c r="H66" i="29"/>
  <c r="H65" i="29"/>
  <c r="H66" i="27"/>
  <c r="H65" i="27"/>
  <c r="H66" i="24"/>
  <c r="H65" i="24"/>
  <c r="G66" i="24"/>
  <c r="G65" i="24"/>
  <c r="G66" i="22"/>
  <c r="G65" i="22"/>
  <c r="G66" i="28"/>
  <c r="G65" i="28"/>
  <c r="G66" i="27"/>
  <c r="G65" i="27"/>
  <c r="G66" i="23"/>
  <c r="G65" i="23"/>
  <c r="G66" i="29"/>
  <c r="G65" i="29"/>
  <c r="G66" i="21"/>
  <c r="G65" i="21"/>
  <c r="G66" i="26"/>
  <c r="G65" i="26"/>
  <c r="F66" i="23"/>
  <c r="F65" i="23"/>
  <c r="F66" i="27"/>
  <c r="F65" i="27"/>
  <c r="F66" i="22"/>
  <c r="F65" i="22"/>
  <c r="F66" i="21"/>
  <c r="F65" i="21"/>
  <c r="F66" i="28"/>
  <c r="F65" i="28"/>
  <c r="F66" i="29"/>
  <c r="F65" i="29"/>
  <c r="F66" i="24"/>
  <c r="F65" i="24"/>
  <c r="F66" i="30"/>
  <c r="F65" i="30"/>
  <c r="E66" i="28"/>
  <c r="E65" i="28"/>
  <c r="E66" i="29"/>
  <c r="E65" i="29"/>
  <c r="E66" i="21"/>
  <c r="E65" i="21"/>
  <c r="E66" i="26"/>
  <c r="E65" i="26"/>
  <c r="E66" i="24"/>
  <c r="E65" i="24"/>
  <c r="C66" i="24"/>
  <c r="C65" i="24"/>
  <c r="C66" i="28"/>
  <c r="C65" i="28"/>
  <c r="B66" i="21"/>
  <c r="B65" i="21"/>
  <c r="B66" i="26"/>
  <c r="B65" i="26"/>
  <c r="B66" i="27"/>
  <c r="B65" i="27"/>
  <c r="B66" i="28"/>
  <c r="B65" i="28"/>
  <c r="B66" i="29"/>
  <c r="B65" i="29"/>
  <c r="B66" i="22"/>
  <c r="B65" i="22"/>
  <c r="B66" i="23"/>
  <c r="B65" i="23"/>
  <c r="J66" i="21"/>
  <c r="J65" i="21"/>
  <c r="J66" i="29"/>
  <c r="J65" i="29"/>
  <c r="J66" i="22"/>
  <c r="J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<sst xmlns="http://schemas.openxmlformats.org/spreadsheetml/2006/main" count="2120" uniqueCount="180">
  <si>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</si>
  <si>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</si>
  <si>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</si>
  <si>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</si>
  <si>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</si>
  <si>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</si>
  <si>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</si>
  <si>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</si>
  <si>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</si>
  <si>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</si>
  <si>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</si>
  <si>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</si>
  <si>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</si>
  <si>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</si>
  <si>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</si>
  <si>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</si>
  <si>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</si>
  <si>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</si>
  <si>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</si>
  <si>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</si>
  <si>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</si>
  <si>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</si>
  <si>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</si>
  <si>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</si>
  <si>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</si>
  <si>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</si>
  <si>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</si>
  <si>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</si>
  <si>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</si>
  <si>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</si>
  <si>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</si>
  <si>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</si>
  <si>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</si>
  <si>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</si>
  <si>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</si>
  <si>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</si>
  <si>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</si>
  <si>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</si>
  <si>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</si>
  <si>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</si>
  <si>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</si>
  <si>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</si>
  <si>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</si>
  <si>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</si>
  <si>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</si>
  <si>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</si>
  <si>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</si>
  <si>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</si>
  <si>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</si>
  <si>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</si>
  <si>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</si>
  <si>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</si>
  <si>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</si>
  <si>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</si>
  <si>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</si>
  <si>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</si>
  <si>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</si>
  <si>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</si>
  <si>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</si>
  <si>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</si>
  <si>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</si>
  <si>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</si>
  <si>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</si>
  <si>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</si>
  <si>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</si>
  <si>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</si>
  <si>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</si>
  <si>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</si>
  <si>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</si>
  <si>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</si>
  <si>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</si>
  <si>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</si>
  <si>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</si>
  <si>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</si>
  <si>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</si>
  <si>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</si>
  <si>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</si>
  <si>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</si>
  <si>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</si>
  <si>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</si>
  <si>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</si>
  <si>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</si>
  <si>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</si>
  <si>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</si>
  <si>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</si>
  <si>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</si>
  <si>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</si>
  <si>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</si>
  <si>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</si>
  <si>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</si>
  <si>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</si>
  <si>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</si>
  <si>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</si>
  <si>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</si>
  <si>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</si>
  <si>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</si>
  <si>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</si>
  <si>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</si>
  <si>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</si>
  <si>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</si>
  <si>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</si>
  <si>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</si>
  <si>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</si>
  <si>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</si>
  <si>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</si>
  <si>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</si>
  <si>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</si>
  <si>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</si>
  <si>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</si>
  <si>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</si>
  <si>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</si>
  <si>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</si>
  <si>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</si>
  <si>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</si>
  <si>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</si>
  <si>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</si>
  <si>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</si>
  <si>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</si>
  <si>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</si>
  <si>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</si>
  <si>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</si>
  <si>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</si>
  <si>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</si>
  <si>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</si>
  <si>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</si>
  <si>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</si>
  <si>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</si>
  <si>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</si>
  <si>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</si>
  <si>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</si>
  <si>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</si>
  <si>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</si>
  <si>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</si>
  <si>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</si>
  <si>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</si>
  <si>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</si>
  <si>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</si>
  <si>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</si>
  <si>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</si>
  <si>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</si>
  <si>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</si>
  <si>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</si>
  <si>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</si>
  <si>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</si>
  <si>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</si>
  <si>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</si>
  <si>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</si>
  <si>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</si>
  <si>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</si>
  <si>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</si>
  <si>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</si>
  <si>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</si>
  <si>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</si>
  <si>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</si>
  <si>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</si>
  <si>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</si>
  <si>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</si>
  <si>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</si>
  <si>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</si>
  <si>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</si>
  <si>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EPR/HB3503LF</t>
  </si>
  <si>
    <t>PAN-030926</t>
  </si>
  <si>
    <t>Severn Trent Water Limited</t>
  </si>
  <si>
    <t>Noyadd Farm, Rhayader, Powys. LD6 5HH</t>
  </si>
  <si>
    <t>Elan</t>
  </si>
  <si>
    <t>1 TM DF</t>
  </si>
  <si>
    <t>2 TM DF</t>
  </si>
  <si>
    <t>3 TM DF</t>
  </si>
  <si>
    <t>4 TM DF</t>
  </si>
  <si>
    <t>5 TM DF</t>
  </si>
  <si>
    <t>6 TM DF</t>
  </si>
  <si>
    <t>8 TM DF</t>
  </si>
  <si>
    <t>30E</t>
  </si>
  <si>
    <t>6481 6895</t>
  </si>
  <si>
    <t>04 TM NGE</t>
  </si>
  <si>
    <t>5 TM NGE</t>
  </si>
  <si>
    <t>6 TM NGE</t>
  </si>
  <si>
    <t>10 TM NGE</t>
  </si>
  <si>
    <t>11 TM NGE</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</si>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</sst>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8" sqref="A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161</v>
      </c>
      <c r="D1" s="161"/>
      <c r="E1" s="106" t="s">
        <v>45</v>
      </c>
      <c r="F1" s="109">
        <v>36.5</v>
      </c>
      <c r="G1" s="162" t="s">
        <v>43</v>
      </c>
      <c r="H1" s="163"/>
      <c r="I1" s="109">
        <v>8.9</v>
      </c>
      <c r="J1" s="130" t="s">
        <v>153</v>
      </c>
      <c r="K1" s="131"/>
      <c r="L1" s="109">
        <v>104</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160</v>
      </c>
      <c r="D2" s="155"/>
      <c r="E2" s="96" t="s">
        <v>109</v>
      </c>
      <c r="F2" s="110">
        <v>190902</v>
      </c>
      <c r="G2" s="164" t="s">
        <v>110</v>
      </c>
      <c r="H2" s="165"/>
      <c r="I2" s="110"/>
      <c r="J2" s="132" t="s">
        <v>158</v>
      </c>
      <c r="K2" s="133"/>
      <c r="L2" s="110">
        <v>0.83599999999999997</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104</v>
      </c>
      <c r="G3" s="132" t="s">
        <v>159</v>
      </c>
      <c r="H3" s="133"/>
      <c r="I3" s="110"/>
      <c r="J3" s="134" t="s">
        <v>154</v>
      </c>
      <c r="K3" s="135"/>
      <c r="L3" s="110">
        <f>(L1/(L2*10000))*100</f>
        <v>1.2440191387559809</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164</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165</v>
      </c>
      <c r="D8" s="11" t="s">
        <v>166</v>
      </c>
      <c r="E8" s="11" t="s">
        <v>167</v>
      </c>
      <c r="F8" s="11" t="s">
        <v>168</v>
      </c>
      <c r="G8" s="11" t="s">
        <v>169</v>
      </c>
      <c r="H8" s="11" t="s">
        <v>170</v>
      </c>
      <c r="I8" s="11" t="s">
        <v>171</v>
      </c>
      <c r="J8" s="11" t="s">
        <v>172</v>
      </c>
      <c r="K8" s="11" t="s">
        <v>173</v>
      </c>
      <c r="L8" s="11">
        <v>7788</v>
      </c>
      <c r="M8" s="11">
        <v>8978</v>
      </c>
      <c r="N8" s="11">
        <v>9291</v>
      </c>
      <c r="O8" s="11" t="s">
        <v>174</v>
      </c>
      <c r="P8" s="11" t="s">
        <v>175</v>
      </c>
      <c r="Q8" s="11" t="s">
        <v>176</v>
      </c>
      <c r="R8" s="11" t="s">
        <v>177</v>
      </c>
      <c r="S8" s="11" t="s">
        <v>178</v>
      </c>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179</v>
      </c>
      <c r="D9" s="11" t="s">
        <v>179</v>
      </c>
      <c r="E9" s="11" t="s">
        <v>179</v>
      </c>
      <c r="F9" s="11" t="s">
        <v>179</v>
      </c>
      <c r="G9" s="11" t="s">
        <v>179</v>
      </c>
      <c r="H9" s="11" t="s">
        <v>179</v>
      </c>
      <c r="I9" s="11" t="s">
        <v>179</v>
      </c>
      <c r="J9" s="11" t="s">
        <v>179</v>
      </c>
      <c r="K9" s="11" t="s">
        <v>179</v>
      </c>
      <c r="L9" s="11" t="s">
        <v>179</v>
      </c>
      <c r="M9" s="11" t="s">
        <v>179</v>
      </c>
      <c r="N9" s="11" t="s">
        <v>179</v>
      </c>
      <c r="O9" s="11" t="s">
        <v>179</v>
      </c>
      <c r="P9" s="11" t="s">
        <v>179</v>
      </c>
      <c r="Q9" s="11" t="s">
        <v>179</v>
      </c>
      <c r="R9" s="11" t="s">
        <v>179</v>
      </c>
      <c r="S9" s="11" t="s">
        <v>179</v>
      </c>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5.8</v>
      </c>
      <c r="D10" s="11">
        <v>6</v>
      </c>
      <c r="E10" s="11">
        <v>6.6</v>
      </c>
      <c r="F10" s="11">
        <v>6.3</v>
      </c>
      <c r="G10" s="11">
        <v>6.4</v>
      </c>
      <c r="H10" s="11">
        <v>6</v>
      </c>
      <c r="I10" s="11">
        <v>6</v>
      </c>
      <c r="J10" s="11">
        <v>6.4</v>
      </c>
      <c r="K10" s="11">
        <v>6.5</v>
      </c>
      <c r="L10" s="11">
        <v>6</v>
      </c>
      <c r="M10" s="11">
        <v>6.4</v>
      </c>
      <c r="N10" s="11">
        <v>6.1</v>
      </c>
      <c r="O10" s="11">
        <v>6.3</v>
      </c>
      <c r="P10" s="11">
        <v>6.1</v>
      </c>
      <c r="Q10" s="11">
        <v>6</v>
      </c>
      <c r="R10" s="11">
        <v>6.1</v>
      </c>
      <c r="S10" s="11">
        <v>5.8</v>
      </c>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1</v>
      </c>
      <c r="D11" s="11">
        <v>1</v>
      </c>
      <c r="E11" s="11">
        <v>2</v>
      </c>
      <c r="F11" s="11">
        <v>2</v>
      </c>
      <c r="G11" s="11">
        <v>1</v>
      </c>
      <c r="H11" s="11">
        <v>0</v>
      </c>
      <c r="I11" s="11">
        <v>0</v>
      </c>
      <c r="J11" s="11">
        <v>1</v>
      </c>
      <c r="K11" s="11">
        <v>1</v>
      </c>
      <c r="L11" s="11">
        <v>1</v>
      </c>
      <c r="M11" s="11">
        <v>0</v>
      </c>
      <c r="N11" s="11">
        <v>1</v>
      </c>
      <c r="O11" s="11">
        <v>1</v>
      </c>
      <c r="P11" s="11">
        <v>1</v>
      </c>
      <c r="Q11" s="11">
        <v>1</v>
      </c>
      <c r="R11" s="11">
        <v>0</v>
      </c>
      <c r="S11" s="11">
        <v>1</v>
      </c>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1</v>
      </c>
      <c r="D12" s="11">
        <v>1</v>
      </c>
      <c r="E12" s="11">
        <v>1</v>
      </c>
      <c r="F12" s="11">
        <v>0</v>
      </c>
      <c r="G12" s="11">
        <v>0</v>
      </c>
      <c r="H12" s="11">
        <v>0</v>
      </c>
      <c r="I12" s="11">
        <v>1</v>
      </c>
      <c r="J12" s="11">
        <v>0</v>
      </c>
      <c r="K12" s="11">
        <v>1</v>
      </c>
      <c r="L12" s="11">
        <v>2</v>
      </c>
      <c r="M12" s="11">
        <v>1</v>
      </c>
      <c r="N12" s="11">
        <v>2</v>
      </c>
      <c r="O12" s="11">
        <v>0</v>
      </c>
      <c r="P12" s="11">
        <v>1</v>
      </c>
      <c r="Q12" s="11">
        <v>1</v>
      </c>
      <c r="R12" s="11">
        <v>2</v>
      </c>
      <c r="S12" s="11">
        <v>1</v>
      </c>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2</v>
      </c>
      <c r="I13" s="11">
        <v>2</v>
      </c>
      <c r="J13" s="11">
        <v>2</v>
      </c>
      <c r="K13" s="11">
        <v>2</v>
      </c>
      <c r="L13" s="11">
        <v>2</v>
      </c>
      <c r="M13" s="11">
        <v>2</v>
      </c>
      <c r="N13" s="11">
        <v>2</v>
      </c>
      <c r="O13" s="11">
        <v>2</v>
      </c>
      <c r="P13" s="11">
        <v>2</v>
      </c>
      <c r="Q13" s="11">
        <v>2</v>
      </c>
      <c r="R13" s="11">
        <v>2</v>
      </c>
      <c r="S13" s="11">
        <v>2</v>
      </c>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115</v>
      </c>
      <c r="D14" s="82" t="s">
        <v>115</v>
      </c>
      <c r="E14" s="82" t="s">
        <v>115</v>
      </c>
      <c r="F14" s="82" t="s">
        <v>113</v>
      </c>
      <c r="G14" s="82" t="s">
        <v>113</v>
      </c>
      <c r="H14" s="82" t="s">
        <v>113</v>
      </c>
      <c r="I14" s="82" t="s">
        <v>115</v>
      </c>
      <c r="J14" s="82" t="s">
        <v>113</v>
      </c>
      <c r="K14" s="82" t="s">
        <v>113</v>
      </c>
      <c r="L14" s="82" t="s">
        <v>115</v>
      </c>
      <c r="M14" s="82" t="s">
        <v>115</v>
      </c>
      <c r="N14" s="82" t="s">
        <v>113</v>
      </c>
      <c r="O14" s="82" t="s">
        <v>113</v>
      </c>
      <c r="P14" s="82" t="s">
        <v>113</v>
      </c>
      <c r="Q14" s="82" t="s">
        <v>113</v>
      </c>
      <c r="R14" s="82" t="s">
        <v>113</v>
      </c>
      <c r="S14" s="82" t="s">
        <v>113</v>
      </c>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35</v>
      </c>
      <c r="D15" s="11">
        <v>35</v>
      </c>
      <c r="E15" s="11">
        <v>23</v>
      </c>
      <c r="F15" s="11">
        <v>23</v>
      </c>
      <c r="G15" s="11">
        <v>23</v>
      </c>
      <c r="H15" s="11">
        <v>23</v>
      </c>
      <c r="I15" s="11">
        <v>35</v>
      </c>
      <c r="J15" s="11">
        <v>23</v>
      </c>
      <c r="K15" s="11">
        <v>23</v>
      </c>
      <c r="L15" s="11">
        <v>35</v>
      </c>
      <c r="M15" s="11">
        <v>35</v>
      </c>
      <c r="N15" s="11">
        <v>23</v>
      </c>
      <c r="O15" s="11">
        <v>23</v>
      </c>
      <c r="P15" s="11">
        <v>23</v>
      </c>
      <c r="Q15" s="11">
        <v>23</v>
      </c>
      <c r="R15" s="11">
        <v>23</v>
      </c>
      <c r="S15" s="11">
        <v>23</v>
      </c>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22.932910000000003</v>
      </c>
      <c r="D18" s="12">
        <f>$D32</f>
        <v>22.932910000000003</v>
      </c>
      <c r="E18" s="12">
        <f>$D33</f>
        <v>19.2636444</v>
      </c>
      <c r="F18" s="12">
        <f>$D34</f>
        <v>22.932910000000003</v>
      </c>
      <c r="G18" s="12">
        <f>$D35</f>
        <v>22.932910000000003</v>
      </c>
      <c r="H18" s="12">
        <f>$D36</f>
        <v>22.932910000000003</v>
      </c>
      <c r="I18" s="12">
        <f>$D37</f>
        <v>22.932910000000003</v>
      </c>
      <c r="J18" s="12">
        <f>$D38</f>
        <v>22.932910000000003</v>
      </c>
      <c r="K18" s="12">
        <f>$D39</f>
        <v>22.932910000000003</v>
      </c>
      <c r="L18" s="12">
        <f>$D40</f>
        <v>22.932910000000003</v>
      </c>
      <c r="M18" s="12">
        <f>$D41</f>
        <v>22.932910000000003</v>
      </c>
      <c r="N18" s="12">
        <f>$D42</f>
        <v>22.932910000000003</v>
      </c>
      <c r="O18" s="12">
        <f>$D43</f>
        <v>22.932910000000003</v>
      </c>
      <c r="P18" s="12">
        <f>$D44</f>
        <v>22.932910000000003</v>
      </c>
      <c r="Q18" s="12">
        <f>$D45</f>
        <v>22.932910000000003</v>
      </c>
      <c r="R18" s="12">
        <f>$D46</f>
        <v>22.932910000000003</v>
      </c>
      <c r="S18" s="12">
        <f>$D47</f>
        <v>22.932910000000003</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-26.067089999999997</v>
      </c>
      <c r="D19" s="12">
        <f t="shared" ref="D19:V19" si="1">D18-D17</f>
        <v>-26.067089999999997</v>
      </c>
      <c r="E19" s="12">
        <f t="shared" si="1"/>
        <v>-12.936355599999995</v>
      </c>
      <c r="F19" s="12">
        <f t="shared" si="1"/>
        <v>-16.167089999999998</v>
      </c>
      <c r="G19" s="12">
        <f t="shared" si="1"/>
        <v>-16.167089999999998</v>
      </c>
      <c r="H19" s="12">
        <f t="shared" si="1"/>
        <v>-16.167089999999998</v>
      </c>
      <c r="I19" s="12">
        <f t="shared" si="1"/>
        <v>-26.067089999999997</v>
      </c>
      <c r="J19" s="12">
        <f t="shared" si="1"/>
        <v>-16.167089999999998</v>
      </c>
      <c r="K19" s="12">
        <f t="shared" si="1"/>
        <v>-16.167089999999998</v>
      </c>
      <c r="L19" s="12">
        <f t="shared" si="1"/>
        <v>-26.067089999999997</v>
      </c>
      <c r="M19" s="12">
        <f t="shared" si="1"/>
        <v>-26.067089999999997</v>
      </c>
      <c r="N19" s="12">
        <f t="shared" si="1"/>
        <v>-16.167089999999998</v>
      </c>
      <c r="O19" s="12">
        <f t="shared" si="1"/>
        <v>-16.167089999999998</v>
      </c>
      <c r="P19" s="12">
        <f t="shared" si="1"/>
        <v>-16.167089999999998</v>
      </c>
      <c r="Q19" s="12">
        <f t="shared" si="1"/>
        <v>-16.167089999999998</v>
      </c>
      <c r="R19" s="12">
        <f t="shared" si="1"/>
        <v>-16.167089999999998</v>
      </c>
      <c r="S19" s="12">
        <f t="shared" si="1"/>
        <v>-16.167089999999998</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7.3300150000000004</v>
      </c>
      <c r="D22" s="12">
        <f>$E32</f>
        <v>7.3300150000000004</v>
      </c>
      <c r="E22" s="12">
        <f>$E33</f>
        <v>6.1572126000000003</v>
      </c>
      <c r="F22" s="12">
        <f>$E34</f>
        <v>7.3300150000000004</v>
      </c>
      <c r="G22" s="12">
        <f>$E35</f>
        <v>7.3300150000000004</v>
      </c>
      <c r="H22" s="12">
        <f>$E36</f>
        <v>7.3300150000000004</v>
      </c>
      <c r="I22" s="12">
        <f>$E37</f>
        <v>7.3300150000000004</v>
      </c>
      <c r="J22" s="12">
        <f>$E38</f>
        <v>7.3300150000000004</v>
      </c>
      <c r="K22" s="12">
        <f>$E39</f>
        <v>7.3300150000000004</v>
      </c>
      <c r="L22" s="12">
        <f>$E40</f>
        <v>7.3300150000000004</v>
      </c>
      <c r="M22" s="12">
        <f>$E41</f>
        <v>7.3300150000000004</v>
      </c>
      <c r="N22" s="12">
        <f>$E42</f>
        <v>7.3300150000000004</v>
      </c>
      <c r="O22" s="12">
        <f>$E43</f>
        <v>7.3300150000000004</v>
      </c>
      <c r="P22" s="12">
        <f>$E44</f>
        <v>7.3300150000000004</v>
      </c>
      <c r="Q22" s="12">
        <f>$E45</f>
        <v>7.3300150000000004</v>
      </c>
      <c r="R22" s="12">
        <f>$E46</f>
        <v>7.3300150000000004</v>
      </c>
      <c r="S22" s="12">
        <f>$E47</f>
        <v>7.3300150000000004</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-160.669985</v>
      </c>
      <c r="D23" s="12">
        <f t="shared" ref="D23:V23" si="3">D22-D21</f>
        <v>-160.669985</v>
      </c>
      <c r="E23" s="12">
        <f t="shared" si="3"/>
        <v>-104.2427874</v>
      </c>
      <c r="F23" s="12">
        <f t="shared" si="3"/>
        <v>-130.669985</v>
      </c>
      <c r="G23" s="12">
        <f t="shared" si="3"/>
        <v>-130.669985</v>
      </c>
      <c r="H23" s="12">
        <f t="shared" si="3"/>
        <v>-130.669985</v>
      </c>
      <c r="I23" s="12">
        <f t="shared" si="3"/>
        <v>-160.669985</v>
      </c>
      <c r="J23" s="12">
        <f t="shared" si="3"/>
        <v>-130.669985</v>
      </c>
      <c r="K23" s="12">
        <f t="shared" si="3"/>
        <v>-130.669985</v>
      </c>
      <c r="L23" s="12">
        <f t="shared" si="3"/>
        <v>-160.669985</v>
      </c>
      <c r="M23" s="12">
        <f t="shared" si="3"/>
        <v>-160.669985</v>
      </c>
      <c r="N23" s="12">
        <f t="shared" si="3"/>
        <v>-130.669985</v>
      </c>
      <c r="O23" s="12">
        <f t="shared" si="3"/>
        <v>-130.669985</v>
      </c>
      <c r="P23" s="12">
        <f t="shared" si="3"/>
        <v>-130.669985</v>
      </c>
      <c r="Q23" s="12">
        <f t="shared" si="3"/>
        <v>-130.669985</v>
      </c>
      <c r="R23" s="12">
        <f t="shared" si="3"/>
        <v>-130.669985</v>
      </c>
      <c r="S23" s="12">
        <f t="shared" si="3"/>
        <v>-130.669985</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35">
      <c r="A28" s="122"/>
      <c r="B28" s="16">
        <v>28</v>
      </c>
      <c r="C28" s="11">
        <v>0.86299999999999999</v>
      </c>
      <c r="D28" s="11">
        <v>1430</v>
      </c>
      <c r="E28" s="11">
        <v>869</v>
      </c>
      <c r="F28" s="11">
        <v>5050</v>
      </c>
      <c r="G28" s="11">
        <v>54.8</v>
      </c>
      <c r="H28" s="11">
        <v>1460</v>
      </c>
      <c r="I28" s="11">
        <v>333.1</v>
      </c>
      <c r="J28" s="11">
        <v>8.85</v>
      </c>
      <c r="K28" s="15">
        <v>0.36</v>
      </c>
      <c r="L28" s="11">
        <v>125.7</v>
      </c>
      <c r="M28" s="11">
        <v>21.5</v>
      </c>
      <c r="N28" s="11">
        <v>129000</v>
      </c>
      <c r="O28" s="11">
        <v>81700</v>
      </c>
      <c r="P28" s="11">
        <v>161</v>
      </c>
      <c r="Q28" s="11">
        <v>1280</v>
      </c>
      <c r="R28" s="11">
        <v>3.44</v>
      </c>
      <c r="S28" s="11">
        <v>44.2</v>
      </c>
      <c r="T28" s="11">
        <v>1.2</v>
      </c>
      <c r="U28" s="97">
        <v>81</v>
      </c>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v>25</v>
      </c>
      <c r="C31" s="65">
        <f>IF(C$27="%w/w SAR",((C$28*10)*$B31),IF(C$27="%w/w DM",(((C$28*10)*($B$28/100))*$B31),IF(C$27="kg/t SAR",(C$28*$B31),IF(C$27="kg/t DM",((C$28*($B$28/100))*$B31),IF(C$27="mg/kg SAR",((C$28*0.001)*$B31),IF(C$27="mg/kg DM",(((C$28*0.001)*($B$28/100))*$B31),0))))))</f>
        <v>60.41</v>
      </c>
      <c r="D31" s="65">
        <f>(IF(D$27="%w/w SAR",((D$28*10)*$B31),IF(D$27="%w/w DM",(((D$28*10)*($B$28/100))*$B31),IF(D$27="kg/t SAR",(D$28*$B31),IF(D$27="kg/t DM",((D$28*($B$28/100))*$B31),IF(D$27="mg/kg SAR",((D$28*0.001)*$B31),IF(D$27="mg/kg DM",(((D$28*0.001)*($B$28/100))*$B31),"0")))))))*2.291</f>
        <v>22.932910000000003</v>
      </c>
      <c r="E31" s="65">
        <f>(IF(E$27="%w/w SAR",((E$28*10)*$B31),IF(E$27="%w/w DM",(((E$28*10)*($B$28/100))*$B31),IF(E$27="kg/t SAR",(E$28*$B31),IF(E$27="kg/t DM",((E$28*($B$28/100))*$B31),IF(E$27="mg/kg SAR",((E$28*0.001)*$B31),IF(E$27="mg/kg DM",(((E$28*0.001)*($B$28/100))*$B31),"0")))))))*1.205</f>
        <v>7.3300150000000004</v>
      </c>
      <c r="F31" s="65">
        <f>(IF(F$27="%w/w SAR",((F$28*10)*$B31),IF(F$27="%w/w DM",(((F$28*10)*($B$28/100))*$B31),IF(F$27="kg/t SAR",(F$28*$B31),IF(F$27="kg/t DM",((F$28*($B$28/100))*$B31),IF(F$27="mg/kg SAR",((F$28*0.001)*$B31),IF(F$27="mg/kg DM",(((F$28*0.001)*($B$28/100))*$B31),"0")))))))*1.658</f>
        <v>58.610300000000002</v>
      </c>
      <c r="G31" s="65">
        <f t="shared" ref="G31:P31" si="5">IF(G$27="%w/w SAR",((G$28*10)*$B31),IF(G$27="%w/w DM",(((G$28*10)*($B$28/100))*$B31),IF(G$27="kg/t SAR",(G$28*$B31),IF(G$27="kg/t DM",((G$28*($B$28/100))*$B31),IF(G$27="mg/kg SAR",((G$28*0.001)*$B31),IF(G$27="mg/kg DM",(((G$28*0.001)*($B$28/100))*$B31),0))))))</f>
        <v>0.38360000000000005</v>
      </c>
      <c r="H31" s="65">
        <f t="shared" si="5"/>
        <v>10.220000000000001</v>
      </c>
      <c r="I31" s="65">
        <f t="shared" si="5"/>
        <v>2.3317000000000005</v>
      </c>
      <c r="J31" s="65">
        <f t="shared" si="5"/>
        <v>6.1950000000000005E-2</v>
      </c>
      <c r="K31" s="65">
        <f t="shared" si="5"/>
        <v>2.5200000000000001E-3</v>
      </c>
      <c r="L31" s="65">
        <f t="shared" si="5"/>
        <v>0.87990000000000013</v>
      </c>
      <c r="M31" s="65">
        <f t="shared" si="5"/>
        <v>0.15050000000000002</v>
      </c>
      <c r="N31" s="65">
        <f t="shared" si="5"/>
        <v>903.00000000000011</v>
      </c>
      <c r="O31" s="65">
        <f t="shared" si="5"/>
        <v>571.9</v>
      </c>
      <c r="P31" s="65">
        <f t="shared" si="5"/>
        <v>1.127</v>
      </c>
      <c r="Q31" s="65">
        <f>(IF(Q$27="%w/w SAR",((Q$28*10)*$B31),IF(Q$27="%w/w DM",(((Q$28*10)*($B$28/100))*$B31),IF(Q$27="kg/t SAR",(Q$28*$B31),IF(Q$27="kg/t DM",((Q$28*($B$28/100))*$B31),IF(Q$27="mg/kg SAR",((Q$28*0.001)*$B31),IF(Q$27="mg/kg DM",(((Q$28*0.001)*($B$28/100))*$B31),0)))))))*2.5</f>
        <v>22.400000000000002</v>
      </c>
      <c r="R31" s="65">
        <f>IF(R$27="%w/w SAR",((R$28*10)*$B31),IF(R$27="%w/w DM",(((R$28*10)*($B$28/100))*$B31),IF(R$27="kg/t SAR",(R$28*$B31),IF(R$27="kg/t DM",((R$28*($B$28/100))*$B31),IF(R$27="mg/kg SAR",((R$28*0.001)*$B31),IF(R$27="mg/kg DM",(((R$28*0.001)*($B$28/100))*$B31),0))))))</f>
        <v>2.4080000000000004E-2</v>
      </c>
      <c r="S31" s="65">
        <f>IF(S$27="%w/w SAR",((S$28*10)*$B31),IF(S$27="%w/w DM",(((S$28*10)*($B$28/100))*$B31),IF(S$27="kg/t SAR",(S$28*$B31),IF(S$27="kg/t DM",((S$28*($B$28/100))*$B31),IF(S$27="mg/kg SAR",((S$28*0.001)*$B31),IF(S$27="mg/kg DM",(((S$28*0.001)*($B$28/100))*$B31),0))))))</f>
        <v>0.30940000000000006</v>
      </c>
      <c r="T31" s="65">
        <f>IF(T$27="%w/w SAR",((T$28*10)*$B31),IF(T$27="%w/w DM",(((T$28*10)*($B$28/100))*$B31),IF(T$27="kg/t SAR",(T$28*$B31),IF(T$27="kg/t DM",((T$28*($B$28/100))*$B31),IF(T$27="mg/kg SAR",((T$28*0.001)*$B31),IF(T$27="mg/kg DM",(((T$28*0.001)*($B$28/100))*$B31),0))))))</f>
        <v>8.3999999999999995E-3</v>
      </c>
      <c r="U31" s="126">
        <f>IF(U$27="%w/w SAR",((U$28*10)*$B31),IF(U$27="%w/w DM",(((U$28*10)*($B$28/100))*$B31),IF(U$27="kg/t SAR",(U$28*$B31),IF(U$27="kg/t DM",((U$28*($B$28/100))*$B31),IF(U$27="mg/kg SAR",((U$28*0.001)*$B31),IF(U$27="mg/kg DM",(((U$28*0.001)*($B$28/100))*$B31),0))))))</f>
        <v>0.56700000000000006</v>
      </c>
    </row>
    <row r="32" spans="1:40" s="48" customFormat="1" ht="13" x14ac:dyDescent="0.35">
      <c r="A32" s="125" t="str">
        <f>D8</f>
        <v>2 TM DF</v>
      </c>
      <c r="B32" s="11">
        <v>25</v>
      </c>
      <c r="C32" s="65">
        <f t="shared" ref="C32:C50" si="6">IF(C$27="%w/w SAR",((C$28*10)*$B32),IF(C$27="%w/w DM",(((C$28*10)*($B$28/100))*$B32),IF(C$27="kg/t SAR",(C$28*$B32),IF(C$27="kg/t DM",((C$28*($B$28/100))*$B32),IF(C$27="mg/kg SAR",((C$28*0.001)*$B32),IF(C$27="mg/kg DM",(((C$28*0.001)*($B$28/100))*$B32),0))))))</f>
        <v>60.41</v>
      </c>
      <c r="D32" s="65">
        <f t="shared" ref="D32:D50" si="7">(IF(D$27="%w/w SAR",((D$28*10)*$B32),IF(D$27="%w/w DM",(((D$28*10)*($B$28/100))*$B32),IF(D$27="kg/t SAR",(D$28*$B32),IF(D$27="kg/t DM",((D$28*($B$28/100))*$B32),IF(D$27="mg/kg SAR",((D$28*0.001)*$B32),IF(D$27="mg/kg DM",(((D$28*0.001)*($B$28/100))*$B32),"0")))))))*2.291</f>
        <v>22.932910000000003</v>
      </c>
      <c r="E32" s="65">
        <f t="shared" ref="E32:E50" si="8">(IF(E$27="%w/w SAR",((E$28*10)*$B32),IF(E$27="%w/w DM",(((E$28*10)*($B$28/100))*$B32),IF(E$27="kg/t SAR",(E$28*$B32),IF(E$27="kg/t DM",((E$28*($B$28/100))*$B32),IF(E$27="mg/kg SAR",((E$28*0.001)*$B32),IF(E$27="mg/kg DM",(((E$28*0.001)*($B$28/100))*$B32),"0")))))))*1.205</f>
        <v>7.3300150000000004</v>
      </c>
      <c r="F32" s="65">
        <f t="shared" ref="F32:F50" si="9">(IF(F$27="%w/w SAR",((F$28*10)*$B32),IF(F$27="%w/w DM",(((F$28*10)*($B$28/100))*$B32),IF(F$27="kg/t SAR",(F$28*$B32),IF(F$27="kg/t DM",((F$28*($B$28/100))*$B32),IF(F$27="mg/kg SAR",((F$28*0.001)*$B32),IF(F$27="mg/kg DM",(((F$28*0.001)*($B$28/100))*$B32),"0")))))))*1.658</f>
        <v>58.610300000000002</v>
      </c>
      <c r="G32" s="65">
        <f t="shared" ref="G32:P50" si="10">IF(G$27="%w/w SAR",((G$28*10)*$B32),IF(G$27="%w/w DM",(((G$28*10)*($B$28/100))*$B32),IF(G$27="kg/t SAR",(G$28*$B32),IF(G$27="kg/t DM",((G$28*($B$28/100))*$B32),IF(G$27="mg/kg SAR",((G$28*0.001)*$B32),IF(G$27="mg/kg DM",(((G$28*0.001)*($B$28/100))*$B32),0))))))</f>
        <v>0.38360000000000005</v>
      </c>
      <c r="H32" s="65">
        <f t="shared" si="10"/>
        <v>10.220000000000001</v>
      </c>
      <c r="I32" s="65">
        <f t="shared" si="10"/>
        <v>2.3317000000000005</v>
      </c>
      <c r="J32" s="65">
        <f t="shared" si="10"/>
        <v>6.1950000000000005E-2</v>
      </c>
      <c r="K32" s="65">
        <f t="shared" si="10"/>
        <v>2.5200000000000001E-3</v>
      </c>
      <c r="L32" s="65">
        <f t="shared" si="10"/>
        <v>0.87990000000000013</v>
      </c>
      <c r="M32" s="65">
        <f t="shared" si="10"/>
        <v>0.15050000000000002</v>
      </c>
      <c r="N32" s="65">
        <f t="shared" si="10"/>
        <v>903.00000000000011</v>
      </c>
      <c r="O32" s="65">
        <f t="shared" si="10"/>
        <v>571.9</v>
      </c>
      <c r="P32" s="65">
        <f t="shared" si="10"/>
        <v>1.127</v>
      </c>
      <c r="Q32" s="65">
        <f t="shared" ref="Q32:Q50" si="11">(IF(Q$27="%w/w SAR",((Q$28*10)*$B32),IF(Q$27="%w/w DM",(((Q$28*10)*($B$28/100))*$B32),IF(Q$27="kg/t SAR",(Q$28*$B32),IF(Q$27="kg/t DM",((Q$28*($B$28/100))*$B32),IF(Q$27="mg/kg SAR",((Q$28*0.001)*$B32),IF(Q$27="mg/kg DM",(((Q$28*0.001)*($B$28/100))*$B32),0)))))))*2.5</f>
        <v>22.400000000000002</v>
      </c>
      <c r="R32" s="65">
        <f t="shared" ref="R32:U50" si="12">IF(R$27="%w/w SAR",((R$28*10)*$B32),IF(R$27="%w/w DM",(((R$28*10)*($B$28/100))*$B32),IF(R$27="kg/t SAR",(R$28*$B32),IF(R$27="kg/t DM",((R$28*($B$28/100))*$B32),IF(R$27="mg/kg SAR",((R$28*0.001)*$B32),IF(R$27="mg/kg DM",(((R$28*0.001)*($B$28/100))*$B32),0))))))</f>
        <v>2.4080000000000004E-2</v>
      </c>
      <c r="S32" s="65">
        <f t="shared" si="12"/>
        <v>0.30940000000000006</v>
      </c>
      <c r="T32" s="65">
        <f t="shared" si="12"/>
        <v>8.3999999999999995E-3</v>
      </c>
      <c r="U32" s="126">
        <f t="shared" si="12"/>
        <v>0.56700000000000006</v>
      </c>
    </row>
    <row r="33" spans="1:21" s="48" customFormat="1" ht="13" x14ac:dyDescent="0.35">
      <c r="A33" s="125" t="str">
        <f>E8</f>
        <v>3 TM DF</v>
      </c>
      <c r="B33" s="11">
        <v>21</v>
      </c>
      <c r="C33" s="65">
        <f t="shared" si="6"/>
        <v>50.744399999999999</v>
      </c>
      <c r="D33" s="65">
        <f t="shared" si="7"/>
        <v>19.2636444</v>
      </c>
      <c r="E33" s="65">
        <f t="shared" si="8"/>
        <v>6.1572126000000003</v>
      </c>
      <c r="F33" s="65">
        <f t="shared" si="9"/>
        <v>49.232652000000002</v>
      </c>
      <c r="G33" s="65">
        <f t="shared" si="10"/>
        <v>0.32222400000000001</v>
      </c>
      <c r="H33" s="65">
        <f t="shared" si="10"/>
        <v>8.5848000000000013</v>
      </c>
      <c r="I33" s="65">
        <f t="shared" si="10"/>
        <v>1.9586280000000005</v>
      </c>
      <c r="J33" s="65">
        <f t="shared" si="10"/>
        <v>5.2038000000000001E-2</v>
      </c>
      <c r="K33" s="65">
        <f t="shared" si="10"/>
        <v>2.1167999999999998E-3</v>
      </c>
      <c r="L33" s="65">
        <f t="shared" si="10"/>
        <v>0.73911600000000011</v>
      </c>
      <c r="M33" s="65">
        <f t="shared" si="10"/>
        <v>0.12642000000000003</v>
      </c>
      <c r="N33" s="65">
        <f t="shared" si="10"/>
        <v>758.5200000000001</v>
      </c>
      <c r="O33" s="65">
        <f t="shared" si="10"/>
        <v>480.39600000000002</v>
      </c>
      <c r="P33" s="65">
        <f t="shared" si="10"/>
        <v>0.94668000000000008</v>
      </c>
      <c r="Q33" s="65">
        <f t="shared" si="11"/>
        <v>18.816000000000003</v>
      </c>
      <c r="R33" s="65">
        <f t="shared" si="12"/>
        <v>2.0227200000000001E-2</v>
      </c>
      <c r="S33" s="65">
        <f t="shared" si="12"/>
        <v>0.25989600000000002</v>
      </c>
      <c r="T33" s="65">
        <f t="shared" si="12"/>
        <v>7.0559999999999998E-3</v>
      </c>
      <c r="U33" s="126">
        <f t="shared" si="12"/>
        <v>0.47628000000000004</v>
      </c>
    </row>
    <row r="34" spans="1:21" s="48" customFormat="1" ht="13" x14ac:dyDescent="0.35">
      <c r="A34" s="125" t="str">
        <f>F8</f>
        <v>4 TM DF</v>
      </c>
      <c r="B34" s="11">
        <v>25</v>
      </c>
      <c r="C34" s="65">
        <f t="shared" si="6"/>
        <v>60.41</v>
      </c>
      <c r="D34" s="65">
        <f t="shared" si="7"/>
        <v>22.932910000000003</v>
      </c>
      <c r="E34" s="65">
        <f t="shared" si="8"/>
        <v>7.3300150000000004</v>
      </c>
      <c r="F34" s="65">
        <f t="shared" si="9"/>
        <v>58.610300000000002</v>
      </c>
      <c r="G34" s="65">
        <f t="shared" si="10"/>
        <v>0.38360000000000005</v>
      </c>
      <c r="H34" s="65">
        <f t="shared" si="10"/>
        <v>10.220000000000001</v>
      </c>
      <c r="I34" s="65">
        <f t="shared" si="10"/>
        <v>2.3317000000000005</v>
      </c>
      <c r="J34" s="65">
        <f t="shared" si="10"/>
        <v>6.1950000000000005E-2</v>
      </c>
      <c r="K34" s="65">
        <f t="shared" si="10"/>
        <v>2.5200000000000001E-3</v>
      </c>
      <c r="L34" s="65">
        <f t="shared" si="10"/>
        <v>0.87990000000000013</v>
      </c>
      <c r="M34" s="65">
        <f t="shared" si="10"/>
        <v>0.15050000000000002</v>
      </c>
      <c r="N34" s="65">
        <f t="shared" si="10"/>
        <v>903.00000000000011</v>
      </c>
      <c r="O34" s="65">
        <f t="shared" si="10"/>
        <v>571.9</v>
      </c>
      <c r="P34" s="65">
        <f t="shared" si="10"/>
        <v>1.127</v>
      </c>
      <c r="Q34" s="65">
        <f t="shared" si="11"/>
        <v>22.400000000000002</v>
      </c>
      <c r="R34" s="65">
        <f t="shared" si="12"/>
        <v>2.4080000000000004E-2</v>
      </c>
      <c r="S34" s="65">
        <f t="shared" si="12"/>
        <v>0.30940000000000006</v>
      </c>
      <c r="T34" s="65">
        <f t="shared" si="12"/>
        <v>8.3999999999999995E-3</v>
      </c>
      <c r="U34" s="126">
        <f t="shared" si="12"/>
        <v>0.56700000000000006</v>
      </c>
    </row>
    <row r="35" spans="1:21" s="48" customFormat="1" ht="13" x14ac:dyDescent="0.35">
      <c r="A35" s="125" t="str">
        <f>G8</f>
        <v>5 TM DF</v>
      </c>
      <c r="B35" s="11">
        <v>25</v>
      </c>
      <c r="C35" s="65">
        <f t="shared" si="6"/>
        <v>60.41</v>
      </c>
      <c r="D35" s="65">
        <f t="shared" si="7"/>
        <v>22.932910000000003</v>
      </c>
      <c r="E35" s="65">
        <f t="shared" si="8"/>
        <v>7.3300150000000004</v>
      </c>
      <c r="F35" s="65">
        <f t="shared" si="9"/>
        <v>58.610300000000002</v>
      </c>
      <c r="G35" s="65">
        <f t="shared" si="10"/>
        <v>0.38360000000000005</v>
      </c>
      <c r="H35" s="65">
        <f t="shared" si="10"/>
        <v>10.220000000000001</v>
      </c>
      <c r="I35" s="65">
        <f t="shared" si="10"/>
        <v>2.3317000000000005</v>
      </c>
      <c r="J35" s="65">
        <f t="shared" si="10"/>
        <v>6.1950000000000005E-2</v>
      </c>
      <c r="K35" s="65">
        <f t="shared" si="10"/>
        <v>2.5200000000000001E-3</v>
      </c>
      <c r="L35" s="65">
        <f t="shared" si="10"/>
        <v>0.87990000000000013</v>
      </c>
      <c r="M35" s="65">
        <f t="shared" si="10"/>
        <v>0.15050000000000002</v>
      </c>
      <c r="N35" s="65">
        <f t="shared" si="10"/>
        <v>903.00000000000011</v>
      </c>
      <c r="O35" s="65">
        <f t="shared" si="10"/>
        <v>571.9</v>
      </c>
      <c r="P35" s="65">
        <f t="shared" si="10"/>
        <v>1.127</v>
      </c>
      <c r="Q35" s="65">
        <f t="shared" si="11"/>
        <v>22.400000000000002</v>
      </c>
      <c r="R35" s="65">
        <f t="shared" si="12"/>
        <v>2.4080000000000004E-2</v>
      </c>
      <c r="S35" s="65">
        <f t="shared" si="12"/>
        <v>0.30940000000000006</v>
      </c>
      <c r="T35" s="65">
        <f t="shared" si="12"/>
        <v>8.3999999999999995E-3</v>
      </c>
      <c r="U35" s="126">
        <f t="shared" si="12"/>
        <v>0.56700000000000006</v>
      </c>
    </row>
    <row r="36" spans="1:21" s="48" customFormat="1" ht="13" x14ac:dyDescent="0.35">
      <c r="A36" s="125" t="str">
        <f>H8</f>
        <v>6 TM DF</v>
      </c>
      <c r="B36" s="11">
        <v>25</v>
      </c>
      <c r="C36" s="65">
        <f t="shared" si="6"/>
        <v>60.41</v>
      </c>
      <c r="D36" s="65">
        <f t="shared" si="7"/>
        <v>22.932910000000003</v>
      </c>
      <c r="E36" s="65">
        <f t="shared" si="8"/>
        <v>7.3300150000000004</v>
      </c>
      <c r="F36" s="65">
        <f t="shared" si="9"/>
        <v>58.610300000000002</v>
      </c>
      <c r="G36" s="65">
        <f t="shared" si="10"/>
        <v>0.38360000000000005</v>
      </c>
      <c r="H36" s="65">
        <f t="shared" si="10"/>
        <v>10.220000000000001</v>
      </c>
      <c r="I36" s="65">
        <f t="shared" si="10"/>
        <v>2.3317000000000005</v>
      </c>
      <c r="J36" s="65">
        <f t="shared" si="10"/>
        <v>6.1950000000000005E-2</v>
      </c>
      <c r="K36" s="65">
        <f t="shared" si="10"/>
        <v>2.5200000000000001E-3</v>
      </c>
      <c r="L36" s="65">
        <f t="shared" si="10"/>
        <v>0.87990000000000013</v>
      </c>
      <c r="M36" s="65">
        <f t="shared" si="10"/>
        <v>0.15050000000000002</v>
      </c>
      <c r="N36" s="65">
        <f t="shared" si="10"/>
        <v>903.00000000000011</v>
      </c>
      <c r="O36" s="65">
        <f t="shared" si="10"/>
        <v>571.9</v>
      </c>
      <c r="P36" s="65">
        <f t="shared" si="10"/>
        <v>1.127</v>
      </c>
      <c r="Q36" s="65">
        <f t="shared" si="11"/>
        <v>22.400000000000002</v>
      </c>
      <c r="R36" s="65">
        <f t="shared" si="12"/>
        <v>2.4080000000000004E-2</v>
      </c>
      <c r="S36" s="65">
        <f t="shared" si="12"/>
        <v>0.30940000000000006</v>
      </c>
      <c r="T36" s="65">
        <f t="shared" si="12"/>
        <v>8.3999999999999995E-3</v>
      </c>
      <c r="U36" s="126">
        <f t="shared" si="12"/>
        <v>0.56700000000000006</v>
      </c>
    </row>
    <row r="37" spans="1:21" s="48" customFormat="1" ht="13" x14ac:dyDescent="0.35">
      <c r="A37" s="125" t="str">
        <f>I8</f>
        <v>8 TM DF</v>
      </c>
      <c r="B37" s="11">
        <v>25</v>
      </c>
      <c r="C37" s="65">
        <f t="shared" si="6"/>
        <v>60.41</v>
      </c>
      <c r="D37" s="65">
        <f t="shared" si="7"/>
        <v>22.932910000000003</v>
      </c>
      <c r="E37" s="65">
        <f t="shared" si="8"/>
        <v>7.3300150000000004</v>
      </c>
      <c r="F37" s="65">
        <f t="shared" si="9"/>
        <v>58.610300000000002</v>
      </c>
      <c r="G37" s="65">
        <f t="shared" si="10"/>
        <v>0.38360000000000005</v>
      </c>
      <c r="H37" s="65">
        <f t="shared" si="10"/>
        <v>10.220000000000001</v>
      </c>
      <c r="I37" s="65">
        <f t="shared" si="10"/>
        <v>2.3317000000000005</v>
      </c>
      <c r="J37" s="65">
        <f t="shared" si="10"/>
        <v>6.1950000000000005E-2</v>
      </c>
      <c r="K37" s="65">
        <f t="shared" si="10"/>
        <v>2.5200000000000001E-3</v>
      </c>
      <c r="L37" s="65">
        <f t="shared" si="10"/>
        <v>0.87990000000000013</v>
      </c>
      <c r="M37" s="65">
        <f t="shared" si="10"/>
        <v>0.15050000000000002</v>
      </c>
      <c r="N37" s="65">
        <f t="shared" si="10"/>
        <v>903.00000000000011</v>
      </c>
      <c r="O37" s="65">
        <f t="shared" si="10"/>
        <v>571.9</v>
      </c>
      <c r="P37" s="65">
        <f t="shared" si="10"/>
        <v>1.127</v>
      </c>
      <c r="Q37" s="65">
        <f t="shared" si="11"/>
        <v>22.400000000000002</v>
      </c>
      <c r="R37" s="65">
        <f t="shared" si="12"/>
        <v>2.4080000000000004E-2</v>
      </c>
      <c r="S37" s="65">
        <f t="shared" si="12"/>
        <v>0.30940000000000006</v>
      </c>
      <c r="T37" s="65">
        <f t="shared" si="12"/>
        <v>8.3999999999999995E-3</v>
      </c>
      <c r="U37" s="126">
        <f t="shared" si="12"/>
        <v>0.56700000000000006</v>
      </c>
    </row>
    <row r="38" spans="1:21" s="48" customFormat="1" ht="13" x14ac:dyDescent="0.35">
      <c r="A38" s="125" t="str">
        <f>J8</f>
        <v>30E</v>
      </c>
      <c r="B38" s="11">
        <v>25</v>
      </c>
      <c r="C38" s="65">
        <f t="shared" si="6"/>
        <v>60.41</v>
      </c>
      <c r="D38" s="65">
        <f t="shared" si="7"/>
        <v>22.932910000000003</v>
      </c>
      <c r="E38" s="65">
        <f t="shared" si="8"/>
        <v>7.3300150000000004</v>
      </c>
      <c r="F38" s="65">
        <f t="shared" si="9"/>
        <v>58.610300000000002</v>
      </c>
      <c r="G38" s="65">
        <f t="shared" si="10"/>
        <v>0.38360000000000005</v>
      </c>
      <c r="H38" s="65">
        <f t="shared" si="10"/>
        <v>10.220000000000001</v>
      </c>
      <c r="I38" s="65">
        <f t="shared" si="10"/>
        <v>2.3317000000000005</v>
      </c>
      <c r="J38" s="65">
        <f t="shared" si="10"/>
        <v>6.1950000000000005E-2</v>
      </c>
      <c r="K38" s="65">
        <f t="shared" si="10"/>
        <v>2.5200000000000001E-3</v>
      </c>
      <c r="L38" s="65">
        <f t="shared" si="10"/>
        <v>0.87990000000000013</v>
      </c>
      <c r="M38" s="65">
        <f t="shared" si="10"/>
        <v>0.15050000000000002</v>
      </c>
      <c r="N38" s="65">
        <f t="shared" si="10"/>
        <v>903.00000000000011</v>
      </c>
      <c r="O38" s="65">
        <f t="shared" si="10"/>
        <v>571.9</v>
      </c>
      <c r="P38" s="65">
        <f t="shared" si="10"/>
        <v>1.127</v>
      </c>
      <c r="Q38" s="65">
        <f t="shared" si="11"/>
        <v>22.400000000000002</v>
      </c>
      <c r="R38" s="65">
        <f t="shared" si="12"/>
        <v>2.4080000000000004E-2</v>
      </c>
      <c r="S38" s="65">
        <f t="shared" si="12"/>
        <v>0.30940000000000006</v>
      </c>
      <c r="T38" s="65">
        <f t="shared" si="12"/>
        <v>8.3999999999999995E-3</v>
      </c>
      <c r="U38" s="126">
        <f t="shared" si="12"/>
        <v>0.56700000000000006</v>
      </c>
    </row>
    <row r="39" spans="1:21" s="48" customFormat="1" ht="13" x14ac:dyDescent="0.35">
      <c r="A39" s="125" t="str">
        <f>K8</f>
        <v>6481 6895</v>
      </c>
      <c r="B39" s="11">
        <v>25</v>
      </c>
      <c r="C39" s="65">
        <f t="shared" si="6"/>
        <v>60.41</v>
      </c>
      <c r="D39" s="65">
        <f t="shared" si="7"/>
        <v>22.932910000000003</v>
      </c>
      <c r="E39" s="65">
        <f t="shared" si="8"/>
        <v>7.3300150000000004</v>
      </c>
      <c r="F39" s="65">
        <f t="shared" si="9"/>
        <v>58.610300000000002</v>
      </c>
      <c r="G39" s="65">
        <f t="shared" si="10"/>
        <v>0.38360000000000005</v>
      </c>
      <c r="H39" s="65">
        <f t="shared" si="10"/>
        <v>10.220000000000001</v>
      </c>
      <c r="I39" s="65">
        <f t="shared" si="10"/>
        <v>2.3317000000000005</v>
      </c>
      <c r="J39" s="65">
        <f t="shared" si="10"/>
        <v>6.1950000000000005E-2</v>
      </c>
      <c r="K39" s="65">
        <f t="shared" si="10"/>
        <v>2.5200000000000001E-3</v>
      </c>
      <c r="L39" s="65">
        <f t="shared" si="10"/>
        <v>0.87990000000000013</v>
      </c>
      <c r="M39" s="65">
        <f t="shared" si="10"/>
        <v>0.15050000000000002</v>
      </c>
      <c r="N39" s="65">
        <f t="shared" si="10"/>
        <v>903.00000000000011</v>
      </c>
      <c r="O39" s="65">
        <f t="shared" si="10"/>
        <v>571.9</v>
      </c>
      <c r="P39" s="65">
        <f t="shared" si="10"/>
        <v>1.127</v>
      </c>
      <c r="Q39" s="65">
        <f t="shared" si="11"/>
        <v>22.400000000000002</v>
      </c>
      <c r="R39" s="65">
        <f t="shared" si="12"/>
        <v>2.4080000000000004E-2</v>
      </c>
      <c r="S39" s="65">
        <f t="shared" si="12"/>
        <v>0.30940000000000006</v>
      </c>
      <c r="T39" s="65">
        <f t="shared" si="12"/>
        <v>8.3999999999999995E-3</v>
      </c>
      <c r="U39" s="126">
        <f t="shared" si="12"/>
        <v>0.56700000000000006</v>
      </c>
    </row>
    <row r="40" spans="1:21" s="48" customFormat="1" ht="13" x14ac:dyDescent="0.35">
      <c r="A40" s="125">
        <f>L8</f>
        <v>7788</v>
      </c>
      <c r="B40" s="11">
        <v>25</v>
      </c>
      <c r="C40" s="65">
        <f t="shared" si="6"/>
        <v>60.41</v>
      </c>
      <c r="D40" s="65">
        <f t="shared" si="7"/>
        <v>22.932910000000003</v>
      </c>
      <c r="E40" s="65">
        <f t="shared" si="8"/>
        <v>7.3300150000000004</v>
      </c>
      <c r="F40" s="65">
        <f t="shared" si="9"/>
        <v>58.610300000000002</v>
      </c>
      <c r="G40" s="65">
        <f t="shared" si="10"/>
        <v>0.38360000000000005</v>
      </c>
      <c r="H40" s="65">
        <f t="shared" si="10"/>
        <v>10.220000000000001</v>
      </c>
      <c r="I40" s="65">
        <f t="shared" si="10"/>
        <v>2.3317000000000005</v>
      </c>
      <c r="J40" s="65">
        <f t="shared" si="10"/>
        <v>6.1950000000000005E-2</v>
      </c>
      <c r="K40" s="65">
        <f t="shared" si="10"/>
        <v>2.5200000000000001E-3</v>
      </c>
      <c r="L40" s="65">
        <f t="shared" si="10"/>
        <v>0.87990000000000013</v>
      </c>
      <c r="M40" s="65">
        <f t="shared" si="10"/>
        <v>0.15050000000000002</v>
      </c>
      <c r="N40" s="65">
        <f t="shared" si="10"/>
        <v>903.00000000000011</v>
      </c>
      <c r="O40" s="65">
        <f t="shared" si="10"/>
        <v>571.9</v>
      </c>
      <c r="P40" s="65">
        <f t="shared" si="10"/>
        <v>1.127</v>
      </c>
      <c r="Q40" s="65">
        <f t="shared" si="11"/>
        <v>22.400000000000002</v>
      </c>
      <c r="R40" s="65">
        <f t="shared" si="12"/>
        <v>2.4080000000000004E-2</v>
      </c>
      <c r="S40" s="65">
        <f t="shared" si="12"/>
        <v>0.30940000000000006</v>
      </c>
      <c r="T40" s="65">
        <f t="shared" si="12"/>
        <v>8.3999999999999995E-3</v>
      </c>
      <c r="U40" s="126">
        <f t="shared" si="12"/>
        <v>0.56700000000000006</v>
      </c>
    </row>
    <row r="41" spans="1:21" s="48" customFormat="1" ht="13" x14ac:dyDescent="0.35">
      <c r="A41" s="125">
        <f>M8</f>
        <v>8978</v>
      </c>
      <c r="B41" s="11">
        <v>25</v>
      </c>
      <c r="C41" s="65">
        <f t="shared" si="6"/>
        <v>60.41</v>
      </c>
      <c r="D41" s="65">
        <f t="shared" si="7"/>
        <v>22.932910000000003</v>
      </c>
      <c r="E41" s="65">
        <f t="shared" si="8"/>
        <v>7.3300150000000004</v>
      </c>
      <c r="F41" s="65">
        <f t="shared" si="9"/>
        <v>58.610300000000002</v>
      </c>
      <c r="G41" s="65">
        <f t="shared" si="10"/>
        <v>0.38360000000000005</v>
      </c>
      <c r="H41" s="65">
        <f t="shared" si="10"/>
        <v>10.220000000000001</v>
      </c>
      <c r="I41" s="65">
        <f t="shared" si="10"/>
        <v>2.3317000000000005</v>
      </c>
      <c r="J41" s="65">
        <f t="shared" si="10"/>
        <v>6.1950000000000005E-2</v>
      </c>
      <c r="K41" s="65">
        <f t="shared" si="10"/>
        <v>2.5200000000000001E-3</v>
      </c>
      <c r="L41" s="65">
        <f t="shared" si="10"/>
        <v>0.87990000000000013</v>
      </c>
      <c r="M41" s="65">
        <f t="shared" si="10"/>
        <v>0.15050000000000002</v>
      </c>
      <c r="N41" s="65">
        <f t="shared" si="10"/>
        <v>903.00000000000011</v>
      </c>
      <c r="O41" s="65">
        <f t="shared" si="10"/>
        <v>571.9</v>
      </c>
      <c r="P41" s="65">
        <f t="shared" si="10"/>
        <v>1.127</v>
      </c>
      <c r="Q41" s="65">
        <f t="shared" si="11"/>
        <v>22.400000000000002</v>
      </c>
      <c r="R41" s="65">
        <f t="shared" si="12"/>
        <v>2.4080000000000004E-2</v>
      </c>
      <c r="S41" s="65">
        <f t="shared" si="12"/>
        <v>0.30940000000000006</v>
      </c>
      <c r="T41" s="65">
        <f t="shared" si="12"/>
        <v>8.3999999999999995E-3</v>
      </c>
      <c r="U41" s="126">
        <f t="shared" si="12"/>
        <v>0.56700000000000006</v>
      </c>
    </row>
    <row r="42" spans="1:21" s="48" customFormat="1" ht="13" x14ac:dyDescent="0.35">
      <c r="A42" s="125">
        <f>N8</f>
        <v>9291</v>
      </c>
      <c r="B42" s="11">
        <v>25</v>
      </c>
      <c r="C42" s="65">
        <f t="shared" si="6"/>
        <v>60.41</v>
      </c>
      <c r="D42" s="65">
        <f t="shared" si="7"/>
        <v>22.932910000000003</v>
      </c>
      <c r="E42" s="65">
        <f t="shared" si="8"/>
        <v>7.3300150000000004</v>
      </c>
      <c r="F42" s="65">
        <f t="shared" si="9"/>
        <v>58.610300000000002</v>
      </c>
      <c r="G42" s="65">
        <f t="shared" si="10"/>
        <v>0.38360000000000005</v>
      </c>
      <c r="H42" s="65">
        <f t="shared" si="10"/>
        <v>10.220000000000001</v>
      </c>
      <c r="I42" s="65">
        <f t="shared" si="10"/>
        <v>2.3317000000000005</v>
      </c>
      <c r="J42" s="65">
        <f t="shared" si="10"/>
        <v>6.1950000000000005E-2</v>
      </c>
      <c r="K42" s="65">
        <f t="shared" si="10"/>
        <v>2.5200000000000001E-3</v>
      </c>
      <c r="L42" s="65">
        <f t="shared" si="10"/>
        <v>0.87990000000000013</v>
      </c>
      <c r="M42" s="65">
        <f t="shared" si="10"/>
        <v>0.15050000000000002</v>
      </c>
      <c r="N42" s="65">
        <f t="shared" si="10"/>
        <v>903.00000000000011</v>
      </c>
      <c r="O42" s="65">
        <f t="shared" si="10"/>
        <v>571.9</v>
      </c>
      <c r="P42" s="65">
        <f t="shared" si="10"/>
        <v>1.127</v>
      </c>
      <c r="Q42" s="65">
        <f t="shared" si="11"/>
        <v>22.400000000000002</v>
      </c>
      <c r="R42" s="65">
        <f t="shared" si="12"/>
        <v>2.4080000000000004E-2</v>
      </c>
      <c r="S42" s="65">
        <f t="shared" si="12"/>
        <v>0.30940000000000006</v>
      </c>
      <c r="T42" s="65">
        <f t="shared" si="12"/>
        <v>8.3999999999999995E-3</v>
      </c>
      <c r="U42" s="126">
        <f t="shared" si="12"/>
        <v>0.56700000000000006</v>
      </c>
    </row>
    <row r="43" spans="1:21" s="48" customFormat="1" ht="13" x14ac:dyDescent="0.35">
      <c r="A43" s="125" t="str">
        <f>O8</f>
        <v>04 TM NGE</v>
      </c>
      <c r="B43" s="11">
        <v>25</v>
      </c>
      <c r="C43" s="65">
        <f t="shared" si="6"/>
        <v>60.41</v>
      </c>
      <c r="D43" s="65">
        <f t="shared" si="7"/>
        <v>22.932910000000003</v>
      </c>
      <c r="E43" s="65">
        <f t="shared" si="8"/>
        <v>7.3300150000000004</v>
      </c>
      <c r="F43" s="65">
        <f t="shared" si="9"/>
        <v>58.610300000000002</v>
      </c>
      <c r="G43" s="65">
        <f t="shared" si="10"/>
        <v>0.38360000000000005</v>
      </c>
      <c r="H43" s="65">
        <f t="shared" si="10"/>
        <v>10.220000000000001</v>
      </c>
      <c r="I43" s="65">
        <f t="shared" si="10"/>
        <v>2.3317000000000005</v>
      </c>
      <c r="J43" s="65">
        <f t="shared" si="10"/>
        <v>6.1950000000000005E-2</v>
      </c>
      <c r="K43" s="65">
        <f t="shared" si="10"/>
        <v>2.5200000000000001E-3</v>
      </c>
      <c r="L43" s="65">
        <f t="shared" si="10"/>
        <v>0.87990000000000013</v>
      </c>
      <c r="M43" s="65">
        <f t="shared" si="10"/>
        <v>0.15050000000000002</v>
      </c>
      <c r="N43" s="65">
        <f t="shared" si="10"/>
        <v>903.00000000000011</v>
      </c>
      <c r="O43" s="65">
        <f t="shared" si="10"/>
        <v>571.9</v>
      </c>
      <c r="P43" s="65">
        <f t="shared" si="10"/>
        <v>1.127</v>
      </c>
      <c r="Q43" s="65">
        <f t="shared" si="11"/>
        <v>22.400000000000002</v>
      </c>
      <c r="R43" s="65">
        <f t="shared" si="12"/>
        <v>2.4080000000000004E-2</v>
      </c>
      <c r="S43" s="65">
        <f t="shared" si="12"/>
        <v>0.30940000000000006</v>
      </c>
      <c r="T43" s="65">
        <f t="shared" si="12"/>
        <v>8.3999999999999995E-3</v>
      </c>
      <c r="U43" s="126">
        <f t="shared" si="12"/>
        <v>0.56700000000000006</v>
      </c>
    </row>
    <row r="44" spans="1:21" s="48" customFormat="1" ht="13" x14ac:dyDescent="0.35">
      <c r="A44" s="125" t="str">
        <f>P8</f>
        <v>5 TM NGE</v>
      </c>
      <c r="B44" s="11">
        <v>25</v>
      </c>
      <c r="C44" s="65">
        <f t="shared" si="6"/>
        <v>60.41</v>
      </c>
      <c r="D44" s="65">
        <f t="shared" si="7"/>
        <v>22.932910000000003</v>
      </c>
      <c r="E44" s="65">
        <f t="shared" si="8"/>
        <v>7.3300150000000004</v>
      </c>
      <c r="F44" s="65">
        <f t="shared" si="9"/>
        <v>58.610300000000002</v>
      </c>
      <c r="G44" s="65">
        <f t="shared" si="10"/>
        <v>0.38360000000000005</v>
      </c>
      <c r="H44" s="65">
        <f t="shared" si="10"/>
        <v>10.220000000000001</v>
      </c>
      <c r="I44" s="65">
        <f t="shared" si="10"/>
        <v>2.3317000000000005</v>
      </c>
      <c r="J44" s="65">
        <f t="shared" si="10"/>
        <v>6.1950000000000005E-2</v>
      </c>
      <c r="K44" s="65">
        <f t="shared" si="10"/>
        <v>2.5200000000000001E-3</v>
      </c>
      <c r="L44" s="65">
        <f t="shared" si="10"/>
        <v>0.87990000000000013</v>
      </c>
      <c r="M44" s="65">
        <f t="shared" si="10"/>
        <v>0.15050000000000002</v>
      </c>
      <c r="N44" s="65">
        <f t="shared" si="10"/>
        <v>903.00000000000011</v>
      </c>
      <c r="O44" s="65">
        <f t="shared" si="10"/>
        <v>571.9</v>
      </c>
      <c r="P44" s="65">
        <f t="shared" si="10"/>
        <v>1.127</v>
      </c>
      <c r="Q44" s="65">
        <f t="shared" si="11"/>
        <v>22.400000000000002</v>
      </c>
      <c r="R44" s="65">
        <f t="shared" si="12"/>
        <v>2.4080000000000004E-2</v>
      </c>
      <c r="S44" s="65">
        <f t="shared" si="12"/>
        <v>0.30940000000000006</v>
      </c>
      <c r="T44" s="65">
        <f t="shared" si="12"/>
        <v>8.3999999999999995E-3</v>
      </c>
      <c r="U44" s="126">
        <f t="shared" si="12"/>
        <v>0.56700000000000006</v>
      </c>
    </row>
    <row r="45" spans="1:21" s="48" customFormat="1" ht="13" x14ac:dyDescent="0.35">
      <c r="A45" s="125" t="str">
        <f>Q8</f>
        <v>6 TM NGE</v>
      </c>
      <c r="B45" s="11">
        <v>25</v>
      </c>
      <c r="C45" s="65">
        <f t="shared" si="6"/>
        <v>60.41</v>
      </c>
      <c r="D45" s="65">
        <f t="shared" si="7"/>
        <v>22.932910000000003</v>
      </c>
      <c r="E45" s="65">
        <f t="shared" si="8"/>
        <v>7.3300150000000004</v>
      </c>
      <c r="F45" s="65">
        <f t="shared" si="9"/>
        <v>58.610300000000002</v>
      </c>
      <c r="G45" s="65">
        <f t="shared" si="10"/>
        <v>0.38360000000000005</v>
      </c>
      <c r="H45" s="65">
        <f t="shared" si="10"/>
        <v>10.220000000000001</v>
      </c>
      <c r="I45" s="65">
        <f t="shared" si="10"/>
        <v>2.3317000000000005</v>
      </c>
      <c r="J45" s="65">
        <f t="shared" si="10"/>
        <v>6.1950000000000005E-2</v>
      </c>
      <c r="K45" s="65">
        <f t="shared" si="10"/>
        <v>2.5200000000000001E-3</v>
      </c>
      <c r="L45" s="65">
        <f t="shared" si="10"/>
        <v>0.87990000000000013</v>
      </c>
      <c r="M45" s="65">
        <f t="shared" si="10"/>
        <v>0.15050000000000002</v>
      </c>
      <c r="N45" s="65">
        <f t="shared" si="10"/>
        <v>903.00000000000011</v>
      </c>
      <c r="O45" s="65">
        <f t="shared" si="10"/>
        <v>571.9</v>
      </c>
      <c r="P45" s="65">
        <f t="shared" si="10"/>
        <v>1.127</v>
      </c>
      <c r="Q45" s="65">
        <f t="shared" si="11"/>
        <v>22.400000000000002</v>
      </c>
      <c r="R45" s="65">
        <f t="shared" si="12"/>
        <v>2.4080000000000004E-2</v>
      </c>
      <c r="S45" s="65">
        <f t="shared" si="12"/>
        <v>0.30940000000000006</v>
      </c>
      <c r="T45" s="65">
        <f t="shared" si="12"/>
        <v>8.3999999999999995E-3</v>
      </c>
      <c r="U45" s="126">
        <f t="shared" si="12"/>
        <v>0.56700000000000006</v>
      </c>
    </row>
    <row r="46" spans="1:21" s="48" customFormat="1" ht="13" x14ac:dyDescent="0.35">
      <c r="A46" s="125" t="str">
        <f>R8</f>
        <v>10 TM NGE</v>
      </c>
      <c r="B46" s="11">
        <v>25</v>
      </c>
      <c r="C46" s="65">
        <f t="shared" si="6"/>
        <v>60.41</v>
      </c>
      <c r="D46" s="65">
        <f t="shared" si="7"/>
        <v>22.932910000000003</v>
      </c>
      <c r="E46" s="65">
        <f t="shared" si="8"/>
        <v>7.3300150000000004</v>
      </c>
      <c r="F46" s="65">
        <f t="shared" si="9"/>
        <v>58.610300000000002</v>
      </c>
      <c r="G46" s="65">
        <f t="shared" si="10"/>
        <v>0.38360000000000005</v>
      </c>
      <c r="H46" s="65">
        <f t="shared" si="10"/>
        <v>10.220000000000001</v>
      </c>
      <c r="I46" s="65">
        <f t="shared" si="10"/>
        <v>2.3317000000000005</v>
      </c>
      <c r="J46" s="65">
        <f t="shared" si="10"/>
        <v>6.1950000000000005E-2</v>
      </c>
      <c r="K46" s="65">
        <f t="shared" si="10"/>
        <v>2.5200000000000001E-3</v>
      </c>
      <c r="L46" s="65">
        <f t="shared" si="10"/>
        <v>0.87990000000000013</v>
      </c>
      <c r="M46" s="65">
        <f t="shared" si="10"/>
        <v>0.15050000000000002</v>
      </c>
      <c r="N46" s="65">
        <f t="shared" si="10"/>
        <v>903.00000000000011</v>
      </c>
      <c r="O46" s="65">
        <f t="shared" si="10"/>
        <v>571.9</v>
      </c>
      <c r="P46" s="65">
        <f t="shared" si="10"/>
        <v>1.127</v>
      </c>
      <c r="Q46" s="65">
        <f t="shared" si="11"/>
        <v>22.400000000000002</v>
      </c>
      <c r="R46" s="65">
        <f t="shared" si="12"/>
        <v>2.4080000000000004E-2</v>
      </c>
      <c r="S46" s="65">
        <f t="shared" si="12"/>
        <v>0.30940000000000006</v>
      </c>
      <c r="T46" s="65">
        <f t="shared" si="12"/>
        <v>8.3999999999999995E-3</v>
      </c>
      <c r="U46" s="126">
        <f t="shared" si="12"/>
        <v>0.56700000000000006</v>
      </c>
    </row>
    <row r="47" spans="1:21" s="48" customFormat="1" ht="13" x14ac:dyDescent="0.35">
      <c r="A47" s="125" t="str">
        <f>S8</f>
        <v>11 TM NGE</v>
      </c>
      <c r="B47" s="11">
        <v>25</v>
      </c>
      <c r="C47" s="65">
        <f t="shared" si="6"/>
        <v>60.41</v>
      </c>
      <c r="D47" s="65">
        <f t="shared" si="7"/>
        <v>22.932910000000003</v>
      </c>
      <c r="E47" s="65">
        <f t="shared" si="8"/>
        <v>7.3300150000000004</v>
      </c>
      <c r="F47" s="65">
        <f t="shared" si="9"/>
        <v>58.610300000000002</v>
      </c>
      <c r="G47" s="65">
        <f t="shared" si="10"/>
        <v>0.38360000000000005</v>
      </c>
      <c r="H47" s="65">
        <f t="shared" si="10"/>
        <v>10.220000000000001</v>
      </c>
      <c r="I47" s="65">
        <f t="shared" si="10"/>
        <v>2.3317000000000005</v>
      </c>
      <c r="J47" s="65">
        <f t="shared" si="10"/>
        <v>6.1950000000000005E-2</v>
      </c>
      <c r="K47" s="65">
        <f t="shared" si="10"/>
        <v>2.5200000000000001E-3</v>
      </c>
      <c r="L47" s="65">
        <f t="shared" si="10"/>
        <v>0.87990000000000013</v>
      </c>
      <c r="M47" s="65">
        <f t="shared" si="10"/>
        <v>0.15050000000000002</v>
      </c>
      <c r="N47" s="65">
        <f t="shared" si="10"/>
        <v>903.00000000000011</v>
      </c>
      <c r="O47" s="65">
        <f t="shared" si="10"/>
        <v>571.9</v>
      </c>
      <c r="P47" s="65">
        <f t="shared" si="10"/>
        <v>1.127</v>
      </c>
      <c r="Q47" s="65">
        <f t="shared" si="11"/>
        <v>22.400000000000002</v>
      </c>
      <c r="R47" s="65">
        <f t="shared" si="12"/>
        <v>2.4080000000000004E-2</v>
      </c>
      <c r="S47" s="65">
        <f t="shared" si="12"/>
        <v>0.30940000000000006</v>
      </c>
      <c r="T47" s="65">
        <f t="shared" si="12"/>
        <v>8.3999999999999995E-3</v>
      </c>
      <c r="U47" s="126">
        <f t="shared" si="12"/>
        <v>0.56700000000000006</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f>VLOOKUP(R$14,Table24[],5,FALSE)</f>
        <v>6.2</v>
      </c>
      <c r="R59" s="64">
        <f>VLOOKUP(S$14,Table24[],5,FALSE)</f>
        <v>6.2</v>
      </c>
      <c r="S59" s="64" t="e">
        <f>VLOOKUP(T$14,Table24[],5,FALSE)</f>
        <v>#N/A</v>
      </c>
      <c r="T59" s="64" t="e">
        <f>VLOOKUP(U$14,Table24[],5,FALSE)</f>
        <v>#N/A</v>
      </c>
      <c r="U59" s="64" t="e">
        <f>VLOOKUP(V$14,Table24[],5,FALSE)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25</v>
      </c>
      <c r="C62" s="65">
        <f>B32</f>
        <v>25</v>
      </c>
      <c r="D62" s="65">
        <f>B33</f>
        <v>21</v>
      </c>
      <c r="E62" s="65">
        <f>B34</f>
        <v>25</v>
      </c>
      <c r="F62" s="65">
        <f>B35</f>
        <v>25</v>
      </c>
      <c r="G62" s="65">
        <f>B36</f>
        <v>25</v>
      </c>
      <c r="H62" s="65">
        <f>B37</f>
        <v>25</v>
      </c>
      <c r="I62" s="65">
        <f>B38</f>
        <v>25</v>
      </c>
      <c r="J62" s="65">
        <f>B39</f>
        <v>25</v>
      </c>
      <c r="K62" s="65">
        <f>B40</f>
        <v>25</v>
      </c>
      <c r="L62" s="65">
        <f>B41</f>
        <v>25</v>
      </c>
      <c r="M62" s="65">
        <f>B42</f>
        <v>25</v>
      </c>
      <c r="N62" s="65">
        <f>B43</f>
        <v>25</v>
      </c>
      <c r="O62" s="65">
        <f>B44</f>
        <v>25</v>
      </c>
      <c r="P62" s="65">
        <f>B45</f>
        <v>25</v>
      </c>
      <c r="Q62" s="65">
        <f>B46</f>
        <v>25</v>
      </c>
      <c r="R62" s="65">
        <f>B47</f>
        <v>25</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f>VLOOKUP(R$14,Table245[],5,FALSE)</f>
        <v>6.2</v>
      </c>
      <c r="R59" s="64">
        <f>VLOOKUP(S$14,Table245[],5,FALSE)</f>
        <v>6.2</v>
      </c>
      <c r="S59" s="64" t="e">
        <f>VLOOKUP(T$14,Table245[],5,FALSE)</f>
        <v>#N/A</v>
      </c>
      <c r="T59" s="64" t="e">
        <f>VLOOKUP(U$14,Table245[],5,FALSE)</f>
        <v>#N/A</v>
      </c>
      <c r="U59" s="64" t="e">
        <f>VLOOKUP(V$14,Table245[],5,FALSE)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(VLOOKUP(D$14,$AI2:$AK24,3,FALSE))*D$15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f>VLOOKUP(R$14,Table245811[],5,FALSE)</f>
        <v>6.2</v>
      </c>
      <c r="R59" s="64">
        <f>VLOOKUP(S$14,Table245811[],5,FALSE)</f>
        <v>6.2</v>
      </c>
      <c r="S59" s="64" t="e">
        <f>VLOOKUP(T$14,Table245811[],5,FALSE)</f>
        <v>#N/A</v>
      </c>
      <c r="T59" s="64" t="e">
        <f>VLOOKUP(U$14,Table245811[],5,FALSE)</f>
        <v>#N/A</v>
      </c>
      <c r="U59" s="64" t="e">
        <f>VLOOKUP(V$14,Table245811[],5,FALSE)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str">
        <f>R16&amp;" I "&amp;(VLOOKUP(R14,Table24581112[],6,FALSE))</f>
        <v>Medium/Clay I Grass</v>
      </c>
      <c r="R58" s="10" t="str">
        <f>S16&amp;" I "&amp;(VLOOKUP(S14,Table24581112[],6,FALSE))</f>
        <v>Medium/Clay I Grass</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f>VLOOKUP(R$14,Table24581112[],5,FALSE)</f>
        <v>6.2</v>
      </c>
      <c r="R59" s="64">
        <f>VLOOKUP(S$14,Table24581112[],5,FALSE)</f>
        <v>6.2</v>
      </c>
      <c r="S59" s="64" t="e">
        <f>VLOOKUP(T$14,Table24581112[],5,FALSE)</f>
        <v>#N/A</v>
      </c>
      <c r="T59" s="64" t="e">
        <f>VLOOKUP(U$14,Table24581112[],5,FALSE)</f>
        <v>#N/A</v>
      </c>
      <c r="U59" s="64" t="e">
        <f>VLOOKUP(V$14,Table24581112[],5,FALSE)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str">
        <f>R16&amp;" I "&amp;(VLOOKUP(R14,Table24581114[],6,FALSE))</f>
        <v>Medium/Clay I Grass</v>
      </c>
      <c r="R58" s="10" t="str">
        <f>S16&amp;" I "&amp;(VLOOKUP(S14,Table24581114[],6,FALSE))</f>
        <v>Medium/Clay I Grass</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f>VLOOKUP(R$14,Table24581114[],5,FALSE)</f>
        <v>6.2</v>
      </c>
      <c r="R59" s="64">
        <f>VLOOKUP(S$14,Table24581114[],5,FALSE)</f>
        <v>6.2</v>
      </c>
      <c r="S59" s="64" t="e">
        <f>VLOOKUP(T$14,Table24581114[],5,FALSE)</f>
        <v>#N/A</v>
      </c>
      <c r="T59" s="64" t="e">
        <f>VLOOKUP(U$14,Table24581114[],5,FALSE)</f>
        <v>#N/A</v>
      </c>
      <c r="U59" s="64" t="e">
        <f>VLOOKUP(V$14,Table24581114[],5,FALSE)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str">
        <f>R16&amp;" I "&amp;(VLOOKUP(R14,Table245810[],6,FALSE))</f>
        <v>Medium/Clay I Grass</v>
      </c>
      <c r="R58" s="10" t="str">
        <f>S16&amp;" I "&amp;(VLOOKUP(S14,Table245810[],6,FALSE))</f>
        <v>Medium/Clay I Grass</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f>VLOOKUP(R$14,Table245810[],5,FALSE)</f>
        <v>6.2</v>
      </c>
      <c r="R59" s="64">
        <f>VLOOKUP(S$14,Table245810[],5,FALSE)</f>
        <v>6.2</v>
      </c>
      <c r="S59" s="64" t="e">
        <f>VLOOKUP(T$14,Table245810[],5,FALSE)</f>
        <v>#N/A</v>
      </c>
      <c r="T59" s="64" t="e">
        <f>VLOOKUP(U$14,Table245810[],5,FALSE)</f>
        <v>#N/A</v>
      </c>
      <c r="U59" s="64" t="e">
        <f>VLOOKUP(V$14,Table245810[],5,FALSE)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str">
        <f>R16&amp;" I "&amp;(VLOOKUP(R14,Table2458[],6,FALSE))</f>
        <v>Medium/Clay I Grass</v>
      </c>
      <c r="R58" s="10" t="str">
        <f>S16&amp;" I "&amp;(VLOOKUP(S14,Table2458[],6,FALSE))</f>
        <v>Medium/Clay I Grass</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f>VLOOKUP(R$14,Table2458[],5,FALSE)</f>
        <v>6.2</v>
      </c>
      <c r="R59" s="64">
        <f>VLOOKUP(S$14,Table2458[],5,FALSE)</f>
        <v>6.2</v>
      </c>
      <c r="S59" s="64" t="e">
        <f>VLOOKUP(T$14,Table2458[],5,FALSE)</f>
        <v>#N/A</v>
      </c>
      <c r="T59" s="64" t="e">
        <f>VLOOKUP(U$14,Table2458[],5,FALSE)</f>
        <v>#N/A</v>
      </c>
      <c r="U59" s="64" t="e">
        <f>VLOOKUP(V$14,Table2458[],5,FALSE)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str">
        <f>R16&amp;" I "&amp;(VLOOKUP(R14,Table24581113[],6,FALSE))</f>
        <v>Medium/Clay I Grass</v>
      </c>
      <c r="R58" s="10" t="str">
        <f>S16&amp;" I "&amp;(VLOOKUP(S14,Table24581113[],6,FALSE))</f>
        <v>Medium/Clay I Grass</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f>VLOOKUP(R$14,Table24581113[],5,FALSE)</f>
        <v>6.2</v>
      </c>
      <c r="R59" s="64">
        <f>VLOOKUP(S$14,Table24581113[],5,FALSE)</f>
        <v>6.2</v>
      </c>
      <c r="S59" s="64" t="e">
        <f>VLOOKUP(T$14,Table24581113[],5,FALSE)</f>
        <v>#N/A</v>
      </c>
      <c r="T59" s="64" t="e">
        <f>VLOOKUP(U$14,Table24581113[],5,FALSE)</f>
        <v>#N/A</v>
      </c>
      <c r="U59" s="64" t="e">
        <f>VLOOKUP(V$14,Table24581113[],5,FALSE)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str">
        <f>R16&amp;" I "&amp;(VLOOKUP(R14,Table24567[],6,FALSE))</f>
        <v>Medium/Clay I Grass</v>
      </c>
      <c r="R58" s="10" t="str">
        <f>S16&amp;" I "&amp;(VLOOKUP(S14,Table24567[],6,FALSE))</f>
        <v>Medium/Clay I Grass</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f>VLOOKUP(R$14,Table24567[],5,FALSE)</f>
        <v>6.2</v>
      </c>
      <c r="R59" s="64">
        <f>VLOOKUP(S$14,Table24567[],5,FALSE)</f>
        <v>6.2</v>
      </c>
      <c r="S59" s="64" t="e">
        <f>VLOOKUP(T$14,Table24567[],5,FALSE)</f>
        <v>#N/A</v>
      </c>
      <c r="T59" s="64" t="e">
        <f>VLOOKUP(U$14,Table24567[],5,FALSE)</f>
        <v>#N/A</v>
      </c>
      <c r="U59" s="64" t="e">
        <f>VLOOKUP(V$14,Table24567[],5,FALSE)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Waste 1'!C1:D1</f>
        <v>PAN-030926</v>
      </c>
      <c r="D1" s="173"/>
      <c r="E1" s="106" t="s">
        <v>45</v>
      </c>
      <c r="F1" s="113">
        <f>'Field data and Waste 1'!F1</f>
        <v>36.5</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Waste 1'!C2:D2</f>
        <v>EPR/HB3503LF</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Waste 1'!C3:D3</f>
        <v>Severn Trent Water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Waste 1'!C4:D4</f>
        <v>Noyadd Farm, Rhayader, Powys. LD6 5HH</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Waste 1'!C8</f>
        <v>1 TM DF</v>
      </c>
      <c r="D8" s="49" t="str">
        <f>'Field data and Waste 1'!D8</f>
        <v>2 TM DF</v>
      </c>
      <c r="E8" s="49" t="str">
        <f>'Field data and Waste 1'!E8</f>
        <v>3 TM DF</v>
      </c>
      <c r="F8" s="49" t="str">
        <f>'Field data and Waste 1'!F8</f>
        <v>4 TM DF</v>
      </c>
      <c r="G8" s="49" t="str">
        <f>'Field data and Waste 1'!G8</f>
        <v>5 TM DF</v>
      </c>
      <c r="H8" s="49" t="str">
        <f>'Field data and Waste 1'!H8</f>
        <v>6 TM DF</v>
      </c>
      <c r="I8" s="49" t="str">
        <f>'Field data and Waste 1'!I8</f>
        <v>8 TM DF</v>
      </c>
      <c r="J8" s="49" t="str">
        <f>'Field data and Waste 1'!J8</f>
        <v>30E</v>
      </c>
      <c r="K8" s="49" t="str">
        <f>'Field data and Waste 1'!K8</f>
        <v>6481 6895</v>
      </c>
      <c r="L8" s="49">
        <f>'Field data and Waste 1'!L8</f>
        <v>7788</v>
      </c>
      <c r="M8" s="49">
        <f>'Field data and Waste 1'!M8</f>
        <v>8978</v>
      </c>
      <c r="N8" s="49">
        <f>'Field data and Waste 1'!N8</f>
        <v>9291</v>
      </c>
      <c r="O8" s="49" t="str">
        <f>'Field data and Waste 1'!O8</f>
        <v>04 TM NGE</v>
      </c>
      <c r="P8" s="49" t="str">
        <f>'Field data and Waste 1'!P8</f>
        <v>5 TM NGE</v>
      </c>
      <c r="Q8" s="49" t="str">
        <f>'Field data and Waste 1'!Q8</f>
        <v>6 TM NGE</v>
      </c>
      <c r="R8" s="49" t="str">
        <f>'Field data and Waste 1'!R8</f>
        <v>10 TM NGE</v>
      </c>
      <c r="S8" s="49" t="str">
        <f>'Field data and Waste 1'!S8</f>
        <v>11 TM NGE</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Waste 1'!C9</f>
        <v>mod</v>
      </c>
      <c r="D9" s="49" t="str">
        <f>'Field data and Waste 1'!D9</f>
        <v>mod</v>
      </c>
      <c r="E9" s="49" t="str">
        <f>'Field data and Waste 1'!E9</f>
        <v>mod</v>
      </c>
      <c r="F9" s="49" t="str">
        <f>'Field data and Waste 1'!F9</f>
        <v>mod</v>
      </c>
      <c r="G9" s="49" t="str">
        <f>'Field data and Waste 1'!G9</f>
        <v>mod</v>
      </c>
      <c r="H9" s="49" t="str">
        <f>'Field data and Waste 1'!H9</f>
        <v>mod</v>
      </c>
      <c r="I9" s="49" t="str">
        <f>'Field data and Waste 1'!I9</f>
        <v>mod</v>
      </c>
      <c r="J9" s="49" t="str">
        <f>'Field data and Waste 1'!J9</f>
        <v>mod</v>
      </c>
      <c r="K9" s="49" t="str">
        <f>'Field data and Waste 1'!K9</f>
        <v>mod</v>
      </c>
      <c r="L9" s="49" t="str">
        <f>'Field data and Waste 1'!L9</f>
        <v>mod</v>
      </c>
      <c r="M9" s="49" t="str">
        <f>'Field data and Waste 1'!M9</f>
        <v>mod</v>
      </c>
      <c r="N9" s="49" t="str">
        <f>'Field data and Waste 1'!N9</f>
        <v>mod</v>
      </c>
      <c r="O9" s="49" t="str">
        <f>'Field data and Waste 1'!O9</f>
        <v>mod</v>
      </c>
      <c r="P9" s="49" t="str">
        <f>'Field data and Waste 1'!P9</f>
        <v>mod</v>
      </c>
      <c r="Q9" s="49" t="str">
        <f>'Field data and Waste 1'!Q9</f>
        <v>mod</v>
      </c>
      <c r="R9" s="49" t="str">
        <f>'Field data and Waste 1'!R9</f>
        <v>mod</v>
      </c>
      <c r="S9" s="49" t="str">
        <f>'Field data and Waste 1'!S9</f>
        <v>mod</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5.8</v>
      </c>
      <c r="D10" s="49">
        <f>'Field data and Waste 1'!D10</f>
        <v>6</v>
      </c>
      <c r="E10" s="49">
        <f>'Field data and Waste 1'!E10</f>
        <v>6.6</v>
      </c>
      <c r="F10" s="49">
        <f>'Field data and Waste 1'!F10</f>
        <v>6.3</v>
      </c>
      <c r="G10" s="49">
        <f>'Field data and Waste 1'!G10</f>
        <v>6.4</v>
      </c>
      <c r="H10" s="49">
        <f>'Field data and Waste 1'!H10</f>
        <v>6</v>
      </c>
      <c r="I10" s="49">
        <f>'Field data and Waste 1'!I10</f>
        <v>6</v>
      </c>
      <c r="J10" s="49">
        <f>'Field data and Waste 1'!J10</f>
        <v>6.4</v>
      </c>
      <c r="K10" s="49">
        <f>'Field data and Waste 1'!K10</f>
        <v>6.5</v>
      </c>
      <c r="L10" s="49">
        <f>'Field data and Waste 1'!L10</f>
        <v>6</v>
      </c>
      <c r="M10" s="49">
        <f>'Field data and Waste 1'!M10</f>
        <v>6.4</v>
      </c>
      <c r="N10" s="49">
        <f>'Field data and Waste 1'!N10</f>
        <v>6.1</v>
      </c>
      <c r="O10" s="49">
        <f>'Field data and Waste 1'!O10</f>
        <v>6.3</v>
      </c>
      <c r="P10" s="49">
        <f>'Field data and Waste 1'!P10</f>
        <v>6.1</v>
      </c>
      <c r="Q10" s="49">
        <f>'Field data and Waste 1'!Q10</f>
        <v>6</v>
      </c>
      <c r="R10" s="49">
        <f>'Field data and Waste 1'!R10</f>
        <v>6.1</v>
      </c>
      <c r="S10" s="49">
        <f>'Field data and Waste 1'!S10</f>
        <v>5.8</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1</v>
      </c>
      <c r="D11" s="49">
        <f>'Field data and Waste 1'!D11</f>
        <v>1</v>
      </c>
      <c r="E11" s="49">
        <f>'Field data and Waste 1'!E11</f>
        <v>2</v>
      </c>
      <c r="F11" s="49">
        <f>'Field data and Waste 1'!F11</f>
        <v>2</v>
      </c>
      <c r="G11" s="49">
        <f>'Field data and Waste 1'!G11</f>
        <v>1</v>
      </c>
      <c r="H11" s="49">
        <f>'Field data and Waste 1'!H11</f>
        <v>0</v>
      </c>
      <c r="I11" s="49">
        <f>'Field data and Waste 1'!I11</f>
        <v>0</v>
      </c>
      <c r="J11" s="49">
        <f>'Field data and Waste 1'!J11</f>
        <v>1</v>
      </c>
      <c r="K11" s="49">
        <f>'Field data and Waste 1'!K11</f>
        <v>1</v>
      </c>
      <c r="L11" s="49">
        <f>'Field data and Waste 1'!L11</f>
        <v>1</v>
      </c>
      <c r="M11" s="49">
        <f>'Field data and Waste 1'!M11</f>
        <v>0</v>
      </c>
      <c r="N11" s="49">
        <f>'Field data and Waste 1'!N11</f>
        <v>1</v>
      </c>
      <c r="O11" s="49">
        <f>'Field data and Waste 1'!O11</f>
        <v>1</v>
      </c>
      <c r="P11" s="49">
        <f>'Field data and Waste 1'!P11</f>
        <v>1</v>
      </c>
      <c r="Q11" s="49">
        <f>'Field data and Waste 1'!Q11</f>
        <v>1</v>
      </c>
      <c r="R11" s="49">
        <f>'Field data and Waste 1'!R11</f>
        <v>0</v>
      </c>
      <c r="S11" s="49">
        <f>'Field data and Waste 1'!S11</f>
        <v>1</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1</v>
      </c>
      <c r="D12" s="49">
        <f>'Field data and Waste 1'!D12</f>
        <v>1</v>
      </c>
      <c r="E12" s="49">
        <f>'Field data and Waste 1'!E12</f>
        <v>1</v>
      </c>
      <c r="F12" s="49">
        <f>'Field data and Waste 1'!F12</f>
        <v>0</v>
      </c>
      <c r="G12" s="49">
        <f>'Field data and Waste 1'!G12</f>
        <v>0</v>
      </c>
      <c r="H12" s="49">
        <f>'Field data and Waste 1'!H12</f>
        <v>0</v>
      </c>
      <c r="I12" s="49">
        <f>'Field data and Waste 1'!I12</f>
        <v>1</v>
      </c>
      <c r="J12" s="49">
        <f>'Field data and Waste 1'!J12</f>
        <v>0</v>
      </c>
      <c r="K12" s="49">
        <f>'Field data and Waste 1'!K12</f>
        <v>1</v>
      </c>
      <c r="L12" s="49">
        <f>'Field data and Waste 1'!L12</f>
        <v>2</v>
      </c>
      <c r="M12" s="49">
        <f>'Field data and Waste 1'!M12</f>
        <v>1</v>
      </c>
      <c r="N12" s="49">
        <f>'Field data and Waste 1'!N12</f>
        <v>2</v>
      </c>
      <c r="O12" s="49">
        <f>'Field data and Waste 1'!O12</f>
        <v>0</v>
      </c>
      <c r="P12" s="49">
        <f>'Field data and Waste 1'!P12</f>
        <v>1</v>
      </c>
      <c r="Q12" s="49">
        <f>'Field data and Waste 1'!Q12</f>
        <v>1</v>
      </c>
      <c r="R12" s="49">
        <f>'Field data and Waste 1'!R12</f>
        <v>2</v>
      </c>
      <c r="S12" s="49">
        <f>'Field data and Waste 1'!S12</f>
        <v>1</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Waste 1'!C14</f>
        <v xml:space="preserve">Fresh grass (15-20% DM) </v>
      </c>
      <c r="D14" s="83" t="str">
        <f>'Field data and Waste 1'!D14</f>
        <v xml:space="preserve">Fresh grass (15-20% DM) </v>
      </c>
      <c r="E14" s="83" t="str">
        <f>'Field data and Waste 1'!E14</f>
        <v xml:space="preserve">Fresh grass (15-20%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Fresh grass (15-20% DM) </v>
      </c>
      <c r="J14" s="83" t="str">
        <f>'Field data and Waste 1'!J14</f>
        <v xml:space="preserve">Grass Silage (25% DM) </v>
      </c>
      <c r="K14" s="83" t="str">
        <f>'Field data and Waste 1'!K14</f>
        <v xml:space="preserve">Grass Silage (25% DM) </v>
      </c>
      <c r="L14" s="83" t="str">
        <f>'Field data and Waste 1'!L14</f>
        <v xml:space="preserve">Fresh grass (15-20% DM) </v>
      </c>
      <c r="M14" s="83" t="str">
        <f>'Field data and Waste 1'!M14</f>
        <v xml:space="preserve">Fresh grass (15-20% DM) </v>
      </c>
      <c r="N14" s="83" t="str">
        <f>'Field data and Waste 1'!N14</f>
        <v xml:space="preserve">Grass Silage (25% DM) </v>
      </c>
      <c r="O14" s="83" t="str">
        <f>'Field data and Waste 1'!O14</f>
        <v xml:space="preserve">Grass Silage (25% DM) </v>
      </c>
      <c r="P14" s="83" t="str">
        <f>'Field data and Waste 1'!P14</f>
        <v xml:space="preserve">Grass Silage (25% DM) </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35</v>
      </c>
      <c r="D15" s="49">
        <f>'Field data and Waste 1'!D15</f>
        <v>35</v>
      </c>
      <c r="E15" s="49">
        <f>'Field data and Waste 1'!E15</f>
        <v>23</v>
      </c>
      <c r="F15" s="49">
        <f>'Field data and Waste 1'!F15</f>
        <v>23</v>
      </c>
      <c r="G15" s="49">
        <f>'Field data and Waste 1'!G15</f>
        <v>23</v>
      </c>
      <c r="H15" s="49">
        <f>'Field data and Waste 1'!H15</f>
        <v>23</v>
      </c>
      <c r="I15" s="49">
        <f>'Field data and Waste 1'!I15</f>
        <v>35</v>
      </c>
      <c r="J15" s="49">
        <f>'Field data and Waste 1'!J15</f>
        <v>23</v>
      </c>
      <c r="K15" s="49">
        <f>'Field data and Waste 1'!K15</f>
        <v>23</v>
      </c>
      <c r="L15" s="49">
        <f>'Field data and Waste 1'!L15</f>
        <v>35</v>
      </c>
      <c r="M15" s="49">
        <f>'Field data and Waste 1'!M15</f>
        <v>35</v>
      </c>
      <c r="N15" s="49">
        <f>'Field data and Waste 1'!N15</f>
        <v>23</v>
      </c>
      <c r="O15" s="49">
        <f>'Field data and Waste 1'!O15</f>
        <v>23</v>
      </c>
      <c r="P15" s="49">
        <f>'Field data and Waste 1'!P15</f>
        <v>23</v>
      </c>
      <c r="Q15" s="49">
        <f>'Field data and Waste 1'!Q15</f>
        <v>23</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49</v>
      </c>
      <c r="D17" s="20">
        <f t="shared" ref="D17:V17" si="0">(VLOOKUP(D$14,$AI2:$AK26,2,FALSE))*D$15</f>
        <v>49</v>
      </c>
      <c r="E17" s="20">
        <f t="shared" si="0"/>
        <v>32.199999999999996</v>
      </c>
      <c r="F17" s="20">
        <f t="shared" si="0"/>
        <v>39.1</v>
      </c>
      <c r="G17" s="20">
        <f t="shared" si="0"/>
        <v>39.1</v>
      </c>
      <c r="H17" s="20">
        <f t="shared" si="0"/>
        <v>39.1</v>
      </c>
      <c r="I17" s="20">
        <f t="shared" si="0"/>
        <v>49</v>
      </c>
      <c r="J17" s="20">
        <f t="shared" si="0"/>
        <v>39.1</v>
      </c>
      <c r="K17" s="20">
        <f t="shared" si="0"/>
        <v>39.1</v>
      </c>
      <c r="L17" s="20">
        <f t="shared" si="0"/>
        <v>49</v>
      </c>
      <c r="M17" s="20">
        <f t="shared" si="0"/>
        <v>49</v>
      </c>
      <c r="N17" s="20">
        <f t="shared" si="0"/>
        <v>39.1</v>
      </c>
      <c r="O17" s="20">
        <f t="shared" si="0"/>
        <v>39.1</v>
      </c>
      <c r="P17" s="20">
        <f t="shared" si="0"/>
        <v>39.1</v>
      </c>
      <c r="Q17" s="20">
        <f t="shared" si="0"/>
        <v>39.1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-49</v>
      </c>
      <c r="D19" s="12">
        <f t="shared" ref="D19:V19" si="1">D18-D17</f>
        <v>-49</v>
      </c>
      <c r="E19" s="12">
        <f t="shared" si="1"/>
        <v>-32.199999999999996</v>
      </c>
      <c r="F19" s="12">
        <f t="shared" si="1"/>
        <v>-39.1</v>
      </c>
      <c r="G19" s="12">
        <f t="shared" si="1"/>
        <v>-39.1</v>
      </c>
      <c r="H19" s="12">
        <f t="shared" si="1"/>
        <v>-39.1</v>
      </c>
      <c r="I19" s="12">
        <f t="shared" si="1"/>
        <v>-49</v>
      </c>
      <c r="J19" s="12">
        <f t="shared" si="1"/>
        <v>-39.1</v>
      </c>
      <c r="K19" s="12">
        <f t="shared" si="1"/>
        <v>-39.1</v>
      </c>
      <c r="L19" s="12">
        <f t="shared" si="1"/>
        <v>-49</v>
      </c>
      <c r="M19" s="12">
        <f t="shared" si="1"/>
        <v>-49</v>
      </c>
      <c r="N19" s="12">
        <f t="shared" si="1"/>
        <v>-39.1</v>
      </c>
      <c r="O19" s="12">
        <f t="shared" si="1"/>
        <v>-39.1</v>
      </c>
      <c r="P19" s="12">
        <f t="shared" si="1"/>
        <v>-39.1</v>
      </c>
      <c r="Q19" s="12">
        <f t="shared" si="1"/>
        <v>-39.1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168</v>
      </c>
      <c r="D21" s="20">
        <f t="shared" ref="D21:V21" si="2">(VLOOKUP(D$14,$AI2:$AK26,3,FALSE))*D$15</f>
        <v>168</v>
      </c>
      <c r="E21" s="20">
        <f t="shared" si="2"/>
        <v>110.39999999999999</v>
      </c>
      <c r="F21" s="20">
        <f t="shared" si="2"/>
        <v>138</v>
      </c>
      <c r="G21" s="20">
        <f t="shared" si="2"/>
        <v>138</v>
      </c>
      <c r="H21" s="20">
        <f t="shared" si="2"/>
        <v>138</v>
      </c>
      <c r="I21" s="20">
        <f t="shared" si="2"/>
        <v>168</v>
      </c>
      <c r="J21" s="20">
        <f t="shared" si="2"/>
        <v>138</v>
      </c>
      <c r="K21" s="20">
        <f t="shared" si="2"/>
        <v>138</v>
      </c>
      <c r="L21" s="20">
        <f t="shared" si="2"/>
        <v>168</v>
      </c>
      <c r="M21" s="20">
        <f t="shared" si="2"/>
        <v>168</v>
      </c>
      <c r="N21" s="20">
        <f t="shared" si="2"/>
        <v>138</v>
      </c>
      <c r="O21" s="20">
        <f t="shared" si="2"/>
        <v>138</v>
      </c>
      <c r="P21" s="20">
        <f t="shared" si="2"/>
        <v>138</v>
      </c>
      <c r="Q21" s="20">
        <f t="shared" si="2"/>
        <v>138</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-168</v>
      </c>
      <c r="D23" s="12">
        <f t="shared" ref="D23:V23" si="3">D22-D21</f>
        <v>-168</v>
      </c>
      <c r="E23" s="12">
        <f t="shared" si="3"/>
        <v>-110.39999999999999</v>
      </c>
      <c r="F23" s="12">
        <f t="shared" si="3"/>
        <v>-138</v>
      </c>
      <c r="G23" s="12">
        <f t="shared" si="3"/>
        <v>-138</v>
      </c>
      <c r="H23" s="12">
        <f t="shared" si="3"/>
        <v>-138</v>
      </c>
      <c r="I23" s="12">
        <f t="shared" si="3"/>
        <v>-168</v>
      </c>
      <c r="J23" s="12">
        <f t="shared" si="3"/>
        <v>-138</v>
      </c>
      <c r="K23" s="12">
        <f t="shared" si="3"/>
        <v>-138</v>
      </c>
      <c r="L23" s="12">
        <f t="shared" si="3"/>
        <v>-168</v>
      </c>
      <c r="M23" s="12">
        <f t="shared" si="3"/>
        <v>-168</v>
      </c>
      <c r="N23" s="12">
        <f t="shared" si="3"/>
        <v>-138</v>
      </c>
      <c r="O23" s="12">
        <f t="shared" si="3"/>
        <v>-138</v>
      </c>
      <c r="P23" s="12">
        <f t="shared" si="3"/>
        <v>-138</v>
      </c>
      <c r="Q23" s="12">
        <f t="shared" si="3"/>
        <v>-138</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1 TM DF</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2 TM DF</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3 TM DF</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4 TM DF</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5 TM DF</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6 TM DF</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8 TM DF</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30E</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6481 6895</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7788</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8978</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9291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04 TM NGE</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5 TM NGE</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6 TM NGE</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10 TM NGE</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11 TM NGE</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1 TM DF</v>
      </c>
      <c r="C57" s="8" t="str">
        <f t="shared" ref="C57:U57" si="13">D8</f>
        <v>2 TM DF</v>
      </c>
      <c r="D57" s="8" t="str">
        <f t="shared" si="13"/>
        <v>3 TM DF</v>
      </c>
      <c r="E57" s="8" t="str">
        <f t="shared" si="13"/>
        <v>4 TM DF</v>
      </c>
      <c r="F57" s="8" t="str">
        <f t="shared" si="13"/>
        <v>5 TM DF</v>
      </c>
      <c r="G57" s="8" t="str">
        <f t="shared" si="13"/>
        <v>6 TM DF</v>
      </c>
      <c r="H57" s="8" t="str">
        <f t="shared" si="13"/>
        <v>8 TM DF</v>
      </c>
      <c r="I57" s="8" t="str">
        <f t="shared" si="13"/>
        <v>30E</v>
      </c>
      <c r="J57" s="8" t="str">
        <f t="shared" si="13"/>
        <v>6481 6895</v>
      </c>
      <c r="K57" s="8">
        <f t="shared" si="13"/>
        <v>7788</v>
      </c>
      <c r="L57" s="8">
        <f t="shared" si="13"/>
        <v>8978</v>
      </c>
      <c r="M57" s="8">
        <f t="shared" si="13"/>
        <v>9291</v>
      </c>
      <c r="N57" s="8" t="str">
        <f t="shared" si="13"/>
        <v>04 TM NGE</v>
      </c>
      <c r="O57" s="8" t="str">
        <f t="shared" si="13"/>
        <v>5 TM NGE</v>
      </c>
      <c r="P57" s="8" t="str">
        <f t="shared" si="13"/>
        <v>6 TM NGE</v>
      </c>
      <c r="Q57" s="8" t="str">
        <f t="shared" si="13"/>
        <v>10 TM NGE</v>
      </c>
      <c r="R57" s="8" t="str">
        <f t="shared" si="13"/>
        <v>11 TM NGE</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str">
        <f>R16&amp;" I "&amp;(VLOOKUP(R14,Table2456[],6,FALSE))</f>
        <v>Medium/Clay I Grass</v>
      </c>
      <c r="R58" s="10" t="str">
        <f>S16&amp;" I "&amp;(VLOOKUP(S14,Table2456[],6,FALSE))</f>
        <v>Medium/Clay I Grass</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f>VLOOKUP(R$14,Table2456[],5,FALSE)</f>
        <v>6.2</v>
      </c>
      <c r="R59" s="64">
        <f>VLOOKUP(S$14,Table2456[],5,FALSE)</f>
        <v>6.2</v>
      </c>
      <c r="S59" s="64" t="e">
        <f>VLOOKUP(T$14,Table2456[],5,FALSE)</f>
        <v>#N/A</v>
      </c>
      <c r="T59" s="64" t="e">
        <f>VLOOKUP(U$14,Table2456[],5,FALSE)</f>
        <v>#N/A</v>
      </c>
      <c r="U59" s="64" t="e">
        <f>VLOOKUP(V$14,Table2456[],5,FALSE)</f>
        <v>#N/A</v>
      </c>
    </row>
    <row r="60" spans="1:21" ht="13" x14ac:dyDescent="0.3">
      <c r="A60" s="87" t="s">
        <v>4</v>
      </c>
      <c r="B60" s="64">
        <f>C10</f>
        <v>5.8</v>
      </c>
      <c r="C60" s="64">
        <f t="shared" ref="C60:U60" si="14">D10</f>
        <v>6</v>
      </c>
      <c r="D60" s="64">
        <f t="shared" si="14"/>
        <v>6.6</v>
      </c>
      <c r="E60" s="64">
        <f t="shared" si="14"/>
        <v>6.3</v>
      </c>
      <c r="F60" s="64">
        <f t="shared" si="14"/>
        <v>6.4</v>
      </c>
      <c r="G60" s="64">
        <f t="shared" si="14"/>
        <v>6</v>
      </c>
      <c r="H60" s="64">
        <f t="shared" si="14"/>
        <v>6</v>
      </c>
      <c r="I60" s="64">
        <f t="shared" si="14"/>
        <v>6.4</v>
      </c>
      <c r="J60" s="64">
        <f t="shared" si="14"/>
        <v>6.5</v>
      </c>
      <c r="K60" s="64">
        <f t="shared" si="14"/>
        <v>6</v>
      </c>
      <c r="L60" s="64">
        <f t="shared" si="14"/>
        <v>6.4</v>
      </c>
      <c r="M60" s="64">
        <f t="shared" si="14"/>
        <v>6.1</v>
      </c>
      <c r="N60" s="64">
        <f t="shared" si="14"/>
        <v>6.3</v>
      </c>
      <c r="O60" s="64">
        <f t="shared" si="14"/>
        <v>6.1</v>
      </c>
      <c r="P60" s="64">
        <f t="shared" si="14"/>
        <v>6</v>
      </c>
      <c r="Q60" s="64">
        <f t="shared" si="14"/>
        <v>6.1</v>
      </c>
      <c r="R60" s="64">
        <f t="shared" si="14"/>
        <v>5.8</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1.2000000000000011</v>
      </c>
      <c r="D64" s="65">
        <f t="shared" si="17"/>
        <v>-2.3999999999999968</v>
      </c>
      <c r="E64" s="65">
        <f t="shared" si="17"/>
        <v>-0.59999999999999787</v>
      </c>
      <c r="F64" s="65">
        <f t="shared" si="17"/>
        <v>-1.2000000000000011</v>
      </c>
      <c r="G64" s="65">
        <f t="shared" si="17"/>
        <v>1.2000000000000011</v>
      </c>
      <c r="H64" s="65">
        <f t="shared" si="17"/>
        <v>1.2000000000000011</v>
      </c>
      <c r="I64" s="65">
        <f t="shared" si="17"/>
        <v>-1.2000000000000011</v>
      </c>
      <c r="J64" s="65">
        <f t="shared" si="17"/>
        <v>-1.7999999999999989</v>
      </c>
      <c r="K64" s="65">
        <f t="shared" si="17"/>
        <v>1.2000000000000011</v>
      </c>
      <c r="L64" s="65">
        <f t="shared" si="17"/>
        <v>-1.2000000000000011</v>
      </c>
      <c r="M64" s="65">
        <f t="shared" si="17"/>
        <v>0.6000000000000032</v>
      </c>
      <c r="N64" s="65">
        <f t="shared" si="17"/>
        <v>-0.59999999999999787</v>
      </c>
      <c r="O64" s="65">
        <f t="shared" si="17"/>
        <v>0.6000000000000032</v>
      </c>
      <c r="P64" s="65">
        <f t="shared" si="17"/>
        <v>1.2000000000000011</v>
      </c>
      <c r="Q64" s="65">
        <f t="shared" si="17"/>
        <v>0.6000000000000032</v>
      </c>
      <c r="R64" s="65">
        <f t="shared" si="17"/>
        <v>2.4000000000000021</v>
      </c>
      <c r="S64" s="65" t="e">
        <f t="shared" si="17"/>
        <v>#N/A</v>
      </c>
      <c r="T64" s="65" t="e">
        <f t="shared" si="17"/>
        <v>#N/A</v>
      </c>
      <c r="U64" s="65" t="e">
        <f t="shared" si="17"/>
        <v>#N/A</v>
      </c>
    </row>
    <row r="65" spans="1:21" ht="52" x14ac:dyDescent="0.3">
      <c r="A65" s="88" t="s">
        <v>157</v>
      </c>
      <c r="B65" s="65">
        <f>B63-B64</f>
        <v>-2.4000000000000021</v>
      </c>
      <c r="C65" s="65">
        <f t="shared" ref="C65:U65" si="18">C63-C64</f>
        <v>-1.2000000000000011</v>
      </c>
      <c r="D65" s="65">
        <f t="shared" si="18"/>
        <v>2.3999999999999968</v>
      </c>
      <c r="E65" s="65">
        <f t="shared" si="18"/>
        <v>0.59999999999999787</v>
      </c>
      <c r="F65" s="65">
        <f t="shared" si="18"/>
        <v>1.2000000000000011</v>
      </c>
      <c r="G65" s="65">
        <f t="shared" si="18"/>
        <v>-1.2000000000000011</v>
      </c>
      <c r="H65" s="65">
        <f t="shared" si="18"/>
        <v>-1.2000000000000011</v>
      </c>
      <c r="I65" s="65">
        <f t="shared" si="18"/>
        <v>1.2000000000000011</v>
      </c>
      <c r="J65" s="65">
        <f t="shared" si="18"/>
        <v>1.7999999999999989</v>
      </c>
      <c r="K65" s="65">
        <f t="shared" si="18"/>
        <v>-1.2000000000000011</v>
      </c>
      <c r="L65" s="65">
        <f t="shared" si="18"/>
        <v>1.2000000000000011</v>
      </c>
      <c r="M65" s="65">
        <f t="shared" si="18"/>
        <v>-0.6000000000000032</v>
      </c>
      <c r="N65" s="65">
        <f t="shared" si="18"/>
        <v>0.59999999999999787</v>
      </c>
      <c r="O65" s="65">
        <f t="shared" si="18"/>
        <v>-0.6000000000000032</v>
      </c>
      <c r="P65" s="65">
        <f t="shared" si="18"/>
        <v>-1.2000000000000011</v>
      </c>
      <c r="Q65" s="65">
        <f t="shared" si="18"/>
        <v>-0.6000000000000032</v>
      </c>
      <c r="R65" s="65">
        <f t="shared" si="18"/>
        <v>-2.4000000000000021</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 x14ac:dyDescent="0.25">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5">
      <c r="A3" s="27">
        <v>1</v>
      </c>
      <c r="B3" s="24">
        <f>'Field data and Waste 1'!B31</f>
        <v>25</v>
      </c>
      <c r="C3" s="24">
        <f>'Field data and Waste 1'!C31</f>
        <v>60.41</v>
      </c>
      <c r="D3" s="24">
        <f>'Field data and Waste 1'!D31</f>
        <v>22.932910000000003</v>
      </c>
      <c r="E3" s="24">
        <f>'Field data and Waste 1'!E31</f>
        <v>7.3300150000000004</v>
      </c>
      <c r="F3" s="24">
        <f>'Field data and Waste 1'!F31</f>
        <v>58.610300000000002</v>
      </c>
      <c r="G3" s="24">
        <f>'Field data and Waste 1'!G31</f>
        <v>0.38360000000000005</v>
      </c>
      <c r="H3" s="24">
        <f>'Field data and Waste 1'!H31</f>
        <v>10.220000000000001</v>
      </c>
      <c r="I3" s="24">
        <f>'Field data and Waste 1'!I31</f>
        <v>2.3317000000000005</v>
      </c>
      <c r="J3" s="24">
        <f>'Field data and Waste 1'!J31</f>
        <v>6.1950000000000005E-2</v>
      </c>
      <c r="K3" s="24">
        <f>'Field data and Waste 1'!K31</f>
        <v>2.5200000000000001E-3</v>
      </c>
      <c r="L3" s="24">
        <f>'Field data and Waste 1'!L31</f>
        <v>0.87990000000000013</v>
      </c>
      <c r="M3" s="24">
        <f>'Field data and Waste 1'!M31</f>
        <v>0.15050000000000002</v>
      </c>
      <c r="N3" s="24">
        <f>'Field data and Waste 1'!N31</f>
        <v>903.00000000000011</v>
      </c>
      <c r="O3" s="24">
        <f>'Field data and Waste 1'!O31</f>
        <v>571.9</v>
      </c>
      <c r="P3" s="24">
        <f>'Field data and Waste 1'!P31</f>
        <v>1.127</v>
      </c>
      <c r="Q3" s="24">
        <f>'Field data and Waste 1'!Q31</f>
        <v>22.400000000000002</v>
      </c>
      <c r="R3" s="24">
        <f>'Field data and Waste 1'!R31</f>
        <v>2.4080000000000004E-2</v>
      </c>
      <c r="S3" s="24">
        <f>'Field data and Waste 1'!S31</f>
        <v>0.30940000000000006</v>
      </c>
      <c r="T3" s="24">
        <f>'Field data and Waste 1'!T31</f>
        <v>8.3999999999999995E-3</v>
      </c>
      <c r="U3" s="24">
        <f>'Field data and Waste 1'!U31</f>
        <v>0.56700000000000006</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25</v>
      </c>
      <c r="C13" s="68">
        <f t="shared" ref="C13:U13" si="0">SUM(C3:C12)</f>
        <v>60.41</v>
      </c>
      <c r="D13" s="68">
        <f t="shared" si="0"/>
        <v>22.932910000000003</v>
      </c>
      <c r="E13" s="68">
        <f t="shared" si="0"/>
        <v>7.3300150000000004</v>
      </c>
      <c r="F13" s="68">
        <f t="shared" si="0"/>
        <v>58.610300000000002</v>
      </c>
      <c r="G13" s="68">
        <f t="shared" si="0"/>
        <v>0.38360000000000005</v>
      </c>
      <c r="H13" s="68">
        <f t="shared" si="0"/>
        <v>10.220000000000001</v>
      </c>
      <c r="I13" s="68">
        <f t="shared" si="0"/>
        <v>2.3317000000000005</v>
      </c>
      <c r="J13" s="68">
        <f t="shared" si="0"/>
        <v>6.1950000000000005E-2</v>
      </c>
      <c r="K13" s="68">
        <f t="shared" si="0"/>
        <v>2.5200000000000001E-3</v>
      </c>
      <c r="L13" s="68">
        <f t="shared" si="0"/>
        <v>0.87990000000000013</v>
      </c>
      <c r="M13" s="68">
        <f t="shared" si="0"/>
        <v>0.15050000000000002</v>
      </c>
      <c r="N13" s="68">
        <f t="shared" si="0"/>
        <v>903.00000000000011</v>
      </c>
      <c r="O13" s="68">
        <f t="shared" si="0"/>
        <v>571.9</v>
      </c>
      <c r="P13" s="68">
        <f t="shared" si="0"/>
        <v>1.127</v>
      </c>
      <c r="Q13" s="68">
        <f t="shared" si="0"/>
        <v>22.400000000000002</v>
      </c>
      <c r="R13" s="68">
        <f t="shared" si="0"/>
        <v>2.4080000000000004E-2</v>
      </c>
      <c r="S13" s="68">
        <f t="shared" si="0"/>
        <v>0.30940000000000006</v>
      </c>
      <c r="T13" s="68">
        <f t="shared" si="0"/>
        <v>8.3999999999999995E-3</v>
      </c>
      <c r="U13" s="68">
        <f t="shared" si="0"/>
        <v>0.56700000000000006</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 x14ac:dyDescent="0.3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5">
      <c r="A3" s="27">
        <v>1</v>
      </c>
      <c r="B3" s="78"/>
      <c r="C3" s="24">
        <f>'Field data and Waste 1'!B31</f>
        <v>25</v>
      </c>
      <c r="D3" s="24">
        <f>'Field data and Waste 1'!C31</f>
        <v>60.41</v>
      </c>
      <c r="E3" s="24">
        <f>'Field data and Waste 1'!D31</f>
        <v>22.932910000000003</v>
      </c>
      <c r="F3" s="24">
        <f>'Field data and Waste 1'!E31</f>
        <v>7.3300150000000004</v>
      </c>
      <c r="G3" s="24">
        <f>'Field data and Waste 1'!F31</f>
        <v>58.610300000000002</v>
      </c>
      <c r="H3" s="24">
        <f>'Field data and Waste 1'!G31</f>
        <v>0.38360000000000005</v>
      </c>
      <c r="I3" s="24">
        <f>'Field data and Waste 1'!H31</f>
        <v>10.220000000000001</v>
      </c>
      <c r="J3" s="24">
        <f>'Field data and Waste 1'!I31</f>
        <v>2.3317000000000005</v>
      </c>
      <c r="K3" s="24">
        <f>'Field data and Waste 1'!J31</f>
        <v>6.1950000000000005E-2</v>
      </c>
      <c r="L3" s="24">
        <f>'Field data and Waste 1'!K31</f>
        <v>2.5200000000000001E-3</v>
      </c>
      <c r="M3" s="24">
        <f>'Field data and Waste 1'!L31</f>
        <v>0.87990000000000013</v>
      </c>
      <c r="N3" s="24">
        <f>'Field data and Waste 1'!M31</f>
        <v>0.15050000000000002</v>
      </c>
      <c r="O3" s="24">
        <f>'Field data and Waste 1'!N31</f>
        <v>903.00000000000011</v>
      </c>
      <c r="P3" s="24">
        <f>'Field data and Waste 1'!O31</f>
        <v>571.9</v>
      </c>
      <c r="Q3" s="24">
        <f>'Field data and Waste 1'!P31</f>
        <v>1.127</v>
      </c>
      <c r="R3" s="24">
        <f>'Field data and Waste 1'!Q31</f>
        <v>22.400000000000002</v>
      </c>
      <c r="S3" s="24">
        <f>'Field data and Waste 1'!R31</f>
        <v>2.4080000000000004E-2</v>
      </c>
      <c r="T3" s="24">
        <f>'Field data and Waste 1'!S31</f>
        <v>0.30940000000000006</v>
      </c>
      <c r="U3" s="24">
        <f>'Field data and Waste 1'!T31</f>
        <v>8.3999999999999995E-3</v>
      </c>
      <c r="V3" s="24">
        <f>'Field data and Waste 1'!U31</f>
        <v>0.56700000000000006</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Waste 1'!B43</f>
        <v>25</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Waste 1'!B44</f>
        <v>25</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REGU-415-1633099</_dlc_DocId>
    <_dlc_DocIdUrl xmlns="9be56660-2c31-41ef-bc00-23e72f632f2a">
      <Url>https://cyfoethnaturiolcymru.sharepoint.com/teams/Regulatory/Permitting/_layouts/15/DocIdRedir.aspx?ID=REGU-415-1633099</Url>
      <Description>REGU-415-1633099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2025-12-08T00:00:00+00:00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Severn Trent Water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CB80E2BD-F5E7-4007-B938-2599FCE6DB85}"/>
</file>

<file path=customXml/itemProps3.xml><?xml version="1.0" encoding="utf-8"?>
<ds:datastoreItem xmlns:ds="http://schemas.openxmlformats.org/officeDocument/2006/customXml" ds:itemID="{578072CE-C631-48C7-9AFC-4473B69D1653}"/>
</file>

<file path=customXml/itemProps4.xml><?xml version="1.0" encoding="utf-8"?>
<ds:datastoreItem xmlns:ds="http://schemas.openxmlformats.org/officeDocument/2006/customXml" ds:itemID="{3EB88BFD-E29A-4849-A8E6-116EB74B98EA}">
  <ds:schemaRefs>
    <ds:schemaRef ds:uri="http://www.w3.org/XML/1998/namespace"/>
    <ds:schemaRef ds:uri="http://purl.org/dc/terms/"/>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 ds:uri="http://purl.org/dc/elements/1.1/"/>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2025-12-08T11:23:32Z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8b9bff31-702c-4fe7-b85a-df01c63558a0</vt:lpwstr>
  </property>
  <property fmtid="{D5CDD505-2E9C-101B-9397-08002B2CF9AE}" pid="4" name="MediaServiceImageTags">
    <vt:lpwstr/>
  </property>
</Properties>
</file>