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957 dan james high/issue/"/>
    </mc:Choice>
  </mc:AlternateContent>
  <xr:revisionPtr revIDLastSave="0" documentId="8_{1B865B00-F684-47B9-BA2D-F62DBDDFECE6}" xr6:coauthVersionLast="47" xr6:coauthVersionMax="47" xr10:uidLastSave="{00000000-0000-0000-0000-000000000000}"/>
  <bookViews>
    <workbookView xWindow="33720" yWindow="-120" windowWidth="29040" windowHeight="15720" tabRatio="870" xr2:uid="{00000000-000D-0000-FFFF-FFFF00000000}"/>
  </bookViews>
  <sheets>
    <sheet name="Field data and Dairy" sheetId="1" r:id="rId1"/>
    <sheet name="Volac" sheetId="21" r:id="rId2"/>
    <sheet name="First"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S65" i="1" l="1"/>
  <c r="T65" i="1"/>
  <c r="U65" i="1"/>
  <c r="S65" i="21"/>
  <c r="T65" i="21"/>
  <c r="U65" i="21"/>
  <c r="S65" i="27"/>
  <c r="T65" i="27"/>
  <c r="U65" i="27"/>
  <c r="S65" i="28"/>
  <c r="T65" i="28"/>
  <c r="U65" i="28"/>
  <c r="S65" i="30"/>
  <c r="T65" i="30"/>
  <c r="U65" i="30"/>
  <c r="S65" i="26"/>
  <c r="T65" i="26"/>
  <c r="U65" i="26"/>
  <c r="S65" i="24"/>
  <c r="T65" i="24"/>
  <c r="U65" i="24"/>
  <c r="S65" i="29"/>
  <c r="T65" i="29"/>
  <c r="U65" i="29"/>
  <c r="S65" i="23"/>
  <c r="T65" i="23"/>
  <c r="U65" i="23"/>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U18" i="27"/>
  <c r="S18" i="27"/>
  <c r="R18" i="27"/>
  <c r="K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S20" i="27" s="1"/>
  <c r="J59" i="28"/>
  <c r="K17" i="28"/>
  <c r="K19" i="28" s="1"/>
  <c r="K21" i="28"/>
  <c r="R59" i="28"/>
  <c r="S17" i="28"/>
  <c r="S19" i="28" s="1"/>
  <c r="S21" i="28"/>
  <c r="S23" i="28" s="1"/>
  <c r="I59" i="29"/>
  <c r="J17" i="29"/>
  <c r="J19" i="29" s="1"/>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23" i="26" s="1"/>
  <c r="M17" i="26"/>
  <c r="T59" i="26"/>
  <c r="U21" i="26"/>
  <c r="U23" i="26" s="1"/>
  <c r="U17" i="26"/>
  <c r="U19" i="26" s="1"/>
  <c r="C59" i="27"/>
  <c r="D17" i="27"/>
  <c r="K59" i="27"/>
  <c r="L17" i="27"/>
  <c r="L19" i="27" s="1"/>
  <c r="L20" i="27" s="1"/>
  <c r="S59" i="27"/>
  <c r="T17" i="27"/>
  <c r="T19" i="27" s="1"/>
  <c r="C59" i="28"/>
  <c r="D21" i="28"/>
  <c r="D23" i="28" s="1"/>
  <c r="D24" i="28" s="1"/>
  <c r="D17" i="28"/>
  <c r="K59" i="28"/>
  <c r="L21" i="28"/>
  <c r="L17" i="28"/>
  <c r="L19" i="28" s="1"/>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P20" i="21" s="1"/>
  <c r="H21" i="21"/>
  <c r="H17" i="21"/>
  <c r="H19" i="21" s="1"/>
  <c r="H20" i="21" s="1"/>
  <c r="E59" i="22"/>
  <c r="F21" i="22"/>
  <c r="F23" i="22" s="1"/>
  <c r="F17" i="22"/>
  <c r="F19" i="22" s="1"/>
  <c r="M59" i="22"/>
  <c r="N21" i="22"/>
  <c r="N23" i="22" s="1"/>
  <c r="N17" i="22"/>
  <c r="U59" i="22"/>
  <c r="V17" i="22"/>
  <c r="V21" i="22"/>
  <c r="C18" i="22"/>
  <c r="H21" i="23"/>
  <c r="H23" i="23" s="1"/>
  <c r="H17" i="23"/>
  <c r="P17" i="23"/>
  <c r="P19" i="23" s="1"/>
  <c r="P21" i="23"/>
  <c r="P23" i="23" s="1"/>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19" i="29" s="1"/>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H19" i="26" s="1"/>
  <c r="P21" i="26"/>
  <c r="P17" i="26"/>
  <c r="P19" i="26" s="1"/>
  <c r="F59" i="28"/>
  <c r="G17" i="28"/>
  <c r="G19" i="28" s="1"/>
  <c r="G21" i="28"/>
  <c r="G23" i="28" s="1"/>
  <c r="N59" i="28"/>
  <c r="O17" i="28"/>
  <c r="O19" i="28" s="1"/>
  <c r="O21" i="28"/>
  <c r="O23" i="28" s="1"/>
  <c r="E59" i="29"/>
  <c r="F17" i="29"/>
  <c r="F21" i="29"/>
  <c r="M59" i="29"/>
  <c r="N17" i="29"/>
  <c r="N21" i="29"/>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Q23" i="26" s="1"/>
  <c r="E63" i="26"/>
  <c r="H17" i="27"/>
  <c r="P17" i="27"/>
  <c r="P19" i="27" s="1"/>
  <c r="P20" i="27" s="1"/>
  <c r="H21" i="28"/>
  <c r="H23" i="28" s="1"/>
  <c r="H17" i="28"/>
  <c r="P21" i="28"/>
  <c r="P23" i="28" s="1"/>
  <c r="P17" i="28"/>
  <c r="P19" i="28" s="1"/>
  <c r="G17" i="29"/>
  <c r="G19" i="29" s="1"/>
  <c r="G21" i="29"/>
  <c r="G23" i="29" s="1"/>
  <c r="O17" i="29"/>
  <c r="O21" i="29"/>
  <c r="E59" i="30"/>
  <c r="F21" i="30"/>
  <c r="F23" i="30" s="1"/>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S23" i="23" s="1"/>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P21" i="29"/>
  <c r="P23" i="29" s="1"/>
  <c r="P17" i="29"/>
  <c r="P19" i="29" s="1"/>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19" i="24" s="1"/>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23" i="29" s="1"/>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G23" i="22"/>
  <c r="K58" i="21"/>
  <c r="K61" i="21" s="1"/>
  <c r="K64"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P23" i="27" s="1"/>
  <c r="P24" i="27" s="1"/>
  <c r="J58" i="22"/>
  <c r="J61" i="22" s="1"/>
  <c r="J58" i="26"/>
  <c r="J61" i="26" s="1"/>
  <c r="J23" i="23"/>
  <c r="R19" i="23"/>
  <c r="J58" i="27"/>
  <c r="J61" i="27" s="1"/>
  <c r="J64" i="27" s="1"/>
  <c r="J65" i="27" s="1"/>
  <c r="R58" i="27"/>
  <c r="R61" i="27" s="1"/>
  <c r="R64" i="27" s="1"/>
  <c r="R58" i="28"/>
  <c r="R61" i="28" s="1"/>
  <c r="R64" i="28" s="1"/>
  <c r="R65"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I23" i="30"/>
  <c r="Q23" i="30"/>
  <c r="U23" i="30"/>
  <c r="J58" i="28"/>
  <c r="J61" i="28" s="1"/>
  <c r="J64" i="28" s="1"/>
  <c r="J65" i="28" s="1"/>
  <c r="R58" i="22"/>
  <c r="R61" i="22" s="1"/>
  <c r="R64" i="22" s="1"/>
  <c r="R65"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R65"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R65"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H23" i="22"/>
  <c r="P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I65" i="28" s="1"/>
  <c r="Q58" i="28"/>
  <c r="Q61" i="28" s="1"/>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S19" i="30"/>
  <c r="S23" i="30"/>
  <c r="A31" i="30"/>
  <c r="A33" i="30"/>
  <c r="A39" i="30"/>
  <c r="A41" i="30"/>
  <c r="A47" i="30"/>
  <c r="A49" i="30"/>
  <c r="G57" i="30"/>
  <c r="O57" i="30"/>
  <c r="G59" i="30"/>
  <c r="O59" i="30"/>
  <c r="G63" i="30"/>
  <c r="O63" i="30"/>
  <c r="P63" i="30"/>
  <c r="I63" i="30"/>
  <c r="Q63" i="30"/>
  <c r="T19" i="30"/>
  <c r="E19" i="30"/>
  <c r="N19" i="30"/>
  <c r="V19" i="30"/>
  <c r="B63" i="30"/>
  <c r="J63" i="30"/>
  <c r="R63" i="30"/>
  <c r="G19" i="30"/>
  <c r="A32" i="30"/>
  <c r="A34" i="30"/>
  <c r="A40" i="30"/>
  <c r="A42" i="30"/>
  <c r="A48" i="30"/>
  <c r="A50" i="30"/>
  <c r="C63" i="30"/>
  <c r="K63" i="30"/>
  <c r="S63" i="30"/>
  <c r="P19" i="30"/>
  <c r="D63" i="30"/>
  <c r="L63" i="30"/>
  <c r="T63" i="30"/>
  <c r="H63" i="30"/>
  <c r="Q19" i="30"/>
  <c r="E63" i="30"/>
  <c r="M63" i="30"/>
  <c r="O23" i="29"/>
  <c r="T19" i="29"/>
  <c r="P63"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U19" i="29"/>
  <c r="M23" i="29"/>
  <c r="U23" i="29"/>
  <c r="I57" i="29"/>
  <c r="Q57" i="29"/>
  <c r="I63" i="29"/>
  <c r="Q63" i="29"/>
  <c r="F19" i="29"/>
  <c r="N19" i="29"/>
  <c r="V19" i="29"/>
  <c r="F23" i="29"/>
  <c r="N23" i="29"/>
  <c r="B63" i="29"/>
  <c r="J63" i="29"/>
  <c r="R63" i="29"/>
  <c r="L19" i="29"/>
  <c r="O19" i="29"/>
  <c r="A32" i="29"/>
  <c r="A34" i="29"/>
  <c r="A40" i="29"/>
  <c r="A42" i="29"/>
  <c r="A48" i="29"/>
  <c r="A50" i="29"/>
  <c r="C63" i="29"/>
  <c r="K63" i="29"/>
  <c r="S63" i="29"/>
  <c r="H19" i="29"/>
  <c r="D63" i="29"/>
  <c r="L63" i="29"/>
  <c r="T63" i="29"/>
  <c r="E63" i="29"/>
  <c r="M63" i="29"/>
  <c r="K23" i="28"/>
  <c r="A31" i="28"/>
  <c r="A33" i="28"/>
  <c r="A37" i="28"/>
  <c r="A39" i="28"/>
  <c r="A41" i="28"/>
  <c r="A45" i="28"/>
  <c r="A47" i="28"/>
  <c r="A49" i="28"/>
  <c r="G57" i="28"/>
  <c r="O57" i="28"/>
  <c r="G59" i="28"/>
  <c r="O59" i="28"/>
  <c r="G63" i="28"/>
  <c r="O63" i="28"/>
  <c r="D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Q20" i="27" s="1"/>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I57" i="26"/>
  <c r="Q57" i="26"/>
  <c r="I59" i="26"/>
  <c r="I64" i="26" s="1"/>
  <c r="I65" i="26" s="1"/>
  <c r="Q59" i="26"/>
  <c r="Q64" i="26" s="1"/>
  <c r="Q65" i="26" s="1"/>
  <c r="I63" i="26"/>
  <c r="Q63" i="26"/>
  <c r="N19" i="26"/>
  <c r="N23" i="26"/>
  <c r="V23" i="26"/>
  <c r="B63" i="26"/>
  <c r="J63" i="26"/>
  <c r="R63" i="26"/>
  <c r="G19" i="26"/>
  <c r="O19" i="26"/>
  <c r="A32" i="26"/>
  <c r="A34" i="26"/>
  <c r="A40" i="26"/>
  <c r="A42" i="26"/>
  <c r="A48" i="26"/>
  <c r="A50" i="26"/>
  <c r="C63" i="26"/>
  <c r="K63" i="26"/>
  <c r="S63"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P65" i="21" s="1"/>
  <c r="H23" i="21"/>
  <c r="H24" i="21" s="1"/>
  <c r="L23" i="21"/>
  <c r="L24" i="21" s="1"/>
  <c r="F23" i="21"/>
  <c r="F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G19" i="21"/>
  <c r="G20" i="21" s="1"/>
  <c r="Q19" i="21"/>
  <c r="Q20" i="21" s="1"/>
  <c r="R23" i="21"/>
  <c r="R24" i="21" s="1"/>
  <c r="I19" i="21"/>
  <c r="I20" i="21" s="1"/>
  <c r="L19" i="21"/>
  <c r="L20" i="21" s="1"/>
  <c r="R19" i="21"/>
  <c r="R20" i="21" s="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7" l="1"/>
  <c r="R65" i="27"/>
  <c r="K65" i="27"/>
  <c r="I65" i="27"/>
  <c r="D65" i="27"/>
  <c r="E65" i="27"/>
  <c r="C65" i="27"/>
  <c r="Q65" i="21"/>
  <c r="R65" i="21"/>
  <c r="K65" i="21"/>
  <c r="D65" i="21"/>
  <c r="O64" i="21"/>
  <c r="O65" i="21" s="1"/>
  <c r="L64" i="28"/>
  <c r="L65" i="28" s="1"/>
  <c r="Q64" i="28"/>
  <c r="Q65" i="28" s="1"/>
  <c r="N66" i="21"/>
  <c r="N65" i="21"/>
  <c r="F64" i="26"/>
  <c r="H64" i="23"/>
  <c r="H65" i="23" s="1"/>
  <c r="K64" i="30"/>
  <c r="K65" i="30" s="1"/>
  <c r="C64" i="23"/>
  <c r="C65" i="23" s="1"/>
  <c r="N64" i="22"/>
  <c r="N65" i="22" s="1"/>
  <c r="G64" i="30"/>
  <c r="G65" i="30" s="1"/>
  <c r="M66" i="26"/>
  <c r="M65" i="26"/>
  <c r="L64" i="22"/>
  <c r="L65" i="22" s="1"/>
  <c r="D64" i="22"/>
  <c r="D65" i="22" s="1"/>
  <c r="Q64" i="22"/>
  <c r="Q65" i="22" s="1"/>
  <c r="U64" i="22"/>
  <c r="U66" i="22" s="1"/>
  <c r="S64" i="23"/>
  <c r="M64" i="23"/>
  <c r="R64" i="23"/>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J66" i="27"/>
  <c r="G64" i="27"/>
  <c r="J66" i="30"/>
  <c r="F64" i="27"/>
  <c r="T66" i="27"/>
  <c r="L66" i="29"/>
  <c r="C66" i="22"/>
  <c r="T66" i="21"/>
  <c r="S66" i="23"/>
  <c r="H66" i="30"/>
  <c r="E66" i="30"/>
  <c r="S66" i="24"/>
  <c r="L66" i="21"/>
  <c r="S66" i="26"/>
  <c r="L66" i="28"/>
  <c r="L66" i="26"/>
  <c r="T66" i="30"/>
  <c r="C66" i="29"/>
  <c r="H66" i="22"/>
  <c r="R66" i="28"/>
  <c r="N64" i="26"/>
  <c r="O64" i="29"/>
  <c r="P64" i="29"/>
  <c r="S64" i="1"/>
  <c r="D66" i="27"/>
  <c r="N64" i="29"/>
  <c r="R66" i="30"/>
  <c r="L66" i="23"/>
  <c r="O66" i="22"/>
  <c r="R64" i="1"/>
  <c r="J66" i="23"/>
  <c r="Q64" i="1"/>
  <c r="U64" i="1"/>
  <c r="P64" i="1"/>
  <c r="E66" i="27"/>
  <c r="J66" i="24"/>
  <c r="Q66" i="29"/>
  <c r="F64" i="29"/>
  <c r="O64" i="23"/>
  <c r="O64" i="30"/>
  <c r="N64" i="24"/>
  <c r="B66" i="30"/>
  <c r="B66" i="24"/>
  <c r="C66" i="30"/>
  <c r="I66" i="30"/>
  <c r="R66" i="29"/>
  <c r="I66" i="29"/>
  <c r="S66" i="29"/>
  <c r="T66" i="28"/>
  <c r="D66" i="28"/>
  <c r="Q66" i="28"/>
  <c r="I66" i="28"/>
  <c r="S66" i="28"/>
  <c r="K66" i="28"/>
  <c r="Q66" i="27"/>
  <c r="I66" i="27"/>
  <c r="Q66" i="26"/>
  <c r="C66" i="26"/>
  <c r="I66" i="26"/>
  <c r="H66" i="26"/>
  <c r="L66" i="24"/>
  <c r="D66" i="24"/>
  <c r="I66" i="23"/>
  <c r="E66" i="23"/>
  <c r="I66" i="22"/>
  <c r="M66" i="22"/>
  <c r="S66" i="22"/>
  <c r="K66" i="22"/>
  <c r="T66" i="22"/>
  <c r="K66" i="21"/>
  <c r="C66" i="21"/>
  <c r="D66" i="21"/>
  <c r="R66" i="21"/>
  <c r="N64" i="1"/>
  <c r="M64" i="1"/>
  <c r="T64" i="1"/>
  <c r="L64" i="1"/>
  <c r="J64" i="1"/>
  <c r="K64" i="1"/>
  <c r="O64" i="1"/>
  <c r="C64" i="1"/>
  <c r="I64" i="1"/>
  <c r="H64" i="1"/>
  <c r="G64" i="1"/>
  <c r="F64" i="1"/>
  <c r="E64" i="1"/>
  <c r="D64" i="1"/>
  <c r="B64" i="1"/>
  <c r="D63" i="1"/>
  <c r="L63" i="1"/>
  <c r="F63" i="1"/>
  <c r="R63" i="1"/>
  <c r="J63" i="1"/>
  <c r="Q63" i="1"/>
  <c r="I63" i="1"/>
  <c r="C63" i="1"/>
  <c r="K63" i="1"/>
  <c r="P63" i="1"/>
  <c r="P65" i="1" s="1"/>
  <c r="H63" i="1"/>
  <c r="H65" i="1" s="1"/>
  <c r="T63" i="1"/>
  <c r="T66" i="1" s="1"/>
  <c r="S63" i="1"/>
  <c r="O63" i="1"/>
  <c r="G63" i="1"/>
  <c r="G65" i="1" s="1"/>
  <c r="N63" i="1"/>
  <c r="E63" i="1"/>
  <c r="B63" i="1"/>
  <c r="U63" i="1"/>
  <c r="M63" i="1"/>
  <c r="R66" i="26" l="1"/>
  <c r="L65" i="1"/>
  <c r="G66" i="30"/>
  <c r="F65" i="1"/>
  <c r="C65" i="1"/>
  <c r="D66" i="26"/>
  <c r="P66" i="26"/>
  <c r="K66" i="24"/>
  <c r="K66" i="30"/>
  <c r="D66" i="23"/>
  <c r="D66" i="22"/>
  <c r="J66" i="26"/>
  <c r="N65" i="1"/>
  <c r="I66" i="24"/>
  <c r="P66" i="27"/>
  <c r="Q66" i="22"/>
  <c r="H66" i="23"/>
  <c r="O66" i="21"/>
  <c r="F66" i="22"/>
  <c r="F65" i="22"/>
  <c r="O66" i="27"/>
  <c r="O65" i="27"/>
  <c r="R66" i="24"/>
  <c r="R65" i="24"/>
  <c r="H66" i="29"/>
  <c r="H65" i="29"/>
  <c r="F66" i="29"/>
  <c r="F65" i="29"/>
  <c r="G66" i="23"/>
  <c r="G65" i="23"/>
  <c r="P66" i="30"/>
  <c r="P65" i="30"/>
  <c r="G66" i="29"/>
  <c r="G65" i="29"/>
  <c r="L66" i="27"/>
  <c r="L65" i="27"/>
  <c r="J66" i="22"/>
  <c r="J65" i="22"/>
  <c r="G66" i="21"/>
  <c r="G65" i="21"/>
  <c r="E65" i="1"/>
  <c r="K65" i="1"/>
  <c r="D65" i="1"/>
  <c r="P66" i="24"/>
  <c r="M66" i="28"/>
  <c r="P66" i="29"/>
  <c r="P65" i="29"/>
  <c r="G66" i="26"/>
  <c r="G65" i="26"/>
  <c r="I66" i="21"/>
  <c r="I65" i="21"/>
  <c r="C66" i="24"/>
  <c r="C65" i="24"/>
  <c r="E66" i="24"/>
  <c r="E65" i="24"/>
  <c r="F66" i="28"/>
  <c r="F65" i="28"/>
  <c r="O66" i="24"/>
  <c r="O65" i="24"/>
  <c r="F66" i="27"/>
  <c r="F65" i="27"/>
  <c r="N66" i="26"/>
  <c r="N65" i="26"/>
  <c r="L66" i="22"/>
  <c r="G66" i="24"/>
  <c r="G65" i="24"/>
  <c r="E66" i="28"/>
  <c r="E65" i="28"/>
  <c r="J66" i="21"/>
  <c r="J65" i="21"/>
  <c r="F66" i="30"/>
  <c r="F65" i="30"/>
  <c r="N66" i="28"/>
  <c r="N65" i="28"/>
  <c r="E66" i="26"/>
  <c r="E65" i="26"/>
  <c r="R66" i="23"/>
  <c r="R65" i="23"/>
  <c r="O66" i="29"/>
  <c r="O65" i="29"/>
  <c r="P66" i="28"/>
  <c r="P65" i="28"/>
  <c r="H66" i="24"/>
  <c r="H65" i="24"/>
  <c r="K66" i="26"/>
  <c r="K65" i="26"/>
  <c r="K66" i="23"/>
  <c r="K65" i="23"/>
  <c r="O65" i="1"/>
  <c r="N66" i="23"/>
  <c r="N66" i="30"/>
  <c r="N65" i="30"/>
  <c r="E66" i="29"/>
  <c r="E65" i="29"/>
  <c r="J65" i="1"/>
  <c r="H66" i="21"/>
  <c r="N66" i="24"/>
  <c r="N65" i="24"/>
  <c r="N66" i="29"/>
  <c r="N65" i="29"/>
  <c r="O66" i="26"/>
  <c r="O65" i="26"/>
  <c r="N66" i="27"/>
  <c r="N65" i="27"/>
  <c r="J66" i="29"/>
  <c r="J65" i="29"/>
  <c r="G66" i="22"/>
  <c r="G65" i="22"/>
  <c r="G66" i="28"/>
  <c r="G65" i="28"/>
  <c r="Q66" i="23"/>
  <c r="Q65" i="23"/>
  <c r="F66" i="21"/>
  <c r="F65" i="21"/>
  <c r="O66" i="23"/>
  <c r="O65" i="23"/>
  <c r="G66" i="27"/>
  <c r="G65" i="27"/>
  <c r="C66" i="28"/>
  <c r="C65" i="28"/>
  <c r="F66" i="24"/>
  <c r="F65" i="24"/>
  <c r="F66" i="26"/>
  <c r="F65" i="26"/>
  <c r="I65" i="1"/>
  <c r="M65" i="1"/>
  <c r="R65" i="1"/>
  <c r="M66" i="24"/>
  <c r="M66" i="29"/>
  <c r="O66" i="30"/>
  <c r="O65" i="30"/>
  <c r="D66" i="29"/>
  <c r="O66" i="28"/>
  <c r="O65" i="28"/>
  <c r="F66" i="23"/>
  <c r="F65" i="23"/>
  <c r="K66" i="29"/>
  <c r="K65" i="29"/>
  <c r="H66" i="27"/>
  <c r="H65" i="27"/>
  <c r="H66" i="28"/>
  <c r="H65" i="28"/>
  <c r="E66" i="21"/>
  <c r="E65" i="21"/>
  <c r="M66" i="23"/>
  <c r="M65" i="23"/>
  <c r="M66" i="27"/>
  <c r="M65" i="27"/>
  <c r="M66" i="21"/>
  <c r="M66" i="30"/>
  <c r="M65" i="30"/>
  <c r="B66" i="21"/>
  <c r="B65" i="21"/>
  <c r="B66" i="27"/>
  <c r="B65" i="27"/>
  <c r="B66" i="28"/>
  <c r="B65" i="28"/>
  <c r="B66" i="29"/>
  <c r="B65" i="29"/>
  <c r="B66" i="26"/>
  <c r="B65" i="26"/>
  <c r="B65" i="1"/>
  <c r="B66" i="22"/>
  <c r="B65" i="22"/>
  <c r="B66" i="23"/>
  <c r="B65" i="23"/>
  <c r="Q66" i="1"/>
  <c r="Q65" i="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tc={5D56FA63-CA54-453A-8B3F-9A6EF963C47D}</author>
    <author>tc={609F4E6E-02D3-437A-A709-E3F6F2047127}</author>
    <author>Louise Bailey</author>
  </authors>
  <commentList>
    <comment ref="P8" authorId="0" shapeId="0" xr:uid="{5D56FA63-CA54-453A-8B3F-9A6EF963C47D}">
      <text>
        <t>[Threaded comment]
Your version of Excel allows you to read this threaded comment; however, any edits to it will get removed if the file is opened in a newer version of Excel. Learn more: https://go.microsoft.com/fwlink/?linkid=870924
Comment:
    Field Camp 2 removed from application following RFI</t>
      </text>
    </comment>
    <comment ref="J15" authorId="1" shapeId="0" xr:uid="{609F4E6E-02D3-437A-A709-E3F6F2047127}">
      <text>
        <t>[Threaded comment]
Your version of Excel allows you to read this threaded comment; however, any edits to it will get removed if the file is opened in a newer version of Excel. Learn more: https://go.microsoft.com/fwlink/?linkid=870924
Comment:
    Check for grazing</t>
      </text>
    </comment>
    <comment ref="P26" authorId="2" shapeId="0" xr:uid="{00000000-0006-0000-0000-000001000000}">
      <text>
        <r>
          <rPr>
            <sz val="9"/>
            <color indexed="81"/>
            <rFont val="Tahoma"/>
            <family val="2"/>
          </rPr>
          <t>Na                                            (Acceptable level 360kg/ha)</t>
        </r>
      </text>
    </comment>
    <comment ref="Q26" authorId="2"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<sst xmlns="http://schemas.openxmlformats.org/spreadsheetml/2006/main" count="2145" uniqueCount="186">
  <si>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</si>
  <si>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</si>
  <si>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</si>
  <si>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</si>
  <si>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</si>
  <si>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</si>
  <si>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</si>
  <si>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</si>
  <si>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</si>
  <si>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</si>
  <si>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</si>
  <si>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</si>
  <si>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</si>
  <si>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</si>
  <si>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</si>
  <si>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</si>
  <si>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</si>
  <si>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</si>
  <si>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</si>
  <si>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</si>
  <si>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</si>
  <si>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</si>
  <si>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</si>
  <si>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</si>
  <si>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</si>
  <si>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</si>
  <si>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</si>
  <si>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</si>
  <si>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</si>
  <si>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</si>
  <si>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</si>
  <si>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</si>
  <si>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</si>
  <si>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</si>
  <si>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</si>
  <si>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</si>
  <si>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</si>
  <si>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</si>
  <si>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</si>
  <si>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</si>
  <si>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</si>
  <si>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</si>
  <si>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</si>
  <si>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</si>
  <si>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</si>
  <si>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</si>
  <si>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</si>
  <si>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</si>
  <si>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</si>
  <si>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</si>
  <si>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</si>
  <si>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</si>
  <si>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</si>
  <si>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</si>
  <si>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</si>
  <si>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</si>
  <si>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</si>
  <si>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</si>
  <si>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</si>
  <si>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</si>
  <si>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</si>
  <si>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</si>
  <si>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</si>
  <si>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</si>
  <si>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</si>
  <si>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</si>
  <si>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</si>
  <si>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</si>
  <si>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</si>
  <si>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</si>
  <si>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</si>
  <si>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</si>
  <si>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</si>
  <si>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</si>
  <si>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</si>
  <si>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</si>
  <si>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</si>
  <si>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</si>
  <si>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</si>
  <si>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</si>
  <si>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</si>
  <si>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</si>
  <si>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</si>
  <si>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</si>
  <si>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</si>
  <si>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</si>
  <si>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</si>
  <si>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</si>
  <si>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</si>
  <si>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</si>
  <si>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</si>
  <si>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</si>
  <si>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</si>
  <si>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</si>
  <si>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</si>
  <si>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</si>
  <si>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</si>
  <si>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</si>
  <si>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</si>
  <si>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</si>
  <si>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</si>
  <si>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</si>
  <si>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</si>
  <si>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</si>
  <si>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</si>
  <si>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</si>
  <si>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</si>
  <si>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</si>
  <si>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</si>
  <si>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</si>
  <si>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</si>
  <si>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</si>
  <si>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</si>
  <si>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</si>
  <si>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</si>
  <si>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</si>
  <si>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</si>
  <si>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</si>
  <si>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</si>
  <si>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</si>
  <si>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</si>
  <si>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</si>
  <si>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</si>
  <si>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</si>
  <si>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</si>
  <si>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</si>
  <si>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</si>
  <si>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</si>
  <si>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</si>
  <si>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</si>
  <si>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</si>
  <si>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</si>
  <si>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</si>
  <si>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</si>
  <si>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</si>
  <si>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</si>
  <si>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</si>
  <si>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</si>
  <si>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</si>
  <si>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</si>
  <si>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</si>
  <si>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</si>
  <si>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</si>
  <si>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</si>
  <si>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</si>
  <si>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</si>
  <si>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</si>
  <si>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</si>
  <si>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</si>
  <si>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</si>
  <si>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</si>
  <si>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</si>
  <si>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</si>
  <si>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</si>
  <si>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</si>
  <si>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</si>
  <si>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</si>
  <si>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</si>
  <si>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</si>
  <si>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</si>
  <si>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PAN-030957</t>
  </si>
  <si>
    <t>EPR/AB3891CX</t>
  </si>
  <si>
    <t>Mr Daniel James and Mrs Carys James</t>
  </si>
  <si>
    <t>Ffrwdwenith Ganol,Felinwynt, Cardigan, Ceredigion SA43 1RW</t>
  </si>
  <si>
    <t>Bryan Burn</t>
  </si>
  <si>
    <t>Dairy</t>
  </si>
  <si>
    <t>F Ganol 1</t>
  </si>
  <si>
    <t>F Ganol 2</t>
  </si>
  <si>
    <t>F Ganol 3</t>
  </si>
  <si>
    <t>F Ganol 4</t>
  </si>
  <si>
    <t>F Ganol 6</t>
  </si>
  <si>
    <t>F Ganol 7</t>
  </si>
  <si>
    <t>F Ganol 8</t>
  </si>
  <si>
    <t>F Ganol 9</t>
  </si>
  <si>
    <t>F Ganol 10</t>
  </si>
  <si>
    <t>F Ganol 11</t>
  </si>
  <si>
    <t>F Ganol 12</t>
  </si>
  <si>
    <t>F Ganol 13</t>
  </si>
  <si>
    <t>Camp 1</t>
  </si>
  <si>
    <t>Camp 2</t>
  </si>
  <si>
    <t>Camp 3</t>
  </si>
  <si>
    <t>Camp 4</t>
  </si>
  <si>
    <t>Camp 5</t>
  </si>
  <si>
    <t>mod</t>
  </si>
  <si>
    <t>Volac</t>
  </si>
  <si>
    <t>First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</si>
</sst>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openxmlformats.org/officeDocument/2006/relationships/customXml" Target="../customXml/item5.xml"/></Relationships>
</file>

<file path=xl/persons/person.xml><?xml version="1.0" encoding="utf-8"?>
<personList xmlns="http://schemas.microsoft.com/office/spreadsheetml/2018/threadedcomments" xmlns:x="http://schemas.openxmlformats.org/spreadsheetml/2006/main">
  <person displayName="Burn, Bryan" id="{A85C1F79-F600-47BA-B1E0-B2150F306460}" userId="S::bryan.burn@cyfoethnaturiolcymru.gov.uk::2406d362-429d-4da7-b3a6-d6b1f698439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8" dT="2025-12-16T10:52:01.80" personId="{A85C1F79-F600-47BA-B1E0-B2150F306460}" id="{5D56FA63-CA54-453A-8B3F-9A6EF963C47D}">
    <text>Field Camp 2 removed from application following RFI</text>
  </threadedComment>
  <threadedComment ref="J15" dT="2025-12-05T16:23:13.00" personId="{A85C1F79-F600-47BA-B1E0-B2150F306460}" id="{609F4E6E-02D3-437A-A709-E3F6F2047127}">
    <text>Check for grazing</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E1" zoomScale="90" zoomScaleNormal="90" workbookViewId="0">
      <selection activeCell="O2" sqref="O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45.6</v>
      </c>
      <c r="G1" s="162" t="s">
        <v>43</v>
      </c>
      <c r="H1" s="163"/>
      <c r="I1" s="109">
        <v>5.95</v>
      </c>
      <c r="J1" s="130" t="s">
        <v>153</v>
      </c>
      <c r="K1" s="131"/>
      <c r="L1" s="109">
        <v>110</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20502</v>
      </c>
      <c r="G2" s="164" t="s">
        <v>110</v>
      </c>
      <c r="H2" s="165"/>
      <c r="I2" s="110">
        <v>340</v>
      </c>
      <c r="J2" s="132" t="s">
        <v>158</v>
      </c>
      <c r="K2" s="133"/>
      <c r="L2" s="110">
        <v>0.24</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77</v>
      </c>
      <c r="G3" s="132" t="s">
        <v>159</v>
      </c>
      <c r="H3" s="133"/>
      <c r="I3" s="110">
        <v>17720</v>
      </c>
      <c r="J3" s="134" t="s">
        <v>154</v>
      </c>
      <c r="K3" s="135"/>
      <c r="L3" s="110">
        <f>(L1/(L2*10000))*100</f>
        <v>4.583333333333333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t="s">
        <v>166</v>
      </c>
      <c r="D8" s="11" t="s">
        <v>167</v>
      </c>
      <c r="E8" s="11" t="s">
        <v>168</v>
      </c>
      <c r="F8" s="11" t="s">
        <v>169</v>
      </c>
      <c r="G8" s="11" t="s">
        <v>170</v>
      </c>
      <c r="H8" s="11" t="s">
        <v>171</v>
      </c>
      <c r="I8" s="11" t="s">
        <v>172</v>
      </c>
      <c r="J8" s="11" t="s">
        <v>173</v>
      </c>
      <c r="K8" s="11" t="s">
        <v>174</v>
      </c>
      <c r="L8" s="11" t="s">
        <v>175</v>
      </c>
      <c r="M8" s="11" t="s">
        <v>176</v>
      </c>
      <c r="N8" s="11" t="s">
        <v>177</v>
      </c>
      <c r="O8" s="11" t="s">
        <v>178</v>
      </c>
      <c r="P8" s="11" t="s">
        <v>179</v>
      </c>
      <c r="Q8" s="11" t="s">
        <v>180</v>
      </c>
      <c r="R8" s="11" t="s">
        <v>181</v>
      </c>
      <c r="S8" s="11" t="s">
        <v>182</v>
      </c>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183</v>
      </c>
      <c r="D9" s="11" t="s">
        <v>183</v>
      </c>
      <c r="E9" s="11" t="s">
        <v>183</v>
      </c>
      <c r="F9" s="11" t="s">
        <v>183</v>
      </c>
      <c r="G9" s="11" t="s">
        <v>183</v>
      </c>
      <c r="H9" s="11" t="s">
        <v>183</v>
      </c>
      <c r="I9" s="11" t="s">
        <v>183</v>
      </c>
      <c r="J9" s="11" t="s">
        <v>183</v>
      </c>
      <c r="K9" s="11" t="s">
        <v>183</v>
      </c>
      <c r="L9" s="11" t="s">
        <v>183</v>
      </c>
      <c r="M9" s="11" t="s">
        <v>183</v>
      </c>
      <c r="N9" s="11" t="s">
        <v>183</v>
      </c>
      <c r="O9" s="11" t="s">
        <v>183</v>
      </c>
      <c r="P9" s="11"/>
      <c r="Q9" s="11" t="s">
        <v>183</v>
      </c>
      <c r="R9" s="11" t="s">
        <v>183</v>
      </c>
      <c r="S9" s="11" t="s">
        <v>183</v>
      </c>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6.2</v>
      </c>
      <c r="D10" s="11">
        <v>5.9</v>
      </c>
      <c r="E10" s="11">
        <v>6</v>
      </c>
      <c r="F10" s="11">
        <v>5.7</v>
      </c>
      <c r="G10" s="11">
        <v>5.8</v>
      </c>
      <c r="H10" s="11">
        <v>5.7</v>
      </c>
      <c r="I10" s="11">
        <v>6</v>
      </c>
      <c r="J10" s="11">
        <v>5.9</v>
      </c>
      <c r="K10" s="11">
        <v>6.4</v>
      </c>
      <c r="L10" s="11">
        <v>6.6</v>
      </c>
      <c r="M10" s="11">
        <v>6.5</v>
      </c>
      <c r="N10" s="11">
        <v>5.9</v>
      </c>
      <c r="O10" s="11">
        <v>5.6</v>
      </c>
      <c r="P10" s="11"/>
      <c r="Q10" s="11">
        <v>5.8</v>
      </c>
      <c r="R10" s="11">
        <v>5.8</v>
      </c>
      <c r="S10" s="11">
        <v>5.7</v>
      </c>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0</v>
      </c>
      <c r="D11" s="11">
        <v>0</v>
      </c>
      <c r="E11" s="11">
        <v>1</v>
      </c>
      <c r="F11" s="11">
        <v>1</v>
      </c>
      <c r="G11" s="11">
        <v>1</v>
      </c>
      <c r="H11" s="11">
        <v>0</v>
      </c>
      <c r="I11" s="11">
        <v>1</v>
      </c>
      <c r="J11" s="11">
        <v>3</v>
      </c>
      <c r="K11" s="11">
        <v>2</v>
      </c>
      <c r="L11" s="11">
        <v>2</v>
      </c>
      <c r="M11" s="11">
        <v>2</v>
      </c>
      <c r="N11" s="11">
        <v>3</v>
      </c>
      <c r="O11" s="11">
        <v>0</v>
      </c>
      <c r="P11" s="11"/>
      <c r="Q11" s="11">
        <v>1</v>
      </c>
      <c r="R11" s="11">
        <v>1</v>
      </c>
      <c r="S11" s="11">
        <v>1</v>
      </c>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0</v>
      </c>
      <c r="D12" s="11">
        <v>1</v>
      </c>
      <c r="E12" s="11">
        <v>0</v>
      </c>
      <c r="F12" s="11">
        <v>0</v>
      </c>
      <c r="G12" s="11">
        <v>0</v>
      </c>
      <c r="H12" s="11">
        <v>0</v>
      </c>
      <c r="I12" s="11">
        <v>0</v>
      </c>
      <c r="J12" s="11">
        <v>0</v>
      </c>
      <c r="K12" s="11">
        <v>1</v>
      </c>
      <c r="L12" s="11">
        <v>1</v>
      </c>
      <c r="M12" s="11">
        <v>1</v>
      </c>
      <c r="N12" s="11">
        <v>1</v>
      </c>
      <c r="O12" s="11">
        <v>1</v>
      </c>
      <c r="P12" s="11"/>
      <c r="Q12" s="11">
        <v>1</v>
      </c>
      <c r="R12" s="11">
        <v>1</v>
      </c>
      <c r="S12" s="11">
        <v>1</v>
      </c>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2</v>
      </c>
      <c r="D13" s="11">
        <v>2</v>
      </c>
      <c r="E13" s="11">
        <v>2</v>
      </c>
      <c r="F13" s="11">
        <v>2</v>
      </c>
      <c r="G13" s="11">
        <v>2</v>
      </c>
      <c r="H13" s="11">
        <v>2</v>
      </c>
      <c r="I13" s="11">
        <v>2</v>
      </c>
      <c r="J13" s="11">
        <v>2</v>
      </c>
      <c r="K13" s="11">
        <v>2</v>
      </c>
      <c r="L13" s="11">
        <v>3</v>
      </c>
      <c r="M13" s="11">
        <v>3</v>
      </c>
      <c r="N13" s="11">
        <v>2</v>
      </c>
      <c r="O13" s="11">
        <v>2</v>
      </c>
      <c r="P13" s="11"/>
      <c r="Q13" s="11">
        <v>1</v>
      </c>
      <c r="R13" s="11">
        <v>2</v>
      </c>
      <c r="S13" s="11">
        <v>1</v>
      </c>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t="s">
        <v>113</v>
      </c>
      <c r="R14" s="82" t="s">
        <v>113</v>
      </c>
      <c r="S14" s="82" t="s">
        <v>113</v>
      </c>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47</v>
      </c>
      <c r="E15" s="11">
        <v>47</v>
      </c>
      <c r="F15" s="11">
        <v>38</v>
      </c>
      <c r="G15" s="11">
        <v>47</v>
      </c>
      <c r="H15" s="11">
        <v>47</v>
      </c>
      <c r="I15" s="11">
        <v>47</v>
      </c>
      <c r="J15" s="11">
        <v>56</v>
      </c>
      <c r="K15" s="11">
        <v>47</v>
      </c>
      <c r="L15" s="11">
        <v>47</v>
      </c>
      <c r="M15" s="11">
        <v>47</v>
      </c>
      <c r="N15" s="11">
        <v>38</v>
      </c>
      <c r="O15" s="11">
        <v>47</v>
      </c>
      <c r="P15" s="11"/>
      <c r="Q15" s="11">
        <v>47</v>
      </c>
      <c r="R15" s="11">
        <v>47</v>
      </c>
      <c r="S15" s="11">
        <v>47</v>
      </c>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t="s">
        <v>72</v>
      </c>
      <c r="R16" s="100" t="s">
        <v>72</v>
      </c>
      <c r="S16" s="100" t="s">
        <v>72</v>
      </c>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145.4785</v>
      </c>
      <c r="D18" s="12">
        <f>$D32</f>
        <v>145.4785</v>
      </c>
      <c r="E18" s="12">
        <f>$D33</f>
        <v>145.4785</v>
      </c>
      <c r="F18" s="12">
        <f>$D34</f>
        <v>145.4785</v>
      </c>
      <c r="G18" s="12">
        <f>$D35</f>
        <v>145.4785</v>
      </c>
      <c r="H18" s="12">
        <f>$D36</f>
        <v>145.4785</v>
      </c>
      <c r="I18" s="12">
        <f>$D37</f>
        <v>145.4785</v>
      </c>
      <c r="J18" s="12">
        <f>$D38</f>
        <v>80.01317499999999</v>
      </c>
      <c r="K18" s="12">
        <f>$D39</f>
        <v>80.01317499999999</v>
      </c>
      <c r="L18" s="12">
        <f>$D40</f>
        <v>80.01317499999999</v>
      </c>
      <c r="M18" s="12">
        <f>$D41</f>
        <v>80.01317499999999</v>
      </c>
      <c r="N18" s="12">
        <f>$D42</f>
        <v>64.010540000000006</v>
      </c>
      <c r="O18" s="12">
        <f>$D43</f>
        <v>145.4785</v>
      </c>
      <c r="P18" s="12">
        <f>$D44</f>
        <v>145.4785</v>
      </c>
      <c r="Q18" s="12">
        <f>$D45</f>
        <v>145.4785</v>
      </c>
      <c r="R18" s="12">
        <f>$D46</f>
        <v>145.4785</v>
      </c>
      <c r="S18" s="12">
        <f>$D47</f>
        <v>145.4785</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65.578500000000005</v>
      </c>
      <c r="D19" s="12">
        <f t="shared" ref="D19:V19" si="1">D18-D17</f>
        <v>65.578500000000005</v>
      </c>
      <c r="E19" s="12">
        <f t="shared" si="1"/>
        <v>65.578500000000005</v>
      </c>
      <c r="F19" s="12">
        <f t="shared" si="1"/>
        <v>80.878500000000003</v>
      </c>
      <c r="G19" s="12">
        <f t="shared" si="1"/>
        <v>65.578500000000005</v>
      </c>
      <c r="H19" s="12">
        <f t="shared" si="1"/>
        <v>65.578500000000005</v>
      </c>
      <c r="I19" s="12">
        <f t="shared" si="1"/>
        <v>65.578500000000005</v>
      </c>
      <c r="J19" s="12">
        <f t="shared" si="1"/>
        <v>-15.186825000000013</v>
      </c>
      <c r="K19" s="12">
        <f t="shared" si="1"/>
        <v>0.11317499999999825</v>
      </c>
      <c r="L19" s="12">
        <f t="shared" si="1"/>
        <v>0.11317499999999825</v>
      </c>
      <c r="M19" s="12">
        <f t="shared" si="1"/>
        <v>0.11317499999999825</v>
      </c>
      <c r="N19" s="12">
        <f t="shared" si="1"/>
        <v>-0.58945999999998833</v>
      </c>
      <c r="O19" s="12">
        <f t="shared" si="1"/>
        <v>65.578500000000005</v>
      </c>
      <c r="P19" s="12" t="e">
        <f t="shared" si="1"/>
        <v>#N/A</v>
      </c>
      <c r="Q19" s="12">
        <f t="shared" si="1"/>
        <v>65.578500000000005</v>
      </c>
      <c r="R19" s="12">
        <f t="shared" si="1"/>
        <v>65.578500000000005</v>
      </c>
      <c r="S19" s="12">
        <f t="shared" si="1"/>
        <v>65.578500000000005</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DECREASE</v>
      </c>
      <c r="K20" s="18" t="str">
        <f>IF($B39="","",IF(K$19&gt;=0,"INCREASE","DECREASE"))</f>
        <v>INCREASE</v>
      </c>
      <c r="L20" s="18" t="str">
        <f>IF($B40="","",IF(L$19&gt;=0,"INCREASE","DECREASE"))</f>
        <v>INCREASE</v>
      </c>
      <c r="M20" s="18" t="str">
        <f>IF($B41="","",IF(M$19&gt;=0,"INCREASE","DECREASE"))</f>
        <v>INCREASE</v>
      </c>
      <c r="N20" s="18" t="str">
        <f>IF($B42="","",IF(N$19&gt;=0,"INCREASE","DECREASE"))</f>
        <v>DECREASE</v>
      </c>
      <c r="O20" s="18" t="str">
        <f>IF($B43="","",IF(O$19&gt;=0,"INCREASE","DECREASE"))</f>
        <v>INCREASE</v>
      </c>
      <c r="P20" s="18" t="e">
        <f>IF($B44="","",IF(P$19&gt;=0,"INCREASE","DECREASE"))</f>
        <v>#N/A</v>
      </c>
      <c r="Q20" s="18" t="str">
        <f>IF($B45="","",IF(Q$19&gt;=0,"INCREASE","DECREASE"))</f>
        <v>INCREASE</v>
      </c>
      <c r="R20" s="18" t="str">
        <f>IF($B46="","",IF(R$19&gt;=0,"INCREASE","DECREASE"))</f>
        <v>INCREASE</v>
      </c>
      <c r="S20" s="18" t="str">
        <f>IF($B47="","",IF(S$19&gt;=0,"INCREASE","DECREASE"))</f>
        <v>INCREASE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33.860500000000002</v>
      </c>
      <c r="D22" s="12">
        <f>$E32</f>
        <v>33.860500000000002</v>
      </c>
      <c r="E22" s="12">
        <f>$E33</f>
        <v>33.860500000000002</v>
      </c>
      <c r="F22" s="12">
        <f>$E34</f>
        <v>33.860500000000002</v>
      </c>
      <c r="G22" s="12">
        <f>$E35</f>
        <v>33.860500000000002</v>
      </c>
      <c r="H22" s="12">
        <f>$E36</f>
        <v>33.860500000000002</v>
      </c>
      <c r="I22" s="12">
        <f>$E37</f>
        <v>33.860500000000002</v>
      </c>
      <c r="J22" s="12">
        <f>$E38</f>
        <v>18.623275000000003</v>
      </c>
      <c r="K22" s="12">
        <f>$E39</f>
        <v>18.623275000000003</v>
      </c>
      <c r="L22" s="12">
        <f>$E40</f>
        <v>18.623275000000003</v>
      </c>
      <c r="M22" s="12">
        <f>$E41</f>
        <v>18.623275000000003</v>
      </c>
      <c r="N22" s="12">
        <f>$E42</f>
        <v>14.898620000000001</v>
      </c>
      <c r="O22" s="12">
        <f>$E43</f>
        <v>33.860500000000002</v>
      </c>
      <c r="P22" s="12">
        <f>$E44</f>
        <v>33.860500000000002</v>
      </c>
      <c r="Q22" s="12">
        <f>$E45</f>
        <v>33.860500000000002</v>
      </c>
      <c r="R22" s="12">
        <f>$E46</f>
        <v>33.860500000000002</v>
      </c>
      <c r="S22" s="12">
        <f>$E47</f>
        <v>33.860500000000002</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-248.1395</v>
      </c>
      <c r="D23" s="12">
        <f t="shared" ref="D23:V23" si="3">D22-D21</f>
        <v>-248.1395</v>
      </c>
      <c r="E23" s="12">
        <f t="shared" si="3"/>
        <v>-248.1395</v>
      </c>
      <c r="F23" s="12">
        <f t="shared" si="3"/>
        <v>-194.1395</v>
      </c>
      <c r="G23" s="12">
        <f t="shared" si="3"/>
        <v>-248.1395</v>
      </c>
      <c r="H23" s="12">
        <f t="shared" si="3"/>
        <v>-248.1395</v>
      </c>
      <c r="I23" s="12">
        <f t="shared" si="3"/>
        <v>-248.1395</v>
      </c>
      <c r="J23" s="12">
        <f t="shared" si="3"/>
        <v>-317.37672500000002</v>
      </c>
      <c r="K23" s="12">
        <f t="shared" si="3"/>
        <v>-263.37672500000002</v>
      </c>
      <c r="L23" s="12">
        <f t="shared" si="3"/>
        <v>-263.37672500000002</v>
      </c>
      <c r="M23" s="12">
        <f t="shared" si="3"/>
        <v>-263.37672500000002</v>
      </c>
      <c r="N23" s="12">
        <f t="shared" si="3"/>
        <v>-213.10138000000001</v>
      </c>
      <c r="O23" s="12">
        <f t="shared" si="3"/>
        <v>-248.1395</v>
      </c>
      <c r="P23" s="12" t="e">
        <f t="shared" si="3"/>
        <v>#N/A</v>
      </c>
      <c r="Q23" s="12">
        <f t="shared" si="3"/>
        <v>-248.1395</v>
      </c>
      <c r="R23" s="12">
        <f t="shared" si="3"/>
        <v>-248.1395</v>
      </c>
      <c r="S23" s="12">
        <f t="shared" si="3"/>
        <v>-248.1395</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5.29</v>
      </c>
      <c r="C28" s="11">
        <v>0.24</v>
      </c>
      <c r="D28" s="11">
        <v>635</v>
      </c>
      <c r="E28" s="11">
        <v>281</v>
      </c>
      <c r="F28" s="11">
        <v>46.2</v>
      </c>
      <c r="G28" s="11">
        <v>0.49</v>
      </c>
      <c r="H28" s="11">
        <v>1.8</v>
      </c>
      <c r="I28" s="11">
        <v>0.5</v>
      </c>
      <c r="J28" s="11">
        <v>0.01</v>
      </c>
      <c r="K28" s="15">
        <v>0.05</v>
      </c>
      <c r="L28" s="11">
        <v>0.2</v>
      </c>
      <c r="M28" s="11">
        <v>0.23</v>
      </c>
      <c r="N28" s="11"/>
      <c r="O28" s="11"/>
      <c r="P28" s="11">
        <v>206</v>
      </c>
      <c r="Q28" s="11">
        <v>155</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v>100</v>
      </c>
      <c r="C31" s="65">
        <f>IF(C$27="%w/w SAR",((C$28*10)*$B31),IF(C$27="%w/w DM",(((C$28*10)*($B$28/100))*$B31),IF(C$27="kg/t SAR",(C$28*$B31),IF(C$27="kg/t DM",((C$28*($B$28/100))*$B31),IF(C$27="mg/kg SAR",((C$28*0.001)*$B31),IF(C$27="mg/kg DM",(((C$28*0.001)*($B$28/100))*$B31),0))))))</f>
        <v>240</v>
      </c>
      <c r="D31" s="65">
        <f>(IF(D$27="%w/w SAR",((D$28*10)*$B31),IF(D$27="%w/w DM",(((D$28*10)*($B$28/100))*$B31),IF(D$27="kg/t SAR",(D$28*$B31),IF(D$27="kg/t DM",((D$28*($B$28/100))*$B31),IF(D$27="mg/kg SAR",((D$28*0.001)*$B31),IF(D$27="mg/kg DM",(((D$28*0.001)*($B$28/100))*$B31),"0")))))))*2.291</f>
        <v>145.4785</v>
      </c>
      <c r="E31" s="65">
        <f>(IF(E$27="%w/w SAR",((E$28*10)*$B31),IF(E$27="%w/w DM",(((E$28*10)*($B$28/100))*$B31),IF(E$27="kg/t SAR",(E$28*$B31),IF(E$27="kg/t DM",((E$28*($B$28/100))*$B31),IF(E$27="mg/kg SAR",((E$28*0.001)*$B31),IF(E$27="mg/kg DM",(((E$28*0.001)*($B$28/100))*$B31),"0")))))))*1.205</f>
        <v>33.860500000000002</v>
      </c>
      <c r="F31" s="65">
        <f>(IF(F$27="%w/w SAR",((F$28*10)*$B31),IF(F$27="%w/w DM",(((F$28*10)*($B$28/100))*$B31),IF(F$27="kg/t SAR",(F$28*$B31),IF(F$27="kg/t DM",((F$28*($B$28/100))*$B31),IF(F$27="mg/kg SAR",((F$28*0.001)*$B31),IF(F$27="mg/kg DM",(((F$28*0.001)*($B$28/100))*$B31),"0")))))))*1.658</f>
        <v>7.6599599999999999</v>
      </c>
      <c r="G31" s="65">
        <f t="shared" ref="G31:P31" si="5">IF(G$27="%w/w SAR",((G$28*10)*$B31),IF(G$27="%w/w DM",(((G$28*10)*($B$28/100))*$B31),IF(G$27="kg/t SAR",(G$28*$B31),IF(G$27="kg/t DM",((G$28*($B$28/100))*$B31),IF(G$27="mg/kg SAR",((G$28*0.001)*$B31),IF(G$27="mg/kg DM",(((G$28*0.001)*($B$28/100))*$B31),0))))))</f>
        <v>4.9000000000000002E-2</v>
      </c>
      <c r="H31" s="65">
        <f t="shared" si="5"/>
        <v>0.18000000000000002</v>
      </c>
      <c r="I31" s="65">
        <f t="shared" si="5"/>
        <v>0.05</v>
      </c>
      <c r="J31" s="65">
        <f t="shared" si="5"/>
        <v>1E-3</v>
      </c>
      <c r="K31" s="65">
        <f t="shared" si="5"/>
        <v>5.0000000000000001E-3</v>
      </c>
      <c r="L31" s="65">
        <f t="shared" si="5"/>
        <v>0.02</v>
      </c>
      <c r="M31" s="65">
        <f t="shared" si="5"/>
        <v>2.3E-2</v>
      </c>
      <c r="N31" s="65">
        <f t="shared" si="5"/>
        <v>0</v>
      </c>
      <c r="O31" s="65">
        <f t="shared" si="5"/>
        <v>0</v>
      </c>
      <c r="P31" s="65">
        <f t="shared" si="5"/>
        <v>20.6</v>
      </c>
      <c r="Q31" s="65">
        <f>(IF(Q$27="%w/w SAR",((Q$28*10)*$B31),IF(Q$27="%w/w DM",(((Q$28*10)*($B$28/100))*$B31),IF(Q$27="kg/t SAR",(Q$28*$B31),IF(Q$27="kg/t DM",((Q$28*($B$28/100))*$B31),IF(Q$27="mg/kg SAR",((Q$28*0.001)*$B31),IF(Q$27="mg/kg DM",(((Q$28*0.001)*($B$28/100))*$B31),0)))))))*2.5</f>
        <v>38.75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v>100</v>
      </c>
      <c r="C32" s="65">
        <f t="shared" ref="C32:C50" si="6">IF(C$27="%w/w SAR",((C$28*10)*$B32),IF(C$27="%w/w DM",(((C$28*10)*($B$28/100))*$B32),IF(C$27="kg/t SAR",(C$28*$B32),IF(C$27="kg/t DM",((C$28*($B$28/100))*$B32),IF(C$27="mg/kg SAR",((C$28*0.001)*$B32),IF(C$27="mg/kg DM",(((C$28*0.001)*($B$28/100))*$B32),0))))))</f>
        <v>240</v>
      </c>
      <c r="D32" s="65">
        <f t="shared" ref="D32:D50" si="7">(IF(D$27="%w/w SAR",((D$28*10)*$B32),IF(D$27="%w/w DM",(((D$28*10)*($B$28/100))*$B32),IF(D$27="kg/t SAR",(D$28*$B32),IF(D$27="kg/t DM",((D$28*($B$28/100))*$B32),IF(D$27="mg/kg SAR",((D$28*0.001)*$B32),IF(D$27="mg/kg DM",(((D$28*0.001)*($B$28/100))*$B32),"0")))))))*2.291</f>
        <v>145.4785</v>
      </c>
      <c r="E32" s="65">
        <f t="shared" ref="E32:E50" si="8">(IF(E$27="%w/w SAR",((E$28*10)*$B32),IF(E$27="%w/w DM",(((E$28*10)*($B$28/100))*$B32),IF(E$27="kg/t SAR",(E$28*$B32),IF(E$27="kg/t DM",((E$28*($B$28/100))*$B32),IF(E$27="mg/kg SAR",((E$28*0.001)*$B32),IF(E$27="mg/kg DM",(((E$28*0.001)*($B$28/100))*$B32),"0")))))))*1.205</f>
        <v>33.860500000000002</v>
      </c>
      <c r="F32" s="65">
        <f t="shared" ref="F32:F50" si="9">(IF(F$27="%w/w SAR",((F$28*10)*$B32),IF(F$27="%w/w DM",(((F$28*10)*($B$28/100))*$B32),IF(F$27="kg/t SAR",(F$28*$B32),IF(F$27="kg/t DM",((F$28*($B$28/100))*$B32),IF(F$27="mg/kg SAR",((F$28*0.001)*$B32),IF(F$27="mg/kg DM",(((F$28*0.001)*($B$28/100))*$B32),"0")))))))*1.658</f>
        <v>7.6599599999999999</v>
      </c>
      <c r="G32" s="65">
        <f t="shared" ref="G32:P50" si="10">IF(G$27="%w/w SAR",((G$28*10)*$B32),IF(G$27="%w/w DM",(((G$28*10)*($B$28/100))*$B32),IF(G$27="kg/t SAR",(G$28*$B32),IF(G$27="kg/t DM",((G$28*($B$28/100))*$B32),IF(G$27="mg/kg SAR",((G$28*0.001)*$B32),IF(G$27="mg/kg DM",(((G$28*0.001)*($B$28/100))*$B32),0))))))</f>
        <v>4.9000000000000002E-2</v>
      </c>
      <c r="H32" s="65">
        <f t="shared" si="10"/>
        <v>0.18000000000000002</v>
      </c>
      <c r="I32" s="65">
        <f t="shared" si="10"/>
        <v>0.05</v>
      </c>
      <c r="J32" s="65">
        <f t="shared" si="10"/>
        <v>1E-3</v>
      </c>
      <c r="K32" s="65">
        <f t="shared" si="10"/>
        <v>5.0000000000000001E-3</v>
      </c>
      <c r="L32" s="65">
        <f t="shared" si="10"/>
        <v>0.02</v>
      </c>
      <c r="M32" s="65">
        <f t="shared" si="10"/>
        <v>2.3E-2</v>
      </c>
      <c r="N32" s="65">
        <f t="shared" si="10"/>
        <v>0</v>
      </c>
      <c r="O32" s="65">
        <f t="shared" si="10"/>
        <v>0</v>
      </c>
      <c r="P32" s="65">
        <f t="shared" si="10"/>
        <v>20.6</v>
      </c>
      <c r="Q32" s="65">
        <f t="shared" ref="Q32:Q50" si="11">(IF(Q$27="%w/w SAR",((Q$28*10)*$B32),IF(Q$27="%w/w DM",(((Q$28*10)*($B$28/100))*$B32),IF(Q$27="kg/t SAR",(Q$28*$B32),IF(Q$27="kg/t DM",((Q$28*($B$28/100))*$B32),IF(Q$27="mg/kg SAR",((Q$28*0.001)*$B32),IF(Q$27="mg/kg DM",(((Q$28*0.001)*($B$28/100))*$B32),0)))))))*2.5</f>
        <v>38.75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F Ganol 3</v>
      </c>
      <c r="B33" s="11">
        <v>100</v>
      </c>
      <c r="C33" s="65">
        <f t="shared" si="6"/>
        <v>240</v>
      </c>
      <c r="D33" s="65">
        <f t="shared" si="7"/>
        <v>145.4785</v>
      </c>
      <c r="E33" s="65">
        <f t="shared" si="8"/>
        <v>33.860500000000002</v>
      </c>
      <c r="F33" s="65">
        <f t="shared" si="9"/>
        <v>7.6599599999999999</v>
      </c>
      <c r="G33" s="65">
        <f t="shared" si="10"/>
        <v>4.9000000000000002E-2</v>
      </c>
      <c r="H33" s="65">
        <f t="shared" si="10"/>
        <v>0.18000000000000002</v>
      </c>
      <c r="I33" s="65">
        <f t="shared" si="10"/>
        <v>0.05</v>
      </c>
      <c r="J33" s="65">
        <f t="shared" si="10"/>
        <v>1E-3</v>
      </c>
      <c r="K33" s="65">
        <f t="shared" si="10"/>
        <v>5.0000000000000001E-3</v>
      </c>
      <c r="L33" s="65">
        <f t="shared" si="10"/>
        <v>0.02</v>
      </c>
      <c r="M33" s="65">
        <f t="shared" si="10"/>
        <v>2.3E-2</v>
      </c>
      <c r="N33" s="65">
        <f t="shared" si="10"/>
        <v>0</v>
      </c>
      <c r="O33" s="65">
        <f t="shared" si="10"/>
        <v>0</v>
      </c>
      <c r="P33" s="65">
        <f t="shared" si="10"/>
        <v>20.6</v>
      </c>
      <c r="Q33" s="65">
        <f t="shared" si="11"/>
        <v>38.75</v>
      </c>
      <c r="R33" s="65">
        <f t="shared" si="12"/>
        <v>0</v>
      </c>
      <c r="S33" s="65">
        <f t="shared" si="12"/>
        <v>0</v>
      </c>
      <c r="T33" s="65">
        <f t="shared" si="12"/>
        <v>0</v>
      </c>
      <c r="U33" s="126">
        <f t="shared" si="12"/>
        <v>0</v>
      </c>
    </row>
    <row r="34" spans="1:21" s="48" customFormat="1" ht="13" x14ac:dyDescent="0.35">
      <c r="A34" s="125" t="str">
        <f>F8</f>
        <v>F Ganol 4</v>
      </c>
      <c r="B34" s="11">
        <v>100</v>
      </c>
      <c r="C34" s="65">
        <f t="shared" si="6"/>
        <v>240</v>
      </c>
      <c r="D34" s="65">
        <f t="shared" si="7"/>
        <v>145.4785</v>
      </c>
      <c r="E34" s="65">
        <f t="shared" si="8"/>
        <v>33.860500000000002</v>
      </c>
      <c r="F34" s="65">
        <f t="shared" si="9"/>
        <v>7.6599599999999999</v>
      </c>
      <c r="G34" s="65">
        <f t="shared" si="10"/>
        <v>4.9000000000000002E-2</v>
      </c>
      <c r="H34" s="65">
        <f t="shared" si="10"/>
        <v>0.18000000000000002</v>
      </c>
      <c r="I34" s="65">
        <f t="shared" si="10"/>
        <v>0.05</v>
      </c>
      <c r="J34" s="65">
        <f t="shared" si="10"/>
        <v>1E-3</v>
      </c>
      <c r="K34" s="65">
        <f t="shared" si="10"/>
        <v>5.0000000000000001E-3</v>
      </c>
      <c r="L34" s="65">
        <f t="shared" si="10"/>
        <v>0.02</v>
      </c>
      <c r="M34" s="65">
        <f t="shared" si="10"/>
        <v>2.3E-2</v>
      </c>
      <c r="N34" s="65">
        <f t="shared" si="10"/>
        <v>0</v>
      </c>
      <c r="O34" s="65">
        <f t="shared" si="10"/>
        <v>0</v>
      </c>
      <c r="P34" s="65">
        <f t="shared" si="10"/>
        <v>20.6</v>
      </c>
      <c r="Q34" s="65">
        <f t="shared" si="11"/>
        <v>38.75</v>
      </c>
      <c r="R34" s="65">
        <f t="shared" si="12"/>
        <v>0</v>
      </c>
      <c r="S34" s="65">
        <f t="shared" si="12"/>
        <v>0</v>
      </c>
      <c r="T34" s="65">
        <f t="shared" si="12"/>
        <v>0</v>
      </c>
      <c r="U34" s="126">
        <f t="shared" si="12"/>
        <v>0</v>
      </c>
    </row>
    <row r="35" spans="1:21" s="48" customFormat="1" ht="13" x14ac:dyDescent="0.35">
      <c r="A35" s="125" t="str">
        <f>G8</f>
        <v>F Ganol 6</v>
      </c>
      <c r="B35" s="11">
        <v>100</v>
      </c>
      <c r="C35" s="65">
        <f t="shared" si="6"/>
        <v>240</v>
      </c>
      <c r="D35" s="65">
        <f t="shared" si="7"/>
        <v>145.4785</v>
      </c>
      <c r="E35" s="65">
        <f t="shared" si="8"/>
        <v>33.860500000000002</v>
      </c>
      <c r="F35" s="65">
        <f t="shared" si="9"/>
        <v>7.6599599999999999</v>
      </c>
      <c r="G35" s="65">
        <f t="shared" si="10"/>
        <v>4.9000000000000002E-2</v>
      </c>
      <c r="H35" s="65">
        <f t="shared" si="10"/>
        <v>0.18000000000000002</v>
      </c>
      <c r="I35" s="65">
        <f t="shared" si="10"/>
        <v>0.05</v>
      </c>
      <c r="J35" s="65">
        <f t="shared" si="10"/>
        <v>1E-3</v>
      </c>
      <c r="K35" s="65">
        <f t="shared" si="10"/>
        <v>5.0000000000000001E-3</v>
      </c>
      <c r="L35" s="65">
        <f t="shared" si="10"/>
        <v>0.02</v>
      </c>
      <c r="M35" s="65">
        <f t="shared" si="10"/>
        <v>2.3E-2</v>
      </c>
      <c r="N35" s="65">
        <f t="shared" si="10"/>
        <v>0</v>
      </c>
      <c r="O35" s="65">
        <f t="shared" si="10"/>
        <v>0</v>
      </c>
      <c r="P35" s="65">
        <f t="shared" si="10"/>
        <v>20.6</v>
      </c>
      <c r="Q35" s="65">
        <f t="shared" si="11"/>
        <v>38.75</v>
      </c>
      <c r="R35" s="65">
        <f t="shared" si="12"/>
        <v>0</v>
      </c>
      <c r="S35" s="65">
        <f t="shared" si="12"/>
        <v>0</v>
      </c>
      <c r="T35" s="65">
        <f t="shared" si="12"/>
        <v>0</v>
      </c>
      <c r="U35" s="126">
        <f t="shared" si="12"/>
        <v>0</v>
      </c>
    </row>
    <row r="36" spans="1:21" s="48" customFormat="1" ht="13" x14ac:dyDescent="0.35">
      <c r="A36" s="125" t="str">
        <f>H8</f>
        <v>F Ganol 7</v>
      </c>
      <c r="B36" s="11">
        <v>100</v>
      </c>
      <c r="C36" s="65">
        <f t="shared" si="6"/>
        <v>240</v>
      </c>
      <c r="D36" s="65">
        <f t="shared" si="7"/>
        <v>145.4785</v>
      </c>
      <c r="E36" s="65">
        <f t="shared" si="8"/>
        <v>33.860500000000002</v>
      </c>
      <c r="F36" s="65">
        <f t="shared" si="9"/>
        <v>7.6599599999999999</v>
      </c>
      <c r="G36" s="65">
        <f t="shared" si="10"/>
        <v>4.9000000000000002E-2</v>
      </c>
      <c r="H36" s="65">
        <f t="shared" si="10"/>
        <v>0.18000000000000002</v>
      </c>
      <c r="I36" s="65">
        <f t="shared" si="10"/>
        <v>0.05</v>
      </c>
      <c r="J36" s="65">
        <f t="shared" si="10"/>
        <v>1E-3</v>
      </c>
      <c r="K36" s="65">
        <f t="shared" si="10"/>
        <v>5.0000000000000001E-3</v>
      </c>
      <c r="L36" s="65">
        <f t="shared" si="10"/>
        <v>0.02</v>
      </c>
      <c r="M36" s="65">
        <f t="shared" si="10"/>
        <v>2.3E-2</v>
      </c>
      <c r="N36" s="65">
        <f t="shared" si="10"/>
        <v>0</v>
      </c>
      <c r="O36" s="65">
        <f t="shared" si="10"/>
        <v>0</v>
      </c>
      <c r="P36" s="65">
        <f t="shared" si="10"/>
        <v>20.6</v>
      </c>
      <c r="Q36" s="65">
        <f t="shared" si="11"/>
        <v>38.75</v>
      </c>
      <c r="R36" s="65">
        <f t="shared" si="12"/>
        <v>0</v>
      </c>
      <c r="S36" s="65">
        <f t="shared" si="12"/>
        <v>0</v>
      </c>
      <c r="T36" s="65">
        <f t="shared" si="12"/>
        <v>0</v>
      </c>
      <c r="U36" s="126">
        <f t="shared" si="12"/>
        <v>0</v>
      </c>
    </row>
    <row r="37" spans="1:21" s="48" customFormat="1" ht="13" x14ac:dyDescent="0.35">
      <c r="A37" s="125" t="str">
        <f>I8</f>
        <v>F Ganol 8</v>
      </c>
      <c r="B37" s="11">
        <v>100</v>
      </c>
      <c r="C37" s="65">
        <f t="shared" si="6"/>
        <v>240</v>
      </c>
      <c r="D37" s="65">
        <f t="shared" si="7"/>
        <v>145.4785</v>
      </c>
      <c r="E37" s="65">
        <f t="shared" si="8"/>
        <v>33.860500000000002</v>
      </c>
      <c r="F37" s="65">
        <f t="shared" si="9"/>
        <v>7.6599599999999999</v>
      </c>
      <c r="G37" s="65">
        <f t="shared" si="10"/>
        <v>4.9000000000000002E-2</v>
      </c>
      <c r="H37" s="65">
        <f t="shared" si="10"/>
        <v>0.18000000000000002</v>
      </c>
      <c r="I37" s="65">
        <f t="shared" si="10"/>
        <v>0.05</v>
      </c>
      <c r="J37" s="65">
        <f t="shared" si="10"/>
        <v>1E-3</v>
      </c>
      <c r="K37" s="65">
        <f t="shared" si="10"/>
        <v>5.0000000000000001E-3</v>
      </c>
      <c r="L37" s="65">
        <f t="shared" si="10"/>
        <v>0.02</v>
      </c>
      <c r="M37" s="65">
        <f t="shared" si="10"/>
        <v>2.3E-2</v>
      </c>
      <c r="N37" s="65">
        <f t="shared" si="10"/>
        <v>0</v>
      </c>
      <c r="O37" s="65">
        <f t="shared" si="10"/>
        <v>0</v>
      </c>
      <c r="P37" s="65">
        <f t="shared" si="10"/>
        <v>20.6</v>
      </c>
      <c r="Q37" s="65">
        <f t="shared" si="11"/>
        <v>38.75</v>
      </c>
      <c r="R37" s="65">
        <f t="shared" si="12"/>
        <v>0</v>
      </c>
      <c r="S37" s="65">
        <f t="shared" si="12"/>
        <v>0</v>
      </c>
      <c r="T37" s="65">
        <f t="shared" si="12"/>
        <v>0</v>
      </c>
      <c r="U37" s="126">
        <f t="shared" si="12"/>
        <v>0</v>
      </c>
    </row>
    <row r="38" spans="1:21" s="48" customFormat="1" ht="13" x14ac:dyDescent="0.35">
      <c r="A38" s="125" t="str">
        <f>J8</f>
        <v>F Ganol 9</v>
      </c>
      <c r="B38" s="11">
        <v>55</v>
      </c>
      <c r="C38" s="65">
        <f t="shared" si="6"/>
        <v>132</v>
      </c>
      <c r="D38" s="65">
        <f t="shared" si="7"/>
        <v>80.01317499999999</v>
      </c>
      <c r="E38" s="65">
        <f t="shared" si="8"/>
        <v>18.623275000000003</v>
      </c>
      <c r="F38" s="65">
        <f t="shared" si="9"/>
        <v>4.2129780000000006</v>
      </c>
      <c r="G38" s="65">
        <f t="shared" si="10"/>
        <v>2.6949999999999998E-2</v>
      </c>
      <c r="H38" s="65">
        <f t="shared" si="10"/>
        <v>9.9000000000000005E-2</v>
      </c>
      <c r="I38" s="65">
        <f t="shared" si="10"/>
        <v>2.75E-2</v>
      </c>
      <c r="J38" s="65">
        <f t="shared" si="10"/>
        <v>5.5000000000000003E-4</v>
      </c>
      <c r="K38" s="65">
        <f t="shared" si="10"/>
        <v>2.7500000000000003E-3</v>
      </c>
      <c r="L38" s="65">
        <f t="shared" si="10"/>
        <v>1.1000000000000001E-2</v>
      </c>
      <c r="M38" s="65">
        <f t="shared" si="10"/>
        <v>1.265E-2</v>
      </c>
      <c r="N38" s="65">
        <f t="shared" si="10"/>
        <v>0</v>
      </c>
      <c r="O38" s="65">
        <f t="shared" si="10"/>
        <v>0</v>
      </c>
      <c r="P38" s="65">
        <f t="shared" si="10"/>
        <v>11.33</v>
      </c>
      <c r="Q38" s="65">
        <f t="shared" si="11"/>
        <v>21.3125</v>
      </c>
      <c r="R38" s="65">
        <f t="shared" si="12"/>
        <v>0</v>
      </c>
      <c r="S38" s="65">
        <f t="shared" si="12"/>
        <v>0</v>
      </c>
      <c r="T38" s="65">
        <f t="shared" si="12"/>
        <v>0</v>
      </c>
      <c r="U38" s="126">
        <f t="shared" si="12"/>
        <v>0</v>
      </c>
    </row>
    <row r="39" spans="1:21" s="48" customFormat="1" ht="13" x14ac:dyDescent="0.35">
      <c r="A39" s="125" t="str">
        <f>K8</f>
        <v>F Ganol 10</v>
      </c>
      <c r="B39" s="11">
        <v>55</v>
      </c>
      <c r="C39" s="65">
        <f t="shared" si="6"/>
        <v>132</v>
      </c>
      <c r="D39" s="65">
        <f t="shared" si="7"/>
        <v>80.01317499999999</v>
      </c>
      <c r="E39" s="65">
        <f t="shared" si="8"/>
        <v>18.623275000000003</v>
      </c>
      <c r="F39" s="65">
        <f t="shared" si="9"/>
        <v>4.2129780000000006</v>
      </c>
      <c r="G39" s="65">
        <f t="shared" si="10"/>
        <v>2.6949999999999998E-2</v>
      </c>
      <c r="H39" s="65">
        <f t="shared" si="10"/>
        <v>9.9000000000000005E-2</v>
      </c>
      <c r="I39" s="65">
        <f t="shared" si="10"/>
        <v>2.75E-2</v>
      </c>
      <c r="J39" s="65">
        <f t="shared" si="10"/>
        <v>5.5000000000000003E-4</v>
      </c>
      <c r="K39" s="65">
        <f t="shared" si="10"/>
        <v>2.7500000000000003E-3</v>
      </c>
      <c r="L39" s="65">
        <f t="shared" si="10"/>
        <v>1.1000000000000001E-2</v>
      </c>
      <c r="M39" s="65">
        <f t="shared" si="10"/>
        <v>1.265E-2</v>
      </c>
      <c r="N39" s="65">
        <f t="shared" si="10"/>
        <v>0</v>
      </c>
      <c r="O39" s="65">
        <f t="shared" si="10"/>
        <v>0</v>
      </c>
      <c r="P39" s="65">
        <f t="shared" si="10"/>
        <v>11.33</v>
      </c>
      <c r="Q39" s="65">
        <f t="shared" si="11"/>
        <v>21.3125</v>
      </c>
      <c r="R39" s="65">
        <f t="shared" si="12"/>
        <v>0</v>
      </c>
      <c r="S39" s="65">
        <f t="shared" si="12"/>
        <v>0</v>
      </c>
      <c r="T39" s="65">
        <f t="shared" si="12"/>
        <v>0</v>
      </c>
      <c r="U39" s="126">
        <f t="shared" si="12"/>
        <v>0</v>
      </c>
    </row>
    <row r="40" spans="1:21" s="48" customFormat="1" ht="13" x14ac:dyDescent="0.35">
      <c r="A40" s="125" t="str">
        <f>L8</f>
        <v>F Ganol 11</v>
      </c>
      <c r="B40" s="11">
        <v>55</v>
      </c>
      <c r="C40" s="65">
        <f t="shared" si="6"/>
        <v>132</v>
      </c>
      <c r="D40" s="65">
        <f t="shared" si="7"/>
        <v>80.01317499999999</v>
      </c>
      <c r="E40" s="65">
        <f t="shared" si="8"/>
        <v>18.623275000000003</v>
      </c>
      <c r="F40" s="65">
        <f t="shared" si="9"/>
        <v>4.2129780000000006</v>
      </c>
      <c r="G40" s="65">
        <f t="shared" si="10"/>
        <v>2.6949999999999998E-2</v>
      </c>
      <c r="H40" s="65">
        <f t="shared" si="10"/>
        <v>9.9000000000000005E-2</v>
      </c>
      <c r="I40" s="65">
        <f t="shared" si="10"/>
        <v>2.75E-2</v>
      </c>
      <c r="J40" s="65">
        <f t="shared" si="10"/>
        <v>5.5000000000000003E-4</v>
      </c>
      <c r="K40" s="65">
        <f t="shared" si="10"/>
        <v>2.7500000000000003E-3</v>
      </c>
      <c r="L40" s="65">
        <f t="shared" si="10"/>
        <v>1.1000000000000001E-2</v>
      </c>
      <c r="M40" s="65">
        <f t="shared" si="10"/>
        <v>1.265E-2</v>
      </c>
      <c r="N40" s="65">
        <f t="shared" si="10"/>
        <v>0</v>
      </c>
      <c r="O40" s="65">
        <f t="shared" si="10"/>
        <v>0</v>
      </c>
      <c r="P40" s="65">
        <f t="shared" si="10"/>
        <v>11.33</v>
      </c>
      <c r="Q40" s="65">
        <f t="shared" si="11"/>
        <v>21.3125</v>
      </c>
      <c r="R40" s="65">
        <f t="shared" si="12"/>
        <v>0</v>
      </c>
      <c r="S40" s="65">
        <f t="shared" si="12"/>
        <v>0</v>
      </c>
      <c r="T40" s="65">
        <f t="shared" si="12"/>
        <v>0</v>
      </c>
      <c r="U40" s="126">
        <f t="shared" si="12"/>
        <v>0</v>
      </c>
    </row>
    <row r="41" spans="1:21" s="48" customFormat="1" ht="13" x14ac:dyDescent="0.35">
      <c r="A41" s="125" t="str">
        <f>M8</f>
        <v>F Ganol 12</v>
      </c>
      <c r="B41" s="11">
        <v>55</v>
      </c>
      <c r="C41" s="65">
        <f t="shared" si="6"/>
        <v>132</v>
      </c>
      <c r="D41" s="65">
        <f t="shared" si="7"/>
        <v>80.01317499999999</v>
      </c>
      <c r="E41" s="65">
        <f t="shared" si="8"/>
        <v>18.623275000000003</v>
      </c>
      <c r="F41" s="65">
        <f t="shared" si="9"/>
        <v>4.2129780000000006</v>
      </c>
      <c r="G41" s="65">
        <f t="shared" si="10"/>
        <v>2.6949999999999998E-2</v>
      </c>
      <c r="H41" s="65">
        <f t="shared" si="10"/>
        <v>9.9000000000000005E-2</v>
      </c>
      <c r="I41" s="65">
        <f t="shared" si="10"/>
        <v>2.75E-2</v>
      </c>
      <c r="J41" s="65">
        <f t="shared" si="10"/>
        <v>5.5000000000000003E-4</v>
      </c>
      <c r="K41" s="65">
        <f t="shared" si="10"/>
        <v>2.7500000000000003E-3</v>
      </c>
      <c r="L41" s="65">
        <f t="shared" si="10"/>
        <v>1.1000000000000001E-2</v>
      </c>
      <c r="M41" s="65">
        <f t="shared" si="10"/>
        <v>1.265E-2</v>
      </c>
      <c r="N41" s="65">
        <f t="shared" si="10"/>
        <v>0</v>
      </c>
      <c r="O41" s="65">
        <f t="shared" si="10"/>
        <v>0</v>
      </c>
      <c r="P41" s="65">
        <f t="shared" si="10"/>
        <v>11.33</v>
      </c>
      <c r="Q41" s="65">
        <f t="shared" si="11"/>
        <v>21.3125</v>
      </c>
      <c r="R41" s="65">
        <f t="shared" si="12"/>
        <v>0</v>
      </c>
      <c r="S41" s="65">
        <f t="shared" si="12"/>
        <v>0</v>
      </c>
      <c r="T41" s="65">
        <f t="shared" si="12"/>
        <v>0</v>
      </c>
      <c r="U41" s="126">
        <f t="shared" si="12"/>
        <v>0</v>
      </c>
    </row>
    <row r="42" spans="1:21" s="48" customFormat="1" ht="13" x14ac:dyDescent="0.35">
      <c r="A42" s="125" t="str">
        <f>N8</f>
        <v>F Ganol 13</v>
      </c>
      <c r="B42" s="11">
        <v>44</v>
      </c>
      <c r="C42" s="65">
        <f t="shared" si="6"/>
        <v>105.6</v>
      </c>
      <c r="D42" s="65">
        <f t="shared" si="7"/>
        <v>64.010540000000006</v>
      </c>
      <c r="E42" s="65">
        <f t="shared" si="8"/>
        <v>14.898620000000001</v>
      </c>
      <c r="F42" s="65">
        <f t="shared" si="9"/>
        <v>3.3703824000000004</v>
      </c>
      <c r="G42" s="65">
        <f t="shared" si="10"/>
        <v>2.1559999999999999E-2</v>
      </c>
      <c r="H42" s="65">
        <f t="shared" si="10"/>
        <v>7.9200000000000007E-2</v>
      </c>
      <c r="I42" s="65">
        <f t="shared" si="10"/>
        <v>2.1999999999999999E-2</v>
      </c>
      <c r="J42" s="65">
        <f t="shared" si="10"/>
        <v>4.4000000000000002E-4</v>
      </c>
      <c r="K42" s="65">
        <f t="shared" si="10"/>
        <v>2.2000000000000001E-3</v>
      </c>
      <c r="L42" s="65">
        <f t="shared" si="10"/>
        <v>8.8000000000000005E-3</v>
      </c>
      <c r="M42" s="65">
        <f t="shared" si="10"/>
        <v>1.0120000000000001E-2</v>
      </c>
      <c r="N42" s="65">
        <f t="shared" si="10"/>
        <v>0</v>
      </c>
      <c r="O42" s="65">
        <f t="shared" si="10"/>
        <v>0</v>
      </c>
      <c r="P42" s="65">
        <f t="shared" si="10"/>
        <v>9.0640000000000001</v>
      </c>
      <c r="Q42" s="65">
        <f t="shared" si="11"/>
        <v>17.05</v>
      </c>
      <c r="R42" s="65">
        <f t="shared" si="12"/>
        <v>0</v>
      </c>
      <c r="S42" s="65">
        <f t="shared" si="12"/>
        <v>0</v>
      </c>
      <c r="T42" s="65">
        <f t="shared" si="12"/>
        <v>0</v>
      </c>
      <c r="U42" s="126">
        <f t="shared" si="12"/>
        <v>0</v>
      </c>
    </row>
    <row r="43" spans="1:21" s="48" customFormat="1" ht="13" x14ac:dyDescent="0.35">
      <c r="A43" s="125" t="str">
        <f>O8</f>
        <v>Camp 1</v>
      </c>
      <c r="B43" s="11">
        <v>100</v>
      </c>
      <c r="C43" s="65">
        <f t="shared" si="6"/>
        <v>240</v>
      </c>
      <c r="D43" s="65">
        <f t="shared" si="7"/>
        <v>145.4785</v>
      </c>
      <c r="E43" s="65">
        <f t="shared" si="8"/>
        <v>33.860500000000002</v>
      </c>
      <c r="F43" s="65">
        <f t="shared" si="9"/>
        <v>7.6599599999999999</v>
      </c>
      <c r="G43" s="65">
        <f t="shared" si="10"/>
        <v>4.9000000000000002E-2</v>
      </c>
      <c r="H43" s="65">
        <f t="shared" si="10"/>
        <v>0.18000000000000002</v>
      </c>
      <c r="I43" s="65">
        <f t="shared" si="10"/>
        <v>0.05</v>
      </c>
      <c r="J43" s="65">
        <f t="shared" si="10"/>
        <v>1E-3</v>
      </c>
      <c r="K43" s="65">
        <f t="shared" si="10"/>
        <v>5.0000000000000001E-3</v>
      </c>
      <c r="L43" s="65">
        <f t="shared" si="10"/>
        <v>0.02</v>
      </c>
      <c r="M43" s="65">
        <f t="shared" si="10"/>
        <v>2.3E-2</v>
      </c>
      <c r="N43" s="65">
        <f t="shared" si="10"/>
        <v>0</v>
      </c>
      <c r="O43" s="65">
        <f t="shared" si="10"/>
        <v>0</v>
      </c>
      <c r="P43" s="65">
        <f t="shared" si="10"/>
        <v>20.6</v>
      </c>
      <c r="Q43" s="65">
        <f t="shared" si="11"/>
        <v>38.75</v>
      </c>
      <c r="R43" s="65">
        <f t="shared" si="12"/>
        <v>0</v>
      </c>
      <c r="S43" s="65">
        <f t="shared" si="12"/>
        <v>0</v>
      </c>
      <c r="T43" s="65">
        <f t="shared" si="12"/>
        <v>0</v>
      </c>
      <c r="U43" s="126">
        <f t="shared" si="12"/>
        <v>0</v>
      </c>
    </row>
    <row r="44" spans="1:21" s="48" customFormat="1" ht="13" x14ac:dyDescent="0.35">
      <c r="A44" s="125" t="str">
        <f>P8</f>
        <v>Camp 2</v>
      </c>
      <c r="B44" s="11">
        <v>100</v>
      </c>
      <c r="C44" s="65">
        <f t="shared" si="6"/>
        <v>240</v>
      </c>
      <c r="D44" s="65">
        <f t="shared" si="7"/>
        <v>145.4785</v>
      </c>
      <c r="E44" s="65">
        <f t="shared" si="8"/>
        <v>33.860500000000002</v>
      </c>
      <c r="F44" s="65">
        <f t="shared" si="9"/>
        <v>7.6599599999999999</v>
      </c>
      <c r="G44" s="65">
        <f t="shared" si="10"/>
        <v>4.9000000000000002E-2</v>
      </c>
      <c r="H44" s="65">
        <f t="shared" si="10"/>
        <v>0.18000000000000002</v>
      </c>
      <c r="I44" s="65">
        <f t="shared" si="10"/>
        <v>0.05</v>
      </c>
      <c r="J44" s="65">
        <f t="shared" si="10"/>
        <v>1E-3</v>
      </c>
      <c r="K44" s="65">
        <f t="shared" si="10"/>
        <v>5.0000000000000001E-3</v>
      </c>
      <c r="L44" s="65">
        <f t="shared" si="10"/>
        <v>0.02</v>
      </c>
      <c r="M44" s="65">
        <f t="shared" si="10"/>
        <v>2.3E-2</v>
      </c>
      <c r="N44" s="65">
        <f t="shared" si="10"/>
        <v>0</v>
      </c>
      <c r="O44" s="65">
        <f t="shared" si="10"/>
        <v>0</v>
      </c>
      <c r="P44" s="65">
        <f t="shared" si="10"/>
        <v>20.6</v>
      </c>
      <c r="Q44" s="65">
        <f t="shared" si="11"/>
        <v>38.75</v>
      </c>
      <c r="R44" s="65">
        <f t="shared" si="12"/>
        <v>0</v>
      </c>
      <c r="S44" s="65">
        <f t="shared" si="12"/>
        <v>0</v>
      </c>
      <c r="T44" s="65">
        <f t="shared" si="12"/>
        <v>0</v>
      </c>
      <c r="U44" s="126">
        <f t="shared" si="12"/>
        <v>0</v>
      </c>
    </row>
    <row r="45" spans="1:21" s="48" customFormat="1" ht="13" x14ac:dyDescent="0.35">
      <c r="A45" s="125" t="str">
        <f>Q8</f>
        <v>Camp 3</v>
      </c>
      <c r="B45" s="11">
        <v>100</v>
      </c>
      <c r="C45" s="65">
        <f t="shared" si="6"/>
        <v>240</v>
      </c>
      <c r="D45" s="65">
        <f t="shared" si="7"/>
        <v>145.4785</v>
      </c>
      <c r="E45" s="65">
        <f t="shared" si="8"/>
        <v>33.860500000000002</v>
      </c>
      <c r="F45" s="65">
        <f t="shared" si="9"/>
        <v>7.6599599999999999</v>
      </c>
      <c r="G45" s="65">
        <f t="shared" si="10"/>
        <v>4.9000000000000002E-2</v>
      </c>
      <c r="H45" s="65">
        <f t="shared" si="10"/>
        <v>0.18000000000000002</v>
      </c>
      <c r="I45" s="65">
        <f t="shared" si="10"/>
        <v>0.05</v>
      </c>
      <c r="J45" s="65">
        <f t="shared" si="10"/>
        <v>1E-3</v>
      </c>
      <c r="K45" s="65">
        <f t="shared" si="10"/>
        <v>5.0000000000000001E-3</v>
      </c>
      <c r="L45" s="65">
        <f t="shared" si="10"/>
        <v>0.02</v>
      </c>
      <c r="M45" s="65">
        <f t="shared" si="10"/>
        <v>2.3E-2</v>
      </c>
      <c r="N45" s="65">
        <f t="shared" si="10"/>
        <v>0</v>
      </c>
      <c r="O45" s="65">
        <f t="shared" si="10"/>
        <v>0</v>
      </c>
      <c r="P45" s="65">
        <f t="shared" si="10"/>
        <v>20.6</v>
      </c>
      <c r="Q45" s="65">
        <f t="shared" si="11"/>
        <v>38.75</v>
      </c>
      <c r="R45" s="65">
        <f t="shared" si="12"/>
        <v>0</v>
      </c>
      <c r="S45" s="65">
        <f t="shared" si="12"/>
        <v>0</v>
      </c>
      <c r="T45" s="65">
        <f t="shared" si="12"/>
        <v>0</v>
      </c>
      <c r="U45" s="126">
        <f t="shared" si="12"/>
        <v>0</v>
      </c>
    </row>
    <row r="46" spans="1:21" s="48" customFormat="1" ht="13" x14ac:dyDescent="0.35">
      <c r="A46" s="125" t="str">
        <f>R8</f>
        <v>Camp 4</v>
      </c>
      <c r="B46" s="11">
        <v>100</v>
      </c>
      <c r="C46" s="65">
        <f t="shared" si="6"/>
        <v>240</v>
      </c>
      <c r="D46" s="65">
        <f t="shared" si="7"/>
        <v>145.4785</v>
      </c>
      <c r="E46" s="65">
        <f t="shared" si="8"/>
        <v>33.860500000000002</v>
      </c>
      <c r="F46" s="65">
        <f t="shared" si="9"/>
        <v>7.6599599999999999</v>
      </c>
      <c r="G46" s="65">
        <f t="shared" si="10"/>
        <v>4.9000000000000002E-2</v>
      </c>
      <c r="H46" s="65">
        <f t="shared" si="10"/>
        <v>0.18000000000000002</v>
      </c>
      <c r="I46" s="65">
        <f t="shared" si="10"/>
        <v>0.05</v>
      </c>
      <c r="J46" s="65">
        <f t="shared" si="10"/>
        <v>1E-3</v>
      </c>
      <c r="K46" s="65">
        <f t="shared" si="10"/>
        <v>5.0000000000000001E-3</v>
      </c>
      <c r="L46" s="65">
        <f t="shared" si="10"/>
        <v>0.02</v>
      </c>
      <c r="M46" s="65">
        <f t="shared" si="10"/>
        <v>2.3E-2</v>
      </c>
      <c r="N46" s="65">
        <f t="shared" si="10"/>
        <v>0</v>
      </c>
      <c r="O46" s="65">
        <f t="shared" si="10"/>
        <v>0</v>
      </c>
      <c r="P46" s="65">
        <f t="shared" si="10"/>
        <v>20.6</v>
      </c>
      <c r="Q46" s="65">
        <f t="shared" si="11"/>
        <v>38.75</v>
      </c>
      <c r="R46" s="65">
        <f t="shared" si="12"/>
        <v>0</v>
      </c>
      <c r="S46" s="65">
        <f t="shared" si="12"/>
        <v>0</v>
      </c>
      <c r="T46" s="65">
        <f t="shared" si="12"/>
        <v>0</v>
      </c>
      <c r="U46" s="126">
        <f t="shared" si="12"/>
        <v>0</v>
      </c>
    </row>
    <row r="47" spans="1:21" s="48" customFormat="1" ht="13" x14ac:dyDescent="0.35">
      <c r="A47" s="125" t="str">
        <f>S8</f>
        <v>Camp 5</v>
      </c>
      <c r="B47" s="11">
        <v>100</v>
      </c>
      <c r="C47" s="65">
        <f t="shared" si="6"/>
        <v>240</v>
      </c>
      <c r="D47" s="65">
        <f t="shared" si="7"/>
        <v>145.4785</v>
      </c>
      <c r="E47" s="65">
        <f t="shared" si="8"/>
        <v>33.860500000000002</v>
      </c>
      <c r="F47" s="65">
        <f t="shared" si="9"/>
        <v>7.6599599999999999</v>
      </c>
      <c r="G47" s="65">
        <f t="shared" si="10"/>
        <v>4.9000000000000002E-2</v>
      </c>
      <c r="H47" s="65">
        <f t="shared" si="10"/>
        <v>0.18000000000000002</v>
      </c>
      <c r="I47" s="65">
        <f t="shared" si="10"/>
        <v>0.05</v>
      </c>
      <c r="J47" s="65">
        <f t="shared" si="10"/>
        <v>1E-3</v>
      </c>
      <c r="K47" s="65">
        <f t="shared" si="10"/>
        <v>5.0000000000000001E-3</v>
      </c>
      <c r="L47" s="65">
        <f t="shared" si="10"/>
        <v>0.02</v>
      </c>
      <c r="M47" s="65">
        <f t="shared" si="10"/>
        <v>2.3E-2</v>
      </c>
      <c r="N47" s="65">
        <f t="shared" si="10"/>
        <v>0</v>
      </c>
      <c r="O47" s="65">
        <f t="shared" si="10"/>
        <v>0</v>
      </c>
      <c r="P47" s="65">
        <f t="shared" si="10"/>
        <v>20.6</v>
      </c>
      <c r="Q47" s="65">
        <f t="shared" si="11"/>
        <v>38.75</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str">
        <f>Q16&amp;" I "&amp;(VLOOKUP(Q14,Table24[],6,FALSE))</f>
        <v>Medium/Clay I Grass</v>
      </c>
      <c r="Q58" s="10" t="str">
        <f>R16&amp;" I "&amp;(VLOOKUP(R14,Table24[],6,FALSE))</f>
        <v>Medium/Clay I Grass</v>
      </c>
      <c r="R58" s="10" t="str">
        <f>S16&amp;" I "&amp;(VLOOKUP(S14,Table24[],6,FALSE))</f>
        <v>Medium/Clay I Grass</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f>VLOOKUP(Q$14,Table24[],5,FALSE)</f>
        <v>6.2</v>
      </c>
      <c r="Q59" s="64">
        <f>VLOOKUP(R$14,Table24[],5,FALSE)</f>
        <v>6.2</v>
      </c>
      <c r="R59" s="64">
        <f>VLOOKUP(S$14,Table24[],5,FALSE)</f>
        <v>6.2</v>
      </c>
      <c r="S59" s="64" t="e">
        <f>VLOOKUP(T$14,Table24[],5,FALSE)</f>
        <v>#N/A</v>
      </c>
      <c r="T59" s="64" t="e">
        <f>VLOOKUP(U$14,Table24[],5,FALSE)</f>
        <v>#N/A</v>
      </c>
      <c r="U59" s="64" t="e">
        <f>VLOOKUP(V$14,Table24[],5,FALSE)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55</v>
      </c>
      <c r="J62" s="65">
        <f>B39</f>
        <v>55</v>
      </c>
      <c r="K62" s="65">
        <f>B40</f>
        <v>55</v>
      </c>
      <c r="L62" s="65">
        <f>B41</f>
        <v>55</v>
      </c>
      <c r="M62" s="65">
        <f>B42</f>
        <v>44</v>
      </c>
      <c r="N62" s="65">
        <f>B43</f>
        <v>100</v>
      </c>
      <c r="O62" s="65">
        <f>B44</f>
        <v>100</v>
      </c>
      <c r="P62" s="65">
        <f>B45</f>
        <v>100</v>
      </c>
      <c r="Q62" s="65">
        <f>B46</f>
        <v>100</v>
      </c>
      <c r="R62" s="65">
        <f>B47</f>
        <v>100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2" sqref="F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v>7.76</v>
      </c>
      <c r="J1" s="130" t="s">
        <v>153</v>
      </c>
      <c r="K1" s="131"/>
      <c r="L1" s="109">
        <v>588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1917</v>
      </c>
      <c r="J2" s="132" t="s">
        <v>158</v>
      </c>
      <c r="K2" s="133"/>
      <c r="L2" s="110">
        <v>0.11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77</v>
      </c>
      <c r="G3" s="132" t="s">
        <v>159</v>
      </c>
      <c r="H3" s="133"/>
      <c r="I3" s="110">
        <v>1099</v>
      </c>
      <c r="J3" s="134" t="s">
        <v>154</v>
      </c>
      <c r="K3" s="135"/>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t="s">
        <v>184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180.41624999999999</v>
      </c>
      <c r="D18" s="12">
        <f>$D32</f>
        <v>180.41624999999999</v>
      </c>
      <c r="E18" s="12">
        <f>$D33</f>
        <v>180.41624999999999</v>
      </c>
      <c r="F18" s="12">
        <f>$D34</f>
        <v>157.563525</v>
      </c>
      <c r="G18" s="12">
        <f>$D35</f>
        <v>180.41624999999999</v>
      </c>
      <c r="H18" s="12">
        <f>$D36</f>
        <v>180.41624999999999</v>
      </c>
      <c r="I18" s="12">
        <f>$D37</f>
        <v>180.41624999999999</v>
      </c>
      <c r="J18" s="12">
        <f>$D38</f>
        <v>79.383150000000001</v>
      </c>
      <c r="K18" s="12">
        <f>$D39</f>
        <v>79.383150000000001</v>
      </c>
      <c r="L18" s="12">
        <f>$D40</f>
        <v>79.383150000000001</v>
      </c>
      <c r="M18" s="12">
        <f>$D41</f>
        <v>79.383150000000001</v>
      </c>
      <c r="N18" s="12">
        <f>$D42</f>
        <v>64.949849999999998</v>
      </c>
      <c r="O18" s="12">
        <f>$D43</f>
        <v>180.41624999999999</v>
      </c>
      <c r="P18" s="12">
        <f>$D44</f>
        <v>180.41624999999999</v>
      </c>
      <c r="Q18" s="12">
        <f>$D45</f>
        <v>180.41624999999999</v>
      </c>
      <c r="R18" s="12">
        <f>$D46</f>
        <v>180.41624999999999</v>
      </c>
      <c r="S18" s="12">
        <f>$D47</f>
        <v>180.41624999999999</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100.51625</v>
      </c>
      <c r="D19" s="12">
        <f t="shared" ref="D19:V19" si="1">D18-D17</f>
        <v>100.51625</v>
      </c>
      <c r="E19" s="12">
        <f t="shared" si="1"/>
        <v>100.51625</v>
      </c>
      <c r="F19" s="12">
        <f t="shared" si="1"/>
        <v>92.963525000000004</v>
      </c>
      <c r="G19" s="12">
        <f t="shared" si="1"/>
        <v>100.51625</v>
      </c>
      <c r="H19" s="12">
        <f t="shared" si="1"/>
        <v>100.51625</v>
      </c>
      <c r="I19" s="12">
        <f t="shared" si="1"/>
        <v>100.51625</v>
      </c>
      <c r="J19" s="12">
        <f t="shared" si="1"/>
        <v>-15.816850000000002</v>
      </c>
      <c r="K19" s="12">
        <f t="shared" si="1"/>
        <v>-0.51684999999999093</v>
      </c>
      <c r="L19" s="12">
        <f t="shared" si="1"/>
        <v>-0.51684999999999093</v>
      </c>
      <c r="M19" s="12">
        <f t="shared" si="1"/>
        <v>-0.51684999999999093</v>
      </c>
      <c r="N19" s="12">
        <f t="shared" si="1"/>
        <v>0.34985000000000355</v>
      </c>
      <c r="O19" s="12">
        <f t="shared" si="1"/>
        <v>100.51625</v>
      </c>
      <c r="P19" s="12" t="e">
        <f t="shared" si="1"/>
        <v>#N/A</v>
      </c>
      <c r="Q19" s="12">
        <f t="shared" si="1"/>
        <v>100.51625</v>
      </c>
      <c r="R19" s="12">
        <f t="shared" si="1"/>
        <v>100.51625</v>
      </c>
      <c r="S19" s="12">
        <f t="shared" si="1"/>
        <v>100.51625</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INCREASE</v>
      </c>
      <c r="O20" s="18" t="str">
        <f>IF($B43="","",IF(O$19&gt;=0,"INCREASE","DECREASE"))</f>
        <v>INCREASE</v>
      </c>
      <c r="P20" s="18" t="e">
        <f>IF($B44="","",IF(P$19&gt;=0,"INCREASE","DECREASE"))</f>
        <v>#N/A</v>
      </c>
      <c r="Q20" s="18" t="str">
        <f>IF($B45="","",IF(Q$19&gt;=0,"INCREASE","DECREASE"))</f>
        <v>INCREASE</v>
      </c>
      <c r="R20" s="18" t="str">
        <f>IF($B46="","",IF(R$19&gt;=0,"INCREASE","DECREASE"))</f>
        <v>INCREASE</v>
      </c>
      <c r="S20" s="18" t="str">
        <f>IF($B47="","",IF(S$19&gt;=0,"INCREASE","DECREASE"))</f>
        <v>INCREASE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191.77574999999999</v>
      </c>
      <c r="D22" s="12">
        <f>$E32</f>
        <v>191.77574999999999</v>
      </c>
      <c r="E22" s="12">
        <f>$E33</f>
        <v>191.77574999999999</v>
      </c>
      <c r="F22" s="12">
        <f>$E34</f>
        <v>167.48415499999999</v>
      </c>
      <c r="G22" s="12">
        <f>$E35</f>
        <v>191.77574999999999</v>
      </c>
      <c r="H22" s="12">
        <f>$E36</f>
        <v>191.77574999999999</v>
      </c>
      <c r="I22" s="12">
        <f>$E37</f>
        <v>191.77574999999999</v>
      </c>
      <c r="J22" s="12">
        <f>$E38</f>
        <v>84.381330000000005</v>
      </c>
      <c r="K22" s="12">
        <f>$E39</f>
        <v>84.381330000000005</v>
      </c>
      <c r="L22" s="12">
        <f>$E40</f>
        <v>84.381330000000005</v>
      </c>
      <c r="M22" s="12">
        <f>$E41</f>
        <v>84.381330000000005</v>
      </c>
      <c r="N22" s="12">
        <f>$E42</f>
        <v>69.039270000000002</v>
      </c>
      <c r="O22" s="12">
        <f>$E43</f>
        <v>191.77574999999999</v>
      </c>
      <c r="P22" s="12">
        <f>$E44</f>
        <v>191.77574999999999</v>
      </c>
      <c r="Q22" s="12">
        <f>$E45</f>
        <v>191.77574999999999</v>
      </c>
      <c r="R22" s="12">
        <f>$E46</f>
        <v>191.77574999999999</v>
      </c>
      <c r="S22" s="12">
        <f>$E47</f>
        <v>191.77574999999999</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-90.224250000000012</v>
      </c>
      <c r="D23" s="12">
        <f t="shared" ref="D23:V23" si="3">D22-D21</f>
        <v>-90.224250000000012</v>
      </c>
      <c r="E23" s="12">
        <f t="shared" si="3"/>
        <v>-90.224250000000012</v>
      </c>
      <c r="F23" s="12">
        <f t="shared" si="3"/>
        <v>-60.515845000000013</v>
      </c>
      <c r="G23" s="12">
        <f t="shared" si="3"/>
        <v>-90.224250000000012</v>
      </c>
      <c r="H23" s="12">
        <f t="shared" si="3"/>
        <v>-90.224250000000012</v>
      </c>
      <c r="I23" s="12">
        <f t="shared" si="3"/>
        <v>-90.224250000000012</v>
      </c>
      <c r="J23" s="12">
        <f t="shared" si="3"/>
        <v>-251.61867000000001</v>
      </c>
      <c r="K23" s="12">
        <f t="shared" si="3"/>
        <v>-197.61867000000001</v>
      </c>
      <c r="L23" s="12">
        <f t="shared" si="3"/>
        <v>-197.61867000000001</v>
      </c>
      <c r="M23" s="12">
        <f t="shared" si="3"/>
        <v>-197.61867000000001</v>
      </c>
      <c r="N23" s="12">
        <f t="shared" si="3"/>
        <v>-158.96073000000001</v>
      </c>
      <c r="O23" s="12">
        <f t="shared" si="3"/>
        <v>-90.224250000000012</v>
      </c>
      <c r="P23" s="12" t="e">
        <f t="shared" si="3"/>
        <v>#N/A</v>
      </c>
      <c r="Q23" s="12">
        <f t="shared" si="3"/>
        <v>-90.224250000000012</v>
      </c>
      <c r="R23" s="12">
        <f t="shared" si="3"/>
        <v>-90.224250000000012</v>
      </c>
      <c r="S23" s="12">
        <f t="shared" si="3"/>
        <v>-90.224250000000012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54</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v>150</v>
      </c>
      <c r="C31" s="65">
        <f>IF(C$27="%w/w SAR",((C$28*10)*$B31),IF(C$27="%w/w DM",(((C$28*10)*($B$28/100))*$B31),IF(C$27="kg/t SAR",(C$28*$B31),IF(C$27="kg/t DM",((C$28*($B$28/100))*$B31),IF(C$27="mg/kg SAR",((C$28*0.001)*$B31),IF(C$27="mg/kg DM",(((C$28*0.001)*($B$28/100))*$B31),0))))))</f>
        <v>1.6500000000000001E-2</v>
      </c>
      <c r="D31" s="65">
        <f>(IF(D$27="%w/w SAR",((D$28*10)*$B31),IF(D$27="%w/w DM",(((D$28*10)*($B$28/100))*$B31),IF(D$27="kg/t SAR",(D$28*$B31),IF(D$27="kg/t DM",((D$28*($B$28/100))*$B31),IF(D$27="mg/kg SAR",((D$28*0.001)*$B31),IF(D$27="mg/kg DM",(((D$28*0.001)*($B$28/100))*$B31),"0")))))))*2.291</f>
        <v>180.41624999999999</v>
      </c>
      <c r="E31" s="65">
        <f>(IF(E$27="%w/w SAR",((E$28*10)*$B31),IF(E$27="%w/w DM",(((E$28*10)*($B$28/100))*$B31),IF(E$27="kg/t SAR",(E$28*$B31),IF(E$27="kg/t DM",((E$28*($B$28/100))*$B31),IF(E$27="mg/kg SAR",((E$28*0.001)*$B31),IF(E$27="mg/kg DM",(((E$28*0.001)*($B$28/100))*$B31),"0")))))))*1.205</f>
        <v>191.77574999999999</v>
      </c>
      <c r="F31" s="65">
        <f>(IF(F$27="%w/w SAR",((F$28*10)*$B31),IF(F$27="%w/w DM",(((F$28*10)*($B$28/100))*$B31),IF(F$27="kg/t SAR",(F$28*$B31),IF(F$27="kg/t DM",((F$28*($B$28/100))*$B31),IF(F$27="mg/kg SAR",((F$28*0.001)*$B31),IF(F$27="mg/kg DM",(((F$28*0.001)*($B$28/100))*$B31),"0")))))))*1.658</f>
        <v>22.606830000000002</v>
      </c>
      <c r="G31" s="65">
        <f t="shared" ref="G31:P46" si="5">IF(G$27="%w/w SAR",((G$28*10)*$B31),IF(G$27="%w/w DM",(((G$28*10)*($B$28/100))*$B31),IF(G$27="kg/t SAR",(G$28*$B31),IF(G$27="kg/t DM",((G$28*($B$28/100))*$B31),IF(G$27="mg/kg SAR",((G$28*0.001)*$B31),IF(G$27="mg/kg DM",(((G$28*0.001)*($B$28/100))*$B31),0))))))</f>
        <v>3.0000000000000002E-2</v>
      </c>
      <c r="H31" s="65">
        <f t="shared" si="5"/>
        <v>0.23250000000000001</v>
      </c>
      <c r="I31" s="65">
        <f t="shared" si="5"/>
        <v>7.4999999999999997E-2</v>
      </c>
      <c r="J31" s="65">
        <f t="shared" si="5"/>
        <v>1.5E-3</v>
      </c>
      <c r="K31" s="65">
        <f t="shared" si="5"/>
        <v>7.5000000000000006E-3</v>
      </c>
      <c r="L31" s="65">
        <f t="shared" si="5"/>
        <v>3.0000000000000002E-2</v>
      </c>
      <c r="M31" s="65">
        <f t="shared" si="5"/>
        <v>3.4500000000000003E-2</v>
      </c>
      <c r="N31" s="65">
        <f t="shared" si="5"/>
        <v>0</v>
      </c>
      <c r="O31" s="65">
        <f t="shared" si="5"/>
        <v>0</v>
      </c>
      <c r="P31" s="65">
        <f t="shared" si="5"/>
        <v>108.75</v>
      </c>
      <c r="Q31" s="65">
        <f>(IF(Q$27="%w/w SAR",((Q$28*10)*$B31),IF(Q$27="%w/w DM",(((Q$28*10)*($B$28/100))*$B31),IF(Q$27="kg/t SAR",(Q$28*$B31),IF(Q$27="kg/t DM",((Q$28*($B$28/100))*$B31),IF(Q$27="mg/kg SAR",((Q$28*0.001)*$B31),IF(Q$27="mg/kg DM",(((Q$28*0.001)*($B$28/100))*$B31),0)))))))*2.5</f>
        <v>30.375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v>150</v>
      </c>
      <c r="C32" s="65">
        <f t="shared" ref="C32:C50" si="6">IF(C$27="%w/w SAR",((C$28*10)*$B32),IF(C$27="%w/w DM",(((C$28*10)*($B$28/100))*$B32),IF(C$27="kg/t SAR",(C$28*$B32),IF(C$27="kg/t DM",((C$28*($B$28/100))*$B32),IF(C$27="mg/kg SAR",((C$28*0.001)*$B32),IF(C$27="mg/kg DM",(((C$28*0.001)*($B$28/100))*$B32),0))))))</f>
        <v>1.6500000000000001E-2</v>
      </c>
      <c r="D32" s="65">
        <f t="shared" ref="D32:D50" si="7">(IF(D$27="%w/w SAR",((D$28*10)*$B32),IF(D$27="%w/w DM",(((D$28*10)*($B$28/100))*$B32),IF(D$27="kg/t SAR",(D$28*$B32),IF(D$27="kg/t DM",((D$28*($B$28/100))*$B32),IF(D$27="mg/kg SAR",((D$28*0.001)*$B32),IF(D$27="mg/kg DM",(((D$28*0.001)*($B$28/100))*$B32),"0")))))))*2.291</f>
        <v>180.41624999999999</v>
      </c>
      <c r="E32" s="65">
        <f t="shared" ref="E32:E50" si="8">(IF(E$27="%w/w SAR",((E$28*10)*$B32),IF(E$27="%w/w DM",(((E$28*10)*($B$28/100))*$B32),IF(E$27="kg/t SAR",(E$28*$B32),IF(E$27="kg/t DM",((E$28*($B$28/100))*$B32),IF(E$27="mg/kg SAR",((E$28*0.001)*$B32),IF(E$27="mg/kg DM",(((E$28*0.001)*($B$28/100))*$B32),"0")))))))*1.205</f>
        <v>191.77574999999999</v>
      </c>
      <c r="F32" s="65">
        <f t="shared" ref="F32:F50" si="9">(IF(F$27="%w/w SAR",((F$28*10)*$B32),IF(F$27="%w/w DM",(((F$28*10)*($B$28/100))*$B32),IF(F$27="kg/t SAR",(F$28*$B32),IF(F$27="kg/t DM",((F$28*($B$28/100))*$B32),IF(F$27="mg/kg SAR",((F$28*0.001)*$B32),IF(F$27="mg/kg DM",(((F$28*0.001)*($B$28/100))*$B32),"0")))))))*1.658</f>
        <v>22.606830000000002</v>
      </c>
      <c r="G32" s="65">
        <f t="shared" si="5"/>
        <v>3.0000000000000002E-2</v>
      </c>
      <c r="H32" s="65">
        <f t="shared" si="5"/>
        <v>0.23250000000000001</v>
      </c>
      <c r="I32" s="65">
        <f t="shared" si="5"/>
        <v>7.4999999999999997E-2</v>
      </c>
      <c r="J32" s="65">
        <f t="shared" si="5"/>
        <v>1.5E-3</v>
      </c>
      <c r="K32" s="65">
        <f t="shared" si="5"/>
        <v>7.5000000000000006E-3</v>
      </c>
      <c r="L32" s="65">
        <f t="shared" si="5"/>
        <v>3.0000000000000002E-2</v>
      </c>
      <c r="M32" s="65">
        <f t="shared" si="5"/>
        <v>3.4500000000000003E-2</v>
      </c>
      <c r="N32" s="65">
        <f t="shared" si="5"/>
        <v>0</v>
      </c>
      <c r="O32" s="65">
        <f t="shared" si="5"/>
        <v>0</v>
      </c>
      <c r="P32" s="65">
        <f t="shared" si="5"/>
        <v>108.75</v>
      </c>
      <c r="Q32" s="65">
        <f t="shared" ref="Q32:Q50" si="10">(IF(Q$27="%w/w SAR",((Q$28*10)*$B32),IF(Q$27="%w/w DM",(((Q$28*10)*($B$28/100))*$B32),IF(Q$27="kg/t SAR",(Q$28*$B32),IF(Q$27="kg/t DM",((Q$28*($B$28/100))*$B32),IF(Q$27="mg/kg SAR",((Q$28*0.001)*$B32),IF(Q$27="mg/kg DM",(((Q$28*0.001)*($B$28/100))*$B32),0)))))))*2.5</f>
        <v>30.375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v>150</v>
      </c>
      <c r="C33" s="65">
        <f t="shared" si="6"/>
        <v>1.6500000000000001E-2</v>
      </c>
      <c r="D33" s="65">
        <f t="shared" si="7"/>
        <v>180.41624999999999</v>
      </c>
      <c r="E33" s="65">
        <f t="shared" si="8"/>
        <v>191.77574999999999</v>
      </c>
      <c r="F33" s="65">
        <f t="shared" si="9"/>
        <v>22.606830000000002</v>
      </c>
      <c r="G33" s="65">
        <f t="shared" si="5"/>
        <v>3.0000000000000002E-2</v>
      </c>
      <c r="H33" s="65">
        <f t="shared" si="5"/>
        <v>0.23250000000000001</v>
      </c>
      <c r="I33" s="65">
        <f t="shared" si="5"/>
        <v>7.4999999999999997E-2</v>
      </c>
      <c r="J33" s="65">
        <f t="shared" si="5"/>
        <v>1.5E-3</v>
      </c>
      <c r="K33" s="65">
        <f t="shared" si="5"/>
        <v>7.5000000000000006E-3</v>
      </c>
      <c r="L33" s="65">
        <f t="shared" si="5"/>
        <v>3.0000000000000002E-2</v>
      </c>
      <c r="M33" s="65">
        <f t="shared" si="5"/>
        <v>3.4500000000000003E-2</v>
      </c>
      <c r="N33" s="65">
        <f t="shared" si="5"/>
        <v>0</v>
      </c>
      <c r="O33" s="65">
        <f t="shared" si="5"/>
        <v>0</v>
      </c>
      <c r="P33" s="65">
        <f t="shared" si="5"/>
        <v>108.75</v>
      </c>
      <c r="Q33" s="65">
        <f t="shared" si="10"/>
        <v>30.375</v>
      </c>
      <c r="R33" s="65">
        <f t="shared" si="11"/>
        <v>0</v>
      </c>
      <c r="S33" s="65">
        <f t="shared" si="11"/>
        <v>0</v>
      </c>
      <c r="T33" s="65">
        <f t="shared" si="11"/>
        <v>0</v>
      </c>
      <c r="U33" s="126">
        <f t="shared" si="11"/>
        <v>0</v>
      </c>
    </row>
    <row r="34" spans="1:21" s="48" customFormat="1" ht="13" x14ac:dyDescent="0.35">
      <c r="A34" s="125" t="str">
        <f>F8</f>
        <v>F Ganol 4</v>
      </c>
      <c r="B34" s="11">
        <v>131</v>
      </c>
      <c r="C34" s="65">
        <f t="shared" si="6"/>
        <v>1.4410000000000001E-2</v>
      </c>
      <c r="D34" s="65">
        <f t="shared" si="7"/>
        <v>157.563525</v>
      </c>
      <c r="E34" s="65">
        <f t="shared" si="8"/>
        <v>167.48415499999999</v>
      </c>
      <c r="F34" s="65">
        <f t="shared" si="9"/>
        <v>19.743298200000002</v>
      </c>
      <c r="G34" s="65">
        <f t="shared" si="5"/>
        <v>2.6200000000000001E-2</v>
      </c>
      <c r="H34" s="65">
        <f t="shared" si="5"/>
        <v>0.20305000000000001</v>
      </c>
      <c r="I34" s="65">
        <f t="shared" si="5"/>
        <v>6.5500000000000003E-2</v>
      </c>
      <c r="J34" s="65">
        <f t="shared" si="5"/>
        <v>1.3100000000000002E-3</v>
      </c>
      <c r="K34" s="65">
        <f t="shared" si="5"/>
        <v>6.5500000000000003E-3</v>
      </c>
      <c r="L34" s="65">
        <f t="shared" si="5"/>
        <v>2.6200000000000001E-2</v>
      </c>
      <c r="M34" s="65">
        <f t="shared" si="5"/>
        <v>3.0130000000000001E-2</v>
      </c>
      <c r="N34" s="65">
        <f t="shared" si="5"/>
        <v>0</v>
      </c>
      <c r="O34" s="65">
        <f t="shared" si="5"/>
        <v>0</v>
      </c>
      <c r="P34" s="65">
        <f t="shared" si="5"/>
        <v>94.974999999999994</v>
      </c>
      <c r="Q34" s="65">
        <f t="shared" si="10"/>
        <v>26.527500000000003</v>
      </c>
      <c r="R34" s="65">
        <f t="shared" si="11"/>
        <v>0</v>
      </c>
      <c r="S34" s="65">
        <f t="shared" si="11"/>
        <v>0</v>
      </c>
      <c r="T34" s="65">
        <f t="shared" si="11"/>
        <v>0</v>
      </c>
      <c r="U34" s="126">
        <f t="shared" si="11"/>
        <v>0</v>
      </c>
    </row>
    <row r="35" spans="1:21" s="48" customFormat="1" ht="13" x14ac:dyDescent="0.35">
      <c r="A35" s="125" t="str">
        <f>G8</f>
        <v>F Ganol 6</v>
      </c>
      <c r="B35" s="11">
        <v>150</v>
      </c>
      <c r="C35" s="65">
        <f t="shared" si="6"/>
        <v>1.6500000000000001E-2</v>
      </c>
      <c r="D35" s="65">
        <f t="shared" si="7"/>
        <v>180.41624999999999</v>
      </c>
      <c r="E35" s="65">
        <f t="shared" si="8"/>
        <v>191.77574999999999</v>
      </c>
      <c r="F35" s="65">
        <f t="shared" si="9"/>
        <v>22.606830000000002</v>
      </c>
      <c r="G35" s="65">
        <f t="shared" si="5"/>
        <v>3.0000000000000002E-2</v>
      </c>
      <c r="H35" s="65">
        <f t="shared" si="5"/>
        <v>0.23250000000000001</v>
      </c>
      <c r="I35" s="65">
        <f t="shared" si="5"/>
        <v>7.4999999999999997E-2</v>
      </c>
      <c r="J35" s="65">
        <f t="shared" si="5"/>
        <v>1.5E-3</v>
      </c>
      <c r="K35" s="65">
        <f t="shared" si="5"/>
        <v>7.5000000000000006E-3</v>
      </c>
      <c r="L35" s="65">
        <f t="shared" si="5"/>
        <v>3.0000000000000002E-2</v>
      </c>
      <c r="M35" s="65">
        <f t="shared" si="5"/>
        <v>3.4500000000000003E-2</v>
      </c>
      <c r="N35" s="65">
        <f t="shared" si="5"/>
        <v>0</v>
      </c>
      <c r="O35" s="65">
        <f t="shared" si="5"/>
        <v>0</v>
      </c>
      <c r="P35" s="65">
        <f t="shared" si="5"/>
        <v>108.75</v>
      </c>
      <c r="Q35" s="65">
        <f t="shared" si="10"/>
        <v>30.375</v>
      </c>
      <c r="R35" s="65">
        <f t="shared" si="11"/>
        <v>0</v>
      </c>
      <c r="S35" s="65">
        <f t="shared" si="11"/>
        <v>0</v>
      </c>
      <c r="T35" s="65">
        <f t="shared" si="11"/>
        <v>0</v>
      </c>
      <c r="U35" s="126">
        <f t="shared" si="11"/>
        <v>0</v>
      </c>
    </row>
    <row r="36" spans="1:21" s="48" customFormat="1" ht="13" x14ac:dyDescent="0.35">
      <c r="A36" s="125" t="str">
        <f>H8</f>
        <v>F Ganol 7</v>
      </c>
      <c r="B36" s="11">
        <v>150</v>
      </c>
      <c r="C36" s="65">
        <f t="shared" si="6"/>
        <v>1.6500000000000001E-2</v>
      </c>
      <c r="D36" s="65">
        <f t="shared" si="7"/>
        <v>180.41624999999999</v>
      </c>
      <c r="E36" s="65">
        <f t="shared" si="8"/>
        <v>191.77574999999999</v>
      </c>
      <c r="F36" s="65">
        <f t="shared" si="9"/>
        <v>22.606830000000002</v>
      </c>
      <c r="G36" s="65">
        <f t="shared" si="5"/>
        <v>3.0000000000000002E-2</v>
      </c>
      <c r="H36" s="65">
        <f t="shared" si="5"/>
        <v>0.23250000000000001</v>
      </c>
      <c r="I36" s="65">
        <f t="shared" si="5"/>
        <v>7.4999999999999997E-2</v>
      </c>
      <c r="J36" s="65">
        <f t="shared" si="5"/>
        <v>1.5E-3</v>
      </c>
      <c r="K36" s="65">
        <f t="shared" si="5"/>
        <v>7.5000000000000006E-3</v>
      </c>
      <c r="L36" s="65">
        <f t="shared" si="5"/>
        <v>3.0000000000000002E-2</v>
      </c>
      <c r="M36" s="65">
        <f t="shared" si="5"/>
        <v>3.4500000000000003E-2</v>
      </c>
      <c r="N36" s="65">
        <f t="shared" si="5"/>
        <v>0</v>
      </c>
      <c r="O36" s="65">
        <f t="shared" si="5"/>
        <v>0</v>
      </c>
      <c r="P36" s="65">
        <f t="shared" si="5"/>
        <v>108.75</v>
      </c>
      <c r="Q36" s="65">
        <f t="shared" si="10"/>
        <v>30.375</v>
      </c>
      <c r="R36" s="65">
        <f t="shared" si="11"/>
        <v>0</v>
      </c>
      <c r="S36" s="65">
        <f t="shared" si="11"/>
        <v>0</v>
      </c>
      <c r="T36" s="65">
        <f t="shared" si="11"/>
        <v>0</v>
      </c>
      <c r="U36" s="126">
        <f t="shared" si="11"/>
        <v>0</v>
      </c>
    </row>
    <row r="37" spans="1:21" s="48" customFormat="1" ht="13" x14ac:dyDescent="0.35">
      <c r="A37" s="125" t="str">
        <f>I8</f>
        <v>F Ganol 8</v>
      </c>
      <c r="B37" s="11">
        <v>150</v>
      </c>
      <c r="C37" s="65">
        <f t="shared" si="6"/>
        <v>1.6500000000000001E-2</v>
      </c>
      <c r="D37" s="65">
        <f t="shared" si="7"/>
        <v>180.41624999999999</v>
      </c>
      <c r="E37" s="65">
        <f t="shared" si="8"/>
        <v>191.77574999999999</v>
      </c>
      <c r="F37" s="65">
        <f t="shared" si="9"/>
        <v>22.606830000000002</v>
      </c>
      <c r="G37" s="65">
        <f t="shared" si="5"/>
        <v>3.0000000000000002E-2</v>
      </c>
      <c r="H37" s="65">
        <f t="shared" si="5"/>
        <v>0.23250000000000001</v>
      </c>
      <c r="I37" s="65">
        <f t="shared" si="5"/>
        <v>7.4999999999999997E-2</v>
      </c>
      <c r="J37" s="65">
        <f t="shared" si="5"/>
        <v>1.5E-3</v>
      </c>
      <c r="K37" s="65">
        <f t="shared" si="5"/>
        <v>7.5000000000000006E-3</v>
      </c>
      <c r="L37" s="65">
        <f t="shared" si="5"/>
        <v>3.0000000000000002E-2</v>
      </c>
      <c r="M37" s="65">
        <f t="shared" si="5"/>
        <v>3.4500000000000003E-2</v>
      </c>
      <c r="N37" s="65">
        <f t="shared" si="5"/>
        <v>0</v>
      </c>
      <c r="O37" s="65">
        <f t="shared" si="5"/>
        <v>0</v>
      </c>
      <c r="P37" s="65">
        <f t="shared" si="5"/>
        <v>108.75</v>
      </c>
      <c r="Q37" s="65">
        <f t="shared" si="10"/>
        <v>30.375</v>
      </c>
      <c r="R37" s="65">
        <f t="shared" si="11"/>
        <v>0</v>
      </c>
      <c r="S37" s="65">
        <f t="shared" si="11"/>
        <v>0</v>
      </c>
      <c r="T37" s="65">
        <f t="shared" si="11"/>
        <v>0</v>
      </c>
      <c r="U37" s="126">
        <f t="shared" si="11"/>
        <v>0</v>
      </c>
    </row>
    <row r="38" spans="1:21" s="48" customFormat="1" ht="13" x14ac:dyDescent="0.35">
      <c r="A38" s="125" t="str">
        <f>J8</f>
        <v>F Ganol 9</v>
      </c>
      <c r="B38" s="11">
        <v>66</v>
      </c>
      <c r="C38" s="65">
        <f t="shared" si="6"/>
        <v>7.26E-3</v>
      </c>
      <c r="D38" s="65">
        <f t="shared" si="7"/>
        <v>79.383150000000001</v>
      </c>
      <c r="E38" s="65">
        <f t="shared" si="8"/>
        <v>84.381330000000005</v>
      </c>
      <c r="F38" s="65">
        <f t="shared" si="9"/>
        <v>9.9470051999999995</v>
      </c>
      <c r="G38" s="65">
        <f t="shared" si="5"/>
        <v>1.32E-2</v>
      </c>
      <c r="H38" s="65">
        <f t="shared" si="5"/>
        <v>0.10230000000000002</v>
      </c>
      <c r="I38" s="65">
        <f t="shared" si="5"/>
        <v>3.3000000000000002E-2</v>
      </c>
      <c r="J38" s="65">
        <f t="shared" si="5"/>
        <v>6.600000000000001E-4</v>
      </c>
      <c r="K38" s="65">
        <f t="shared" si="5"/>
        <v>3.3E-3</v>
      </c>
      <c r="L38" s="65">
        <f t="shared" si="5"/>
        <v>1.32E-2</v>
      </c>
      <c r="M38" s="65">
        <f t="shared" si="5"/>
        <v>1.5180000000000001E-2</v>
      </c>
      <c r="N38" s="65">
        <f t="shared" si="5"/>
        <v>0</v>
      </c>
      <c r="O38" s="65">
        <f t="shared" si="5"/>
        <v>0</v>
      </c>
      <c r="P38" s="65">
        <f t="shared" si="5"/>
        <v>47.85</v>
      </c>
      <c r="Q38" s="65">
        <f t="shared" si="10"/>
        <v>13.365</v>
      </c>
      <c r="R38" s="65">
        <f t="shared" si="11"/>
        <v>0</v>
      </c>
      <c r="S38" s="65">
        <f t="shared" si="11"/>
        <v>0</v>
      </c>
      <c r="T38" s="65">
        <f t="shared" si="11"/>
        <v>0</v>
      </c>
      <c r="U38" s="126">
        <f t="shared" si="11"/>
        <v>0</v>
      </c>
    </row>
    <row r="39" spans="1:21" s="48" customFormat="1" ht="13" x14ac:dyDescent="0.35">
      <c r="A39" s="125" t="str">
        <f>K8</f>
        <v>F Ganol 10</v>
      </c>
      <c r="B39" s="11">
        <v>66</v>
      </c>
      <c r="C39" s="65">
        <f t="shared" si="6"/>
        <v>7.26E-3</v>
      </c>
      <c r="D39" s="65">
        <f t="shared" si="7"/>
        <v>79.383150000000001</v>
      </c>
      <c r="E39" s="65">
        <f t="shared" si="8"/>
        <v>84.381330000000005</v>
      </c>
      <c r="F39" s="65">
        <f t="shared" si="9"/>
        <v>9.9470051999999995</v>
      </c>
      <c r="G39" s="65">
        <f t="shared" si="5"/>
        <v>1.32E-2</v>
      </c>
      <c r="H39" s="65">
        <f t="shared" si="5"/>
        <v>0.10230000000000002</v>
      </c>
      <c r="I39" s="65">
        <f t="shared" si="5"/>
        <v>3.3000000000000002E-2</v>
      </c>
      <c r="J39" s="65">
        <f t="shared" si="5"/>
        <v>6.600000000000001E-4</v>
      </c>
      <c r="K39" s="65">
        <f t="shared" si="5"/>
        <v>3.3E-3</v>
      </c>
      <c r="L39" s="65">
        <f t="shared" si="5"/>
        <v>1.32E-2</v>
      </c>
      <c r="M39" s="65">
        <f t="shared" si="5"/>
        <v>1.5180000000000001E-2</v>
      </c>
      <c r="N39" s="65">
        <f t="shared" si="5"/>
        <v>0</v>
      </c>
      <c r="O39" s="65">
        <f t="shared" si="5"/>
        <v>0</v>
      </c>
      <c r="P39" s="65">
        <f t="shared" si="5"/>
        <v>47.85</v>
      </c>
      <c r="Q39" s="65">
        <f t="shared" si="10"/>
        <v>13.365</v>
      </c>
      <c r="R39" s="65">
        <f t="shared" si="11"/>
        <v>0</v>
      </c>
      <c r="S39" s="65">
        <f t="shared" si="11"/>
        <v>0</v>
      </c>
      <c r="T39" s="65">
        <f t="shared" si="11"/>
        <v>0</v>
      </c>
      <c r="U39" s="126">
        <f t="shared" si="11"/>
        <v>0</v>
      </c>
    </row>
    <row r="40" spans="1:21" s="48" customFormat="1" ht="13" x14ac:dyDescent="0.35">
      <c r="A40" s="125" t="str">
        <f>L8</f>
        <v>F Ganol 11</v>
      </c>
      <c r="B40" s="11">
        <v>66</v>
      </c>
      <c r="C40" s="65">
        <f t="shared" si="6"/>
        <v>7.26E-3</v>
      </c>
      <c r="D40" s="65">
        <f t="shared" si="7"/>
        <v>79.383150000000001</v>
      </c>
      <c r="E40" s="65">
        <f t="shared" si="8"/>
        <v>84.381330000000005</v>
      </c>
      <c r="F40" s="65">
        <f t="shared" si="9"/>
        <v>9.9470051999999995</v>
      </c>
      <c r="G40" s="65">
        <f t="shared" si="5"/>
        <v>1.32E-2</v>
      </c>
      <c r="H40" s="65">
        <f t="shared" si="5"/>
        <v>0.10230000000000002</v>
      </c>
      <c r="I40" s="65">
        <f t="shared" si="5"/>
        <v>3.3000000000000002E-2</v>
      </c>
      <c r="J40" s="65">
        <f t="shared" si="5"/>
        <v>6.600000000000001E-4</v>
      </c>
      <c r="K40" s="65">
        <f t="shared" si="5"/>
        <v>3.3E-3</v>
      </c>
      <c r="L40" s="65">
        <f t="shared" si="5"/>
        <v>1.32E-2</v>
      </c>
      <c r="M40" s="65">
        <f t="shared" si="5"/>
        <v>1.5180000000000001E-2</v>
      </c>
      <c r="N40" s="65">
        <f t="shared" si="5"/>
        <v>0</v>
      </c>
      <c r="O40" s="65">
        <f t="shared" si="5"/>
        <v>0</v>
      </c>
      <c r="P40" s="65">
        <f t="shared" si="5"/>
        <v>47.85</v>
      </c>
      <c r="Q40" s="65">
        <f t="shared" si="10"/>
        <v>13.365</v>
      </c>
      <c r="R40" s="65">
        <f t="shared" si="11"/>
        <v>0</v>
      </c>
      <c r="S40" s="65">
        <f t="shared" si="11"/>
        <v>0</v>
      </c>
      <c r="T40" s="65">
        <f t="shared" si="11"/>
        <v>0</v>
      </c>
      <c r="U40" s="126">
        <f t="shared" si="11"/>
        <v>0</v>
      </c>
    </row>
    <row r="41" spans="1:21" s="48" customFormat="1" ht="13" x14ac:dyDescent="0.35">
      <c r="A41" s="125" t="str">
        <f>M8</f>
        <v>F Ganol 12</v>
      </c>
      <c r="B41" s="11">
        <v>66</v>
      </c>
      <c r="C41" s="65">
        <f t="shared" si="6"/>
        <v>7.26E-3</v>
      </c>
      <c r="D41" s="65">
        <f t="shared" si="7"/>
        <v>79.383150000000001</v>
      </c>
      <c r="E41" s="65">
        <f t="shared" si="8"/>
        <v>84.381330000000005</v>
      </c>
      <c r="F41" s="65">
        <f t="shared" si="9"/>
        <v>9.9470051999999995</v>
      </c>
      <c r="G41" s="65">
        <f t="shared" si="5"/>
        <v>1.32E-2</v>
      </c>
      <c r="H41" s="65">
        <f t="shared" si="5"/>
        <v>0.10230000000000002</v>
      </c>
      <c r="I41" s="65">
        <f t="shared" si="5"/>
        <v>3.3000000000000002E-2</v>
      </c>
      <c r="J41" s="65">
        <f t="shared" si="5"/>
        <v>6.600000000000001E-4</v>
      </c>
      <c r="K41" s="65">
        <f t="shared" si="5"/>
        <v>3.3E-3</v>
      </c>
      <c r="L41" s="65">
        <f t="shared" si="5"/>
        <v>1.32E-2</v>
      </c>
      <c r="M41" s="65">
        <f t="shared" si="5"/>
        <v>1.5180000000000001E-2</v>
      </c>
      <c r="N41" s="65">
        <f t="shared" si="5"/>
        <v>0</v>
      </c>
      <c r="O41" s="65">
        <f t="shared" si="5"/>
        <v>0</v>
      </c>
      <c r="P41" s="65">
        <f t="shared" si="5"/>
        <v>47.85</v>
      </c>
      <c r="Q41" s="65">
        <f t="shared" si="10"/>
        <v>13.365</v>
      </c>
      <c r="R41" s="65">
        <f t="shared" si="11"/>
        <v>0</v>
      </c>
      <c r="S41" s="65">
        <f t="shared" si="11"/>
        <v>0</v>
      </c>
      <c r="T41" s="65">
        <f t="shared" si="11"/>
        <v>0</v>
      </c>
      <c r="U41" s="126">
        <f t="shared" si="11"/>
        <v>0</v>
      </c>
    </row>
    <row r="42" spans="1:21" s="48" customFormat="1" ht="13" x14ac:dyDescent="0.35">
      <c r="A42" s="125" t="str">
        <f>N8</f>
        <v>F Ganol 13</v>
      </c>
      <c r="B42" s="11">
        <v>54</v>
      </c>
      <c r="C42" s="65">
        <f t="shared" si="6"/>
        <v>5.94E-3</v>
      </c>
      <c r="D42" s="65">
        <f t="shared" si="7"/>
        <v>64.949849999999998</v>
      </c>
      <c r="E42" s="65">
        <f t="shared" si="8"/>
        <v>69.039270000000002</v>
      </c>
      <c r="F42" s="65">
        <f t="shared" si="9"/>
        <v>8.1384588000000004</v>
      </c>
      <c r="G42" s="65">
        <f t="shared" si="5"/>
        <v>1.0800000000000001E-2</v>
      </c>
      <c r="H42" s="65">
        <f t="shared" si="5"/>
        <v>8.3700000000000011E-2</v>
      </c>
      <c r="I42" s="65">
        <f t="shared" si="5"/>
        <v>2.7E-2</v>
      </c>
      <c r="J42" s="65">
        <f t="shared" si="5"/>
        <v>5.4000000000000001E-4</v>
      </c>
      <c r="K42" s="65">
        <f t="shared" si="5"/>
        <v>2.7000000000000001E-3</v>
      </c>
      <c r="L42" s="65">
        <f t="shared" si="5"/>
        <v>1.0800000000000001E-2</v>
      </c>
      <c r="M42" s="65">
        <f t="shared" si="5"/>
        <v>1.242E-2</v>
      </c>
      <c r="N42" s="65">
        <f t="shared" si="5"/>
        <v>0</v>
      </c>
      <c r="O42" s="65">
        <f t="shared" si="5"/>
        <v>0</v>
      </c>
      <c r="P42" s="65">
        <f t="shared" si="5"/>
        <v>39.15</v>
      </c>
      <c r="Q42" s="65">
        <f t="shared" si="10"/>
        <v>10.935000000000002</v>
      </c>
      <c r="R42" s="65">
        <f t="shared" si="11"/>
        <v>0</v>
      </c>
      <c r="S42" s="65">
        <f t="shared" si="11"/>
        <v>0</v>
      </c>
      <c r="T42" s="65">
        <f t="shared" si="11"/>
        <v>0</v>
      </c>
      <c r="U42" s="126">
        <f t="shared" si="11"/>
        <v>0</v>
      </c>
    </row>
    <row r="43" spans="1:21" s="48" customFormat="1" ht="13" x14ac:dyDescent="0.35">
      <c r="A43" s="125" t="str">
        <f>O8</f>
        <v>Camp 1</v>
      </c>
      <c r="B43" s="11">
        <v>150</v>
      </c>
      <c r="C43" s="65">
        <f t="shared" si="6"/>
        <v>1.6500000000000001E-2</v>
      </c>
      <c r="D43" s="65">
        <f t="shared" si="7"/>
        <v>180.41624999999999</v>
      </c>
      <c r="E43" s="65">
        <f t="shared" si="8"/>
        <v>191.77574999999999</v>
      </c>
      <c r="F43" s="65">
        <f t="shared" si="9"/>
        <v>22.606830000000002</v>
      </c>
      <c r="G43" s="65">
        <f t="shared" si="5"/>
        <v>3.0000000000000002E-2</v>
      </c>
      <c r="H43" s="65">
        <f t="shared" si="5"/>
        <v>0.23250000000000001</v>
      </c>
      <c r="I43" s="65">
        <f t="shared" si="5"/>
        <v>7.4999999999999997E-2</v>
      </c>
      <c r="J43" s="65">
        <f t="shared" si="5"/>
        <v>1.5E-3</v>
      </c>
      <c r="K43" s="65">
        <f t="shared" si="5"/>
        <v>7.5000000000000006E-3</v>
      </c>
      <c r="L43" s="65">
        <f t="shared" si="5"/>
        <v>3.0000000000000002E-2</v>
      </c>
      <c r="M43" s="65">
        <f t="shared" si="5"/>
        <v>3.4500000000000003E-2</v>
      </c>
      <c r="N43" s="65">
        <f t="shared" si="5"/>
        <v>0</v>
      </c>
      <c r="O43" s="65">
        <f t="shared" si="5"/>
        <v>0</v>
      </c>
      <c r="P43" s="65">
        <f t="shared" si="5"/>
        <v>108.75</v>
      </c>
      <c r="Q43" s="65">
        <f t="shared" si="10"/>
        <v>30.375</v>
      </c>
      <c r="R43" s="65">
        <f t="shared" si="11"/>
        <v>0</v>
      </c>
      <c r="S43" s="65">
        <f t="shared" si="11"/>
        <v>0</v>
      </c>
      <c r="T43" s="65">
        <f t="shared" si="11"/>
        <v>0</v>
      </c>
      <c r="U43" s="126">
        <f t="shared" si="11"/>
        <v>0</v>
      </c>
    </row>
    <row r="44" spans="1:21" s="48" customFormat="1" ht="13" x14ac:dyDescent="0.35">
      <c r="A44" s="125" t="str">
        <f>P8</f>
        <v>Camp 2</v>
      </c>
      <c r="B44" s="11">
        <v>150</v>
      </c>
      <c r="C44" s="65">
        <f t="shared" si="6"/>
        <v>1.6500000000000001E-2</v>
      </c>
      <c r="D44" s="65">
        <f t="shared" si="7"/>
        <v>180.41624999999999</v>
      </c>
      <c r="E44" s="65">
        <f t="shared" si="8"/>
        <v>191.77574999999999</v>
      </c>
      <c r="F44" s="65">
        <f t="shared" si="9"/>
        <v>22.606830000000002</v>
      </c>
      <c r="G44" s="65">
        <f t="shared" si="5"/>
        <v>3.0000000000000002E-2</v>
      </c>
      <c r="H44" s="65">
        <f t="shared" si="5"/>
        <v>0.23250000000000001</v>
      </c>
      <c r="I44" s="65">
        <f t="shared" si="5"/>
        <v>7.4999999999999997E-2</v>
      </c>
      <c r="J44" s="65">
        <f t="shared" si="5"/>
        <v>1.5E-3</v>
      </c>
      <c r="K44" s="65">
        <f t="shared" si="5"/>
        <v>7.5000000000000006E-3</v>
      </c>
      <c r="L44" s="65">
        <f t="shared" si="5"/>
        <v>3.0000000000000002E-2</v>
      </c>
      <c r="M44" s="65">
        <f t="shared" si="5"/>
        <v>3.4500000000000003E-2</v>
      </c>
      <c r="N44" s="65">
        <f t="shared" si="5"/>
        <v>0</v>
      </c>
      <c r="O44" s="65">
        <f t="shared" si="5"/>
        <v>0</v>
      </c>
      <c r="P44" s="65">
        <f t="shared" si="5"/>
        <v>108.75</v>
      </c>
      <c r="Q44" s="65">
        <f t="shared" si="10"/>
        <v>30.375</v>
      </c>
      <c r="R44" s="65">
        <f t="shared" si="11"/>
        <v>0</v>
      </c>
      <c r="S44" s="65">
        <f t="shared" si="11"/>
        <v>0</v>
      </c>
      <c r="T44" s="65">
        <f t="shared" si="11"/>
        <v>0</v>
      </c>
      <c r="U44" s="126">
        <f t="shared" si="11"/>
        <v>0</v>
      </c>
    </row>
    <row r="45" spans="1:21" s="48" customFormat="1" ht="13" x14ac:dyDescent="0.35">
      <c r="A45" s="125" t="str">
        <f>Q8</f>
        <v>Camp 3</v>
      </c>
      <c r="B45" s="11">
        <v>150</v>
      </c>
      <c r="C45" s="65">
        <f t="shared" si="6"/>
        <v>1.6500000000000001E-2</v>
      </c>
      <c r="D45" s="65">
        <f t="shared" si="7"/>
        <v>180.41624999999999</v>
      </c>
      <c r="E45" s="65">
        <f t="shared" si="8"/>
        <v>191.77574999999999</v>
      </c>
      <c r="F45" s="65">
        <f t="shared" si="9"/>
        <v>22.606830000000002</v>
      </c>
      <c r="G45" s="65">
        <f t="shared" si="5"/>
        <v>3.0000000000000002E-2</v>
      </c>
      <c r="H45" s="65">
        <f t="shared" si="5"/>
        <v>0.23250000000000001</v>
      </c>
      <c r="I45" s="65">
        <f t="shared" si="5"/>
        <v>7.4999999999999997E-2</v>
      </c>
      <c r="J45" s="65">
        <f t="shared" si="5"/>
        <v>1.5E-3</v>
      </c>
      <c r="K45" s="65">
        <f t="shared" si="5"/>
        <v>7.5000000000000006E-3</v>
      </c>
      <c r="L45" s="65">
        <f t="shared" si="5"/>
        <v>3.0000000000000002E-2</v>
      </c>
      <c r="M45" s="65">
        <f t="shared" si="5"/>
        <v>3.4500000000000003E-2</v>
      </c>
      <c r="N45" s="65">
        <f t="shared" si="5"/>
        <v>0</v>
      </c>
      <c r="O45" s="65">
        <f t="shared" si="5"/>
        <v>0</v>
      </c>
      <c r="P45" s="65">
        <f t="shared" si="5"/>
        <v>108.75</v>
      </c>
      <c r="Q45" s="65">
        <f t="shared" si="10"/>
        <v>30.375</v>
      </c>
      <c r="R45" s="65">
        <f t="shared" si="11"/>
        <v>0</v>
      </c>
      <c r="S45" s="65">
        <f t="shared" si="11"/>
        <v>0</v>
      </c>
      <c r="T45" s="65">
        <f t="shared" si="11"/>
        <v>0</v>
      </c>
      <c r="U45" s="126">
        <f t="shared" si="11"/>
        <v>0</v>
      </c>
    </row>
    <row r="46" spans="1:21" s="48" customFormat="1" ht="13" x14ac:dyDescent="0.35">
      <c r="A46" s="125" t="str">
        <f>R8</f>
        <v>Camp 4</v>
      </c>
      <c r="B46" s="11">
        <v>150</v>
      </c>
      <c r="C46" s="65">
        <f t="shared" si="6"/>
        <v>1.6500000000000001E-2</v>
      </c>
      <c r="D46" s="65">
        <f t="shared" si="7"/>
        <v>180.41624999999999</v>
      </c>
      <c r="E46" s="65">
        <f t="shared" si="8"/>
        <v>191.77574999999999</v>
      </c>
      <c r="F46" s="65">
        <f t="shared" si="9"/>
        <v>22.606830000000002</v>
      </c>
      <c r="G46" s="65">
        <f t="shared" si="5"/>
        <v>3.0000000000000002E-2</v>
      </c>
      <c r="H46" s="65">
        <f t="shared" si="5"/>
        <v>0.23250000000000001</v>
      </c>
      <c r="I46" s="65">
        <f t="shared" si="5"/>
        <v>7.4999999999999997E-2</v>
      </c>
      <c r="J46" s="65">
        <f t="shared" si="5"/>
        <v>1.5E-3</v>
      </c>
      <c r="K46" s="65">
        <f t="shared" si="5"/>
        <v>7.5000000000000006E-3</v>
      </c>
      <c r="L46" s="65">
        <f t="shared" si="5"/>
        <v>3.0000000000000002E-2</v>
      </c>
      <c r="M46" s="65">
        <f t="shared" si="5"/>
        <v>3.4500000000000003E-2</v>
      </c>
      <c r="N46" s="65">
        <f t="shared" si="5"/>
        <v>0</v>
      </c>
      <c r="O46" s="65">
        <f t="shared" si="5"/>
        <v>0</v>
      </c>
      <c r="P46" s="65">
        <f t="shared" si="5"/>
        <v>108.75</v>
      </c>
      <c r="Q46" s="65">
        <f t="shared" si="10"/>
        <v>30.375</v>
      </c>
      <c r="R46" s="65">
        <f t="shared" si="11"/>
        <v>0</v>
      </c>
      <c r="S46" s="65">
        <f t="shared" si="11"/>
        <v>0</v>
      </c>
      <c r="T46" s="65">
        <f t="shared" si="11"/>
        <v>0</v>
      </c>
      <c r="U46" s="126">
        <f t="shared" si="11"/>
        <v>0</v>
      </c>
    </row>
    <row r="47" spans="1:21" s="48" customFormat="1" ht="13" x14ac:dyDescent="0.35">
      <c r="A47" s="125" t="str">
        <f>S8</f>
        <v>Camp 5</v>
      </c>
      <c r="B47" s="11">
        <v>150</v>
      </c>
      <c r="C47" s="65">
        <f t="shared" si="6"/>
        <v>1.6500000000000001E-2</v>
      </c>
      <c r="D47" s="65">
        <f t="shared" si="7"/>
        <v>180.41624999999999</v>
      </c>
      <c r="E47" s="65">
        <f t="shared" si="8"/>
        <v>191.77574999999999</v>
      </c>
      <c r="F47" s="65">
        <f t="shared" si="9"/>
        <v>22.606830000000002</v>
      </c>
      <c r="G47" s="65">
        <f t="shared" ref="G47:P50" si="12">IF(G$27="%w/w SAR",((G$28*10)*$B47),IF(G$27="%w/w DM",(((G$28*10)*($B$28/100))*$B47),IF(G$27="kg/t SAR",(G$28*$B47),IF(G$27="kg/t DM",((G$28*($B$28/100))*$B47),IF(G$27="mg/kg SAR",((G$28*0.001)*$B47),IF(G$27="mg/kg DM",(((G$28*0.001)*($B$28/100))*$B47),0))))))</f>
        <v>3.0000000000000002E-2</v>
      </c>
      <c r="H47" s="65">
        <f t="shared" si="12"/>
        <v>0.23250000000000001</v>
      </c>
      <c r="I47" s="65">
        <f t="shared" si="12"/>
        <v>7.4999999999999997E-2</v>
      </c>
      <c r="J47" s="65">
        <f t="shared" si="12"/>
        <v>1.5E-3</v>
      </c>
      <c r="K47" s="65">
        <f t="shared" si="12"/>
        <v>7.5000000000000006E-3</v>
      </c>
      <c r="L47" s="65">
        <f t="shared" si="12"/>
        <v>3.0000000000000002E-2</v>
      </c>
      <c r="M47" s="65">
        <f t="shared" si="12"/>
        <v>3.4500000000000003E-2</v>
      </c>
      <c r="N47" s="65">
        <f t="shared" si="12"/>
        <v>0</v>
      </c>
      <c r="O47" s="65">
        <f t="shared" si="12"/>
        <v>0</v>
      </c>
      <c r="P47" s="65">
        <f t="shared" si="12"/>
        <v>108.75</v>
      </c>
      <c r="Q47" s="65">
        <f t="shared" si="10"/>
        <v>30.375</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str">
        <f>Q16&amp;" I "&amp;(VLOOKUP(Q14,Table245[],6,FALSE))</f>
        <v>Medium/Clay I Grass</v>
      </c>
      <c r="Q58" s="10" t="str">
        <f>R16&amp;" I "&amp;(VLOOKUP(R14,Table245[],6,FALSE))</f>
        <v>Medium/Clay I Grass</v>
      </c>
      <c r="R58" s="10" t="str">
        <f>S16&amp;" I "&amp;(VLOOKUP(S14,Table245[],6,FALSE))</f>
        <v>Medium/Clay I Grass</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f>VLOOKUP(Q$14,Table245[],5,FALSE)</f>
        <v>6.2</v>
      </c>
      <c r="Q59" s="64">
        <f>VLOOKUP(R$14,Table245[],5,FALSE)</f>
        <v>6.2</v>
      </c>
      <c r="R59" s="64">
        <f>VLOOKUP(S$14,Table245[],5,FALSE)</f>
        <v>6.2</v>
      </c>
      <c r="S59" s="64" t="e">
        <f>VLOOKUP(T$14,Table245[],5,FALSE)</f>
        <v>#N/A</v>
      </c>
      <c r="T59" s="64" t="e">
        <f>VLOOKUP(U$14,Table245[],5,FALSE)</f>
        <v>#N/A</v>
      </c>
      <c r="U59" s="64" t="e">
        <f>VLOOKUP(V$14,Table245[],5,FALSE)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150</v>
      </c>
      <c r="C62" s="65">
        <f>B32</f>
        <v>150</v>
      </c>
      <c r="D62" s="65">
        <f>B33</f>
        <v>150</v>
      </c>
      <c r="E62" s="65">
        <f>B34</f>
        <v>131</v>
      </c>
      <c r="F62" s="65">
        <f>B35</f>
        <v>150</v>
      </c>
      <c r="G62" s="65">
        <f>B36</f>
        <v>150</v>
      </c>
      <c r="H62" s="65">
        <f>B37</f>
        <v>150</v>
      </c>
      <c r="I62" s="65">
        <f>B38</f>
        <v>66</v>
      </c>
      <c r="J62" s="65">
        <f>B39</f>
        <v>66</v>
      </c>
      <c r="K62" s="65">
        <f>B40</f>
        <v>66</v>
      </c>
      <c r="L62" s="65">
        <f>B41</f>
        <v>66</v>
      </c>
      <c r="M62" s="65">
        <f>B42</f>
        <v>54</v>
      </c>
      <c r="N62" s="65">
        <f>B43</f>
        <v>150</v>
      </c>
      <c r="O62" s="65">
        <f>B44</f>
        <v>150</v>
      </c>
      <c r="P62" s="65">
        <f>B45</f>
        <v>150</v>
      </c>
      <c r="Q62" s="65">
        <f>B46</f>
        <v>150</v>
      </c>
      <c r="R62" s="65">
        <f>B47</f>
        <v>150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F2" sqref="F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v>6.76</v>
      </c>
      <c r="J1" s="130" t="s">
        <v>153</v>
      </c>
      <c r="K1" s="131"/>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v>20502</v>
      </c>
      <c r="G2" s="164" t="s">
        <v>110</v>
      </c>
      <c r="H2" s="165"/>
      <c r="I2" s="110">
        <v>649</v>
      </c>
      <c r="J2" s="132" t="s">
        <v>158</v>
      </c>
      <c r="K2" s="133"/>
      <c r="L2" s="110">
        <v>0.19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t="s">
        <v>77</v>
      </c>
      <c r="G3" s="132" t="s">
        <v>159</v>
      </c>
      <c r="H3" s="133"/>
      <c r="I3" s="110">
        <v>1820</v>
      </c>
      <c r="J3" s="134" t="s">
        <v>154</v>
      </c>
      <c r="K3" s="135"/>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120.66238799999999</v>
      </c>
      <c r="D18" s="12">
        <f>$D32</f>
        <v>120.66238799999999</v>
      </c>
      <c r="E18" s="12">
        <f>$D33</f>
        <v>120.66238799999999</v>
      </c>
      <c r="F18" s="12">
        <f>$D34</f>
        <v>120.66238799999999</v>
      </c>
      <c r="G18" s="12">
        <f>$D35</f>
        <v>120.66238799999999</v>
      </c>
      <c r="H18" s="12">
        <f>$D36</f>
        <v>120.66238799999999</v>
      </c>
      <c r="I18" s="12">
        <f>$D37</f>
        <v>120.66238799999999</v>
      </c>
      <c r="J18" s="12">
        <f>$D38</f>
        <v>79.483953999999983</v>
      </c>
      <c r="K18" s="12">
        <f>$D39</f>
        <v>79.483953999999983</v>
      </c>
      <c r="L18" s="12">
        <f>$D40</f>
        <v>79.483953999999983</v>
      </c>
      <c r="M18" s="12">
        <f>$D41</f>
        <v>79.483953999999983</v>
      </c>
      <c r="N18" s="12">
        <f>$D42</f>
        <v>64.161745999999994</v>
      </c>
      <c r="O18" s="12">
        <f>$D43</f>
        <v>120.66238799999999</v>
      </c>
      <c r="P18" s="12">
        <f>$D44</f>
        <v>120.66238799999999</v>
      </c>
      <c r="Q18" s="12">
        <f>$D45</f>
        <v>120.66238799999999</v>
      </c>
      <c r="R18" s="12">
        <f>$D46</f>
        <v>120.66238799999999</v>
      </c>
      <c r="S18" s="12">
        <f>$D47</f>
        <v>120.66238799999999</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40.762388000000001</v>
      </c>
      <c r="D19" s="12">
        <f t="shared" ref="D19:V19" si="1">D18-D17</f>
        <v>40.762388000000001</v>
      </c>
      <c r="E19" s="12">
        <f t="shared" si="1"/>
        <v>40.762388000000001</v>
      </c>
      <c r="F19" s="12">
        <f t="shared" si="1"/>
        <v>56.062387999999999</v>
      </c>
      <c r="G19" s="12">
        <f t="shared" si="1"/>
        <v>40.762388000000001</v>
      </c>
      <c r="H19" s="12">
        <f t="shared" si="1"/>
        <v>40.762388000000001</v>
      </c>
      <c r="I19" s="12">
        <f t="shared" si="1"/>
        <v>40.762388000000001</v>
      </c>
      <c r="J19" s="12">
        <f t="shared" si="1"/>
        <v>-15.71604600000002</v>
      </c>
      <c r="K19" s="12">
        <f t="shared" si="1"/>
        <v>-0.41604600000000858</v>
      </c>
      <c r="L19" s="12">
        <f t="shared" si="1"/>
        <v>-0.41604600000000858</v>
      </c>
      <c r="M19" s="12">
        <f t="shared" si="1"/>
        <v>-0.41604600000000858</v>
      </c>
      <c r="N19" s="12">
        <f t="shared" si="1"/>
        <v>-0.43825400000000059</v>
      </c>
      <c r="O19" s="12">
        <f t="shared" si="1"/>
        <v>40.762388000000001</v>
      </c>
      <c r="P19" s="12" t="e">
        <f t="shared" si="1"/>
        <v>#N/A</v>
      </c>
      <c r="Q19" s="12">
        <f t="shared" si="1"/>
        <v>40.762388000000001</v>
      </c>
      <c r="R19" s="12">
        <f t="shared" si="1"/>
        <v>40.762388000000001</v>
      </c>
      <c r="S19" s="12">
        <f t="shared" si="1"/>
        <v>40.762388000000001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e">
        <f>IF($B44="","",IF(P$19&gt;=0,"INCREASE","DECREASE"))</f>
        <v>#N/A</v>
      </c>
      <c r="Q20" s="18" t="str">
        <f>IF($B45="","",IF(Q$19&gt;=0,"INCREASE","DECREASE"))</f>
        <v>INCREASE</v>
      </c>
      <c r="R20" s="18" t="str">
        <f>IF($B46="","",IF(R$19&gt;=0,"INCREASE","DECREASE"))</f>
        <v>INCREASE</v>
      </c>
      <c r="S20" s="18" t="str">
        <f>IF($B47="","",IF(S$19&gt;=0,"INCREASE","DECREASE"))</f>
        <v>INCREASE</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(VLOOKUP(D$14,$AI2:$AK24,3,FALSE))*D$15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29.303190000000004</v>
      </c>
      <c r="D22" s="12">
        <f>$E32</f>
        <v>29.303190000000004</v>
      </c>
      <c r="E22" s="12">
        <f>$E33</f>
        <v>29.303190000000004</v>
      </c>
      <c r="F22" s="12">
        <f>$E34</f>
        <v>29.303190000000004</v>
      </c>
      <c r="G22" s="12">
        <f>$E35</f>
        <v>29.303190000000004</v>
      </c>
      <c r="H22" s="12">
        <f>$E36</f>
        <v>29.303190000000004</v>
      </c>
      <c r="I22" s="12">
        <f>$E37</f>
        <v>29.303190000000004</v>
      </c>
      <c r="J22" s="12">
        <f>$E38</f>
        <v>19.302895000000003</v>
      </c>
      <c r="K22" s="12">
        <f>$E39</f>
        <v>19.302895000000003</v>
      </c>
      <c r="L22" s="12">
        <f>$E40</f>
        <v>19.302895000000003</v>
      </c>
      <c r="M22" s="12">
        <f>$E41</f>
        <v>19.302895000000003</v>
      </c>
      <c r="N22" s="12">
        <f>$E42</f>
        <v>15.581855000000003</v>
      </c>
      <c r="O22" s="12">
        <f>$E43</f>
        <v>29.303190000000004</v>
      </c>
      <c r="P22" s="12">
        <f>$E44</f>
        <v>29.303190000000004</v>
      </c>
      <c r="Q22" s="12">
        <f>$E45</f>
        <v>29.303190000000004</v>
      </c>
      <c r="R22" s="12">
        <f>$E46</f>
        <v>29.303190000000004</v>
      </c>
      <c r="S22" s="12">
        <f>$E47</f>
        <v>29.303190000000004</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-252.69681</v>
      </c>
      <c r="D23" s="12">
        <f t="shared" ref="D23:V23" si="3">D22-D21</f>
        <v>-252.69681</v>
      </c>
      <c r="E23" s="12">
        <f t="shared" si="3"/>
        <v>-252.69681</v>
      </c>
      <c r="F23" s="12">
        <f t="shared" si="3"/>
        <v>-198.69681</v>
      </c>
      <c r="G23" s="12">
        <f t="shared" si="3"/>
        <v>-252.69681</v>
      </c>
      <c r="H23" s="12">
        <f t="shared" si="3"/>
        <v>-252.69681</v>
      </c>
      <c r="I23" s="12">
        <f t="shared" si="3"/>
        <v>-252.69681</v>
      </c>
      <c r="J23" s="12">
        <f t="shared" si="3"/>
        <v>-316.69710500000002</v>
      </c>
      <c r="K23" s="12">
        <f t="shared" si="3"/>
        <v>-262.69710500000002</v>
      </c>
      <c r="L23" s="12">
        <f t="shared" si="3"/>
        <v>-262.69710500000002</v>
      </c>
      <c r="M23" s="12">
        <f t="shared" si="3"/>
        <v>-262.69710500000002</v>
      </c>
      <c r="N23" s="12">
        <f t="shared" si="3"/>
        <v>-212.41814500000001</v>
      </c>
      <c r="O23" s="12">
        <f t="shared" si="3"/>
        <v>-252.69681</v>
      </c>
      <c r="P23" s="12" t="e">
        <f t="shared" si="3"/>
        <v>#N/A</v>
      </c>
      <c r="Q23" s="12">
        <f t="shared" si="3"/>
        <v>-252.69681</v>
      </c>
      <c r="R23" s="12">
        <f t="shared" si="3"/>
        <v>-252.69681</v>
      </c>
      <c r="S23" s="12">
        <f t="shared" si="3"/>
        <v>-252.69681</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str">
        <f t="shared" si="4"/>
        <v>DECREASE</v>
      </c>
      <c r="R24" s="18" t="str">
        <f t="shared" si="4"/>
        <v>DECREASE</v>
      </c>
      <c r="S24" s="18" t="str">
        <f t="shared" si="4"/>
        <v>DECREASE</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54</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v>126</v>
      </c>
      <c r="C31" s="65">
        <f>IF(C$27="%w/w SAR",((C$28*10)*$B31),IF(C$27="%w/w DM",(((C$28*10)*($B$28/100))*$B31),IF(C$27="kg/t SAR",(C$28*$B31),IF(C$27="kg/t DM",((C$28*($B$28/100))*$B31),IF(C$27="mg/kg SAR",((C$28*0.001)*$B31),IF(C$27="mg/kg DM",(((C$28*0.001)*($B$28/100))*$B31),0))))))</f>
        <v>2.3940000000000003E-2</v>
      </c>
      <c r="D31" s="65">
        <f>(IF(D$27="%w/w SAR",((D$28*10)*$B31),IF(D$27="%w/w DM",(((D$28*10)*($B$28/100))*$B31),IF(D$27="kg/t SAR",(D$28*$B31),IF(D$27="kg/t DM",((D$28*($B$28/100))*$B31),IF(D$27="mg/kg SAR",((D$28*0.001)*$B31),IF(D$27="mg/kg DM",(((D$28*0.001)*($B$28/100))*$B31),"0")))))))*2.291</f>
        <v>120.66238799999999</v>
      </c>
      <c r="E31" s="65">
        <f>(IF(E$27="%w/w SAR",((E$28*10)*$B31),IF(E$27="%w/w DM",(((E$28*10)*($B$28/100))*$B31),IF(E$27="kg/t SAR",(E$28*$B31),IF(E$27="kg/t DM",((E$28*($B$28/100))*$B31),IF(E$27="mg/kg SAR",((E$28*0.001)*$B31),IF(E$27="mg/kg DM",(((E$28*0.001)*($B$28/100))*$B31),"0")))))))*1.205</f>
        <v>29.303190000000004</v>
      </c>
      <c r="F31" s="65">
        <f>(IF(F$27="%w/w SAR",((F$28*10)*$B31),IF(F$27="%w/w DM",(((F$28*10)*($B$28/100))*$B31),IF(F$27="kg/t SAR",(F$28*$B31),IF(F$27="kg/t DM",((F$28*($B$28/100))*$B31),IF(F$27="mg/kg SAR",((F$28*0.001)*$B31),IF(F$27="mg/kg DM",(((F$28*0.001)*($B$28/100))*$B31),"0")))))))*1.658</f>
        <v>5.3898263999999996</v>
      </c>
      <c r="G31" s="65">
        <f t="shared" ref="G31:P46" si="5">IF(G$27="%w/w SAR",((G$28*10)*$B31),IF(G$27="%w/w DM",(((G$28*10)*($B$28/100))*$B31),IF(G$27="kg/t SAR",(G$28*$B31),IF(G$27="kg/t DM",((G$28*($B$28/100))*$B31),IF(G$27="mg/kg SAR",((G$28*0.001)*$B31),IF(G$27="mg/kg DM",(((G$28*0.001)*($B$28/100))*$B31),0))))))</f>
        <v>2.52E-2</v>
      </c>
      <c r="H31" s="65">
        <f t="shared" si="5"/>
        <v>0.1764</v>
      </c>
      <c r="I31" s="65">
        <f t="shared" si="5"/>
        <v>6.3E-2</v>
      </c>
      <c r="J31" s="65">
        <f t="shared" si="5"/>
        <v>1.2600000000000001E-3</v>
      </c>
      <c r="K31" s="65">
        <f t="shared" si="5"/>
        <v>6.3E-3</v>
      </c>
      <c r="L31" s="65">
        <f t="shared" si="5"/>
        <v>2.52E-2</v>
      </c>
      <c r="M31" s="65">
        <f t="shared" si="5"/>
        <v>3.6540000000000003E-2</v>
      </c>
      <c r="N31" s="65">
        <f t="shared" si="5"/>
        <v>0</v>
      </c>
      <c r="O31" s="65">
        <f t="shared" si="5"/>
        <v>0</v>
      </c>
      <c r="P31" s="65">
        <f t="shared" si="5"/>
        <v>48.762</v>
      </c>
      <c r="Q31" s="65">
        <f>(IF(Q$27="%w/w SAR",((Q$28*10)*$B31),IF(Q$27="%w/w DM",(((Q$28*10)*($B$28/100))*$B31),IF(Q$27="kg/t SAR",(Q$28*$B31),IF(Q$27="kg/t DM",((Q$28*($B$28/100))*$B31),IF(Q$27="mg/kg SAR",((Q$28*0.001)*$B31),IF(Q$27="mg/kg DM",(((Q$28*0.001)*($B$28/100))*$B31),0)))))))*2.5</f>
        <v>37.17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v>126</v>
      </c>
      <c r="C32" s="65">
        <f t="shared" ref="C32:C50" si="6">IF(C$27="%w/w SAR",((C$28*10)*$B32),IF(C$27="%w/w DM",(((C$28*10)*($B$28/100))*$B32),IF(C$27="kg/t SAR",(C$28*$B32),IF(C$27="kg/t DM",((C$28*($B$28/100))*$B32),IF(C$27="mg/kg SAR",((C$28*0.001)*$B32),IF(C$27="mg/kg DM",(((C$28*0.001)*($B$28/100))*$B32),0))))))</f>
        <v>2.3940000000000003E-2</v>
      </c>
      <c r="D32" s="65">
        <f t="shared" ref="D32:D50" si="7">(IF(D$27="%w/w SAR",((D$28*10)*$B32),IF(D$27="%w/w DM",(((D$28*10)*($B$28/100))*$B32),IF(D$27="kg/t SAR",(D$28*$B32),IF(D$27="kg/t DM",((D$28*($B$28/100))*$B32),IF(D$27="mg/kg SAR",((D$28*0.001)*$B32),IF(D$27="mg/kg DM",(((D$28*0.001)*($B$28/100))*$B32),"0")))))))*2.291</f>
        <v>120.66238799999999</v>
      </c>
      <c r="E32" s="65">
        <f t="shared" ref="E32:E50" si="8">(IF(E$27="%w/w SAR",((E$28*10)*$B32),IF(E$27="%w/w DM",(((E$28*10)*($B$28/100))*$B32),IF(E$27="kg/t SAR",(E$28*$B32),IF(E$27="kg/t DM",((E$28*($B$28/100))*$B32),IF(E$27="mg/kg SAR",((E$28*0.001)*$B32),IF(E$27="mg/kg DM",(((E$28*0.001)*($B$28/100))*$B32),"0")))))))*1.205</f>
        <v>29.303190000000004</v>
      </c>
      <c r="F32" s="65">
        <f t="shared" ref="F32:F50" si="9">(IF(F$27="%w/w SAR",((F$28*10)*$B32),IF(F$27="%w/w DM",(((F$28*10)*($B$28/100))*$B32),IF(F$27="kg/t SAR",(F$28*$B32),IF(F$27="kg/t DM",((F$28*($B$28/100))*$B32),IF(F$27="mg/kg SAR",((F$28*0.001)*$B32),IF(F$27="mg/kg DM",(((F$28*0.001)*($B$28/100))*$B32),"0")))))))*1.658</f>
        <v>5.3898263999999996</v>
      </c>
      <c r="G32" s="65">
        <f t="shared" si="5"/>
        <v>2.52E-2</v>
      </c>
      <c r="H32" s="65">
        <f t="shared" si="5"/>
        <v>0.1764</v>
      </c>
      <c r="I32" s="65">
        <f t="shared" si="5"/>
        <v>6.3E-2</v>
      </c>
      <c r="J32" s="65">
        <f t="shared" si="5"/>
        <v>1.2600000000000001E-3</v>
      </c>
      <c r="K32" s="65">
        <f t="shared" si="5"/>
        <v>6.3E-3</v>
      </c>
      <c r="L32" s="65">
        <f t="shared" si="5"/>
        <v>2.52E-2</v>
      </c>
      <c r="M32" s="65">
        <f t="shared" si="5"/>
        <v>3.6540000000000003E-2</v>
      </c>
      <c r="N32" s="65">
        <f t="shared" si="5"/>
        <v>0</v>
      </c>
      <c r="O32" s="65">
        <f t="shared" si="5"/>
        <v>0</v>
      </c>
      <c r="P32" s="65">
        <f t="shared" si="5"/>
        <v>48.762</v>
      </c>
      <c r="Q32" s="65">
        <f t="shared" ref="Q32:Q50" si="10">(IF(Q$27="%w/w SAR",((Q$28*10)*$B32),IF(Q$27="%w/w DM",(((Q$28*10)*($B$28/100))*$B32),IF(Q$27="kg/t SAR",(Q$28*$B32),IF(Q$27="kg/t DM",((Q$28*($B$28/100))*$B32),IF(Q$27="mg/kg SAR",((Q$28*0.001)*$B32),IF(Q$27="mg/kg DM",(((Q$28*0.001)*($B$28/100))*$B32),0)))))))*2.5</f>
        <v>37.17</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v>126</v>
      </c>
      <c r="C33" s="65">
        <f t="shared" si="6"/>
        <v>2.3940000000000003E-2</v>
      </c>
      <c r="D33" s="65">
        <f t="shared" si="7"/>
        <v>120.66238799999999</v>
      </c>
      <c r="E33" s="65">
        <f t="shared" si="8"/>
        <v>29.303190000000004</v>
      </c>
      <c r="F33" s="65">
        <f t="shared" si="9"/>
        <v>5.3898263999999996</v>
      </c>
      <c r="G33" s="65">
        <f t="shared" si="5"/>
        <v>2.52E-2</v>
      </c>
      <c r="H33" s="65">
        <f t="shared" si="5"/>
        <v>0.1764</v>
      </c>
      <c r="I33" s="65">
        <f t="shared" si="5"/>
        <v>6.3E-2</v>
      </c>
      <c r="J33" s="65">
        <f t="shared" si="5"/>
        <v>1.2600000000000001E-3</v>
      </c>
      <c r="K33" s="65">
        <f t="shared" si="5"/>
        <v>6.3E-3</v>
      </c>
      <c r="L33" s="65">
        <f t="shared" si="5"/>
        <v>2.52E-2</v>
      </c>
      <c r="M33" s="65">
        <f t="shared" si="5"/>
        <v>3.6540000000000003E-2</v>
      </c>
      <c r="N33" s="65">
        <f t="shared" si="5"/>
        <v>0</v>
      </c>
      <c r="O33" s="65">
        <f t="shared" si="5"/>
        <v>0</v>
      </c>
      <c r="P33" s="65">
        <f t="shared" si="5"/>
        <v>48.762</v>
      </c>
      <c r="Q33" s="65">
        <f t="shared" si="10"/>
        <v>37.17</v>
      </c>
      <c r="R33" s="65">
        <f t="shared" si="11"/>
        <v>0</v>
      </c>
      <c r="S33" s="65">
        <f t="shared" si="11"/>
        <v>0</v>
      </c>
      <c r="T33" s="65">
        <f t="shared" si="11"/>
        <v>0</v>
      </c>
      <c r="U33" s="126">
        <f t="shared" si="11"/>
        <v>0</v>
      </c>
    </row>
    <row r="34" spans="1:21" s="48" customFormat="1" ht="13" x14ac:dyDescent="0.35">
      <c r="A34" s="125" t="str">
        <f>F8</f>
        <v>F Ganol 4</v>
      </c>
      <c r="B34" s="11">
        <v>126</v>
      </c>
      <c r="C34" s="65">
        <f t="shared" si="6"/>
        <v>2.3940000000000003E-2</v>
      </c>
      <c r="D34" s="65">
        <f t="shared" si="7"/>
        <v>120.66238799999999</v>
      </c>
      <c r="E34" s="65">
        <f t="shared" si="8"/>
        <v>29.303190000000004</v>
      </c>
      <c r="F34" s="65">
        <f t="shared" si="9"/>
        <v>5.3898263999999996</v>
      </c>
      <c r="G34" s="65">
        <f t="shared" si="5"/>
        <v>2.52E-2</v>
      </c>
      <c r="H34" s="65">
        <f t="shared" si="5"/>
        <v>0.1764</v>
      </c>
      <c r="I34" s="65">
        <f t="shared" si="5"/>
        <v>6.3E-2</v>
      </c>
      <c r="J34" s="65">
        <f t="shared" si="5"/>
        <v>1.2600000000000001E-3</v>
      </c>
      <c r="K34" s="65">
        <f t="shared" si="5"/>
        <v>6.3E-3</v>
      </c>
      <c r="L34" s="65">
        <f t="shared" si="5"/>
        <v>2.52E-2</v>
      </c>
      <c r="M34" s="65">
        <f t="shared" si="5"/>
        <v>3.6540000000000003E-2</v>
      </c>
      <c r="N34" s="65">
        <f t="shared" si="5"/>
        <v>0</v>
      </c>
      <c r="O34" s="65">
        <f t="shared" si="5"/>
        <v>0</v>
      </c>
      <c r="P34" s="65">
        <f t="shared" si="5"/>
        <v>48.762</v>
      </c>
      <c r="Q34" s="65">
        <f t="shared" si="10"/>
        <v>37.17</v>
      </c>
      <c r="R34" s="65">
        <f t="shared" si="11"/>
        <v>0</v>
      </c>
      <c r="S34" s="65">
        <f t="shared" si="11"/>
        <v>0</v>
      </c>
      <c r="T34" s="65">
        <f t="shared" si="11"/>
        <v>0</v>
      </c>
      <c r="U34" s="126">
        <f t="shared" si="11"/>
        <v>0</v>
      </c>
    </row>
    <row r="35" spans="1:21" s="48" customFormat="1" ht="13" x14ac:dyDescent="0.35">
      <c r="A35" s="125" t="str">
        <f>G8</f>
        <v>F Ganol 6</v>
      </c>
      <c r="B35" s="11">
        <v>126</v>
      </c>
      <c r="C35" s="65">
        <f t="shared" si="6"/>
        <v>2.3940000000000003E-2</v>
      </c>
      <c r="D35" s="65">
        <f t="shared" si="7"/>
        <v>120.66238799999999</v>
      </c>
      <c r="E35" s="65">
        <f t="shared" si="8"/>
        <v>29.303190000000004</v>
      </c>
      <c r="F35" s="65">
        <f t="shared" si="9"/>
        <v>5.3898263999999996</v>
      </c>
      <c r="G35" s="65">
        <f t="shared" si="5"/>
        <v>2.52E-2</v>
      </c>
      <c r="H35" s="65">
        <f t="shared" si="5"/>
        <v>0.1764</v>
      </c>
      <c r="I35" s="65">
        <f t="shared" si="5"/>
        <v>6.3E-2</v>
      </c>
      <c r="J35" s="65">
        <f t="shared" si="5"/>
        <v>1.2600000000000001E-3</v>
      </c>
      <c r="K35" s="65">
        <f t="shared" si="5"/>
        <v>6.3E-3</v>
      </c>
      <c r="L35" s="65">
        <f t="shared" si="5"/>
        <v>2.52E-2</v>
      </c>
      <c r="M35" s="65">
        <f t="shared" si="5"/>
        <v>3.6540000000000003E-2</v>
      </c>
      <c r="N35" s="65">
        <f t="shared" si="5"/>
        <v>0</v>
      </c>
      <c r="O35" s="65">
        <f t="shared" si="5"/>
        <v>0</v>
      </c>
      <c r="P35" s="65">
        <f t="shared" si="5"/>
        <v>48.762</v>
      </c>
      <c r="Q35" s="65">
        <f t="shared" si="10"/>
        <v>37.17</v>
      </c>
      <c r="R35" s="65">
        <f t="shared" si="11"/>
        <v>0</v>
      </c>
      <c r="S35" s="65">
        <f t="shared" si="11"/>
        <v>0</v>
      </c>
      <c r="T35" s="65">
        <f t="shared" si="11"/>
        <v>0</v>
      </c>
      <c r="U35" s="126">
        <f t="shared" si="11"/>
        <v>0</v>
      </c>
    </row>
    <row r="36" spans="1:21" s="48" customFormat="1" ht="13" x14ac:dyDescent="0.35">
      <c r="A36" s="125" t="str">
        <f>H8</f>
        <v>F Ganol 7</v>
      </c>
      <c r="B36" s="11">
        <v>126</v>
      </c>
      <c r="C36" s="65">
        <f t="shared" si="6"/>
        <v>2.3940000000000003E-2</v>
      </c>
      <c r="D36" s="65">
        <f t="shared" si="7"/>
        <v>120.66238799999999</v>
      </c>
      <c r="E36" s="65">
        <f t="shared" si="8"/>
        <v>29.303190000000004</v>
      </c>
      <c r="F36" s="65">
        <f t="shared" si="9"/>
        <v>5.3898263999999996</v>
      </c>
      <c r="G36" s="65">
        <f t="shared" si="5"/>
        <v>2.52E-2</v>
      </c>
      <c r="H36" s="65">
        <f t="shared" si="5"/>
        <v>0.1764</v>
      </c>
      <c r="I36" s="65">
        <f t="shared" si="5"/>
        <v>6.3E-2</v>
      </c>
      <c r="J36" s="65">
        <f t="shared" si="5"/>
        <v>1.2600000000000001E-3</v>
      </c>
      <c r="K36" s="65">
        <f t="shared" si="5"/>
        <v>6.3E-3</v>
      </c>
      <c r="L36" s="65">
        <f t="shared" si="5"/>
        <v>2.52E-2</v>
      </c>
      <c r="M36" s="65">
        <f t="shared" si="5"/>
        <v>3.6540000000000003E-2</v>
      </c>
      <c r="N36" s="65">
        <f t="shared" si="5"/>
        <v>0</v>
      </c>
      <c r="O36" s="65">
        <f t="shared" si="5"/>
        <v>0</v>
      </c>
      <c r="P36" s="65">
        <f t="shared" si="5"/>
        <v>48.762</v>
      </c>
      <c r="Q36" s="65">
        <f t="shared" si="10"/>
        <v>37.17</v>
      </c>
      <c r="R36" s="65">
        <f t="shared" si="11"/>
        <v>0</v>
      </c>
      <c r="S36" s="65">
        <f t="shared" si="11"/>
        <v>0</v>
      </c>
      <c r="T36" s="65">
        <f t="shared" si="11"/>
        <v>0</v>
      </c>
      <c r="U36" s="126">
        <f t="shared" si="11"/>
        <v>0</v>
      </c>
    </row>
    <row r="37" spans="1:21" s="48" customFormat="1" ht="13" x14ac:dyDescent="0.35">
      <c r="A37" s="125" t="str">
        <f>I8</f>
        <v>F Ganol 8</v>
      </c>
      <c r="B37" s="11">
        <v>126</v>
      </c>
      <c r="C37" s="65">
        <f t="shared" si="6"/>
        <v>2.3940000000000003E-2</v>
      </c>
      <c r="D37" s="65">
        <f t="shared" si="7"/>
        <v>120.66238799999999</v>
      </c>
      <c r="E37" s="65">
        <f t="shared" si="8"/>
        <v>29.303190000000004</v>
      </c>
      <c r="F37" s="65">
        <f t="shared" si="9"/>
        <v>5.3898263999999996</v>
      </c>
      <c r="G37" s="65">
        <f t="shared" si="5"/>
        <v>2.52E-2</v>
      </c>
      <c r="H37" s="65">
        <f t="shared" si="5"/>
        <v>0.1764</v>
      </c>
      <c r="I37" s="65">
        <f t="shared" si="5"/>
        <v>6.3E-2</v>
      </c>
      <c r="J37" s="65">
        <f t="shared" si="5"/>
        <v>1.2600000000000001E-3</v>
      </c>
      <c r="K37" s="65">
        <f t="shared" si="5"/>
        <v>6.3E-3</v>
      </c>
      <c r="L37" s="65">
        <f t="shared" si="5"/>
        <v>2.52E-2</v>
      </c>
      <c r="M37" s="65">
        <f t="shared" si="5"/>
        <v>3.6540000000000003E-2</v>
      </c>
      <c r="N37" s="65">
        <f t="shared" si="5"/>
        <v>0</v>
      </c>
      <c r="O37" s="65">
        <f t="shared" si="5"/>
        <v>0</v>
      </c>
      <c r="P37" s="65">
        <f t="shared" si="5"/>
        <v>48.762</v>
      </c>
      <c r="Q37" s="65">
        <f t="shared" si="10"/>
        <v>37.17</v>
      </c>
      <c r="R37" s="65">
        <f t="shared" si="11"/>
        <v>0</v>
      </c>
      <c r="S37" s="65">
        <f t="shared" si="11"/>
        <v>0</v>
      </c>
      <c r="T37" s="65">
        <f t="shared" si="11"/>
        <v>0</v>
      </c>
      <c r="U37" s="126">
        <f t="shared" si="11"/>
        <v>0</v>
      </c>
    </row>
    <row r="38" spans="1:21" s="48" customFormat="1" ht="13" x14ac:dyDescent="0.35">
      <c r="A38" s="125" t="str">
        <f>J8</f>
        <v>F Ganol 9</v>
      </c>
      <c r="B38" s="11">
        <v>83</v>
      </c>
      <c r="C38" s="65">
        <f t="shared" si="6"/>
        <v>1.5769999999999999E-2</v>
      </c>
      <c r="D38" s="65">
        <f t="shared" si="7"/>
        <v>79.483953999999983</v>
      </c>
      <c r="E38" s="65">
        <f t="shared" si="8"/>
        <v>19.302895000000003</v>
      </c>
      <c r="F38" s="65">
        <f t="shared" si="9"/>
        <v>3.5504411999999999</v>
      </c>
      <c r="G38" s="65">
        <f t="shared" si="5"/>
        <v>1.66E-2</v>
      </c>
      <c r="H38" s="65">
        <f t="shared" si="5"/>
        <v>0.1162</v>
      </c>
      <c r="I38" s="65">
        <f t="shared" si="5"/>
        <v>4.1500000000000002E-2</v>
      </c>
      <c r="J38" s="65">
        <f t="shared" si="5"/>
        <v>8.3000000000000012E-4</v>
      </c>
      <c r="K38" s="65">
        <f t="shared" si="5"/>
        <v>4.15E-3</v>
      </c>
      <c r="L38" s="65">
        <f t="shared" si="5"/>
        <v>1.66E-2</v>
      </c>
      <c r="M38" s="65">
        <f t="shared" si="5"/>
        <v>2.4070000000000001E-2</v>
      </c>
      <c r="N38" s="65">
        <f t="shared" si="5"/>
        <v>0</v>
      </c>
      <c r="O38" s="65">
        <f t="shared" si="5"/>
        <v>0</v>
      </c>
      <c r="P38" s="65">
        <f t="shared" si="5"/>
        <v>32.121000000000002</v>
      </c>
      <c r="Q38" s="65">
        <f t="shared" si="10"/>
        <v>24.484999999999999</v>
      </c>
      <c r="R38" s="65">
        <f t="shared" si="11"/>
        <v>0</v>
      </c>
      <c r="S38" s="65">
        <f t="shared" si="11"/>
        <v>0</v>
      </c>
      <c r="T38" s="65">
        <f t="shared" si="11"/>
        <v>0</v>
      </c>
      <c r="U38" s="126">
        <f t="shared" si="11"/>
        <v>0</v>
      </c>
    </row>
    <row r="39" spans="1:21" s="48" customFormat="1" ht="13" x14ac:dyDescent="0.35">
      <c r="A39" s="125" t="str">
        <f>K8</f>
        <v>F Ganol 10</v>
      </c>
      <c r="B39" s="11">
        <v>83</v>
      </c>
      <c r="C39" s="65">
        <f t="shared" si="6"/>
        <v>1.5769999999999999E-2</v>
      </c>
      <c r="D39" s="65">
        <f t="shared" si="7"/>
        <v>79.483953999999983</v>
      </c>
      <c r="E39" s="65">
        <f t="shared" si="8"/>
        <v>19.302895000000003</v>
      </c>
      <c r="F39" s="65">
        <f t="shared" si="9"/>
        <v>3.5504411999999999</v>
      </c>
      <c r="G39" s="65">
        <f t="shared" si="5"/>
        <v>1.66E-2</v>
      </c>
      <c r="H39" s="65">
        <f t="shared" si="5"/>
        <v>0.1162</v>
      </c>
      <c r="I39" s="65">
        <f t="shared" si="5"/>
        <v>4.1500000000000002E-2</v>
      </c>
      <c r="J39" s="65">
        <f t="shared" si="5"/>
        <v>8.3000000000000012E-4</v>
      </c>
      <c r="K39" s="65">
        <f t="shared" si="5"/>
        <v>4.15E-3</v>
      </c>
      <c r="L39" s="65">
        <f t="shared" si="5"/>
        <v>1.66E-2</v>
      </c>
      <c r="M39" s="65">
        <f t="shared" si="5"/>
        <v>2.4070000000000001E-2</v>
      </c>
      <c r="N39" s="65">
        <f t="shared" si="5"/>
        <v>0</v>
      </c>
      <c r="O39" s="65">
        <f t="shared" si="5"/>
        <v>0</v>
      </c>
      <c r="P39" s="65">
        <f t="shared" si="5"/>
        <v>32.121000000000002</v>
      </c>
      <c r="Q39" s="65">
        <f t="shared" si="10"/>
        <v>24.484999999999999</v>
      </c>
      <c r="R39" s="65">
        <f t="shared" si="11"/>
        <v>0</v>
      </c>
      <c r="S39" s="65">
        <f t="shared" si="11"/>
        <v>0</v>
      </c>
      <c r="T39" s="65">
        <f t="shared" si="11"/>
        <v>0</v>
      </c>
      <c r="U39" s="126">
        <f t="shared" si="11"/>
        <v>0</v>
      </c>
    </row>
    <row r="40" spans="1:21" s="48" customFormat="1" ht="13" x14ac:dyDescent="0.35">
      <c r="A40" s="125" t="str">
        <f>L8</f>
        <v>F Ganol 11</v>
      </c>
      <c r="B40" s="11">
        <v>83</v>
      </c>
      <c r="C40" s="65">
        <f t="shared" si="6"/>
        <v>1.5769999999999999E-2</v>
      </c>
      <c r="D40" s="65">
        <f t="shared" si="7"/>
        <v>79.483953999999983</v>
      </c>
      <c r="E40" s="65">
        <f t="shared" si="8"/>
        <v>19.302895000000003</v>
      </c>
      <c r="F40" s="65">
        <f t="shared" si="9"/>
        <v>3.5504411999999999</v>
      </c>
      <c r="G40" s="65">
        <f t="shared" si="5"/>
        <v>1.66E-2</v>
      </c>
      <c r="H40" s="65">
        <f t="shared" si="5"/>
        <v>0.1162</v>
      </c>
      <c r="I40" s="65">
        <f t="shared" si="5"/>
        <v>4.1500000000000002E-2</v>
      </c>
      <c r="J40" s="65">
        <f t="shared" si="5"/>
        <v>8.3000000000000012E-4</v>
      </c>
      <c r="K40" s="65">
        <f t="shared" si="5"/>
        <v>4.15E-3</v>
      </c>
      <c r="L40" s="65">
        <f t="shared" si="5"/>
        <v>1.66E-2</v>
      </c>
      <c r="M40" s="65">
        <f t="shared" si="5"/>
        <v>2.4070000000000001E-2</v>
      </c>
      <c r="N40" s="65">
        <f t="shared" si="5"/>
        <v>0</v>
      </c>
      <c r="O40" s="65">
        <f t="shared" si="5"/>
        <v>0</v>
      </c>
      <c r="P40" s="65">
        <f t="shared" si="5"/>
        <v>32.121000000000002</v>
      </c>
      <c r="Q40" s="65">
        <f t="shared" si="10"/>
        <v>24.484999999999999</v>
      </c>
      <c r="R40" s="65">
        <f t="shared" si="11"/>
        <v>0</v>
      </c>
      <c r="S40" s="65">
        <f t="shared" si="11"/>
        <v>0</v>
      </c>
      <c r="T40" s="65">
        <f t="shared" si="11"/>
        <v>0</v>
      </c>
      <c r="U40" s="126">
        <f t="shared" si="11"/>
        <v>0</v>
      </c>
    </row>
    <row r="41" spans="1:21" s="48" customFormat="1" ht="13" x14ac:dyDescent="0.35">
      <c r="A41" s="125" t="str">
        <f>M8</f>
        <v>F Ganol 12</v>
      </c>
      <c r="B41" s="11">
        <v>83</v>
      </c>
      <c r="C41" s="65">
        <f t="shared" si="6"/>
        <v>1.5769999999999999E-2</v>
      </c>
      <c r="D41" s="65">
        <f t="shared" si="7"/>
        <v>79.483953999999983</v>
      </c>
      <c r="E41" s="65">
        <f t="shared" si="8"/>
        <v>19.302895000000003</v>
      </c>
      <c r="F41" s="65">
        <f t="shared" si="9"/>
        <v>3.5504411999999999</v>
      </c>
      <c r="G41" s="65">
        <f t="shared" si="5"/>
        <v>1.66E-2</v>
      </c>
      <c r="H41" s="65">
        <f t="shared" si="5"/>
        <v>0.1162</v>
      </c>
      <c r="I41" s="65">
        <f t="shared" si="5"/>
        <v>4.1500000000000002E-2</v>
      </c>
      <c r="J41" s="65">
        <f t="shared" si="5"/>
        <v>8.3000000000000012E-4</v>
      </c>
      <c r="K41" s="65">
        <f t="shared" si="5"/>
        <v>4.15E-3</v>
      </c>
      <c r="L41" s="65">
        <f t="shared" si="5"/>
        <v>1.66E-2</v>
      </c>
      <c r="M41" s="65">
        <f t="shared" si="5"/>
        <v>2.4070000000000001E-2</v>
      </c>
      <c r="N41" s="65">
        <f t="shared" si="5"/>
        <v>0</v>
      </c>
      <c r="O41" s="65">
        <f t="shared" si="5"/>
        <v>0</v>
      </c>
      <c r="P41" s="65">
        <f t="shared" si="5"/>
        <v>32.121000000000002</v>
      </c>
      <c r="Q41" s="65">
        <f t="shared" si="10"/>
        <v>24.484999999999999</v>
      </c>
      <c r="R41" s="65">
        <f t="shared" si="11"/>
        <v>0</v>
      </c>
      <c r="S41" s="65">
        <f t="shared" si="11"/>
        <v>0</v>
      </c>
      <c r="T41" s="65">
        <f t="shared" si="11"/>
        <v>0</v>
      </c>
      <c r="U41" s="126">
        <f t="shared" si="11"/>
        <v>0</v>
      </c>
    </row>
    <row r="42" spans="1:21" s="48" customFormat="1" ht="13" x14ac:dyDescent="0.35">
      <c r="A42" s="125" t="str">
        <f>N8</f>
        <v>F Ganol 13</v>
      </c>
      <c r="B42" s="11">
        <v>67</v>
      </c>
      <c r="C42" s="65">
        <f t="shared" si="6"/>
        <v>1.273E-2</v>
      </c>
      <c r="D42" s="65">
        <f t="shared" si="7"/>
        <v>64.161745999999994</v>
      </c>
      <c r="E42" s="65">
        <f t="shared" si="8"/>
        <v>15.581855000000003</v>
      </c>
      <c r="F42" s="65">
        <f t="shared" si="9"/>
        <v>2.8660187999999995</v>
      </c>
      <c r="G42" s="65">
        <f t="shared" si="5"/>
        <v>1.34E-2</v>
      </c>
      <c r="H42" s="65">
        <f t="shared" si="5"/>
        <v>9.3799999999999994E-2</v>
      </c>
      <c r="I42" s="65">
        <f t="shared" si="5"/>
        <v>3.3500000000000002E-2</v>
      </c>
      <c r="J42" s="65">
        <f t="shared" si="5"/>
        <v>6.7000000000000002E-4</v>
      </c>
      <c r="K42" s="65">
        <f t="shared" si="5"/>
        <v>3.3500000000000001E-3</v>
      </c>
      <c r="L42" s="65">
        <f t="shared" si="5"/>
        <v>1.34E-2</v>
      </c>
      <c r="M42" s="65">
        <f t="shared" si="5"/>
        <v>1.9429999999999999E-2</v>
      </c>
      <c r="N42" s="65">
        <f t="shared" si="5"/>
        <v>0</v>
      </c>
      <c r="O42" s="65">
        <f t="shared" si="5"/>
        <v>0</v>
      </c>
      <c r="P42" s="65">
        <f t="shared" si="5"/>
        <v>25.929000000000002</v>
      </c>
      <c r="Q42" s="65">
        <f t="shared" si="10"/>
        <v>19.765000000000001</v>
      </c>
      <c r="R42" s="65">
        <f t="shared" si="11"/>
        <v>0</v>
      </c>
      <c r="S42" s="65">
        <f t="shared" si="11"/>
        <v>0</v>
      </c>
      <c r="T42" s="65">
        <f t="shared" si="11"/>
        <v>0</v>
      </c>
      <c r="U42" s="126">
        <f t="shared" si="11"/>
        <v>0</v>
      </c>
    </row>
    <row r="43" spans="1:21" s="48" customFormat="1" ht="13" x14ac:dyDescent="0.35">
      <c r="A43" s="125" t="str">
        <f>O8</f>
        <v>Camp 1</v>
      </c>
      <c r="B43" s="11">
        <v>126</v>
      </c>
      <c r="C43" s="65">
        <f t="shared" si="6"/>
        <v>2.3940000000000003E-2</v>
      </c>
      <c r="D43" s="65">
        <f t="shared" si="7"/>
        <v>120.66238799999999</v>
      </c>
      <c r="E43" s="65">
        <f t="shared" si="8"/>
        <v>29.303190000000004</v>
      </c>
      <c r="F43" s="65">
        <f t="shared" si="9"/>
        <v>5.3898263999999996</v>
      </c>
      <c r="G43" s="65">
        <f t="shared" si="5"/>
        <v>2.52E-2</v>
      </c>
      <c r="H43" s="65">
        <f t="shared" si="5"/>
        <v>0.1764</v>
      </c>
      <c r="I43" s="65">
        <f t="shared" si="5"/>
        <v>6.3E-2</v>
      </c>
      <c r="J43" s="65">
        <f t="shared" si="5"/>
        <v>1.2600000000000001E-3</v>
      </c>
      <c r="K43" s="65">
        <f t="shared" si="5"/>
        <v>6.3E-3</v>
      </c>
      <c r="L43" s="65">
        <f t="shared" si="5"/>
        <v>2.52E-2</v>
      </c>
      <c r="M43" s="65">
        <f t="shared" si="5"/>
        <v>3.6540000000000003E-2</v>
      </c>
      <c r="N43" s="65">
        <f t="shared" si="5"/>
        <v>0</v>
      </c>
      <c r="O43" s="65">
        <f t="shared" si="5"/>
        <v>0</v>
      </c>
      <c r="P43" s="65">
        <f t="shared" si="5"/>
        <v>48.762</v>
      </c>
      <c r="Q43" s="65">
        <f t="shared" si="10"/>
        <v>37.17</v>
      </c>
      <c r="R43" s="65">
        <f t="shared" si="11"/>
        <v>0</v>
      </c>
      <c r="S43" s="65">
        <f t="shared" si="11"/>
        <v>0</v>
      </c>
      <c r="T43" s="65">
        <f t="shared" si="11"/>
        <v>0</v>
      </c>
      <c r="U43" s="126">
        <f t="shared" si="11"/>
        <v>0</v>
      </c>
    </row>
    <row r="44" spans="1:21" s="48" customFormat="1" ht="13" x14ac:dyDescent="0.35">
      <c r="A44" s="125" t="str">
        <f>P8</f>
        <v>Camp 2</v>
      </c>
      <c r="B44" s="11">
        <v>126</v>
      </c>
      <c r="C44" s="65">
        <f t="shared" si="6"/>
        <v>2.3940000000000003E-2</v>
      </c>
      <c r="D44" s="65">
        <f t="shared" si="7"/>
        <v>120.66238799999999</v>
      </c>
      <c r="E44" s="65">
        <f t="shared" si="8"/>
        <v>29.303190000000004</v>
      </c>
      <c r="F44" s="65">
        <f t="shared" si="9"/>
        <v>5.3898263999999996</v>
      </c>
      <c r="G44" s="65">
        <f t="shared" si="5"/>
        <v>2.52E-2</v>
      </c>
      <c r="H44" s="65">
        <f t="shared" si="5"/>
        <v>0.1764</v>
      </c>
      <c r="I44" s="65">
        <f t="shared" si="5"/>
        <v>6.3E-2</v>
      </c>
      <c r="J44" s="65">
        <f t="shared" si="5"/>
        <v>1.2600000000000001E-3</v>
      </c>
      <c r="K44" s="65">
        <f t="shared" si="5"/>
        <v>6.3E-3</v>
      </c>
      <c r="L44" s="65">
        <f t="shared" si="5"/>
        <v>2.52E-2</v>
      </c>
      <c r="M44" s="65">
        <f t="shared" si="5"/>
        <v>3.6540000000000003E-2</v>
      </c>
      <c r="N44" s="65">
        <f t="shared" si="5"/>
        <v>0</v>
      </c>
      <c r="O44" s="65">
        <f t="shared" si="5"/>
        <v>0</v>
      </c>
      <c r="P44" s="65">
        <f t="shared" si="5"/>
        <v>48.762</v>
      </c>
      <c r="Q44" s="65">
        <f t="shared" si="10"/>
        <v>37.17</v>
      </c>
      <c r="R44" s="65">
        <f t="shared" si="11"/>
        <v>0</v>
      </c>
      <c r="S44" s="65">
        <f t="shared" si="11"/>
        <v>0</v>
      </c>
      <c r="T44" s="65">
        <f t="shared" si="11"/>
        <v>0</v>
      </c>
      <c r="U44" s="126">
        <f t="shared" si="11"/>
        <v>0</v>
      </c>
    </row>
    <row r="45" spans="1:21" s="48" customFormat="1" ht="13" x14ac:dyDescent="0.35">
      <c r="A45" s="125" t="str">
        <f>Q8</f>
        <v>Camp 3</v>
      </c>
      <c r="B45" s="11">
        <v>126</v>
      </c>
      <c r="C45" s="65">
        <f t="shared" si="6"/>
        <v>2.3940000000000003E-2</v>
      </c>
      <c r="D45" s="65">
        <f t="shared" si="7"/>
        <v>120.66238799999999</v>
      </c>
      <c r="E45" s="65">
        <f t="shared" si="8"/>
        <v>29.303190000000004</v>
      </c>
      <c r="F45" s="65">
        <f t="shared" si="9"/>
        <v>5.3898263999999996</v>
      </c>
      <c r="G45" s="65">
        <f t="shared" si="5"/>
        <v>2.52E-2</v>
      </c>
      <c r="H45" s="65">
        <f t="shared" si="5"/>
        <v>0.1764</v>
      </c>
      <c r="I45" s="65">
        <f t="shared" si="5"/>
        <v>6.3E-2</v>
      </c>
      <c r="J45" s="65">
        <f t="shared" si="5"/>
        <v>1.2600000000000001E-3</v>
      </c>
      <c r="K45" s="65">
        <f t="shared" si="5"/>
        <v>6.3E-3</v>
      </c>
      <c r="L45" s="65">
        <f t="shared" si="5"/>
        <v>2.52E-2</v>
      </c>
      <c r="M45" s="65">
        <f t="shared" si="5"/>
        <v>3.6540000000000003E-2</v>
      </c>
      <c r="N45" s="65">
        <f t="shared" si="5"/>
        <v>0</v>
      </c>
      <c r="O45" s="65">
        <f t="shared" si="5"/>
        <v>0</v>
      </c>
      <c r="P45" s="65">
        <f t="shared" si="5"/>
        <v>48.762</v>
      </c>
      <c r="Q45" s="65">
        <f t="shared" si="10"/>
        <v>37.17</v>
      </c>
      <c r="R45" s="65">
        <f t="shared" si="11"/>
        <v>0</v>
      </c>
      <c r="S45" s="65">
        <f t="shared" si="11"/>
        <v>0</v>
      </c>
      <c r="T45" s="65">
        <f t="shared" si="11"/>
        <v>0</v>
      </c>
      <c r="U45" s="126">
        <f t="shared" si="11"/>
        <v>0</v>
      </c>
    </row>
    <row r="46" spans="1:21" s="48" customFormat="1" ht="13" x14ac:dyDescent="0.35">
      <c r="A46" s="125" t="str">
        <f>R8</f>
        <v>Camp 4</v>
      </c>
      <c r="B46" s="11">
        <v>126</v>
      </c>
      <c r="C46" s="65">
        <f t="shared" si="6"/>
        <v>2.3940000000000003E-2</v>
      </c>
      <c r="D46" s="65">
        <f t="shared" si="7"/>
        <v>120.66238799999999</v>
      </c>
      <c r="E46" s="65">
        <f t="shared" si="8"/>
        <v>29.303190000000004</v>
      </c>
      <c r="F46" s="65">
        <f t="shared" si="9"/>
        <v>5.3898263999999996</v>
      </c>
      <c r="G46" s="65">
        <f t="shared" si="5"/>
        <v>2.52E-2</v>
      </c>
      <c r="H46" s="65">
        <f t="shared" si="5"/>
        <v>0.1764</v>
      </c>
      <c r="I46" s="65">
        <f t="shared" si="5"/>
        <v>6.3E-2</v>
      </c>
      <c r="J46" s="65">
        <f t="shared" si="5"/>
        <v>1.2600000000000001E-3</v>
      </c>
      <c r="K46" s="65">
        <f t="shared" si="5"/>
        <v>6.3E-3</v>
      </c>
      <c r="L46" s="65">
        <f t="shared" si="5"/>
        <v>2.52E-2</v>
      </c>
      <c r="M46" s="65">
        <f t="shared" si="5"/>
        <v>3.6540000000000003E-2</v>
      </c>
      <c r="N46" s="65">
        <f t="shared" si="5"/>
        <v>0</v>
      </c>
      <c r="O46" s="65">
        <f t="shared" si="5"/>
        <v>0</v>
      </c>
      <c r="P46" s="65">
        <f t="shared" si="5"/>
        <v>48.762</v>
      </c>
      <c r="Q46" s="65">
        <f t="shared" si="10"/>
        <v>37.17</v>
      </c>
      <c r="R46" s="65">
        <f t="shared" si="11"/>
        <v>0</v>
      </c>
      <c r="S46" s="65">
        <f t="shared" si="11"/>
        <v>0</v>
      </c>
      <c r="T46" s="65">
        <f t="shared" si="11"/>
        <v>0</v>
      </c>
      <c r="U46" s="126">
        <f t="shared" si="11"/>
        <v>0</v>
      </c>
    </row>
    <row r="47" spans="1:21" s="48" customFormat="1" ht="13" x14ac:dyDescent="0.35">
      <c r="A47" s="125" t="str">
        <f>S8</f>
        <v>Camp 5</v>
      </c>
      <c r="B47" s="11">
        <v>126</v>
      </c>
      <c r="C47" s="65">
        <f t="shared" si="6"/>
        <v>2.3940000000000003E-2</v>
      </c>
      <c r="D47" s="65">
        <f t="shared" si="7"/>
        <v>120.66238799999999</v>
      </c>
      <c r="E47" s="65">
        <f t="shared" si="8"/>
        <v>29.303190000000004</v>
      </c>
      <c r="F47" s="65">
        <f t="shared" si="9"/>
        <v>5.3898263999999996</v>
      </c>
      <c r="G47" s="65">
        <f t="shared" ref="G47:P50" si="12">IF(G$27="%w/w SAR",((G$28*10)*$B47),IF(G$27="%w/w DM",(((G$28*10)*($B$28/100))*$B47),IF(G$27="kg/t SAR",(G$28*$B47),IF(G$27="kg/t DM",((G$28*($B$28/100))*$B47),IF(G$27="mg/kg SAR",((G$28*0.001)*$B47),IF(G$27="mg/kg DM",(((G$28*0.001)*($B$28/100))*$B47),0))))))</f>
        <v>2.52E-2</v>
      </c>
      <c r="H47" s="65">
        <f t="shared" si="12"/>
        <v>0.1764</v>
      </c>
      <c r="I47" s="65">
        <f t="shared" si="12"/>
        <v>6.3E-2</v>
      </c>
      <c r="J47" s="65">
        <f t="shared" si="12"/>
        <v>1.2600000000000001E-3</v>
      </c>
      <c r="K47" s="65">
        <f t="shared" si="12"/>
        <v>6.3E-3</v>
      </c>
      <c r="L47" s="65">
        <f t="shared" si="12"/>
        <v>2.52E-2</v>
      </c>
      <c r="M47" s="65">
        <f t="shared" si="12"/>
        <v>3.6540000000000003E-2</v>
      </c>
      <c r="N47" s="65">
        <f t="shared" si="12"/>
        <v>0</v>
      </c>
      <c r="O47" s="65">
        <f t="shared" si="12"/>
        <v>0</v>
      </c>
      <c r="P47" s="65">
        <f t="shared" si="12"/>
        <v>48.762</v>
      </c>
      <c r="Q47" s="65">
        <f t="shared" si="10"/>
        <v>37.17</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str">
        <f>Q16&amp;" I "&amp;(VLOOKUP(Q14,Table245811[],6,FALSE))</f>
        <v>Medium/Clay I Grass</v>
      </c>
      <c r="Q58" s="10" t="str">
        <f>R16&amp;" I "&amp;(VLOOKUP(R14,Table245811[],6,FALSE))</f>
        <v>Medium/Clay I Grass</v>
      </c>
      <c r="R58" s="10" t="str">
        <f>S16&amp;" I "&amp;(VLOOKUP(S14,Table245811[],6,FALSE))</f>
        <v>Medium/Clay I Grass</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f>VLOOKUP(Q$14,Table245811[],5,FALSE)</f>
        <v>6.2</v>
      </c>
      <c r="Q59" s="64">
        <f>VLOOKUP(R$14,Table245811[],5,FALSE)</f>
        <v>6.2</v>
      </c>
      <c r="R59" s="64">
        <f>VLOOKUP(S$14,Table245811[],5,FALSE)</f>
        <v>6.2</v>
      </c>
      <c r="S59" s="64" t="e">
        <f>VLOOKUP(T$14,Table245811[],5,FALSE)</f>
        <v>#N/A</v>
      </c>
      <c r="T59" s="64" t="e">
        <f>VLOOKUP(U$14,Table245811[],5,FALSE)</f>
        <v>#N/A</v>
      </c>
      <c r="U59" s="64" t="e">
        <f>VLOOKUP(V$14,Table245811[],5,FALSE)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126</v>
      </c>
      <c r="C62" s="65">
        <f>B32</f>
        <v>126</v>
      </c>
      <c r="D62" s="65">
        <f>B33</f>
        <v>126</v>
      </c>
      <c r="E62" s="65">
        <f>B34</f>
        <v>126</v>
      </c>
      <c r="F62" s="65">
        <f>B35</f>
        <v>126</v>
      </c>
      <c r="G62" s="65">
        <f>B36</f>
        <v>126</v>
      </c>
      <c r="H62" s="65">
        <f>B37</f>
        <v>126</v>
      </c>
      <c r="I62" s="65">
        <f>B38</f>
        <v>83</v>
      </c>
      <c r="J62" s="65">
        <f>B39</f>
        <v>83</v>
      </c>
      <c r="K62" s="65">
        <f>B40</f>
        <v>83</v>
      </c>
      <c r="L62" s="65">
        <f>B41</f>
        <v>83</v>
      </c>
      <c r="M62" s="65">
        <f>B42</f>
        <v>67</v>
      </c>
      <c r="N62" s="65">
        <f>B43</f>
        <v>126</v>
      </c>
      <c r="O62" s="65">
        <f>B44</f>
        <v>126</v>
      </c>
      <c r="P62" s="65">
        <f>B45</f>
        <v>126</v>
      </c>
      <c r="Q62" s="65">
        <f>B46</f>
        <v>126</v>
      </c>
      <c r="R62" s="65">
        <f>B47</f>
        <v>126</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str">
        <f>Q16&amp;" I "&amp;(VLOOKUP(Q14,Table24581112[],6,FALSE))</f>
        <v>Medium/Clay I Grass</v>
      </c>
      <c r="Q58" s="10" t="str">
        <f>R16&amp;" I "&amp;(VLOOKUP(R14,Table24581112[],6,FALSE))</f>
        <v>Medium/Clay I Grass</v>
      </c>
      <c r="R58" s="10" t="str">
        <f>S16&amp;" I "&amp;(VLOOKUP(S14,Table24581112[],6,FALSE))</f>
        <v>Medium/Clay I Grass</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f>VLOOKUP(Q$14,Table24581112[],5,FALSE)</f>
        <v>6.2</v>
      </c>
      <c r="Q59" s="64">
        <f>VLOOKUP(R$14,Table24581112[],5,FALSE)</f>
        <v>6.2</v>
      </c>
      <c r="R59" s="64">
        <f>VLOOKUP(S$14,Table24581112[],5,FALSE)</f>
        <v>6.2</v>
      </c>
      <c r="S59" s="64" t="e">
        <f>VLOOKUP(T$14,Table24581112[],5,FALSE)</f>
        <v>#N/A</v>
      </c>
      <c r="T59" s="64" t="e">
        <f>VLOOKUP(U$14,Table24581112[],5,FALSE)</f>
        <v>#N/A</v>
      </c>
      <c r="U59" s="64" t="e">
        <f>VLOOKUP(V$14,Table24581112[],5,FALSE)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str">
        <f>Q16&amp;" I "&amp;(VLOOKUP(Q14,Table24581114[],6,FALSE))</f>
        <v>Medium/Clay I Grass</v>
      </c>
      <c r="Q58" s="10" t="str">
        <f>R16&amp;" I "&amp;(VLOOKUP(R14,Table24581114[],6,FALSE))</f>
        <v>Medium/Clay I Grass</v>
      </c>
      <c r="R58" s="10" t="str">
        <f>S16&amp;" I "&amp;(VLOOKUP(S14,Table24581114[],6,FALSE))</f>
        <v>Medium/Clay I Grass</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f>VLOOKUP(Q$14,Table24581114[],5,FALSE)</f>
        <v>6.2</v>
      </c>
      <c r="Q59" s="64">
        <f>VLOOKUP(R$14,Table24581114[],5,FALSE)</f>
        <v>6.2</v>
      </c>
      <c r="R59" s="64">
        <f>VLOOKUP(S$14,Table24581114[],5,FALSE)</f>
        <v>6.2</v>
      </c>
      <c r="S59" s="64" t="e">
        <f>VLOOKUP(T$14,Table24581114[],5,FALSE)</f>
        <v>#N/A</v>
      </c>
      <c r="T59" s="64" t="e">
        <f>VLOOKUP(U$14,Table24581114[],5,FALSE)</f>
        <v>#N/A</v>
      </c>
      <c r="U59" s="64" t="e">
        <f>VLOOKUP(V$14,Table24581114[],5,FALSE)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str">
        <f>Q16&amp;" I "&amp;(VLOOKUP(Q14,Table245810[],6,FALSE))</f>
        <v>Medium/Clay I Grass</v>
      </c>
      <c r="Q58" s="10" t="str">
        <f>R16&amp;" I "&amp;(VLOOKUP(R14,Table245810[],6,FALSE))</f>
        <v>Medium/Clay I Grass</v>
      </c>
      <c r="R58" s="10" t="str">
        <f>S16&amp;" I "&amp;(VLOOKUP(S14,Table245810[],6,FALSE))</f>
        <v>Medium/Clay I Grass</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f>VLOOKUP(Q$14,Table245810[],5,FALSE)</f>
        <v>6.2</v>
      </c>
      <c r="Q59" s="64">
        <f>VLOOKUP(R$14,Table245810[],5,FALSE)</f>
        <v>6.2</v>
      </c>
      <c r="R59" s="64">
        <f>VLOOKUP(S$14,Table245810[],5,FALSE)</f>
        <v>6.2</v>
      </c>
      <c r="S59" s="64" t="e">
        <f>VLOOKUP(T$14,Table245810[],5,FALSE)</f>
        <v>#N/A</v>
      </c>
      <c r="T59" s="64" t="e">
        <f>VLOOKUP(U$14,Table245810[],5,FALSE)</f>
        <v>#N/A</v>
      </c>
      <c r="U59" s="64" t="e">
        <f>VLOOKUP(V$14,Table245810[],5,FALSE)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str">
        <f>Q16&amp;" I "&amp;(VLOOKUP(Q14,Table2458[],6,FALSE))</f>
        <v>Medium/Clay I Grass</v>
      </c>
      <c r="Q58" s="10" t="str">
        <f>R16&amp;" I "&amp;(VLOOKUP(R14,Table2458[],6,FALSE))</f>
        <v>Medium/Clay I Grass</v>
      </c>
      <c r="R58" s="10" t="str">
        <f>S16&amp;" I "&amp;(VLOOKUP(S14,Table2458[],6,FALSE))</f>
        <v>Medium/Clay I Grass</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f>VLOOKUP(Q$14,Table2458[],5,FALSE)</f>
        <v>6.2</v>
      </c>
      <c r="Q59" s="64">
        <f>VLOOKUP(R$14,Table2458[],5,FALSE)</f>
        <v>6.2</v>
      </c>
      <c r="R59" s="64">
        <f>VLOOKUP(S$14,Table2458[],5,FALSE)</f>
        <v>6.2</v>
      </c>
      <c r="S59" s="64" t="e">
        <f>VLOOKUP(T$14,Table2458[],5,FALSE)</f>
        <v>#N/A</v>
      </c>
      <c r="T59" s="64" t="e">
        <f>VLOOKUP(U$14,Table2458[],5,FALSE)</f>
        <v>#N/A</v>
      </c>
      <c r="U59" s="64" t="e">
        <f>VLOOKUP(V$14,Table2458[],5,FALSE)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str">
        <f>Q16&amp;" I "&amp;(VLOOKUP(Q14,Table24581113[],6,FALSE))</f>
        <v>Medium/Clay I Grass</v>
      </c>
      <c r="Q58" s="10" t="str">
        <f>R16&amp;" I "&amp;(VLOOKUP(R14,Table24581113[],6,FALSE))</f>
        <v>Medium/Clay I Grass</v>
      </c>
      <c r="R58" s="10" t="str">
        <f>S16&amp;" I "&amp;(VLOOKUP(S14,Table24581113[],6,FALSE))</f>
        <v>Medium/Clay I Grass</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f>VLOOKUP(Q$14,Table24581113[],5,FALSE)</f>
        <v>6.2</v>
      </c>
      <c r="Q59" s="64">
        <f>VLOOKUP(R$14,Table24581113[],5,FALSE)</f>
        <v>6.2</v>
      </c>
      <c r="R59" s="64">
        <f>VLOOKUP(S$14,Table24581113[],5,FALSE)</f>
        <v>6.2</v>
      </c>
      <c r="S59" s="64" t="e">
        <f>VLOOKUP(T$14,Table24581113[],5,FALSE)</f>
        <v>#N/A</v>
      </c>
      <c r="T59" s="64" t="e">
        <f>VLOOKUP(U$14,Table24581113[],5,FALSE)</f>
        <v>#N/A</v>
      </c>
      <c r="U59" s="64" t="e">
        <f>VLOOKUP(V$14,Table24581113[],5,FALSE)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str">
        <f>Q16&amp;" I "&amp;(VLOOKUP(Q14,Table24567[],6,FALSE))</f>
        <v>Medium/Clay I Grass</v>
      </c>
      <c r="Q58" s="10" t="str">
        <f>R16&amp;" I "&amp;(VLOOKUP(R14,Table24567[],6,FALSE))</f>
        <v>Medium/Clay I Grass</v>
      </c>
      <c r="R58" s="10" t="str">
        <f>S16&amp;" I "&amp;(VLOOKUP(S14,Table24567[],6,FALSE))</f>
        <v>Medium/Clay I Grass</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f>VLOOKUP(Q$14,Table24567[],5,FALSE)</f>
        <v>6.2</v>
      </c>
      <c r="Q59" s="64">
        <f>VLOOKUP(R$14,Table24567[],5,FALSE)</f>
        <v>6.2</v>
      </c>
      <c r="R59" s="64">
        <f>VLOOKUP(S$14,Table24567[],5,FALSE)</f>
        <v>6.2</v>
      </c>
      <c r="S59" s="64" t="e">
        <f>VLOOKUP(T$14,Table24567[],5,FALSE)</f>
        <v>#N/A</v>
      </c>
      <c r="T59" s="64" t="e">
        <f>VLOOKUP(U$14,Table24567[],5,FALSE)</f>
        <v>#N/A</v>
      </c>
      <c r="U59" s="64" t="e">
        <f>VLOOKUP(V$14,Table24567[],5,FALSE)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Dairy'!C1:D1</f>
        <v>PAN-030957</v>
      </c>
      <c r="D1" s="173"/>
      <c r="E1" s="106" t="s">
        <v>45</v>
      </c>
      <c r="F1" s="113">
        <f>'Field data and Dairy'!F1</f>
        <v>45.6</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Dairy'!C2:D2</f>
        <v>EPR/AB3891CX</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Dairy'!C3:D3</f>
        <v>Mr Daniel James and Mrs Carys James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Dairy'!C4:D4</f>
        <v>Ffrwdwenith Ganol,Felinwynt, Cardigan, Ceredigion SA43 1RW</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Dairy'!C5:D5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t="str">
        <f>'Field data and Dairy'!C8</f>
        <v>F Ganol 1</v>
      </c>
      <c r="D8" s="49" t="str">
        <f>'Field data and Dairy'!D8</f>
        <v>F Ganol 2</v>
      </c>
      <c r="E8" s="49" t="str">
        <f>'Field data and Dairy'!E8</f>
        <v>F Ganol 3</v>
      </c>
      <c r="F8" s="49" t="str">
        <f>'Field data and Dairy'!F8</f>
        <v>F Ganol 4</v>
      </c>
      <c r="G8" s="49" t="str">
        <f>'Field data and Dairy'!G8</f>
        <v>F Ganol 6</v>
      </c>
      <c r="H8" s="49" t="str">
        <f>'Field data and Dairy'!H8</f>
        <v>F Ganol 7</v>
      </c>
      <c r="I8" s="49" t="str">
        <f>'Field data and Dairy'!I8</f>
        <v>F Ganol 8</v>
      </c>
      <c r="J8" s="49" t="str">
        <f>'Field data and Dairy'!J8</f>
        <v>F Ganol 9</v>
      </c>
      <c r="K8" s="49" t="str">
        <f>'Field data and Dairy'!K8</f>
        <v>F Ganol 10</v>
      </c>
      <c r="L8" s="49" t="str">
        <f>'Field data and Dairy'!L8</f>
        <v>F Ganol 11</v>
      </c>
      <c r="M8" s="49" t="str">
        <f>'Field data and Dairy'!M8</f>
        <v>F Ganol 12</v>
      </c>
      <c r="N8" s="49" t="str">
        <f>'Field data and Dairy'!N8</f>
        <v>F Ganol 13</v>
      </c>
      <c r="O8" s="49" t="str">
        <f>'Field data and Dairy'!O8</f>
        <v>Camp 1</v>
      </c>
      <c r="P8" s="49" t="str">
        <f>'Field data and Dairy'!P8</f>
        <v>Camp 2</v>
      </c>
      <c r="Q8" s="49" t="str">
        <f>'Field data and Dairy'!Q8</f>
        <v>Camp 3</v>
      </c>
      <c r="R8" s="49" t="str">
        <f>'Field data and Dairy'!R8</f>
        <v>Camp 4</v>
      </c>
      <c r="S8" s="49" t="str">
        <f>'Field data and Dairy'!S8</f>
        <v>Camp 5</v>
      </c>
      <c r="T8" s="49">
        <f>'Field data and Dairy'!T8</f>
        <v>0</v>
      </c>
      <c r="U8" s="49">
        <f>'Field data and Dairy'!U8</f>
        <v>0</v>
      </c>
      <c r="V8" s="102">
        <f>'Field data and Dairy'!V8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Dairy'!C9</f>
        <v>mod</v>
      </c>
      <c r="D9" s="49" t="str">
        <f>'Field data and Dairy'!D9</f>
        <v>mod</v>
      </c>
      <c r="E9" s="49" t="str">
        <f>'Field data and Dairy'!E9</f>
        <v>mod</v>
      </c>
      <c r="F9" s="49" t="str">
        <f>'Field data and Dairy'!F9</f>
        <v>mod</v>
      </c>
      <c r="G9" s="49" t="str">
        <f>'Field data and Dairy'!G9</f>
        <v>mod</v>
      </c>
      <c r="H9" s="49" t="str">
        <f>'Field data and Dairy'!H9</f>
        <v>mod</v>
      </c>
      <c r="I9" s="49" t="str">
        <f>'Field data and Dairy'!I9</f>
        <v>mod</v>
      </c>
      <c r="J9" s="49" t="str">
        <f>'Field data and Dairy'!J9</f>
        <v>mod</v>
      </c>
      <c r="K9" s="49" t="str">
        <f>'Field data and Dairy'!K9</f>
        <v>mod</v>
      </c>
      <c r="L9" s="49" t="str">
        <f>'Field data and Dairy'!L9</f>
        <v>mod</v>
      </c>
      <c r="M9" s="49" t="str">
        <f>'Field data and Dairy'!M9</f>
        <v>mod</v>
      </c>
      <c r="N9" s="49" t="str">
        <f>'Field data and Dairy'!N9</f>
        <v>mod</v>
      </c>
      <c r="O9" s="49" t="str">
        <f>'Field data and Dairy'!O9</f>
        <v>mod</v>
      </c>
      <c r="P9" s="49">
        <f>'Field data and Dairy'!P9</f>
        <v>0</v>
      </c>
      <c r="Q9" s="49" t="str">
        <f>'Field data and Dairy'!Q9</f>
        <v>mod</v>
      </c>
      <c r="R9" s="49" t="str">
        <f>'Field data and Dairy'!R9</f>
        <v>mod</v>
      </c>
      <c r="S9" s="49" t="str">
        <f>'Field data and Dairy'!S9</f>
        <v>mod</v>
      </c>
      <c r="T9" s="49">
        <f>'Field data and Dairy'!T9</f>
        <v>0</v>
      </c>
      <c r="U9" s="49">
        <f>'Field data and Dairy'!U9</f>
        <v>0</v>
      </c>
      <c r="V9" s="102">
        <f>'Field data and Dairy'!V9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Dairy'!C10</f>
        <v>6.2</v>
      </c>
      <c r="D10" s="49">
        <f>'Field data and Dairy'!D10</f>
        <v>5.9</v>
      </c>
      <c r="E10" s="49">
        <f>'Field data and Dairy'!E10</f>
        <v>6</v>
      </c>
      <c r="F10" s="49">
        <f>'Field data and Dairy'!F10</f>
        <v>5.7</v>
      </c>
      <c r="G10" s="49">
        <f>'Field data and Dairy'!G10</f>
        <v>5.8</v>
      </c>
      <c r="H10" s="49">
        <f>'Field data and Dairy'!H10</f>
        <v>5.7</v>
      </c>
      <c r="I10" s="49">
        <f>'Field data and Dairy'!I10</f>
        <v>6</v>
      </c>
      <c r="J10" s="49">
        <f>'Field data and Dairy'!J10</f>
        <v>5.9</v>
      </c>
      <c r="K10" s="49">
        <f>'Field data and Dairy'!K10</f>
        <v>6.4</v>
      </c>
      <c r="L10" s="49">
        <f>'Field data and Dairy'!L10</f>
        <v>6.6</v>
      </c>
      <c r="M10" s="49">
        <f>'Field data and Dairy'!M10</f>
        <v>6.5</v>
      </c>
      <c r="N10" s="49">
        <f>'Field data and Dairy'!N10</f>
        <v>5.9</v>
      </c>
      <c r="O10" s="49">
        <f>'Field data and Dairy'!O10</f>
        <v>5.6</v>
      </c>
      <c r="P10" s="49">
        <f>'Field data and Dairy'!P10</f>
        <v>0</v>
      </c>
      <c r="Q10" s="49">
        <f>'Field data and Dairy'!Q10</f>
        <v>5.8</v>
      </c>
      <c r="R10" s="49">
        <f>'Field data and Dairy'!R10</f>
        <v>5.8</v>
      </c>
      <c r="S10" s="49">
        <f>'Field data and Dairy'!S10</f>
        <v>5.7</v>
      </c>
      <c r="T10" s="49">
        <f>'Field data and Dairy'!T10</f>
        <v>0</v>
      </c>
      <c r="U10" s="49">
        <f>'Field data and Dairy'!U10</f>
        <v>0</v>
      </c>
      <c r="V10" s="102">
        <f>'Field data and Dairy'!V10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Dairy'!C11</f>
        <v>0</v>
      </c>
      <c r="D11" s="49">
        <f>'Field data and Dairy'!D11</f>
        <v>0</v>
      </c>
      <c r="E11" s="49">
        <f>'Field data and Dairy'!E11</f>
        <v>1</v>
      </c>
      <c r="F11" s="49">
        <f>'Field data and Dairy'!F11</f>
        <v>1</v>
      </c>
      <c r="G11" s="49">
        <f>'Field data and Dairy'!G11</f>
        <v>1</v>
      </c>
      <c r="H11" s="49">
        <f>'Field data and Dairy'!H11</f>
        <v>0</v>
      </c>
      <c r="I11" s="49">
        <f>'Field data and Dairy'!I11</f>
        <v>1</v>
      </c>
      <c r="J11" s="49">
        <f>'Field data and Dairy'!J11</f>
        <v>3</v>
      </c>
      <c r="K11" s="49">
        <f>'Field data and Dairy'!K11</f>
        <v>2</v>
      </c>
      <c r="L11" s="49">
        <f>'Field data and Dairy'!L11</f>
        <v>2</v>
      </c>
      <c r="M11" s="49">
        <f>'Field data and Dairy'!M11</f>
        <v>2</v>
      </c>
      <c r="N11" s="49">
        <f>'Field data and Dairy'!N11</f>
        <v>3</v>
      </c>
      <c r="O11" s="49">
        <f>'Field data and Dairy'!O11</f>
        <v>0</v>
      </c>
      <c r="P11" s="49">
        <f>'Field data and Dairy'!P11</f>
        <v>0</v>
      </c>
      <c r="Q11" s="49">
        <f>'Field data and Dairy'!Q11</f>
        <v>1</v>
      </c>
      <c r="R11" s="49">
        <f>'Field data and Dairy'!R11</f>
        <v>1</v>
      </c>
      <c r="S11" s="49">
        <f>'Field data and Dairy'!S11</f>
        <v>1</v>
      </c>
      <c r="T11" s="49">
        <f>'Field data and Dairy'!T11</f>
        <v>0</v>
      </c>
      <c r="U11" s="49">
        <f>'Field data and Dairy'!U11</f>
        <v>0</v>
      </c>
      <c r="V11" s="102">
        <f>'Field data and Dairy'!V11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Dairy'!C12</f>
        <v>0</v>
      </c>
      <c r="D12" s="49">
        <f>'Field data and Dairy'!D12</f>
        <v>1</v>
      </c>
      <c r="E12" s="49">
        <f>'Field data and Dairy'!E12</f>
        <v>0</v>
      </c>
      <c r="F12" s="49">
        <f>'Field data and Dairy'!F12</f>
        <v>0</v>
      </c>
      <c r="G12" s="49">
        <f>'Field data and Dairy'!G12</f>
        <v>0</v>
      </c>
      <c r="H12" s="49">
        <f>'Field data and Dairy'!H12</f>
        <v>0</v>
      </c>
      <c r="I12" s="49">
        <f>'Field data and Dairy'!I12</f>
        <v>0</v>
      </c>
      <c r="J12" s="49">
        <f>'Field data and Dairy'!J12</f>
        <v>0</v>
      </c>
      <c r="K12" s="49">
        <f>'Field data and Dairy'!K12</f>
        <v>1</v>
      </c>
      <c r="L12" s="49">
        <f>'Field data and Dairy'!L12</f>
        <v>1</v>
      </c>
      <c r="M12" s="49">
        <f>'Field data and Dairy'!M12</f>
        <v>1</v>
      </c>
      <c r="N12" s="49">
        <f>'Field data and Dairy'!N12</f>
        <v>1</v>
      </c>
      <c r="O12" s="49">
        <f>'Field data and Dairy'!O12</f>
        <v>1</v>
      </c>
      <c r="P12" s="49">
        <f>'Field data and Dairy'!P12</f>
        <v>0</v>
      </c>
      <c r="Q12" s="49">
        <f>'Field data and Dairy'!Q12</f>
        <v>1</v>
      </c>
      <c r="R12" s="49">
        <f>'Field data and Dairy'!R12</f>
        <v>1</v>
      </c>
      <c r="S12" s="49">
        <f>'Field data and Dairy'!S12</f>
        <v>1</v>
      </c>
      <c r="T12" s="49">
        <f>'Field data and Dairy'!T12</f>
        <v>0</v>
      </c>
      <c r="U12" s="49">
        <f>'Field data and Dairy'!U12</f>
        <v>0</v>
      </c>
      <c r="V12" s="102">
        <f>'Field data and Dairy'!V12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Dairy'!C13</f>
        <v>2</v>
      </c>
      <c r="D13" s="49">
        <f>'Field data and Dairy'!D13</f>
        <v>2</v>
      </c>
      <c r="E13" s="49">
        <f>'Field data and Dairy'!E13</f>
        <v>2</v>
      </c>
      <c r="F13" s="49">
        <f>'Field data and Dairy'!F13</f>
        <v>2</v>
      </c>
      <c r="G13" s="49">
        <f>'Field data and Dairy'!G13</f>
        <v>2</v>
      </c>
      <c r="H13" s="49">
        <f>'Field data and Dairy'!H13</f>
        <v>2</v>
      </c>
      <c r="I13" s="49">
        <f>'Field data and Dairy'!I13</f>
        <v>2</v>
      </c>
      <c r="J13" s="49">
        <f>'Field data and Dairy'!J13</f>
        <v>2</v>
      </c>
      <c r="K13" s="49">
        <f>'Field data and Dairy'!K13</f>
        <v>2</v>
      </c>
      <c r="L13" s="49">
        <f>'Field data and Dairy'!L13</f>
        <v>3</v>
      </c>
      <c r="M13" s="49">
        <f>'Field data and Dairy'!M13</f>
        <v>3</v>
      </c>
      <c r="N13" s="49">
        <f>'Field data and Dairy'!N13</f>
        <v>2</v>
      </c>
      <c r="O13" s="49">
        <f>'Field data and Dairy'!O13</f>
        <v>2</v>
      </c>
      <c r="P13" s="49">
        <f>'Field data and Dairy'!P13</f>
        <v>0</v>
      </c>
      <c r="Q13" s="49">
        <f>'Field data and Dairy'!Q13</f>
        <v>1</v>
      </c>
      <c r="R13" s="49">
        <f>'Field data and Dairy'!R13</f>
        <v>2</v>
      </c>
      <c r="S13" s="49">
        <f>'Field data and Dairy'!S13</f>
        <v>1</v>
      </c>
      <c r="T13" s="49">
        <f>'Field data and Dairy'!T13</f>
        <v>0</v>
      </c>
      <c r="U13" s="49">
        <f>'Field data and Dairy'!U13</f>
        <v>0</v>
      </c>
      <c r="V13" s="102">
        <f>'Field data and Dairy'!V13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Dairy'!C14</f>
        <v xml:space="preserve">Grass Silage (25% DM) </v>
      </c>
      <c r="D14" s="83" t="str">
        <f>'Field data and Dairy'!D14</f>
        <v xml:space="preserve">Grass Silage (25% DM) </v>
      </c>
      <c r="E14" s="83" t="str">
        <f>'Field data and Dairy'!E14</f>
        <v xml:space="preserve">Grass Silage (25% DM) </v>
      </c>
      <c r="F14" s="83" t="str">
        <f>'Field data and Dairy'!F14</f>
        <v xml:space="preserve">Grass Silage (25% DM) </v>
      </c>
      <c r="G14" s="83" t="str">
        <f>'Field data and Dairy'!G14</f>
        <v xml:space="preserve">Grass Silage (25% DM) </v>
      </c>
      <c r="H14" s="83" t="str">
        <f>'Field data and Dairy'!H14</f>
        <v xml:space="preserve">Grass Silage (25% DM) </v>
      </c>
      <c r="I14" s="83" t="str">
        <f>'Field data and Dairy'!I14</f>
        <v xml:space="preserve">Grass Silage (25% DM) </v>
      </c>
      <c r="J14" s="83" t="str">
        <f>'Field data and Dairy'!J14</f>
        <v xml:space="preserve">Grass Silage (25% DM) </v>
      </c>
      <c r="K14" s="83" t="str">
        <f>'Field data and Dairy'!K14</f>
        <v xml:space="preserve">Grass Silage (25% DM) </v>
      </c>
      <c r="L14" s="83" t="str">
        <f>'Field data and Dairy'!L14</f>
        <v xml:space="preserve">Grass Silage (25% DM) </v>
      </c>
      <c r="M14" s="83" t="str">
        <f>'Field data and Dairy'!M14</f>
        <v xml:space="preserve">Grass Silage (25% DM) </v>
      </c>
      <c r="N14" s="83" t="str">
        <f>'Field data and Dairy'!N14</f>
        <v xml:space="preserve">Grass Silage (25% DM) </v>
      </c>
      <c r="O14" s="83" t="str">
        <f>'Field data and Dairy'!O14</f>
        <v xml:space="preserve">Grass Silage (25% DM) </v>
      </c>
      <c r="P14" s="83">
        <f>'Field data and Dairy'!P14</f>
        <v>0</v>
      </c>
      <c r="Q14" s="83" t="str">
        <f>'Field data and Dairy'!Q14</f>
        <v xml:space="preserve">Grass Silage (25% DM) </v>
      </c>
      <c r="R14" s="83" t="str">
        <f>'Field data and Dairy'!R14</f>
        <v xml:space="preserve">Grass Silage (25% DM) </v>
      </c>
      <c r="S14" s="83" t="str">
        <f>'Field data and Dairy'!S14</f>
        <v xml:space="preserve">Grass Silage (25% DM) </v>
      </c>
      <c r="T14" s="83">
        <f>'Field data and Dairy'!T14</f>
        <v>0</v>
      </c>
      <c r="U14" s="83">
        <f>'Field data and Dairy'!U14</f>
        <v>0</v>
      </c>
      <c r="V14" s="103">
        <f>'Field data and Dairy'!V14</f>
        <v>0</v>
      </c>
      <c r="AD14" s="22" t="s">
        <v>138</v>
      </c>
      <c r="AE14" s="22">
        <v>6</v>
      </c>
      <c r="AI14" s="43" t="s">
        <v>119</v>
      </c>
      <c r="AJ14" s="44">
        <v>0.8</v>
      </c>
      <c r="AK14" s="45">
        <v>1.7</v>
      </c>
      <c r="AL14" s="9">
        <v>12</v>
      </c>
      <c r="AM14" s="9">
        <v>6.7</v>
      </c>
      <c r="AN14" s="9" t="s">
        <v>135</v>
      </c>
    </row>
    <row r="15" spans="1:41" ht="13" x14ac:dyDescent="0.25">
      <c r="A15" s="148" t="s">
        <v>9</v>
      </c>
      <c r="B15" s="149"/>
      <c r="C15" s="49">
        <f>'Field data and Dairy'!C15</f>
        <v>47</v>
      </c>
      <c r="D15" s="49">
        <f>'Field data and Dairy'!D15</f>
        <v>47</v>
      </c>
      <c r="E15" s="49">
        <f>'Field data and Dairy'!E15</f>
        <v>47</v>
      </c>
      <c r="F15" s="49">
        <f>'Field data and Dairy'!F15</f>
        <v>38</v>
      </c>
      <c r="G15" s="49">
        <f>'Field data and Dairy'!G15</f>
        <v>47</v>
      </c>
      <c r="H15" s="49">
        <f>'Field data and Dairy'!H15</f>
        <v>47</v>
      </c>
      <c r="I15" s="49">
        <f>'Field data and Dairy'!I15</f>
        <v>47</v>
      </c>
      <c r="J15" s="49">
        <f>'Field data and Dairy'!J15</f>
        <v>56</v>
      </c>
      <c r="K15" s="49">
        <f>'Field data and Dairy'!K15</f>
        <v>47</v>
      </c>
      <c r="L15" s="49">
        <f>'Field data and Dairy'!L15</f>
        <v>47</v>
      </c>
      <c r="M15" s="49">
        <f>'Field data and Dairy'!M15</f>
        <v>47</v>
      </c>
      <c r="N15" s="49">
        <f>'Field data and Dairy'!N15</f>
        <v>38</v>
      </c>
      <c r="O15" s="49">
        <f>'Field data and Dairy'!O15</f>
        <v>47</v>
      </c>
      <c r="P15" s="49">
        <f>'Field data and Dairy'!P15</f>
        <v>0</v>
      </c>
      <c r="Q15" s="49">
        <f>'Field data and Dairy'!Q15</f>
        <v>47</v>
      </c>
      <c r="R15" s="49">
        <f>'Field data and Dairy'!R15</f>
        <v>47</v>
      </c>
      <c r="S15" s="49">
        <f>'Field data and Dairy'!S15</f>
        <v>47</v>
      </c>
      <c r="T15" s="49">
        <f>'Field data and Dairy'!T15</f>
        <v>0</v>
      </c>
      <c r="U15" s="49">
        <f>'Field data and Dairy'!U15</f>
        <v>0</v>
      </c>
      <c r="V15" s="102">
        <f>'Field data and Dairy'!V15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Dairy'!C16</f>
        <v>Medium/Clay</v>
      </c>
      <c r="D16" s="104" t="str">
        <f>'Field data and Dairy'!D16</f>
        <v>Medium/Clay</v>
      </c>
      <c r="E16" s="104" t="str">
        <f>'Field data and Dairy'!E16</f>
        <v>Medium/Clay</v>
      </c>
      <c r="F16" s="104" t="str">
        <f>'Field data and Dairy'!F16</f>
        <v>Medium/Clay</v>
      </c>
      <c r="G16" s="104" t="str">
        <f>'Field data and Dairy'!G16</f>
        <v>Medium/Clay</v>
      </c>
      <c r="H16" s="104" t="str">
        <f>'Field data and Dairy'!H16</f>
        <v>Medium/Clay</v>
      </c>
      <c r="I16" s="104" t="str">
        <f>'Field data and Dairy'!I16</f>
        <v>Medium/Clay</v>
      </c>
      <c r="J16" s="104" t="str">
        <f>'Field data and Dairy'!J16</f>
        <v>Medium/Clay</v>
      </c>
      <c r="K16" s="104" t="str">
        <f>'Field data and Dairy'!K16</f>
        <v>Medium/Clay</v>
      </c>
      <c r="L16" s="104" t="str">
        <f>'Field data and Dairy'!L16</f>
        <v>Medium/Clay</v>
      </c>
      <c r="M16" s="104" t="str">
        <f>'Field data and Dairy'!M16</f>
        <v>Medium/Clay</v>
      </c>
      <c r="N16" s="104" t="str">
        <f>'Field data and Dairy'!N16</f>
        <v>Medium/Clay</v>
      </c>
      <c r="O16" s="104" t="str">
        <f>'Field data and Dairy'!O16</f>
        <v>Medium/Clay</v>
      </c>
      <c r="P16" s="104">
        <f>'Field data and Dairy'!P16</f>
        <v>0</v>
      </c>
      <c r="Q16" s="104" t="str">
        <f>'Field data and Dairy'!Q16</f>
        <v>Medium/Clay</v>
      </c>
      <c r="R16" s="104" t="str">
        <f>'Field data and Dairy'!R16</f>
        <v>Medium/Clay</v>
      </c>
      <c r="S16" s="104" t="str">
        <f>'Field data and Dairy'!S16</f>
        <v>Medium/Clay</v>
      </c>
      <c r="T16" s="104">
        <f>'Field data and Dairy'!T16</f>
        <v>0</v>
      </c>
      <c r="U16" s="104">
        <f>'Field data and Dairy'!U16</f>
        <v>0</v>
      </c>
      <c r="V16" s="105">
        <f>'Field data and Dairy'!V16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64.599999999999994</v>
      </c>
      <c r="G17" s="20">
        <f t="shared" si="0"/>
        <v>79.899999999999991</v>
      </c>
      <c r="H17" s="20">
        <f t="shared" si="0"/>
        <v>79.899999999999991</v>
      </c>
      <c r="I17" s="20">
        <f t="shared" si="0"/>
        <v>79.899999999999991</v>
      </c>
      <c r="J17" s="20">
        <f t="shared" si="0"/>
        <v>95.2</v>
      </c>
      <c r="K17" s="20">
        <f t="shared" si="0"/>
        <v>79.899999999999991</v>
      </c>
      <c r="L17" s="20">
        <f t="shared" si="0"/>
        <v>79.899999999999991</v>
      </c>
      <c r="M17" s="20">
        <f t="shared" si="0"/>
        <v>79.899999999999991</v>
      </c>
      <c r="N17" s="20">
        <f t="shared" si="0"/>
        <v>64.599999999999994</v>
      </c>
      <c r="O17" s="20">
        <f t="shared" si="0"/>
        <v>79.899999999999991</v>
      </c>
      <c r="P17" s="20" t="e">
        <f t="shared" si="0"/>
        <v>#N/A</v>
      </c>
      <c r="Q17" s="20">
        <f t="shared" si="0"/>
        <v>79.899999999999991</v>
      </c>
      <c r="R17" s="20">
        <f t="shared" si="0"/>
        <v>79.899999999999991</v>
      </c>
      <c r="S17" s="20">
        <f t="shared" si="0"/>
        <v>79.899999999999991</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-64.599999999999994</v>
      </c>
      <c r="G19" s="12">
        <f t="shared" si="1"/>
        <v>-79.899999999999991</v>
      </c>
      <c r="H19" s="12">
        <f t="shared" si="1"/>
        <v>-79.899999999999991</v>
      </c>
      <c r="I19" s="12">
        <f t="shared" si="1"/>
        <v>-79.899999999999991</v>
      </c>
      <c r="J19" s="12">
        <f t="shared" si="1"/>
        <v>-95.2</v>
      </c>
      <c r="K19" s="12">
        <f t="shared" si="1"/>
        <v>-79.899999999999991</v>
      </c>
      <c r="L19" s="12">
        <f t="shared" si="1"/>
        <v>-79.899999999999991</v>
      </c>
      <c r="M19" s="12">
        <f t="shared" si="1"/>
        <v>-79.899999999999991</v>
      </c>
      <c r="N19" s="12">
        <f t="shared" si="1"/>
        <v>-64.599999999999994</v>
      </c>
      <c r="O19" s="12">
        <f t="shared" si="1"/>
        <v>-79.899999999999991</v>
      </c>
      <c r="P19" s="12" t="e">
        <f t="shared" si="1"/>
        <v>#N/A</v>
      </c>
      <c r="Q19" s="12">
        <f t="shared" si="1"/>
        <v>-79.899999999999991</v>
      </c>
      <c r="R19" s="12">
        <f t="shared" si="1"/>
        <v>-79.899999999999991</v>
      </c>
      <c r="S19" s="12">
        <f t="shared" si="1"/>
        <v>-79.899999999999991</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228</v>
      </c>
      <c r="G21" s="20">
        <f t="shared" si="2"/>
        <v>282</v>
      </c>
      <c r="H21" s="20">
        <f t="shared" si="2"/>
        <v>282</v>
      </c>
      <c r="I21" s="20">
        <f t="shared" si="2"/>
        <v>282</v>
      </c>
      <c r="J21" s="20">
        <f t="shared" si="2"/>
        <v>336</v>
      </c>
      <c r="K21" s="20">
        <f t="shared" si="2"/>
        <v>282</v>
      </c>
      <c r="L21" s="20">
        <f t="shared" si="2"/>
        <v>282</v>
      </c>
      <c r="M21" s="20">
        <f t="shared" si="2"/>
        <v>282</v>
      </c>
      <c r="N21" s="20">
        <f t="shared" si="2"/>
        <v>228</v>
      </c>
      <c r="O21" s="20">
        <f t="shared" si="2"/>
        <v>282</v>
      </c>
      <c r="P21" s="20" t="e">
        <f t="shared" si="2"/>
        <v>#N/A</v>
      </c>
      <c r="Q21" s="20">
        <f t="shared" si="2"/>
        <v>282</v>
      </c>
      <c r="R21" s="20">
        <f t="shared" si="2"/>
        <v>282</v>
      </c>
      <c r="S21" s="20">
        <f t="shared" si="2"/>
        <v>282</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-228</v>
      </c>
      <c r="G23" s="12">
        <f t="shared" si="3"/>
        <v>-282</v>
      </c>
      <c r="H23" s="12">
        <f t="shared" si="3"/>
        <v>-282</v>
      </c>
      <c r="I23" s="12">
        <f t="shared" si="3"/>
        <v>-282</v>
      </c>
      <c r="J23" s="12">
        <f t="shared" si="3"/>
        <v>-336</v>
      </c>
      <c r="K23" s="12">
        <f t="shared" si="3"/>
        <v>-282</v>
      </c>
      <c r="L23" s="12">
        <f t="shared" si="3"/>
        <v>-282</v>
      </c>
      <c r="M23" s="12">
        <f t="shared" si="3"/>
        <v>-282</v>
      </c>
      <c r="N23" s="12">
        <f t="shared" si="3"/>
        <v>-228</v>
      </c>
      <c r="O23" s="12">
        <f t="shared" si="3"/>
        <v>-282</v>
      </c>
      <c r="P23" s="12" t="e">
        <f t="shared" si="3"/>
        <v>#N/A</v>
      </c>
      <c r="Q23" s="12">
        <f t="shared" si="3"/>
        <v>-282</v>
      </c>
      <c r="R23" s="12">
        <f t="shared" si="3"/>
        <v>-282</v>
      </c>
      <c r="S23" s="12">
        <f t="shared" si="3"/>
        <v>-282</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F Ganol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F Ganol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F Ganol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F Ganol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F Ganol 6</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F Ganol 7</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F Ganol 8</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F Ganol 9</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F Ganol 10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F Ganol 11</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F Ganol 12</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F Ganol 13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Camp 1</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Camp 2</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Camp 3</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t="str">
        <f>R8</f>
        <v>Camp 4</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t="str">
        <f>S8</f>
        <v>Camp 5</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F Ganol 1</v>
      </c>
      <c r="C57" s="8" t="str">
        <f t="shared" ref="C57:U57" si="13">D8</f>
        <v>F Ganol 2</v>
      </c>
      <c r="D57" s="8" t="str">
        <f t="shared" si="13"/>
        <v>F Ganol 3</v>
      </c>
      <c r="E57" s="8" t="str">
        <f t="shared" si="13"/>
        <v>F Ganol 4</v>
      </c>
      <c r="F57" s="8" t="str">
        <f t="shared" si="13"/>
        <v>F Ganol 6</v>
      </c>
      <c r="G57" s="8" t="str">
        <f t="shared" si="13"/>
        <v>F Ganol 7</v>
      </c>
      <c r="H57" s="8" t="str">
        <f t="shared" si="13"/>
        <v>F Ganol 8</v>
      </c>
      <c r="I57" s="8" t="str">
        <f t="shared" si="13"/>
        <v>F Ganol 9</v>
      </c>
      <c r="J57" s="8" t="str">
        <f t="shared" si="13"/>
        <v>F Ganol 10</v>
      </c>
      <c r="K57" s="8" t="str">
        <f t="shared" si="13"/>
        <v>F Ganol 11</v>
      </c>
      <c r="L57" s="8" t="str">
        <f t="shared" si="13"/>
        <v>F Ganol 12</v>
      </c>
      <c r="M57" s="8" t="str">
        <f t="shared" si="13"/>
        <v>F Ganol 13</v>
      </c>
      <c r="N57" s="8" t="str">
        <f t="shared" si="13"/>
        <v>Camp 1</v>
      </c>
      <c r="O57" s="8" t="str">
        <f t="shared" si="13"/>
        <v>Camp 2</v>
      </c>
      <c r="P57" s="8" t="str">
        <f t="shared" si="13"/>
        <v>Camp 3</v>
      </c>
      <c r="Q57" s="8" t="str">
        <f t="shared" si="13"/>
        <v>Camp 4</v>
      </c>
      <c r="R57" s="8" t="str">
        <f t="shared" si="13"/>
        <v>Camp 5</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str">
        <f>Q16&amp;" I "&amp;(VLOOKUP(Q14,Table2456[],6,FALSE))</f>
        <v>Medium/Clay I Grass</v>
      </c>
      <c r="Q58" s="10" t="str">
        <f>R16&amp;" I "&amp;(VLOOKUP(R14,Table2456[],6,FALSE))</f>
        <v>Medium/Clay I Grass</v>
      </c>
      <c r="R58" s="10" t="str">
        <f>S16&amp;" I "&amp;(VLOOKUP(S14,Table2456[],6,FALSE))</f>
        <v>Medium/Clay I Grass</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f>VLOOKUP(Q$14,Table2456[],5,FALSE)</f>
        <v>6.2</v>
      </c>
      <c r="Q59" s="64">
        <f>VLOOKUP(R$14,Table2456[],5,FALSE)</f>
        <v>6.2</v>
      </c>
      <c r="R59" s="64">
        <f>VLOOKUP(S$14,Table2456[],5,FALSE)</f>
        <v>6.2</v>
      </c>
      <c r="S59" s="64" t="e">
        <f>VLOOKUP(T$14,Table2456[],5,FALSE)</f>
        <v>#N/A</v>
      </c>
      <c r="T59" s="64" t="e">
        <f>VLOOKUP(U$14,Table2456[],5,FALSE)</f>
        <v>#N/A</v>
      </c>
      <c r="U59" s="64" t="e">
        <f>VLOOKUP(V$14,Table2456[],5,FALSE)</f>
        <v>#N/A</v>
      </c>
    </row>
    <row r="60" spans="1:21" ht="13" x14ac:dyDescent="0.3">
      <c r="A60" s="87" t="s">
        <v>4</v>
      </c>
      <c r="B60" s="64">
        <f>C10</f>
        <v>6.2</v>
      </c>
      <c r="C60" s="64">
        <f t="shared" ref="C60:U60" si="14">D10</f>
        <v>5.9</v>
      </c>
      <c r="D60" s="64">
        <f t="shared" si="14"/>
        <v>6</v>
      </c>
      <c r="E60" s="64">
        <f t="shared" si="14"/>
        <v>5.7</v>
      </c>
      <c r="F60" s="64">
        <f t="shared" si="14"/>
        <v>5.8</v>
      </c>
      <c r="G60" s="64">
        <f t="shared" si="14"/>
        <v>5.7</v>
      </c>
      <c r="H60" s="64">
        <f t="shared" si="14"/>
        <v>6</v>
      </c>
      <c r="I60" s="64">
        <f t="shared" si="14"/>
        <v>5.9</v>
      </c>
      <c r="J60" s="64">
        <f t="shared" si="14"/>
        <v>6.4</v>
      </c>
      <c r="K60" s="64">
        <f t="shared" si="14"/>
        <v>6.6</v>
      </c>
      <c r="L60" s="64">
        <f t="shared" si="14"/>
        <v>6.5</v>
      </c>
      <c r="M60" s="64">
        <f t="shared" si="14"/>
        <v>5.9</v>
      </c>
      <c r="N60" s="64">
        <f t="shared" si="14"/>
        <v>5.6</v>
      </c>
      <c r="O60" s="64">
        <f t="shared" si="14"/>
        <v>0</v>
      </c>
      <c r="P60" s="64">
        <f t="shared" si="14"/>
        <v>5.8</v>
      </c>
      <c r="Q60" s="64">
        <f t="shared" si="14"/>
        <v>5.8</v>
      </c>
      <c r="R60" s="64">
        <f t="shared" si="14"/>
        <v>5.7</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f t="shared" si="15"/>
        <v>6</v>
      </c>
      <c r="Q61" s="64">
        <f t="shared" si="15"/>
        <v>6</v>
      </c>
      <c r="R61" s="64">
        <f t="shared" si="15"/>
        <v>6</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v>
      </c>
      <c r="C64" s="65">
        <f t="shared" ref="C64:U64" si="17">(C59-C60)*C61</f>
        <v>1.7999999999999989</v>
      </c>
      <c r="D64" s="65">
        <f t="shared" si="17"/>
        <v>1.2000000000000011</v>
      </c>
      <c r="E64" s="65">
        <f t="shared" si="17"/>
        <v>3</v>
      </c>
      <c r="F64" s="65">
        <f t="shared" si="17"/>
        <v>2.4000000000000021</v>
      </c>
      <c r="G64" s="65">
        <f t="shared" si="17"/>
        <v>3</v>
      </c>
      <c r="H64" s="65">
        <f t="shared" si="17"/>
        <v>1.2000000000000011</v>
      </c>
      <c r="I64" s="65">
        <f t="shared" si="17"/>
        <v>1.7999999999999989</v>
      </c>
      <c r="J64" s="65">
        <f t="shared" si="17"/>
        <v>-1.2000000000000011</v>
      </c>
      <c r="K64" s="65">
        <f t="shared" si="17"/>
        <v>-2.3999999999999968</v>
      </c>
      <c r="L64" s="65">
        <f t="shared" si="17"/>
        <v>-1.7999999999999989</v>
      </c>
      <c r="M64" s="65">
        <f t="shared" si="17"/>
        <v>1.7999999999999989</v>
      </c>
      <c r="N64" s="65">
        <f t="shared" si="17"/>
        <v>3.6000000000000032</v>
      </c>
      <c r="O64" s="65" t="e">
        <f t="shared" si="17"/>
        <v>#N/A</v>
      </c>
      <c r="P64" s="65">
        <f t="shared" si="17"/>
        <v>2.4000000000000021</v>
      </c>
      <c r="Q64" s="65">
        <f t="shared" si="17"/>
        <v>2.4000000000000021</v>
      </c>
      <c r="R64" s="65">
        <f t="shared" si="17"/>
        <v>3</v>
      </c>
      <c r="S64" s="65" t="e">
        <f t="shared" si="17"/>
        <v>#N/A</v>
      </c>
      <c r="T64" s="65" t="e">
        <f t="shared" si="17"/>
        <v>#N/A</v>
      </c>
      <c r="U64" s="65" t="e">
        <f t="shared" si="17"/>
        <v>#N/A</v>
      </c>
    </row>
    <row r="65" spans="1:21" ht="52" x14ac:dyDescent="0.3">
      <c r="A65" s="88" t="s">
        <v>157</v>
      </c>
      <c r="B65" s="65">
        <f>B63-B64</f>
        <v>0</v>
      </c>
      <c r="C65" s="65">
        <f t="shared" ref="C65:U65" si="18">C63-C64</f>
        <v>-1.7999999999999989</v>
      </c>
      <c r="D65" s="65">
        <f t="shared" si="18"/>
        <v>-1.2000000000000011</v>
      </c>
      <c r="E65" s="65">
        <f t="shared" si="18"/>
        <v>-3</v>
      </c>
      <c r="F65" s="65">
        <f t="shared" si="18"/>
        <v>-2.4000000000000021</v>
      </c>
      <c r="G65" s="65">
        <f t="shared" si="18"/>
        <v>-3</v>
      </c>
      <c r="H65" s="65">
        <f t="shared" si="18"/>
        <v>-1.2000000000000011</v>
      </c>
      <c r="I65" s="65">
        <f t="shared" si="18"/>
        <v>-1.7999999999999989</v>
      </c>
      <c r="J65" s="65">
        <f t="shared" si="18"/>
        <v>1.2000000000000011</v>
      </c>
      <c r="K65" s="65">
        <f t="shared" si="18"/>
        <v>2.3999999999999968</v>
      </c>
      <c r="L65" s="65">
        <f t="shared" si="18"/>
        <v>1.7999999999999989</v>
      </c>
      <c r="M65" s="65">
        <f t="shared" si="18"/>
        <v>-1.7999999999999989</v>
      </c>
      <c r="N65" s="65">
        <f t="shared" si="18"/>
        <v>-3.6000000000000032</v>
      </c>
      <c r="O65" s="65" t="e">
        <f t="shared" si="18"/>
        <v>#N/A</v>
      </c>
      <c r="P65" s="65">
        <f t="shared" si="18"/>
        <v>-2.4000000000000021</v>
      </c>
      <c r="Q65" s="65">
        <f t="shared" si="18"/>
        <v>-2.4000000000000021</v>
      </c>
      <c r="R65" s="65">
        <f t="shared" si="18"/>
        <v>-3</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OVER</v>
      </c>
      <c r="L66" s="66" t="str">
        <f t="shared" si="19"/>
        <v>OVER</v>
      </c>
      <c r="M66" s="66" t="str">
        <f t="shared" si="19"/>
        <v>UNDER</v>
      </c>
      <c r="N66" s="66" t="str">
        <f t="shared" si="19"/>
        <v>UNDER</v>
      </c>
      <c r="O66" s="66" t="e">
        <f t="shared" si="19"/>
        <v>#N/A</v>
      </c>
      <c r="P66" s="66" t="str">
        <f t="shared" si="19"/>
        <v>UNDER</v>
      </c>
      <c r="Q66" s="66" t="str">
        <f t="shared" si="19"/>
        <v>UNDER</v>
      </c>
      <c r="R66" s="66" t="str">
        <f t="shared" si="19"/>
        <v>UNDER</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Dairy'!B29</f>
        <v>Application Rate</v>
      </c>
      <c r="C1" s="29" t="str">
        <f>'Field data and Dairy'!C29</f>
        <v>Nitrogen Addition</v>
      </c>
      <c r="D1" s="29" t="str">
        <f>'Field data and Dairy'!D29</f>
        <v>Phosphate Addition</v>
      </c>
      <c r="E1" s="29" t="str">
        <f>'Field data and Dairy'!E29</f>
        <v>Potash  Addition</v>
      </c>
      <c r="F1" s="29" t="str">
        <f>'Field data and Dairy'!F29</f>
        <v>Mg Oxide Addition</v>
      </c>
      <c r="G1" s="29" t="str">
        <f>'Field data and Dairy'!G29</f>
        <v>Copper Addition</v>
      </c>
      <c r="H1" s="29" t="str">
        <f>'Field data and Dairy'!H29</f>
        <v>Zinc Addition</v>
      </c>
      <c r="I1" s="29" t="str">
        <f>'Field data and Dairy'!I29</f>
        <v>Lead Addition</v>
      </c>
      <c r="J1" s="29" t="str">
        <f>'Field data and Dairy'!J29</f>
        <v>Cadmium Addition</v>
      </c>
      <c r="K1" s="29" t="str">
        <f>'Field data and Dairy'!K29</f>
        <v>Mercury Addition</v>
      </c>
      <c r="L1" s="29" t="str">
        <f>'Field data and Dairy'!L29</f>
        <v>Nickel Addition</v>
      </c>
      <c r="M1" s="29" t="str">
        <f>'Field data and Dairy'!M29</f>
        <v>Chromium Addition</v>
      </c>
      <c r="N1" s="29" t="str">
        <f>'Field data and Dairy'!N29</f>
        <v>Aluminium Addition</v>
      </c>
      <c r="O1" s="29" t="str">
        <f>'Field data and Dairy'!O29</f>
        <v>Iron Addition</v>
      </c>
      <c r="P1" s="29" t="str">
        <f>'Field data and Dairy'!P29</f>
        <v xml:space="preserve">Sodium Addition                 </v>
      </c>
      <c r="Q1" s="29" t="str">
        <f>'Field data and Dairy'!Q29</f>
        <v>SO3  Addition                             kg/ha</v>
      </c>
      <c r="R1" s="29" t="str">
        <f>'Field data and Dairy'!R29</f>
        <v xml:space="preserve">Selenium Addition </v>
      </c>
      <c r="S1" s="29" t="str">
        <f>'Field data and Dairy'!S29</f>
        <v xml:space="preserve">Arsenic  Addition  </v>
      </c>
      <c r="T1" s="29" t="str">
        <f>'Field data and Dairy'!T29</f>
        <v xml:space="preserve">Molybdenum Addition  </v>
      </c>
      <c r="U1" s="29" t="str">
        <f>'Field data and Dairy'!U29</f>
        <v xml:space="preserve">Fluoride Addition </v>
      </c>
    </row>
    <row r="2" spans="1:21" ht="25" x14ac:dyDescent="0.25">
      <c r="A2" s="174"/>
      <c r="B2" s="29" t="str">
        <f>'Field data and Dairy'!B30</f>
        <v>tonnes/ha</v>
      </c>
      <c r="C2" s="29" t="str">
        <f>'Field data and Dairy'!C30</f>
        <v>kg/ha</v>
      </c>
      <c r="D2" s="29" t="str">
        <f>'Field data and Dairy'!D30</f>
        <v>P2O5 
kg/ha</v>
      </c>
      <c r="E2" s="29" t="str">
        <f>'Field data and Dairy'!E30</f>
        <v>K2O 
kg/ha</v>
      </c>
      <c r="F2" s="29" t="str">
        <f>'Field data and Dairy'!F30</f>
        <v>MgO 
kg/ha</v>
      </c>
      <c r="G2" s="29" t="str">
        <f>'Field data and Dairy'!G30</f>
        <v>kg/ha</v>
      </c>
      <c r="H2" s="29" t="str">
        <f>'Field data and Dairy'!H30</f>
        <v>kg/ha</v>
      </c>
      <c r="I2" s="29" t="str">
        <f>'Field data and Dairy'!I30</f>
        <v>kg/ha</v>
      </c>
      <c r="J2" s="29" t="str">
        <f>'Field data and Dairy'!J30</f>
        <v>kg/ha</v>
      </c>
      <c r="K2" s="29" t="str">
        <f>'Field data and Dairy'!K30</f>
        <v>kg/ha</v>
      </c>
      <c r="L2" s="29" t="str">
        <f>'Field data and Dairy'!L30</f>
        <v>kg/ha</v>
      </c>
      <c r="M2" s="29" t="str">
        <f>'Field data and Dairy'!M30</f>
        <v>kg/ha</v>
      </c>
      <c r="N2" s="29" t="str">
        <f>'Field data and Dairy'!N30</f>
        <v>kg/ha</v>
      </c>
      <c r="O2" s="29" t="str">
        <f>'Field data and Dairy'!O30</f>
        <v>kg/ha</v>
      </c>
      <c r="P2" s="29" t="str">
        <f>'Field data and Dairy'!P30</f>
        <v>kg/ha</v>
      </c>
      <c r="Q2" s="29" t="str">
        <f>'Field data and Dairy'!Q30</f>
        <v>kg/ha</v>
      </c>
      <c r="R2" s="29" t="str">
        <f>'Field data and Dairy'!R30</f>
        <v>kg/ha</v>
      </c>
      <c r="S2" s="29" t="str">
        <f>'Field data and Dairy'!S30</f>
        <v>kg/ha</v>
      </c>
      <c r="T2" s="29" t="str">
        <f>'Field data and Dairy'!T30</f>
        <v>kg/ha</v>
      </c>
      <c r="U2" s="29" t="str">
        <f>'Field data and Dairy'!U30</f>
        <v>kg/ha</v>
      </c>
    </row>
    <row r="3" spans="1:21" x14ac:dyDescent="0.25">
      <c r="A3" s="27">
        <v>1</v>
      </c>
      <c r="B3" s="24">
        <f>'Field data and Dairy'!B31</f>
        <v>100</v>
      </c>
      <c r="C3" s="24">
        <f>'Field data and Dairy'!C31</f>
        <v>240</v>
      </c>
      <c r="D3" s="24">
        <f>'Field data and Dairy'!D31</f>
        <v>145.4785</v>
      </c>
      <c r="E3" s="24">
        <f>'Field data and Dairy'!E31</f>
        <v>33.860500000000002</v>
      </c>
      <c r="F3" s="24">
        <f>'Field data and Dairy'!F31</f>
        <v>7.6599599999999999</v>
      </c>
      <c r="G3" s="24">
        <f>'Field data and Dairy'!G31</f>
        <v>4.9000000000000002E-2</v>
      </c>
      <c r="H3" s="24">
        <f>'Field data and Dairy'!H31</f>
        <v>0.18000000000000002</v>
      </c>
      <c r="I3" s="24">
        <f>'Field data and Dairy'!I31</f>
        <v>0.05</v>
      </c>
      <c r="J3" s="24">
        <f>'Field data and Dairy'!J31</f>
        <v>1E-3</v>
      </c>
      <c r="K3" s="24">
        <f>'Field data and Dairy'!K31</f>
        <v>5.0000000000000001E-3</v>
      </c>
      <c r="L3" s="24">
        <f>'Field data and Dairy'!L31</f>
        <v>0.02</v>
      </c>
      <c r="M3" s="24">
        <f>'Field data and Dairy'!M31</f>
        <v>2.3E-2</v>
      </c>
      <c r="N3" s="24">
        <f>'Field data and Dairy'!N31</f>
        <v>0</v>
      </c>
      <c r="O3" s="24">
        <f>'Field data and Dairy'!O31</f>
        <v>0</v>
      </c>
      <c r="P3" s="24">
        <f>'Field data and Dairy'!P31</f>
        <v>20.6</v>
      </c>
      <c r="Q3" s="24">
        <f>'Field data and Dairy'!Q31</f>
        <v>38.75</v>
      </c>
      <c r="R3" s="24">
        <f>'Field data and Dairy'!R31</f>
        <v>0</v>
      </c>
      <c r="S3" s="24">
        <f>'Field data and Dairy'!S31</f>
        <v>0</v>
      </c>
      <c r="T3" s="24">
        <f>'Field data and Dairy'!T31</f>
        <v>0</v>
      </c>
      <c r="U3" s="24">
        <f>'Field data and Dairy'!U31</f>
        <v>0</v>
      </c>
    </row>
    <row r="4" spans="1:21" x14ac:dyDescent="0.25">
      <c r="A4" s="27">
        <v>2</v>
      </c>
      <c r="B4" s="24">
        <f>Volac!B31</f>
        <v>150</v>
      </c>
      <c r="C4" s="24">
        <f>Volac!C31</f>
        <v>1.6500000000000001E-2</v>
      </c>
      <c r="D4" s="24">
        <f>Volac!D31</f>
        <v>180.41624999999999</v>
      </c>
      <c r="E4" s="24">
        <f>Volac!E31</f>
        <v>191.77574999999999</v>
      </c>
      <c r="F4" s="24">
        <f>Volac!F31</f>
        <v>22.606830000000002</v>
      </c>
      <c r="G4" s="24">
        <f>Volac!G31</f>
        <v>3.0000000000000002E-2</v>
      </c>
      <c r="H4" s="24">
        <f>Volac!H31</f>
        <v>0.23250000000000001</v>
      </c>
      <c r="I4" s="24">
        <f>Volac!I31</f>
        <v>7.4999999999999997E-2</v>
      </c>
      <c r="J4" s="24">
        <f>Volac!J31</f>
        <v>1.5E-3</v>
      </c>
      <c r="K4" s="24">
        <f>Volac!K31</f>
        <v>7.5000000000000006E-3</v>
      </c>
      <c r="L4" s="24">
        <f>Volac!L31</f>
        <v>3.0000000000000002E-2</v>
      </c>
      <c r="M4" s="24">
        <f>Volac!M31</f>
        <v>3.4500000000000003E-2</v>
      </c>
      <c r="N4" s="24">
        <f>Volac!N31</f>
        <v>0</v>
      </c>
      <c r="O4" s="24">
        <f>Volac!O31</f>
        <v>0</v>
      </c>
      <c r="P4" s="24">
        <f>Volac!P31</f>
        <v>108.75</v>
      </c>
      <c r="Q4" s="24">
        <f>Volac!Q31</f>
        <v>30.375</v>
      </c>
      <c r="R4" s="24">
        <f>Volac!R31</f>
        <v>0</v>
      </c>
      <c r="S4" s="24">
        <f>Volac!S31</f>
        <v>0</v>
      </c>
      <c r="T4" s="24">
        <f>Volac!T31</f>
        <v>0</v>
      </c>
      <c r="U4" s="24">
        <f>Volac!U31</f>
        <v>0</v>
      </c>
    </row>
    <row r="5" spans="1:21" x14ac:dyDescent="0.25">
      <c r="A5" s="27">
        <v>3</v>
      </c>
      <c r="B5" s="24">
        <f>First!B31</f>
        <v>126</v>
      </c>
      <c r="C5" s="24">
        <f>First!C31</f>
        <v>2.3940000000000003E-2</v>
      </c>
      <c r="D5" s="24">
        <f>First!D31</f>
        <v>120.66238799999999</v>
      </c>
      <c r="E5" s="24">
        <f>First!E31</f>
        <v>29.303190000000004</v>
      </c>
      <c r="F5" s="24">
        <f>First!F31</f>
        <v>5.3898263999999996</v>
      </c>
      <c r="G5" s="24">
        <f>First!G31</f>
        <v>2.52E-2</v>
      </c>
      <c r="H5" s="24">
        <f>First!H31</f>
        <v>0.1764</v>
      </c>
      <c r="I5" s="24">
        <f>First!I31</f>
        <v>6.3E-2</v>
      </c>
      <c r="J5" s="24">
        <f>First!J31</f>
        <v>1.2600000000000001E-3</v>
      </c>
      <c r="K5" s="24">
        <f>First!K31</f>
        <v>6.3E-3</v>
      </c>
      <c r="L5" s="24">
        <f>First!L31</f>
        <v>2.52E-2</v>
      </c>
      <c r="M5" s="24">
        <f>First!M31</f>
        <v>3.6540000000000003E-2</v>
      </c>
      <c r="N5" s="24">
        <f>First!N31</f>
        <v>0</v>
      </c>
      <c r="O5" s="24">
        <f>First!O31</f>
        <v>0</v>
      </c>
      <c r="P5" s="24">
        <f>First!P31</f>
        <v>48.762</v>
      </c>
      <c r="Q5" s="24">
        <f>First!Q31</f>
        <v>37.17</v>
      </c>
      <c r="R5" s="24">
        <f>First!R31</f>
        <v>0</v>
      </c>
      <c r="S5" s="24">
        <f>First!S31</f>
        <v>0</v>
      </c>
      <c r="T5" s="24">
        <f>First!T31</f>
        <v>0</v>
      </c>
      <c r="U5" s="24">
        <f>First!U31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376</v>
      </c>
      <c r="C13" s="68">
        <f t="shared" ref="C13:U13" si="0">SUM(C3:C12)</f>
        <v>240.04044000000002</v>
      </c>
      <c r="D13" s="68">
        <f t="shared" si="0"/>
        <v>446.55713800000001</v>
      </c>
      <c r="E13" s="68">
        <f t="shared" si="0"/>
        <v>254.93943999999999</v>
      </c>
      <c r="F13" s="68">
        <f t="shared" si="0"/>
        <v>35.656616399999997</v>
      </c>
      <c r="G13" s="68">
        <f t="shared" si="0"/>
        <v>0.1042</v>
      </c>
      <c r="H13" s="68">
        <f t="shared" si="0"/>
        <v>0.58889999999999998</v>
      </c>
      <c r="I13" s="68">
        <f t="shared" si="0"/>
        <v>0.188</v>
      </c>
      <c r="J13" s="68">
        <f t="shared" si="0"/>
        <v>3.7600000000000003E-3</v>
      </c>
      <c r="K13" s="68">
        <f t="shared" si="0"/>
        <v>1.8800000000000001E-2</v>
      </c>
      <c r="L13" s="68">
        <f t="shared" si="0"/>
        <v>7.5200000000000003E-2</v>
      </c>
      <c r="M13" s="68">
        <f t="shared" si="0"/>
        <v>9.4040000000000012E-2</v>
      </c>
      <c r="N13" s="68">
        <f t="shared" si="0"/>
        <v>0</v>
      </c>
      <c r="O13" s="68">
        <f t="shared" si="0"/>
        <v>0</v>
      </c>
      <c r="P13" s="68">
        <f t="shared" si="0"/>
        <v>178.11199999999999</v>
      </c>
      <c r="Q13" s="68">
        <f t="shared" si="0"/>
        <v>106.295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Dairy'!B29</f>
        <v>Application Rate</v>
      </c>
      <c r="D1" s="26" t="str">
        <f>'Field data and Dairy'!C29</f>
        <v>Nitrogen Addition</v>
      </c>
      <c r="E1" s="26" t="str">
        <f>'Field data and Dairy'!D29</f>
        <v>Phosphate Addition</v>
      </c>
      <c r="F1" s="26" t="str">
        <f>'Field data and Dairy'!E29</f>
        <v>Potash  Addition</v>
      </c>
      <c r="G1" s="26" t="str">
        <f>'Field data and Dairy'!F29</f>
        <v>Mg Oxide Addition</v>
      </c>
      <c r="H1" s="26" t="str">
        <f>'Field data and Dairy'!G29</f>
        <v>Copper Addition</v>
      </c>
      <c r="I1" s="26" t="str">
        <f>'Field data and Dairy'!H29</f>
        <v>Zinc Addition</v>
      </c>
      <c r="J1" s="26" t="str">
        <f>'Field data and Dairy'!I29</f>
        <v>Lead Addition</v>
      </c>
      <c r="K1" s="26" t="str">
        <f>'Field data and Dairy'!J29</f>
        <v>Cadmium Addition</v>
      </c>
      <c r="L1" s="26" t="str">
        <f>'Field data and Dairy'!K29</f>
        <v>Mercury Addition</v>
      </c>
      <c r="M1" s="26" t="str">
        <f>'Field data and Dairy'!L29</f>
        <v>Nickel Addition</v>
      </c>
      <c r="N1" s="26" t="str">
        <f>'Field data and Dairy'!M29</f>
        <v>Chromium Addition</v>
      </c>
      <c r="O1" s="26" t="str">
        <f>'Field data and Dairy'!N29</f>
        <v>Aluminium Addition</v>
      </c>
      <c r="P1" s="26" t="str">
        <f>'Field data and Dairy'!O29</f>
        <v>Iron Addition</v>
      </c>
      <c r="Q1" s="26" t="str">
        <f>'Field data and Dairy'!P29</f>
        <v xml:space="preserve">Sodium Addition                 </v>
      </c>
      <c r="R1" s="26" t="str">
        <f>'Field data and Dairy'!Q29</f>
        <v>SO3  Addition                             kg/ha</v>
      </c>
      <c r="S1" s="26" t="str">
        <f>'Field data and Dairy'!R29</f>
        <v xml:space="preserve">Selenium Addition </v>
      </c>
      <c r="T1" s="26" t="str">
        <f>'Field data and Dairy'!S29</f>
        <v xml:space="preserve">Arsenic  Addition  </v>
      </c>
      <c r="U1" s="26" t="str">
        <f>'Field data and Dairy'!T29</f>
        <v xml:space="preserve">Molybdenum Addition  </v>
      </c>
      <c r="V1" s="26" t="str">
        <f>'Field data and Dairy'!U29</f>
        <v xml:space="preserve">Fluoride Addition </v>
      </c>
    </row>
    <row r="2" spans="1:22" s="70" customFormat="1" ht="25" x14ac:dyDescent="0.35">
      <c r="A2" s="175"/>
      <c r="B2" s="23" t="s">
        <v>46</v>
      </c>
      <c r="C2" s="26" t="str">
        <f>'Field data and Dairy'!B30</f>
        <v>tonnes/ha</v>
      </c>
      <c r="D2" s="26" t="str">
        <f>'Field data and Dairy'!C30</f>
        <v>kg/ha</v>
      </c>
      <c r="E2" s="26" t="str">
        <f>'Field data and Dairy'!D30</f>
        <v>P2O5 
kg/ha</v>
      </c>
      <c r="F2" s="26" t="str">
        <f>'Field data and Dairy'!E30</f>
        <v>K2O 
kg/ha</v>
      </c>
      <c r="G2" s="26" t="str">
        <f>'Field data and Dairy'!F30</f>
        <v>MgO 
kg/ha</v>
      </c>
      <c r="H2" s="26" t="str">
        <f>'Field data and Dairy'!G30</f>
        <v>kg/ha</v>
      </c>
      <c r="I2" s="26" t="str">
        <f>'Field data and Dairy'!H30</f>
        <v>kg/ha</v>
      </c>
      <c r="J2" s="26" t="str">
        <f>'Field data and Dairy'!I30</f>
        <v>kg/ha</v>
      </c>
      <c r="K2" s="26" t="str">
        <f>'Field data and Dairy'!J30</f>
        <v>kg/ha</v>
      </c>
      <c r="L2" s="26" t="str">
        <f>'Field data and Dairy'!K30</f>
        <v>kg/ha</v>
      </c>
      <c r="M2" s="26" t="str">
        <f>'Field data and Dairy'!L30</f>
        <v>kg/ha</v>
      </c>
      <c r="N2" s="26" t="str">
        <f>'Field data and Dairy'!M30</f>
        <v>kg/ha</v>
      </c>
      <c r="O2" s="26" t="str">
        <f>'Field data and Dairy'!N30</f>
        <v>kg/ha</v>
      </c>
      <c r="P2" s="26" t="str">
        <f>'Field data and Dairy'!O30</f>
        <v>kg/ha</v>
      </c>
      <c r="Q2" s="26" t="str">
        <f>'Field data and Dairy'!P30</f>
        <v>kg/ha</v>
      </c>
      <c r="R2" s="26" t="str">
        <f>'Field data and Dairy'!Q30</f>
        <v>kg/ha</v>
      </c>
      <c r="S2" s="26" t="str">
        <f>'Field data and Dairy'!R30</f>
        <v>kg/ha</v>
      </c>
      <c r="T2" s="26" t="str">
        <f>'Field data and Dairy'!S30</f>
        <v>kg/ha</v>
      </c>
      <c r="U2" s="26" t="str">
        <f>'Field data and Dairy'!T30</f>
        <v>kg/ha</v>
      </c>
      <c r="V2" s="26" t="str">
        <f>'Field data and Dairy'!U30</f>
        <v>kg/ha</v>
      </c>
    </row>
    <row r="3" spans="1:22" x14ac:dyDescent="0.25">
      <c r="A3" s="27">
        <v>1</v>
      </c>
      <c r="B3" s="78"/>
      <c r="C3" s="24">
        <f>'Field data and Dairy'!B31</f>
        <v>100</v>
      </c>
      <c r="D3" s="24">
        <f>'Field data and Dairy'!C31</f>
        <v>240</v>
      </c>
      <c r="E3" s="24">
        <f>'Field data and Dairy'!D31</f>
        <v>145.4785</v>
      </c>
      <c r="F3" s="24">
        <f>'Field data and Dairy'!E31</f>
        <v>33.860500000000002</v>
      </c>
      <c r="G3" s="24">
        <f>'Field data and Dairy'!F31</f>
        <v>7.6599599999999999</v>
      </c>
      <c r="H3" s="24">
        <f>'Field data and Dairy'!G31</f>
        <v>4.9000000000000002E-2</v>
      </c>
      <c r="I3" s="24">
        <f>'Field data and Dairy'!H31</f>
        <v>0.18000000000000002</v>
      </c>
      <c r="J3" s="24">
        <f>'Field data and Dairy'!I31</f>
        <v>0.05</v>
      </c>
      <c r="K3" s="24">
        <f>'Field data and Dairy'!J31</f>
        <v>1E-3</v>
      </c>
      <c r="L3" s="24">
        <f>'Field data and Dairy'!K31</f>
        <v>5.0000000000000001E-3</v>
      </c>
      <c r="M3" s="24">
        <f>'Field data and Dairy'!L31</f>
        <v>0.02</v>
      </c>
      <c r="N3" s="24">
        <f>'Field data and Dairy'!M31</f>
        <v>2.3E-2</v>
      </c>
      <c r="O3" s="24">
        <f>'Field data and Dairy'!N31</f>
        <v>0</v>
      </c>
      <c r="P3" s="24">
        <f>'Field data and Dairy'!O31</f>
        <v>0</v>
      </c>
      <c r="Q3" s="24">
        <f>'Field data and Dairy'!P31</f>
        <v>20.6</v>
      </c>
      <c r="R3" s="24">
        <f>'Field data and Dairy'!Q31</f>
        <v>38.75</v>
      </c>
      <c r="S3" s="24">
        <f>'Field data and Dairy'!R31</f>
        <v>0</v>
      </c>
      <c r="T3" s="24">
        <f>'Field data and Dairy'!S31</f>
        <v>0</v>
      </c>
      <c r="U3" s="24">
        <f>'Field data and Dairy'!T31</f>
        <v>0</v>
      </c>
      <c r="V3" s="24">
        <f>'Field data and Dairy'!U31</f>
        <v>0</v>
      </c>
    </row>
    <row r="4" spans="1:22" x14ac:dyDescent="0.25">
      <c r="A4" s="27">
        <v>2</v>
      </c>
      <c r="B4" s="78"/>
      <c r="C4" s="24">
        <f>Volac!B31</f>
        <v>150</v>
      </c>
      <c r="D4" s="24">
        <f>Volac!C31</f>
        <v>1.6500000000000001E-2</v>
      </c>
      <c r="E4" s="24">
        <f>Volac!D31</f>
        <v>180.41624999999999</v>
      </c>
      <c r="F4" s="24">
        <f>Volac!E31</f>
        <v>191.77574999999999</v>
      </c>
      <c r="G4" s="24">
        <f>Volac!F31</f>
        <v>22.606830000000002</v>
      </c>
      <c r="H4" s="24">
        <f>Volac!G31</f>
        <v>3.0000000000000002E-2</v>
      </c>
      <c r="I4" s="24">
        <f>Volac!H31</f>
        <v>0.23250000000000001</v>
      </c>
      <c r="J4" s="24">
        <f>Volac!I31</f>
        <v>7.4999999999999997E-2</v>
      </c>
      <c r="K4" s="24">
        <f>Volac!J31</f>
        <v>1.5E-3</v>
      </c>
      <c r="L4" s="24">
        <f>Volac!K31</f>
        <v>7.5000000000000006E-3</v>
      </c>
      <c r="M4" s="24">
        <f>Volac!L31</f>
        <v>3.0000000000000002E-2</v>
      </c>
      <c r="N4" s="24">
        <f>Volac!M31</f>
        <v>3.4500000000000003E-2</v>
      </c>
      <c r="O4" s="24">
        <f>Volac!N31</f>
        <v>0</v>
      </c>
      <c r="P4" s="24">
        <f>Volac!O31</f>
        <v>0</v>
      </c>
      <c r="Q4" s="24">
        <f>Volac!P31</f>
        <v>108.75</v>
      </c>
      <c r="R4" s="24">
        <f>Volac!Q31</f>
        <v>30.375</v>
      </c>
      <c r="S4" s="24">
        <f>Volac!R31</f>
        <v>0</v>
      </c>
      <c r="T4" s="24">
        <f>Volac!S31</f>
        <v>0</v>
      </c>
      <c r="U4" s="24">
        <f>Volac!T31</f>
        <v>0</v>
      </c>
      <c r="V4" s="24">
        <f>Volac!U31</f>
        <v>0</v>
      </c>
    </row>
    <row r="5" spans="1:22" x14ac:dyDescent="0.25">
      <c r="A5" s="27">
        <v>3</v>
      </c>
      <c r="B5" s="78"/>
      <c r="C5" s="24">
        <f>First!B31</f>
        <v>126</v>
      </c>
      <c r="D5" s="24">
        <f>First!C31</f>
        <v>2.3940000000000003E-2</v>
      </c>
      <c r="E5" s="24">
        <f>First!D31</f>
        <v>120.66238799999999</v>
      </c>
      <c r="F5" s="24">
        <f>First!E31</f>
        <v>29.303190000000004</v>
      </c>
      <c r="G5" s="24">
        <f>First!F31</f>
        <v>5.3898263999999996</v>
      </c>
      <c r="H5" s="24">
        <f>First!G31</f>
        <v>2.52E-2</v>
      </c>
      <c r="I5" s="24">
        <f>First!H31</f>
        <v>0.1764</v>
      </c>
      <c r="J5" s="24">
        <f>First!I31</f>
        <v>6.3E-2</v>
      </c>
      <c r="K5" s="24">
        <f>First!J31</f>
        <v>1.2600000000000001E-3</v>
      </c>
      <c r="L5" s="24">
        <f>First!K31</f>
        <v>6.3E-3</v>
      </c>
      <c r="M5" s="24">
        <f>First!L31</f>
        <v>2.52E-2</v>
      </c>
      <c r="N5" s="24">
        <f>First!M31</f>
        <v>3.6540000000000003E-2</v>
      </c>
      <c r="O5" s="24">
        <f>First!N31</f>
        <v>0</v>
      </c>
      <c r="P5" s="24">
        <f>First!O31</f>
        <v>0</v>
      </c>
      <c r="Q5" s="24">
        <f>First!P31</f>
        <v>48.762</v>
      </c>
      <c r="R5" s="24">
        <f>First!Q31</f>
        <v>37.17</v>
      </c>
      <c r="S5" s="24">
        <f>First!R31</f>
        <v>0</v>
      </c>
      <c r="T5" s="24">
        <f>First!S31</f>
        <v>0</v>
      </c>
      <c r="U5" s="24">
        <f>First!T31</f>
        <v>0</v>
      </c>
      <c r="V5" s="24">
        <f>First!U31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Dairy'!B43</f>
        <v>100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Dairy'!B44</f>
        <v>100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126</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REGU-52773391-366</_dlc_DocId>
    <_dlc_DocIdUrl xmlns="9be56660-2c31-41ef-bc00-23e72f632f2a">
      <Url>https://cyfoethnaturiolcymru.sharepoint.com/teams/Regulatory/Permitting/_layouts/15/DocIdRedir.aspx?ID=REGU-52773391-366</Url>
      <Description>REGU-52773391-366</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2025-12-16T00:00:00+00:00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41DC9F6D-5E5A-4DE6-A293-627760B82F57}"/>
</file>

<file path=customXml/itemProps2.xml><?xml version="1.0" encoding="utf-8"?>
<ds:datastoreItem xmlns:ds="http://schemas.openxmlformats.org/officeDocument/2006/customXml" ds:itemID="{3EB88BFD-E29A-4849-A8E6-116EB74B98EA}">
  <ds:schemaRefs>
    <ds:schemaRef ds:uri="http://purl.org/dc/dcmitype/"/>
    <ds:schemaRef ds:uri="http://schemas.microsoft.com/office/2006/metadata/properties"/>
    <ds:schemaRef ds:uri="http://www.w3.org/XML/1998/namespace"/>
    <ds:schemaRef ds:uri="http://schemas.openxmlformats.org/package/2006/metadata/core-properties"/>
    <ds:schemaRef ds:uri="9be56660-2c31-41ef-bc00-23e72f632f2a"/>
    <ds:schemaRef ds:uri="http://purl.org/dc/terms/"/>
    <ds:schemaRef ds:uri="http://schemas.microsoft.com/office/2006/documentManagement/types"/>
    <ds:schemaRef ds:uri="http://schemas.microsoft.com/office/infopath/2007/PartnerControls"/>
    <ds:schemaRef ds:uri="http://purl.org/dc/elements/1.1/"/>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EF1407A4-7F00-46D9-B165-A5FA5A04345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Dairy</vt:lpstr>
      <vt:lpstr>Volac</vt:lpstr>
      <vt:lpstr>First</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2025-12-16T15:33:29Z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81a86ccc-22b0-4962-ab73-16af1005c35c</vt:lpwstr>
  </property>
</Properties>
</file>