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31280D/"/>
    </mc:Choice>
  </mc:AlternateContent>
  <xr:revisionPtr revIDLastSave="0" documentId="13_ncr:1_{2CFDAB13-E13C-4E49-B920-27D84A3FD012}" xr6:coauthVersionLast="47" xr6:coauthVersionMax="47" xr10:uidLastSave="{00000000-0000-0000-0000-000000000000}"/>
  <bookViews>
    <workbookView xWindow="-110" yWindow="-110" windowWidth="22780" windowHeight="14540" tabRatio="870" xr2:uid="{00000000-000D-0000-FFFF-FFFF00000000}"/>
  </bookViews>
  <sheets>
    <sheet name="DCWW Alaw" sheetId="1" r:id="rId1"/>
    <sheet name="DCWW Bryn Cowlyd" sheetId="21" r:id="rId2"/>
    <sheet name="DCWW Cefni" sheetId="27" r:id="rId3"/>
    <sheet name="DCWW Clifor" sheetId="22" r:id="rId4"/>
    <sheet name="DCWW Cwellyn" sheetId="28" r:id="rId5"/>
    <sheet name="DCWW Dolbenmaen" sheetId="30" r:id="rId6"/>
    <sheet name="DCWW Garreglwyd" sheetId="26" r:id="rId7"/>
    <sheet name="DCWW Llyn Conwy" sheetId="24" r:id="rId8"/>
    <sheet name="DCWW Mynydd Llandegai " sheetId="29" r:id="rId9"/>
    <sheet name="DCWW Rhiwgoch" sheetId="23"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H65" i="1" l="1"/>
  <c r="I65" i="1"/>
  <c r="J65" i="1"/>
  <c r="K65" i="1"/>
  <c r="L65" i="1"/>
  <c r="N65" i="1"/>
  <c r="P65" i="1"/>
  <c r="Q65" i="1"/>
  <c r="R65" i="1"/>
  <c r="S65" i="1"/>
  <c r="T65" i="1"/>
  <c r="U65" i="1"/>
  <c r="H65" i="21"/>
  <c r="I65" i="21"/>
  <c r="J65" i="21"/>
  <c r="K65" i="21"/>
  <c r="L65" i="21"/>
  <c r="N65" i="21"/>
  <c r="P65" i="21"/>
  <c r="Q65" i="21"/>
  <c r="R65" i="21"/>
  <c r="S65" i="21"/>
  <c r="T65" i="21"/>
  <c r="U65" i="21"/>
  <c r="H65" i="27"/>
  <c r="I65" i="27"/>
  <c r="J65" i="27"/>
  <c r="K65" i="27"/>
  <c r="L65" i="27"/>
  <c r="N65" i="27"/>
  <c r="P65" i="27"/>
  <c r="Q65" i="27"/>
  <c r="R65" i="27"/>
  <c r="S65" i="27"/>
  <c r="T65" i="27"/>
  <c r="U65" i="27"/>
  <c r="H65" i="28"/>
  <c r="I65" i="28"/>
  <c r="J65" i="28"/>
  <c r="K65" i="28"/>
  <c r="L65" i="28"/>
  <c r="N65" i="28"/>
  <c r="P65" i="28"/>
  <c r="Q65" i="28"/>
  <c r="R65" i="28"/>
  <c r="S65" i="28"/>
  <c r="T65" i="28"/>
  <c r="U65" i="28"/>
  <c r="N65" i="30"/>
  <c r="P65" i="30"/>
  <c r="Q65" i="30"/>
  <c r="R65" i="30"/>
  <c r="S65" i="30"/>
  <c r="T65" i="30"/>
  <c r="U65" i="30"/>
  <c r="H65" i="26"/>
  <c r="I65" i="26"/>
  <c r="J65" i="26"/>
  <c r="K65" i="26"/>
  <c r="L65" i="26"/>
  <c r="N65" i="26"/>
  <c r="P65" i="26"/>
  <c r="Q65" i="26"/>
  <c r="R65" i="26"/>
  <c r="S65" i="26"/>
  <c r="T65" i="26"/>
  <c r="U65" i="26"/>
  <c r="H65" i="24"/>
  <c r="I65" i="24"/>
  <c r="J65" i="24"/>
  <c r="K65" i="24"/>
  <c r="L65" i="24"/>
  <c r="N65" i="24"/>
  <c r="P65" i="24"/>
  <c r="Q65" i="24"/>
  <c r="R65" i="24"/>
  <c r="S65" i="24"/>
  <c r="T65" i="24"/>
  <c r="U65" i="24"/>
  <c r="H65" i="29"/>
  <c r="I65" i="29"/>
  <c r="J65" i="29"/>
  <c r="K65" i="29"/>
  <c r="L65" i="29"/>
  <c r="N65" i="29"/>
  <c r="P65" i="29"/>
  <c r="Q65" i="29"/>
  <c r="R65" i="29"/>
  <c r="S65" i="29"/>
  <c r="T65" i="29"/>
  <c r="U65" i="29"/>
  <c r="H65" i="23"/>
  <c r="I65" i="23"/>
  <c r="J65" i="23"/>
  <c r="K65" i="23"/>
  <c r="L65" i="23"/>
  <c r="N65" i="23"/>
  <c r="P65" i="23"/>
  <c r="Q65" i="23"/>
  <c r="R65" i="23"/>
  <c r="S65" i="23"/>
  <c r="T65" i="23"/>
  <c r="U65" i="23"/>
  <c r="H65" i="22"/>
  <c r="I65" i="22"/>
  <c r="J65" i="22"/>
  <c r="K65" i="22"/>
  <c r="L65" i="22"/>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U22" i="30"/>
  <c r="S22" i="30"/>
  <c r="M22" i="30"/>
  <c r="V20" i="30"/>
  <c r="U20" i="30"/>
  <c r="T20" i="30"/>
  <c r="S20" i="30"/>
  <c r="R20" i="30"/>
  <c r="Q20" i="30"/>
  <c r="P20" i="30"/>
  <c r="O20" i="30"/>
  <c r="N20" i="30"/>
  <c r="M20" i="30"/>
  <c r="L20" i="30"/>
  <c r="P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R18" i="29" s="1"/>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S22" i="29"/>
  <c r="R22" i="29"/>
  <c r="Q22" i="29"/>
  <c r="V20" i="29"/>
  <c r="U20" i="29"/>
  <c r="T20" i="29"/>
  <c r="S20" i="29"/>
  <c r="R20" i="29"/>
  <c r="Q20" i="29"/>
  <c r="P20" i="29"/>
  <c r="O20" i="29"/>
  <c r="N20" i="29"/>
  <c r="M20" i="29"/>
  <c r="L20" i="29"/>
  <c r="K20" i="29"/>
  <c r="J20" i="29"/>
  <c r="I20" i="29"/>
  <c r="V18" i="29"/>
  <c r="T18" i="29"/>
  <c r="N18" i="29"/>
  <c r="M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M22" i="28"/>
  <c r="V20" i="28"/>
  <c r="U20" i="28"/>
  <c r="T20" i="28"/>
  <c r="S20" i="28"/>
  <c r="R20" i="28"/>
  <c r="Q20" i="28"/>
  <c r="P20" i="28"/>
  <c r="O20" i="28"/>
  <c r="N20" i="28"/>
  <c r="M20" i="28"/>
  <c r="L20" i="28"/>
  <c r="K20" i="28"/>
  <c r="J20" i="28"/>
  <c r="I20" i="28"/>
  <c r="V18" i="28"/>
  <c r="U18" i="28"/>
  <c r="N18" i="28"/>
  <c r="I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I22" i="27"/>
  <c r="G22" i="27"/>
  <c r="V20" i="27"/>
  <c r="U20" i="27"/>
  <c r="T20" i="27"/>
  <c r="S20" i="27"/>
  <c r="R20" i="27"/>
  <c r="Q20" i="27"/>
  <c r="P20" i="27"/>
  <c r="O20" i="27"/>
  <c r="N20" i="27"/>
  <c r="M20" i="27"/>
  <c r="L20" i="27"/>
  <c r="K20" i="27"/>
  <c r="J20" i="27"/>
  <c r="I20" i="27"/>
  <c r="U18" i="27"/>
  <c r="R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K22" i="26"/>
  <c r="V20" i="26"/>
  <c r="U20" i="26"/>
  <c r="T20" i="26"/>
  <c r="S20" i="26"/>
  <c r="R20" i="26"/>
  <c r="Q20" i="26"/>
  <c r="P20" i="26"/>
  <c r="O20" i="26"/>
  <c r="N20" i="26"/>
  <c r="M20" i="26"/>
  <c r="L20" i="26"/>
  <c r="K20" i="26"/>
  <c r="J20" i="26"/>
  <c r="I20" i="26"/>
  <c r="V18" i="26"/>
  <c r="S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M22" i="24"/>
  <c r="V20" i="24"/>
  <c r="U20" i="24"/>
  <c r="T20" i="24"/>
  <c r="S20" i="24"/>
  <c r="R20" i="24"/>
  <c r="Q20" i="24"/>
  <c r="P20" i="24"/>
  <c r="O20" i="24"/>
  <c r="N20" i="24"/>
  <c r="M20" i="24"/>
  <c r="L20" i="24"/>
  <c r="K20" i="24"/>
  <c r="J20" i="24"/>
  <c r="I20" i="24"/>
  <c r="U18" i="24"/>
  <c r="G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M22" i="23"/>
  <c r="V20" i="23"/>
  <c r="U20" i="23"/>
  <c r="T20" i="23"/>
  <c r="S20" i="23"/>
  <c r="R20" i="23"/>
  <c r="Q20" i="23"/>
  <c r="P20" i="23"/>
  <c r="O20" i="23"/>
  <c r="N20" i="23"/>
  <c r="M20" i="23"/>
  <c r="L20" i="23"/>
  <c r="K20" i="23"/>
  <c r="J20" i="23"/>
  <c r="I20" i="23"/>
  <c r="S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S18" i="22" s="1"/>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S22" i="22"/>
  <c r="O22" i="22"/>
  <c r="V20" i="22"/>
  <c r="U20" i="22"/>
  <c r="T20" i="22"/>
  <c r="S20" i="22"/>
  <c r="R20" i="22"/>
  <c r="Q20" i="22"/>
  <c r="P20" i="22"/>
  <c r="O20" i="22"/>
  <c r="N20" i="22"/>
  <c r="M20" i="22"/>
  <c r="L20" i="22"/>
  <c r="K20" i="22"/>
  <c r="J20" i="22"/>
  <c r="I20" i="22"/>
  <c r="O18" i="22"/>
  <c r="G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19" i="26" s="1"/>
  <c r="N21" i="26"/>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L64" i="28" s="1"/>
  <c r="M17" i="28"/>
  <c r="M21" i="28"/>
  <c r="T59" i="28"/>
  <c r="U17" i="28"/>
  <c r="U21" i="28"/>
  <c r="U23" i="28" s="1"/>
  <c r="U24" i="28" s="1"/>
  <c r="I4" i="20"/>
  <c r="J4" i="19"/>
  <c r="J18" i="19" s="1"/>
  <c r="I59" i="21"/>
  <c r="J17" i="21"/>
  <c r="J19" i="21" s="1"/>
  <c r="J21" i="21"/>
  <c r="C59" i="22"/>
  <c r="D21" i="22"/>
  <c r="D23" i="22" s="1"/>
  <c r="D24"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23" i="22" s="1"/>
  <c r="E24" i="22" s="1"/>
  <c r="E17" i="22"/>
  <c r="L59" i="22"/>
  <c r="M21" i="22"/>
  <c r="M23" i="22" s="1"/>
  <c r="M24" i="22" s="1"/>
  <c r="M17" i="22"/>
  <c r="T59" i="22"/>
  <c r="U21" i="22"/>
  <c r="U17" i="22"/>
  <c r="U19" i="22" s="1"/>
  <c r="D59" i="27"/>
  <c r="E17" i="27"/>
  <c r="E19" i="27" s="1"/>
  <c r="E20" i="27" s="1"/>
  <c r="L59" i="27"/>
  <c r="M17" i="27"/>
  <c r="M19" i="27" s="1"/>
  <c r="T59" i="27"/>
  <c r="U17" i="27"/>
  <c r="S59" i="22"/>
  <c r="T21" i="22"/>
  <c r="T17" i="22"/>
  <c r="G21" i="23"/>
  <c r="G23" i="23" s="1"/>
  <c r="G24" i="23" s="1"/>
  <c r="G17" i="23"/>
  <c r="G19" i="23" s="1"/>
  <c r="G20" i="23" s="1"/>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21" i="23"/>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S24" i="28" s="1"/>
  <c r="I59" i="29"/>
  <c r="J17" i="29"/>
  <c r="J21" i="29"/>
  <c r="Q59" i="29"/>
  <c r="R21" i="29"/>
  <c r="R23" i="29" s="1"/>
  <c r="R24"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24" i="23" s="1"/>
  <c r="F17" i="23"/>
  <c r="F19" i="23" s="1"/>
  <c r="F20" i="23" s="1"/>
  <c r="M59" i="23"/>
  <c r="N21" i="23"/>
  <c r="N23" i="23" s="1"/>
  <c r="N24" i="23" s="1"/>
  <c r="N17" i="23"/>
  <c r="N19" i="23" s="1"/>
  <c r="U59" i="23"/>
  <c r="V21" i="23"/>
  <c r="V23" i="23" s="1"/>
  <c r="V24" i="23" s="1"/>
  <c r="V17" i="23"/>
  <c r="I17" i="24"/>
  <c r="I19" i="24" s="1"/>
  <c r="I21" i="24"/>
  <c r="Q17" i="24"/>
  <c r="Q19" i="24" s="1"/>
  <c r="Q21" i="24"/>
  <c r="Q23" i="24" s="1"/>
  <c r="Q24" i="24" s="1"/>
  <c r="D59" i="26"/>
  <c r="E21" i="26"/>
  <c r="E17" i="26"/>
  <c r="E19" i="26" s="1"/>
  <c r="E20" i="26" s="1"/>
  <c r="L59" i="26"/>
  <c r="M21" i="26"/>
  <c r="M17" i="26"/>
  <c r="T59" i="26"/>
  <c r="U21" i="26"/>
  <c r="U23" i="26" s="1"/>
  <c r="U24" i="26" s="1"/>
  <c r="U17" i="26"/>
  <c r="U19" i="26" s="1"/>
  <c r="C59" i="27"/>
  <c r="D17" i="27"/>
  <c r="D19" i="27" s="1"/>
  <c r="D20" i="27" s="1"/>
  <c r="K59" i="27"/>
  <c r="L17" i="27"/>
  <c r="S59" i="27"/>
  <c r="T17" i="27"/>
  <c r="T19" i="27" s="1"/>
  <c r="C59" i="28"/>
  <c r="D21" i="28"/>
  <c r="D23" i="28" s="1"/>
  <c r="D24" i="28" s="1"/>
  <c r="D17" i="28"/>
  <c r="D19" i="28" s="1"/>
  <c r="D20" i="28" s="1"/>
  <c r="K59" i="28"/>
  <c r="L21" i="28"/>
  <c r="L17" i="28"/>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1" i="23"/>
  <c r="J59" i="24"/>
  <c r="K21" i="24"/>
  <c r="K17" i="24"/>
  <c r="R59" i="24"/>
  <c r="S21" i="24"/>
  <c r="S23" i="24" s="1"/>
  <c r="S24" i="24" s="1"/>
  <c r="S17" i="24"/>
  <c r="G21" i="26"/>
  <c r="G17" i="26"/>
  <c r="O17" i="26"/>
  <c r="O21" i="26"/>
  <c r="E59" i="27"/>
  <c r="F17" i="27"/>
  <c r="F19" i="27" s="1"/>
  <c r="F20" i="27" s="1"/>
  <c r="M59" i="27"/>
  <c r="N17" i="27"/>
  <c r="U59" i="27"/>
  <c r="V17" i="27"/>
  <c r="E59" i="28"/>
  <c r="F17" i="28"/>
  <c r="F21" i="28"/>
  <c r="F23" i="28" s="1"/>
  <c r="F24" i="28" s="1"/>
  <c r="M59" i="28"/>
  <c r="N17" i="28"/>
  <c r="N19" i="28" s="1"/>
  <c r="N21" i="28"/>
  <c r="U59" i="28"/>
  <c r="V17" i="28"/>
  <c r="V21" i="28"/>
  <c r="D59" i="29"/>
  <c r="E17" i="29"/>
  <c r="E19" i="29" s="1"/>
  <c r="E20" i="29" s="1"/>
  <c r="E21" i="29"/>
  <c r="E23" i="29" s="1"/>
  <c r="E24" i="29" s="1"/>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9" i="21" s="1"/>
  <c r="G20" i="21" s="1"/>
  <c r="G17" i="22"/>
  <c r="G21" i="22"/>
  <c r="G23" i="22" s="1"/>
  <c r="G24" i="22" s="1"/>
  <c r="O17" i="22"/>
  <c r="O19" i="22" s="1"/>
  <c r="O21" i="22"/>
  <c r="O23" i="22" s="1"/>
  <c r="O24" i="22" s="1"/>
  <c r="H59" i="23"/>
  <c r="I21" i="23"/>
  <c r="I23" i="23" s="1"/>
  <c r="I24" i="23" s="1"/>
  <c r="I17" i="23"/>
  <c r="P59" i="23"/>
  <c r="Q17" i="23"/>
  <c r="Q21" i="23"/>
  <c r="Q23" i="23" s="1"/>
  <c r="Q24" i="23" s="1"/>
  <c r="C59" i="24"/>
  <c r="D17" i="24"/>
  <c r="D19" i="24" s="1"/>
  <c r="D20" i="24" s="1"/>
  <c r="D21" i="24"/>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21" i="29"/>
  <c r="F23" i="29" s="1"/>
  <c r="F24" i="29" s="1"/>
  <c r="M59" i="29"/>
  <c r="N17" i="29"/>
  <c r="N19" i="29" s="1"/>
  <c r="N21" i="29"/>
  <c r="N23" i="29" s="1"/>
  <c r="N24" i="29" s="1"/>
  <c r="U59" i="29"/>
  <c r="V17" i="29"/>
  <c r="V21" i="29"/>
  <c r="V23" i="29" s="1"/>
  <c r="V24" i="29" s="1"/>
  <c r="D59" i="30"/>
  <c r="E17" i="30"/>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H20" i="22" s="1"/>
  <c r="I59" i="23"/>
  <c r="J21" i="23"/>
  <c r="J17" i="23"/>
  <c r="J19" i="23" s="1"/>
  <c r="Q59" i="23"/>
  <c r="R21" i="23"/>
  <c r="R17" i="23"/>
  <c r="D59" i="24"/>
  <c r="E17" i="24"/>
  <c r="E21" i="24"/>
  <c r="L59" i="24"/>
  <c r="M17" i="24"/>
  <c r="M19" i="24" s="1"/>
  <c r="M21" i="24"/>
  <c r="M23" i="24" s="1"/>
  <c r="M24" i="24" s="1"/>
  <c r="T59" i="24"/>
  <c r="U21" i="24"/>
  <c r="U17" i="24"/>
  <c r="H59" i="26"/>
  <c r="I17" i="26"/>
  <c r="I21" i="26"/>
  <c r="I23" i="26" s="1"/>
  <c r="I24" i="26" s="1"/>
  <c r="P59" i="26"/>
  <c r="Q17" i="26"/>
  <c r="Q19" i="26" s="1"/>
  <c r="Q21" i="26"/>
  <c r="E63" i="26"/>
  <c r="H17" i="27"/>
  <c r="P17" i="27"/>
  <c r="P19" i="27" s="1"/>
  <c r="H21" i="28"/>
  <c r="H23" i="28" s="1"/>
  <c r="H24" i="28" s="1"/>
  <c r="H17" i="28"/>
  <c r="H19" i="28" s="1"/>
  <c r="H20" i="28" s="1"/>
  <c r="P21" i="28"/>
  <c r="P17" i="28"/>
  <c r="P19" i="28" s="1"/>
  <c r="G17" i="29"/>
  <c r="G21" i="29"/>
  <c r="G23" i="29" s="1"/>
  <c r="G24" i="29" s="1"/>
  <c r="O17" i="29"/>
  <c r="O21" i="29"/>
  <c r="E59" i="30"/>
  <c r="F21" i="30"/>
  <c r="F23" i="30" s="1"/>
  <c r="F24" i="30" s="1"/>
  <c r="F17" i="30"/>
  <c r="F19" i="30" s="1"/>
  <c r="F20" i="30" s="1"/>
  <c r="M59" i="30"/>
  <c r="N21" i="30"/>
  <c r="N17" i="30"/>
  <c r="N19"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21" i="21"/>
  <c r="E23" i="21" s="1"/>
  <c r="E24" i="21" s="1"/>
  <c r="H59" i="22"/>
  <c r="I17" i="22"/>
  <c r="I19" i="22" s="1"/>
  <c r="I21" i="22"/>
  <c r="I23" i="22" s="1"/>
  <c r="I24" i="22" s="1"/>
  <c r="P59" i="22"/>
  <c r="Q17" i="22"/>
  <c r="Q19" i="22" s="1"/>
  <c r="Q21" i="22"/>
  <c r="J59" i="23"/>
  <c r="K17" i="23"/>
  <c r="K21" i="23"/>
  <c r="K23" i="23" s="1"/>
  <c r="K24" i="23" s="1"/>
  <c r="R59" i="23"/>
  <c r="S17" i="23"/>
  <c r="S19" i="23" s="1"/>
  <c r="S21" i="23"/>
  <c r="E59" i="24"/>
  <c r="F21" i="24"/>
  <c r="F23" i="24" s="1"/>
  <c r="F24" i="24" s="1"/>
  <c r="F17" i="24"/>
  <c r="M59" i="24"/>
  <c r="N21" i="24"/>
  <c r="N23" i="24" s="1"/>
  <c r="N24" i="24" s="1"/>
  <c r="N17" i="24"/>
  <c r="N19" i="24" s="1"/>
  <c r="U59" i="24"/>
  <c r="V21" i="24"/>
  <c r="V17" i="24"/>
  <c r="V19" i="24" s="1"/>
  <c r="I58" i="26"/>
  <c r="I61" i="26" s="1"/>
  <c r="J17" i="26"/>
  <c r="J19" i="26" s="1"/>
  <c r="J21" i="26"/>
  <c r="Q58" i="26"/>
  <c r="Q61" i="26" s="1"/>
  <c r="R21" i="26"/>
  <c r="R23" i="26" s="1"/>
  <c r="R24" i="26" s="1"/>
  <c r="R17" i="26"/>
  <c r="R19" i="26" s="1"/>
  <c r="F63" i="26"/>
  <c r="I17" i="27"/>
  <c r="I19" i="27" s="1"/>
  <c r="Q17" i="27"/>
  <c r="I21" i="28"/>
  <c r="I23" i="28" s="1"/>
  <c r="I24" i="28" s="1"/>
  <c r="I17" i="28"/>
  <c r="Q21" i="28"/>
  <c r="Q23" i="28" s="1"/>
  <c r="Q24" i="28" s="1"/>
  <c r="Q17" i="28"/>
  <c r="Q19" i="28" s="1"/>
  <c r="H21" i="29"/>
  <c r="H23" i="29" s="1"/>
  <c r="H24" i="29" s="1"/>
  <c r="H17" i="29"/>
  <c r="P21" i="29"/>
  <c r="P23" i="29" s="1"/>
  <c r="P24" i="29" s="1"/>
  <c r="P17" i="29"/>
  <c r="G21" i="30"/>
  <c r="G23" i="30" s="1"/>
  <c r="G24"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D23" i="23" s="1"/>
  <c r="D24" i="23" s="1"/>
  <c r="S59" i="23"/>
  <c r="T17" i="23"/>
  <c r="T21" i="23"/>
  <c r="G17" i="24"/>
  <c r="G19" i="24" s="1"/>
  <c r="G20" i="24" s="1"/>
  <c r="G21" i="24"/>
  <c r="G23" i="24" s="1"/>
  <c r="G24" i="24" s="1"/>
  <c r="O17" i="24"/>
  <c r="O21" i="24"/>
  <c r="J59" i="26"/>
  <c r="K17" i="26"/>
  <c r="K19" i="26" s="1"/>
  <c r="K21" i="26"/>
  <c r="R59" i="26"/>
  <c r="S17" i="26"/>
  <c r="S19" i="26" s="1"/>
  <c r="S21" i="26"/>
  <c r="S23" i="26" s="1"/>
  <c r="S24" i="26" s="1"/>
  <c r="M63" i="26"/>
  <c r="I59" i="27"/>
  <c r="J17" i="27"/>
  <c r="Q59" i="27"/>
  <c r="R17" i="27"/>
  <c r="I59" i="28"/>
  <c r="J17" i="28"/>
  <c r="J19" i="28" s="1"/>
  <c r="J21" i="28"/>
  <c r="J23" i="28" s="1"/>
  <c r="J24" i="28" s="1"/>
  <c r="Q59" i="28"/>
  <c r="R21" i="28"/>
  <c r="R23" i="28" s="1"/>
  <c r="R24" i="28" s="1"/>
  <c r="R17" i="28"/>
  <c r="I21" i="29"/>
  <c r="I23" i="29" s="1"/>
  <c r="I24" i="29" s="1"/>
  <c r="I17" i="29"/>
  <c r="I19" i="29" s="1"/>
  <c r="Q21" i="29"/>
  <c r="Q17" i="29"/>
  <c r="Q19"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C65" i="21" s="1"/>
  <c r="K58" i="21"/>
  <c r="K61" i="21" s="1"/>
  <c r="K64" i="21" s="1"/>
  <c r="R19" i="24"/>
  <c r="I21" i="27"/>
  <c r="I23" i="27" s="1"/>
  <c r="I24" i="27" s="1"/>
  <c r="Q21" i="27"/>
  <c r="R58" i="21"/>
  <c r="R61" i="21" s="1"/>
  <c r="R64" i="21" s="1"/>
  <c r="O57" i="21"/>
  <c r="A43" i="21"/>
  <c r="J58" i="21"/>
  <c r="J61" i="21" s="1"/>
  <c r="E19" i="21"/>
  <c r="E20" i="21" s="1"/>
  <c r="G23" i="26"/>
  <c r="G24" i="26" s="1"/>
  <c r="D58" i="29"/>
  <c r="D61" i="29" s="1"/>
  <c r="P23" i="26"/>
  <c r="P24" i="26" s="1"/>
  <c r="G21" i="27"/>
  <c r="G23" i="27" s="1"/>
  <c r="G24" i="27" s="1"/>
  <c r="O21" i="27"/>
  <c r="O23" i="27" s="1"/>
  <c r="O24" i="27" s="1"/>
  <c r="D58" i="30"/>
  <c r="D61" i="30" s="1"/>
  <c r="D64" i="30" s="1"/>
  <c r="L58" i="30"/>
  <c r="L61" i="30" s="1"/>
  <c r="L64" i="30" s="1"/>
  <c r="R58" i="23"/>
  <c r="R61" i="23" s="1"/>
  <c r="H21" i="27"/>
  <c r="H23" i="27" s="1"/>
  <c r="H24" i="27" s="1"/>
  <c r="P21" i="27"/>
  <c r="J58" i="22"/>
  <c r="J61" i="22" s="1"/>
  <c r="J58" i="26"/>
  <c r="J61" i="26" s="1"/>
  <c r="J23" i="23"/>
  <c r="J24" i="23" s="1"/>
  <c r="R19" i="23"/>
  <c r="J58" i="27"/>
  <c r="J61" i="27" s="1"/>
  <c r="J64"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H64" i="22" s="1"/>
  <c r="P58" i="22"/>
  <c r="P61" i="22" s="1"/>
  <c r="P64" i="22" s="1"/>
  <c r="F59" i="22"/>
  <c r="K58" i="29"/>
  <c r="K61" i="29" s="1"/>
  <c r="I58" i="23"/>
  <c r="I61" i="23" s="1"/>
  <c r="I64" i="23" s="1"/>
  <c r="Q58" i="23"/>
  <c r="Q61" i="23" s="1"/>
  <c r="L58" i="29"/>
  <c r="L61" i="29" s="1"/>
  <c r="T58" i="29"/>
  <c r="T61" i="29" s="1"/>
  <c r="T64" i="29" s="1"/>
  <c r="I23" i="30"/>
  <c r="I24" i="30" s="1"/>
  <c r="Q23" i="30"/>
  <c r="Q24" i="30" s="1"/>
  <c r="U23" i="30"/>
  <c r="U24" i="30" s="1"/>
  <c r="J58" i="28"/>
  <c r="J61" i="28" s="1"/>
  <c r="J64" i="28" s="1"/>
  <c r="R58" i="22"/>
  <c r="R61" i="22" s="1"/>
  <c r="R64" i="22" s="1"/>
  <c r="J58" i="23"/>
  <c r="J61" i="23" s="1"/>
  <c r="J64" i="23" s="1"/>
  <c r="J58" i="24"/>
  <c r="J61" i="24" s="1"/>
  <c r="J64"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Q24" i="22" s="1"/>
  <c r="J19" i="27"/>
  <c r="R21" i="27"/>
  <c r="R23" i="27" s="1"/>
  <c r="R24" i="27" s="1"/>
  <c r="E58" i="27"/>
  <c r="E61" i="27" s="1"/>
  <c r="M58" i="27"/>
  <c r="M61" i="27" s="1"/>
  <c r="U58" i="27"/>
  <c r="U61" i="27" s="1"/>
  <c r="I58" i="29"/>
  <c r="I61" i="29" s="1"/>
  <c r="I64"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H58" i="30"/>
  <c r="H61"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H24" i="22" s="1"/>
  <c r="P23" i="22"/>
  <c r="P24" i="22" s="1"/>
  <c r="C58" i="22"/>
  <c r="C61" i="22" s="1"/>
  <c r="C64" i="22" s="1"/>
  <c r="K58" i="22"/>
  <c r="K61" i="22" s="1"/>
  <c r="K64" i="22" s="1"/>
  <c r="S58" i="22"/>
  <c r="S61" i="22" s="1"/>
  <c r="S64" i="22" s="1"/>
  <c r="F57" i="23"/>
  <c r="D23" i="24"/>
  <c r="D24" i="24" s="1"/>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S58" i="30"/>
  <c r="S61" i="30" s="1"/>
  <c r="H57" i="30"/>
  <c r="D58" i="24"/>
  <c r="D61" i="24" s="1"/>
  <c r="D64"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D23" i="29"/>
  <c r="D24" i="29" s="1"/>
  <c r="L23" i="29"/>
  <c r="L24" i="29" s="1"/>
  <c r="T23" i="29"/>
  <c r="T24" i="29" s="1"/>
  <c r="G58" i="29"/>
  <c r="G61" i="29" s="1"/>
  <c r="O58" i="29"/>
  <c r="O61" i="29" s="1"/>
  <c r="P59" i="29"/>
  <c r="I57" i="30"/>
  <c r="M19" i="21"/>
  <c r="G57" i="21"/>
  <c r="J19" i="22"/>
  <c r="E58" i="22"/>
  <c r="E61" i="22" s="1"/>
  <c r="E64" i="22" s="1"/>
  <c r="M58" i="22"/>
  <c r="M61" i="22" s="1"/>
  <c r="M64" i="22" s="1"/>
  <c r="M65" i="22" s="1"/>
  <c r="U58" i="22"/>
  <c r="U61" i="22" s="1"/>
  <c r="A45" i="22"/>
  <c r="O57" i="22"/>
  <c r="H58" i="23"/>
  <c r="H61" i="23" s="1"/>
  <c r="H64" i="23" s="1"/>
  <c r="P58" i="23"/>
  <c r="P61" i="23" s="1"/>
  <c r="P64" i="23" s="1"/>
  <c r="I58" i="24"/>
  <c r="I61" i="24" s="1"/>
  <c r="Q58" i="24"/>
  <c r="Q61" i="24" s="1"/>
  <c r="Q64" i="24" s="1"/>
  <c r="E58" i="26"/>
  <c r="E61" i="26" s="1"/>
  <c r="M58" i="26"/>
  <c r="M61" i="26" s="1"/>
  <c r="M64" i="26" s="1"/>
  <c r="U58" i="26"/>
  <c r="U61" i="26" s="1"/>
  <c r="N57" i="26"/>
  <c r="P59" i="27"/>
  <c r="I58" i="28"/>
  <c r="I61" i="28" s="1"/>
  <c r="I64" i="28" s="1"/>
  <c r="Q58" i="28"/>
  <c r="Q61" i="28" s="1"/>
  <c r="Q64" i="28" s="1"/>
  <c r="P23" i="28"/>
  <c r="P24" i="28" s="1"/>
  <c r="H58" i="29"/>
  <c r="H61" i="29" s="1"/>
  <c r="P58" i="29"/>
  <c r="P61" i="29" s="1"/>
  <c r="E58" i="30"/>
  <c r="E61" i="30" s="1"/>
  <c r="M58" i="30"/>
  <c r="M61" i="30" s="1"/>
  <c r="U58" i="30"/>
  <c r="U61" i="30" s="1"/>
  <c r="U64" i="30" s="1"/>
  <c r="U66" i="30" s="1"/>
  <c r="N57" i="30"/>
  <c r="F59" i="30"/>
  <c r="B58" i="30"/>
  <c r="B61" i="30" s="1"/>
  <c r="B64"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O24" i="30" s="1"/>
  <c r="H23" i="30"/>
  <c r="H24" i="30" s="1"/>
  <c r="R19" i="30"/>
  <c r="F63" i="30"/>
  <c r="N63" i="30"/>
  <c r="K19" i="30"/>
  <c r="K20" i="30" s="1"/>
  <c r="S19" i="30"/>
  <c r="S23" i="30"/>
  <c r="S24" i="30" s="1"/>
  <c r="A31" i="30"/>
  <c r="A33" i="30"/>
  <c r="A39" i="30"/>
  <c r="A41" i="30"/>
  <c r="A47" i="30"/>
  <c r="A49" i="30"/>
  <c r="G57" i="30"/>
  <c r="O57" i="30"/>
  <c r="G59" i="30"/>
  <c r="O59" i="30"/>
  <c r="G63" i="30"/>
  <c r="O63" i="30"/>
  <c r="P63" i="30"/>
  <c r="I63" i="30"/>
  <c r="I65" i="30" s="1"/>
  <c r="Q63" i="30"/>
  <c r="T19" i="30"/>
  <c r="E19" i="30"/>
  <c r="E20" i="30" s="1"/>
  <c r="V19" i="30"/>
  <c r="N23" i="30"/>
  <c r="N24" i="30" s="1"/>
  <c r="B63" i="30"/>
  <c r="J63" i="30"/>
  <c r="J65" i="30" s="1"/>
  <c r="R63" i="30"/>
  <c r="M19" i="30"/>
  <c r="G19" i="30"/>
  <c r="G20" i="30" s="1"/>
  <c r="A32" i="30"/>
  <c r="A34" i="30"/>
  <c r="A40" i="30"/>
  <c r="A42" i="30"/>
  <c r="A48" i="30"/>
  <c r="A50" i="30"/>
  <c r="C63" i="30"/>
  <c r="K63" i="30"/>
  <c r="K65" i="30" s="1"/>
  <c r="S63" i="30"/>
  <c r="P19" i="30"/>
  <c r="D63" i="30"/>
  <c r="L63" i="30"/>
  <c r="L65" i="30" s="1"/>
  <c r="T63" i="30"/>
  <c r="H63" i="30"/>
  <c r="H65" i="30" s="1"/>
  <c r="Q19" i="30"/>
  <c r="E63" i="30"/>
  <c r="M63" i="30"/>
  <c r="Q23" i="29"/>
  <c r="Q24" i="29" s="1"/>
  <c r="O23" i="29"/>
  <c r="O24" i="29" s="1"/>
  <c r="T19" i="29"/>
  <c r="P63" i="29"/>
  <c r="J19" i="29"/>
  <c r="R19" i="29"/>
  <c r="J23" i="29"/>
  <c r="J24" i="29" s="1"/>
  <c r="F57" i="29"/>
  <c r="N57" i="29"/>
  <c r="F59" i="29"/>
  <c r="N59" i="29"/>
  <c r="F63" i="29"/>
  <c r="N63" i="29"/>
  <c r="H63" i="29"/>
  <c r="K19" i="29"/>
  <c r="S19" i="29"/>
  <c r="K23" i="29"/>
  <c r="K24" i="29" s="1"/>
  <c r="S23" i="29"/>
  <c r="S24" i="29" s="1"/>
  <c r="A31" i="29"/>
  <c r="A33" i="29"/>
  <c r="A39" i="29"/>
  <c r="A41" i="29"/>
  <c r="A47" i="29"/>
  <c r="A49" i="29"/>
  <c r="G57" i="29"/>
  <c r="O57" i="29"/>
  <c r="G59" i="29"/>
  <c r="O59" i="29"/>
  <c r="G63" i="29"/>
  <c r="O63" i="29"/>
  <c r="M19" i="29"/>
  <c r="U19" i="29"/>
  <c r="M23" i="29"/>
  <c r="M24" i="29" s="1"/>
  <c r="U23" i="29"/>
  <c r="U24" i="29" s="1"/>
  <c r="I57" i="29"/>
  <c r="Q57" i="29"/>
  <c r="I63" i="29"/>
  <c r="Q63" i="29"/>
  <c r="F19" i="29"/>
  <c r="F20" i="29" s="1"/>
  <c r="V19" i="29"/>
  <c r="B63" i="29"/>
  <c r="J63" i="29"/>
  <c r="R63" i="29"/>
  <c r="L19" i="29"/>
  <c r="G19" i="29"/>
  <c r="G20" i="29" s="1"/>
  <c r="O19" i="29"/>
  <c r="A32" i="29"/>
  <c r="A34" i="29"/>
  <c r="A40" i="29"/>
  <c r="A42" i="29"/>
  <c r="A48" i="29"/>
  <c r="A50" i="29"/>
  <c r="C63" i="29"/>
  <c r="K63" i="29"/>
  <c r="S63" i="29"/>
  <c r="H19" i="29"/>
  <c r="H20" i="29" s="1"/>
  <c r="P19" i="29"/>
  <c r="D63" i="29"/>
  <c r="L63" i="29"/>
  <c r="T63" i="29"/>
  <c r="E63" i="29"/>
  <c r="M63" i="29"/>
  <c r="K19" i="28"/>
  <c r="S19" i="28"/>
  <c r="K23" i="28"/>
  <c r="K24" i="28" s="1"/>
  <c r="A31" i="28"/>
  <c r="A33" i="28"/>
  <c r="A37" i="28"/>
  <c r="A39" i="28"/>
  <c r="A41" i="28"/>
  <c r="A45" i="28"/>
  <c r="A47" i="28"/>
  <c r="A49" i="28"/>
  <c r="G57" i="28"/>
  <c r="O57" i="28"/>
  <c r="G59" i="28"/>
  <c r="O59" i="28"/>
  <c r="G63" i="28"/>
  <c r="O63" i="28"/>
  <c r="L19" i="28"/>
  <c r="L23" i="28"/>
  <c r="L24" i="28" s="1"/>
  <c r="T23" i="28"/>
  <c r="T24" i="28" s="1"/>
  <c r="H59" i="28"/>
  <c r="P59" i="28"/>
  <c r="H63" i="28"/>
  <c r="P63" i="28"/>
  <c r="E19" i="28"/>
  <c r="E20" i="28" s="1"/>
  <c r="M19" i="28"/>
  <c r="U19" i="28"/>
  <c r="M23" i="28"/>
  <c r="M24" i="28" s="1"/>
  <c r="I57" i="28"/>
  <c r="Q57" i="28"/>
  <c r="I63" i="28"/>
  <c r="Q63" i="28"/>
  <c r="R19" i="28"/>
  <c r="F19" i="28"/>
  <c r="F20" i="28" s="1"/>
  <c r="V19" i="28"/>
  <c r="N23" i="28"/>
  <c r="N24" i="28" s="1"/>
  <c r="V23" i="28"/>
  <c r="V24" i="28" s="1"/>
  <c r="B63" i="28"/>
  <c r="J63" i="28"/>
  <c r="R63" i="28"/>
  <c r="A32" i="28"/>
  <c r="A34" i="28"/>
  <c r="A40" i="28"/>
  <c r="A42" i="28"/>
  <c r="A48" i="28"/>
  <c r="A50" i="28"/>
  <c r="C63" i="28"/>
  <c r="K63" i="28"/>
  <c r="S63" i="28"/>
  <c r="D63" i="28"/>
  <c r="L63" i="28"/>
  <c r="T63" i="28"/>
  <c r="I19" i="28"/>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L19" i="27"/>
  <c r="H19" i="27"/>
  <c r="H20" i="27" s="1"/>
  <c r="D63" i="27"/>
  <c r="L63" i="27"/>
  <c r="T63" i="27"/>
  <c r="H63" i="27"/>
  <c r="Q19" i="27"/>
  <c r="E63" i="27"/>
  <c r="M63" i="27"/>
  <c r="U64" i="26"/>
  <c r="U66" i="26" s="1"/>
  <c r="O23" i="26"/>
  <c r="O24" i="26" s="1"/>
  <c r="J23" i="26"/>
  <c r="J24" i="26" s="1"/>
  <c r="H64" i="26"/>
  <c r="C19" i="26"/>
  <c r="C20"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E23" i="26"/>
  <c r="E24" i="26" s="1"/>
  <c r="M23" i="26"/>
  <c r="M24" i="26" s="1"/>
  <c r="I57" i="26"/>
  <c r="Q57" i="26"/>
  <c r="I59" i="26"/>
  <c r="I64" i="26" s="1"/>
  <c r="Q59" i="26"/>
  <c r="Q64" i="26" s="1"/>
  <c r="I63" i="26"/>
  <c r="Q63" i="26"/>
  <c r="N23" i="26"/>
  <c r="N24" i="26" s="1"/>
  <c r="V23" i="26"/>
  <c r="V24" i="26" s="1"/>
  <c r="B63" i="26"/>
  <c r="J63" i="26"/>
  <c r="R63" i="26"/>
  <c r="G19" i="26"/>
  <c r="G20" i="26" s="1"/>
  <c r="O19" i="26"/>
  <c r="A32" i="26"/>
  <c r="A34" i="26"/>
  <c r="A40" i="26"/>
  <c r="A42" i="26"/>
  <c r="A48" i="26"/>
  <c r="A50" i="26"/>
  <c r="C63" i="26"/>
  <c r="K63" i="26"/>
  <c r="S63" i="26"/>
  <c r="H19" i="26"/>
  <c r="H20" i="26" s="1"/>
  <c r="P19" i="26"/>
  <c r="D63" i="26"/>
  <c r="L63" i="26"/>
  <c r="I19" i="26"/>
  <c r="J23" i="24"/>
  <c r="J24" i="24" s="1"/>
  <c r="H23" i="24"/>
  <c r="H24" i="24" s="1"/>
  <c r="P23" i="24"/>
  <c r="P24" i="24" s="1"/>
  <c r="K19" i="24"/>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F19" i="24"/>
  <c r="F20"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S23" i="23"/>
  <c r="S24" i="23" s="1"/>
  <c r="A31" i="23"/>
  <c r="A33" i="23"/>
  <c r="A37" i="23"/>
  <c r="A39" i="23"/>
  <c r="A41" i="23"/>
  <c r="A45" i="23"/>
  <c r="A47" i="23"/>
  <c r="A49" i="23"/>
  <c r="G57" i="23"/>
  <c r="O57" i="23"/>
  <c r="G59" i="23"/>
  <c r="O59" i="23"/>
  <c r="L19" i="23"/>
  <c r="T19" i="23"/>
  <c r="L23" i="23"/>
  <c r="L24" i="23" s="1"/>
  <c r="T23" i="23"/>
  <c r="T24" i="23" s="1"/>
  <c r="E19" i="23"/>
  <c r="E20" i="23" s="1"/>
  <c r="M19" i="23"/>
  <c r="E23" i="23"/>
  <c r="E24" i="23" s="1"/>
  <c r="M23" i="23"/>
  <c r="M24" i="23" s="1"/>
  <c r="I57" i="23"/>
  <c r="Q57" i="23"/>
  <c r="O19" i="23"/>
  <c r="A32" i="23"/>
  <c r="A34" i="23"/>
  <c r="A40" i="23"/>
  <c r="A42" i="23"/>
  <c r="A48" i="23"/>
  <c r="A50" i="23"/>
  <c r="H19" i="23"/>
  <c r="H20" i="23" s="1"/>
  <c r="I19" i="23"/>
  <c r="Q19" i="23"/>
  <c r="U63" i="22"/>
  <c r="M63" i="22"/>
  <c r="E63" i="22"/>
  <c r="F63" i="22"/>
  <c r="T63" i="22"/>
  <c r="L63" i="22"/>
  <c r="D63" i="22"/>
  <c r="S63" i="22"/>
  <c r="K63" i="22"/>
  <c r="C63" i="22"/>
  <c r="N63" i="22"/>
  <c r="R63" i="22"/>
  <c r="J63" i="22"/>
  <c r="B63" i="22"/>
  <c r="Q63" i="22"/>
  <c r="I63" i="22"/>
  <c r="P63" i="22"/>
  <c r="H63" i="22"/>
  <c r="O63" i="22"/>
  <c r="G63" i="22"/>
  <c r="S19" i="22"/>
  <c r="D19" i="22"/>
  <c r="D20" i="22" s="1"/>
  <c r="L19" i="22"/>
  <c r="T19" i="22"/>
  <c r="L23" i="22"/>
  <c r="L24" i="22" s="1"/>
  <c r="T23" i="22"/>
  <c r="T24" i="22" s="1"/>
  <c r="K23" i="22"/>
  <c r="K24" i="22" s="1"/>
  <c r="A31" i="22"/>
  <c r="A33" i="22"/>
  <c r="A41" i="22"/>
  <c r="A47" i="22"/>
  <c r="E19" i="22"/>
  <c r="E20" i="22" s="1"/>
  <c r="M19" i="22"/>
  <c r="U23" i="22"/>
  <c r="U24" i="22" s="1"/>
  <c r="I57" i="22"/>
  <c r="Q57" i="22"/>
  <c r="K19" i="22"/>
  <c r="A39" i="22"/>
  <c r="A49" i="22"/>
  <c r="N19" i="22"/>
  <c r="V19" i="22"/>
  <c r="V23" i="22"/>
  <c r="V24" i="22" s="1"/>
  <c r="G19" i="22"/>
  <c r="G20" i="22" s="1"/>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Q19" i="21"/>
  <c r="J23" i="21"/>
  <c r="J24" i="21" s="1"/>
  <c r="R23" i="21"/>
  <c r="R24" i="21" s="1"/>
  <c r="I19" i="21"/>
  <c r="L19" i="2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65" i="23" l="1"/>
  <c r="C65" i="29"/>
  <c r="D65" i="24"/>
  <c r="B65" i="24"/>
  <c r="C65" i="26"/>
  <c r="E65" i="22"/>
  <c r="C65" i="22"/>
  <c r="C23" i="22"/>
  <c r="C24" i="22" s="1"/>
  <c r="D65" i="27"/>
  <c r="C65" i="27"/>
  <c r="O64" i="21"/>
  <c r="O65" i="21" s="1"/>
  <c r="E64" i="30"/>
  <c r="E65" i="30" s="1"/>
  <c r="C64" i="30"/>
  <c r="C66" i="30" s="1"/>
  <c r="E64" i="27"/>
  <c r="E65" i="27" s="1"/>
  <c r="G64" i="30"/>
  <c r="G66" i="30" s="1"/>
  <c r="F64" i="26"/>
  <c r="F66" i="26" s="1"/>
  <c r="M66" i="26"/>
  <c r="M65" i="26"/>
  <c r="F65" i="26"/>
  <c r="D65" i="30"/>
  <c r="C65" i="30"/>
  <c r="B65" i="30"/>
  <c r="L64" i="22"/>
  <c r="D64" i="22"/>
  <c r="D65" i="22" s="1"/>
  <c r="Q64" i="22"/>
  <c r="U64" i="22"/>
  <c r="U66" i="22" s="1"/>
  <c r="S64" i="23"/>
  <c r="M64" i="23"/>
  <c r="R64" i="23"/>
  <c r="R66" i="23" s="1"/>
  <c r="M64" i="29"/>
  <c r="M65" i="29" s="1"/>
  <c r="D64" i="29"/>
  <c r="D65" i="29" s="1"/>
  <c r="O64" i="24"/>
  <c r="I64" i="24"/>
  <c r="M64" i="24"/>
  <c r="M65" i="24" s="1"/>
  <c r="S64" i="24"/>
  <c r="T64" i="26"/>
  <c r="T66" i="26" s="1"/>
  <c r="E64" i="26"/>
  <c r="M64" i="28"/>
  <c r="M65" i="28" s="1"/>
  <c r="S64" i="28"/>
  <c r="P64" i="27"/>
  <c r="G64" i="21"/>
  <c r="S64" i="21"/>
  <c r="S66" i="21" s="1"/>
  <c r="E64" i="21"/>
  <c r="F64" i="21"/>
  <c r="N64" i="28"/>
  <c r="N66" i="28" s="1"/>
  <c r="J64" i="21"/>
  <c r="J66" i="21" s="1"/>
  <c r="F64" i="24"/>
  <c r="F64" i="28"/>
  <c r="D64" i="26"/>
  <c r="D65" i="26" s="1"/>
  <c r="H64" i="29"/>
  <c r="H66" i="29" s="1"/>
  <c r="S64" i="30"/>
  <c r="S66" i="30" s="1"/>
  <c r="Q64" i="23"/>
  <c r="Q66" i="23" s="1"/>
  <c r="F64" i="30"/>
  <c r="F66" i="30" s="1"/>
  <c r="K64" i="23"/>
  <c r="K66" i="23" s="1"/>
  <c r="R64" i="26"/>
  <c r="E64" i="24"/>
  <c r="J64" i="22"/>
  <c r="J66" i="22" s="1"/>
  <c r="H64" i="21"/>
  <c r="H64" i="28"/>
  <c r="H66" i="28" s="1"/>
  <c r="G64" i="28"/>
  <c r="P64" i="26"/>
  <c r="E64" i="28"/>
  <c r="N64" i="23"/>
  <c r="J64" i="26"/>
  <c r="B64" i="23"/>
  <c r="M64" i="27"/>
  <c r="H64" i="27"/>
  <c r="H66" i="27" s="1"/>
  <c r="G64" i="22"/>
  <c r="L64" i="29"/>
  <c r="G64" i="24"/>
  <c r="H64" i="24"/>
  <c r="H66" i="24" s="1"/>
  <c r="D64" i="23"/>
  <c r="D65" i="23" s="1"/>
  <c r="K64" i="24"/>
  <c r="P64" i="24"/>
  <c r="U64" i="29"/>
  <c r="U66" i="29" s="1"/>
  <c r="M64" i="30"/>
  <c r="K64" i="26"/>
  <c r="K66" i="26" s="1"/>
  <c r="C64" i="28"/>
  <c r="C64" i="24"/>
  <c r="L64" i="27"/>
  <c r="L66" i="27" s="1"/>
  <c r="R64" i="24"/>
  <c r="R66" i="24" s="1"/>
  <c r="K64" i="29"/>
  <c r="K66" i="29" s="1"/>
  <c r="J64" i="29"/>
  <c r="J66" i="29" s="1"/>
  <c r="E64" i="29"/>
  <c r="M64" i="21"/>
  <c r="M65" i="21" s="1"/>
  <c r="P64" i="28"/>
  <c r="P66" i="28" s="1"/>
  <c r="I64" i="21"/>
  <c r="I66" i="21" s="1"/>
  <c r="U64" i="28"/>
  <c r="U66" i="28" s="1"/>
  <c r="U64" i="24"/>
  <c r="U66" i="24" s="1"/>
  <c r="F64" i="23"/>
  <c r="U64" i="27"/>
  <c r="U66" i="27" s="1"/>
  <c r="C19" i="22"/>
  <c r="C20" i="22" s="1"/>
  <c r="S66" i="27"/>
  <c r="D66" i="30"/>
  <c r="Q66" i="30"/>
  <c r="N66" i="22"/>
  <c r="B64" i="22"/>
  <c r="B64" i="29"/>
  <c r="B64" i="28"/>
  <c r="B66" i="28" s="1"/>
  <c r="B64" i="27"/>
  <c r="B64" i="26"/>
  <c r="B64" i="21"/>
  <c r="T66" i="29"/>
  <c r="P66" i="22"/>
  <c r="O64" i="27"/>
  <c r="O64" i="28"/>
  <c r="N64" i="27"/>
  <c r="N66" i="27" s="1"/>
  <c r="N64" i="30"/>
  <c r="N66" i="30" s="1"/>
  <c r="L66" i="30"/>
  <c r="J66" i="28"/>
  <c r="G64" i="26"/>
  <c r="G64" i="29"/>
  <c r="F64" i="22"/>
  <c r="O64" i="26"/>
  <c r="R66" i="22"/>
  <c r="L66" i="22"/>
  <c r="T66" i="24"/>
  <c r="U66" i="23"/>
  <c r="P64" i="30"/>
  <c r="P66" i="30" s="1"/>
  <c r="C66" i="23"/>
  <c r="P66" i="23"/>
  <c r="E66" i="22"/>
  <c r="T66" i="23"/>
  <c r="Q66" i="21"/>
  <c r="P66" i="21"/>
  <c r="K66" i="27"/>
  <c r="G64" i="23"/>
  <c r="Q66" i="24"/>
  <c r="R66" i="27"/>
  <c r="C66" i="27"/>
  <c r="H66" i="23"/>
  <c r="J66" i="27"/>
  <c r="G64" i="27"/>
  <c r="J66" i="30"/>
  <c r="F64" i="27"/>
  <c r="T66" i="27"/>
  <c r="L66" i="29"/>
  <c r="Q66" i="22"/>
  <c r="J66" i="26"/>
  <c r="C66" i="22"/>
  <c r="T66" i="21"/>
  <c r="S66" i="23"/>
  <c r="H66" i="30"/>
  <c r="S66" i="24"/>
  <c r="L66" i="21"/>
  <c r="S66" i="26"/>
  <c r="L66" i="28"/>
  <c r="L66" i="26"/>
  <c r="T66" i="30"/>
  <c r="C66" i="29"/>
  <c r="H66" i="22"/>
  <c r="R66" i="28"/>
  <c r="N64" i="26"/>
  <c r="N66" i="26" s="1"/>
  <c r="O64" i="29"/>
  <c r="P64" i="29"/>
  <c r="P66" i="29" s="1"/>
  <c r="S64" i="1"/>
  <c r="R66" i="26"/>
  <c r="D66" i="27"/>
  <c r="N64" i="29"/>
  <c r="N66" i="29" s="1"/>
  <c r="R66" i="30"/>
  <c r="L66" i="23"/>
  <c r="O66" i="22"/>
  <c r="R64" i="1"/>
  <c r="J66" i="23"/>
  <c r="Q64" i="1"/>
  <c r="U64" i="1"/>
  <c r="P64" i="1"/>
  <c r="E66" i="27"/>
  <c r="J66" i="24"/>
  <c r="Q66" i="29"/>
  <c r="F64" i="29"/>
  <c r="O64" i="23"/>
  <c r="O64" i="30"/>
  <c r="N64" i="24"/>
  <c r="N66" i="24" s="1"/>
  <c r="B66" i="30"/>
  <c r="B66" i="24"/>
  <c r="K66" i="30"/>
  <c r="I66" i="30"/>
  <c r="R66" i="29"/>
  <c r="I66" i="29"/>
  <c r="S66" i="29"/>
  <c r="T66" i="28"/>
  <c r="D66" i="28"/>
  <c r="Q66" i="28"/>
  <c r="I66" i="28"/>
  <c r="S66" i="28"/>
  <c r="K66" i="28"/>
  <c r="Q66" i="27"/>
  <c r="I66" i="27"/>
  <c r="P66" i="27"/>
  <c r="Q66" i="26"/>
  <c r="P66" i="26"/>
  <c r="C66" i="26"/>
  <c r="I66" i="26"/>
  <c r="H66" i="26"/>
  <c r="L66" i="24"/>
  <c r="I66" i="24"/>
  <c r="P66" i="24"/>
  <c r="D66" i="24"/>
  <c r="K66" i="24"/>
  <c r="I66" i="23"/>
  <c r="N66" i="23"/>
  <c r="E66" i="23"/>
  <c r="I66" i="22"/>
  <c r="M66" i="22"/>
  <c r="S66" i="22"/>
  <c r="K66" i="22"/>
  <c r="T66" i="22"/>
  <c r="H66" i="21"/>
  <c r="K66" i="21"/>
  <c r="C66" i="21"/>
  <c r="D66" i="21"/>
  <c r="R66" i="21"/>
  <c r="N64" i="1"/>
  <c r="M64" i="1"/>
  <c r="M65" i="1" s="1"/>
  <c r="T64" i="1"/>
  <c r="L64" i="1"/>
  <c r="J64" i="1"/>
  <c r="K64" i="1"/>
  <c r="O64" i="1"/>
  <c r="O65" i="1" s="1"/>
  <c r="C64" i="1"/>
  <c r="I64" i="1"/>
  <c r="H64" i="1"/>
  <c r="G64" i="1"/>
  <c r="F64" i="1"/>
  <c r="E64" i="1"/>
  <c r="E65" i="1" s="1"/>
  <c r="D64" i="1"/>
  <c r="D65" i="1" s="1"/>
  <c r="B64" i="1"/>
  <c r="D63" i="1"/>
  <c r="L63" i="1"/>
  <c r="F63" i="1"/>
  <c r="R63" i="1"/>
  <c r="J63" i="1"/>
  <c r="Q63" i="1"/>
  <c r="Q66" i="1" s="1"/>
  <c r="I63" i="1"/>
  <c r="C63" i="1"/>
  <c r="K63" i="1"/>
  <c r="P63" i="1"/>
  <c r="H63" i="1"/>
  <c r="T63" i="1"/>
  <c r="T66" i="1" s="1"/>
  <c r="S63" i="1"/>
  <c r="O63" i="1"/>
  <c r="G63" i="1"/>
  <c r="N63" i="1"/>
  <c r="E63" i="1"/>
  <c r="B63" i="1"/>
  <c r="U63" i="1"/>
  <c r="M63" i="1"/>
  <c r="G65" i="1" l="1"/>
  <c r="F65" i="1"/>
  <c r="C65" i="1"/>
  <c r="B65" i="1"/>
  <c r="D66" i="29"/>
  <c r="E66" i="30"/>
  <c r="O66" i="21"/>
  <c r="O66" i="23"/>
  <c r="O65" i="23"/>
  <c r="O66" i="30"/>
  <c r="O65" i="30"/>
  <c r="O66" i="29"/>
  <c r="O65" i="29"/>
  <c r="O66" i="24"/>
  <c r="O65" i="24"/>
  <c r="O66" i="26"/>
  <c r="O65" i="26"/>
  <c r="O66" i="27"/>
  <c r="O65" i="27"/>
  <c r="O66" i="28"/>
  <c r="O65" i="28"/>
  <c r="M66" i="28"/>
  <c r="M66" i="24"/>
  <c r="G65" i="30"/>
  <c r="M66" i="23"/>
  <c r="M65" i="23"/>
  <c r="M66" i="30"/>
  <c r="M65" i="30"/>
  <c r="M66" i="27"/>
  <c r="M65" i="27"/>
  <c r="M66" i="29"/>
  <c r="M66" i="21"/>
  <c r="G66" i="26"/>
  <c r="G65" i="26"/>
  <c r="G66" i="24"/>
  <c r="G65" i="24"/>
  <c r="G66" i="27"/>
  <c r="G65" i="27"/>
  <c r="G66" i="28"/>
  <c r="G65" i="28"/>
  <c r="G66" i="22"/>
  <c r="G65" i="22"/>
  <c r="G66" i="23"/>
  <c r="G65" i="23"/>
  <c r="G66" i="29"/>
  <c r="G65" i="29"/>
  <c r="G66" i="21"/>
  <c r="G65" i="21"/>
  <c r="F66" i="24"/>
  <c r="F65" i="24"/>
  <c r="F66" i="21"/>
  <c r="F65" i="21"/>
  <c r="F66" i="23"/>
  <c r="F65" i="23"/>
  <c r="F66" i="28"/>
  <c r="F65" i="28"/>
  <c r="F66" i="22"/>
  <c r="F65" i="22"/>
  <c r="F66" i="29"/>
  <c r="F65" i="29"/>
  <c r="F66" i="27"/>
  <c r="F65" i="27"/>
  <c r="F65" i="30"/>
  <c r="E66" i="21"/>
  <c r="E65" i="21"/>
  <c r="E66" i="24"/>
  <c r="E65" i="24"/>
  <c r="E66" i="28"/>
  <c r="E65" i="28"/>
  <c r="E66" i="29"/>
  <c r="E65" i="29"/>
  <c r="E66" i="26"/>
  <c r="E65" i="26"/>
  <c r="D66" i="22"/>
  <c r="D66" i="26"/>
  <c r="D66" i="23"/>
  <c r="C66" i="24"/>
  <c r="C65" i="24"/>
  <c r="C66" i="28"/>
  <c r="C65" i="28"/>
  <c r="B66" i="23"/>
  <c r="B65" i="23"/>
  <c r="B66" i="22"/>
  <c r="B65" i="22"/>
  <c r="B66" i="21"/>
  <c r="B65" i="21"/>
  <c r="B66" i="26"/>
  <c r="B65" i="26"/>
  <c r="B66" i="29"/>
  <c r="B65" i="29"/>
  <c r="B66" i="27"/>
  <c r="B65" i="27"/>
  <c r="B65" i="28"/>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<sst xmlns="http://schemas.openxmlformats.org/spreadsheetml/2006/main" count="2237" uniqueCount="184">
  <si>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</si>
  <si>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</si>
  <si>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</si>
  <si>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</si>
  <si>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</si>
  <si>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</si>
  <si>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</si>
  <si>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</si>
  <si>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</si>
  <si>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</si>
  <si>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</si>
  <si>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</si>
  <si>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</si>
  <si>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</si>
  <si>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</si>
  <si>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</si>
  <si>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</si>
  <si>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</si>
  <si>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</si>
  <si>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</si>
  <si>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</si>
  <si>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</si>
  <si>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</si>
  <si>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</si>
  <si>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</si>
  <si>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</si>
  <si>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</si>
  <si>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</si>
  <si>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</si>
  <si>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</si>
  <si>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</si>
  <si>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</si>
  <si>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</si>
  <si>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</si>
  <si>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</si>
  <si>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</si>
  <si>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</si>
  <si>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</si>
  <si>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</si>
  <si>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</si>
  <si>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</si>
  <si>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</si>
  <si>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</si>
  <si>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</si>
  <si>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</si>
  <si>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</si>
  <si>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</si>
  <si>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</si>
  <si>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</si>
  <si>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</si>
  <si>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</si>
  <si>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</si>
  <si>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</si>
  <si>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</si>
  <si>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</si>
  <si>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</si>
  <si>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</si>
  <si>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</si>
  <si>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</si>
  <si>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</si>
  <si>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</si>
  <si>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</si>
  <si>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</si>
  <si>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</si>
  <si>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</si>
  <si>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</si>
  <si>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</si>
  <si>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</si>
  <si>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</si>
  <si>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</si>
  <si>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</si>
  <si>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</si>
  <si>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</si>
  <si>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</si>
  <si>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</si>
  <si>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</si>
  <si>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</si>
  <si>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</si>
  <si>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</si>
  <si>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</si>
  <si>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</si>
  <si>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</si>
  <si>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</si>
  <si>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</si>
  <si>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</si>
  <si>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</si>
  <si>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</si>
  <si>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</si>
  <si>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</si>
  <si>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</si>
  <si>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</si>
  <si>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</si>
  <si>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</si>
  <si>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</si>
  <si>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</si>
  <si>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</si>
  <si>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</si>
  <si>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</si>
  <si>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</si>
  <si>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</si>
  <si>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</si>
  <si>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</si>
  <si>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</si>
  <si>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</si>
  <si>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</si>
  <si>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</si>
  <si>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</si>
  <si>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</si>
  <si>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</si>
  <si>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</si>
  <si>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</si>
  <si>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</si>
  <si>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</si>
  <si>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</si>
  <si>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</si>
  <si>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</si>
  <si>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</si>
  <si>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</si>
  <si>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</si>
  <si>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</si>
  <si>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</si>
  <si>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</si>
  <si>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</si>
  <si>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</si>
  <si>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</si>
  <si>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</si>
  <si>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</si>
  <si>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</si>
  <si>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</si>
  <si>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</si>
  <si>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</si>
  <si>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</si>
  <si>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</si>
  <si>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</si>
  <si>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</si>
  <si>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</si>
  <si>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</si>
  <si>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</si>
  <si>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</si>
  <si>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</si>
  <si>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</si>
  <si>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</si>
  <si>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</si>
  <si>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</si>
  <si>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</si>
  <si>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</si>
  <si>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</si>
  <si>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</si>
  <si>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</si>
  <si>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</si>
  <si>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</si>
  <si>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</si>
  <si>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</si>
  <si>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</si>
  <si>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</si>
  <si>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</si>
  <si>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</si>
  <si>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</si>
  <si>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</si>
  <si>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</si>
  <si>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 xml:space="preserve"> PAN-031280</t>
  </si>
  <si>
    <t>EPR/GP3792SK</t>
  </si>
  <si>
    <t>Byproduct Recovery Ltd</t>
  </si>
  <si>
    <t>Plas Bach, Cerrigceinwen, Bodorgan, LL62 5NS</t>
  </si>
  <si>
    <t>Owen Clee</t>
  </si>
  <si>
    <t>19 09 02</t>
  </si>
  <si>
    <t>DCWW Alaw</t>
  </si>
  <si>
    <t>DCWW
Dolbenmaen</t>
  </si>
  <si>
    <t>DCWW Cilfor</t>
  </si>
  <si>
    <t>DCWW Bryn
Cowlyd</t>
  </si>
  <si>
    <t>DCWW Cefni</t>
  </si>
  <si>
    <t>DCWW Cwellyn</t>
  </si>
  <si>
    <t>DCWW
Garreglwyd</t>
  </si>
  <si>
    <t>DCWW Llyn
Conwy</t>
  </si>
  <si>
    <t>DCWW Mynydd
Llandegai</t>
  </si>
  <si>
    <t>DCWW Rhiwgoch</t>
  </si>
  <si>
    <t>SCJ1</t>
  </si>
  <si>
    <t>SCJ2</t>
  </si>
  <si>
    <t>SCJ3</t>
  </si>
  <si>
    <t>SCJ4</t>
  </si>
  <si>
    <t>SCJ5</t>
  </si>
  <si>
    <t>SCJ6</t>
  </si>
  <si>
    <t>Moderate</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</si>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</sst>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3" xfId="0" applyFont="1" applyFill="1" applyBorder="1" applyAlignment="1" applyProtection="1">
      <alignment horizontal="center" vertical="top" wrapText="1"/>
      <protection locked="0"/>
    </xf>
    <xf numFmtId="0" fontId="5" fillId="3" borderId="11"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34C99CE0-FFE9-4282-9A7F-89014FFD2010}" name="Crop" dataDxfId="362"/>
    <tableColumn id="2" xr3:uid="{D81725A7-3522-491F-9BAF-35ADAADB5C49}" name="P Offtake" dataDxfId="361"/>
    <tableColumn id="3" xr3:uid="{E1F3CA70-D73E-4B9D-9A9F-F209536EAEFF}" name="K Offtake" dataDxfId="360"/>
    <tableColumn id="4" xr3:uid="{41F03B60-DF58-4AA1-9642-EF87A44AF9EC}" name="Order" dataDxfId="359"/>
    <tableColumn id="5" xr3:uid="{F3D9EC0E-6F67-4466-B24D-F47864B8CBA4}" name="Lime pH requirement" dataDxfId="358"/>
    <tableColumn id="6" xr3:uid="{D49CA6DF-7C49-4445-A0D2-0F2C2FDFB7ED}"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11579FCC-3D9F-49AD-888D-5D79B801F6AE}" name="Crop" dataDxfId="351"/>
    <tableColumn id="2" xr3:uid="{05C08116-56D5-4CC6-A649-B06AF891B931}" name="P Offtake" dataDxfId="350"/>
    <tableColumn id="3" xr3:uid="{59CDE959-192B-4757-9203-A0F691CF0F96}" name="K Offtake" dataDxfId="349"/>
    <tableColumn id="4" xr3:uid="{9FB8E4F7-B91F-4CE0-AF39-D4895D0ECF2F}" name="Order" dataDxfId="348"/>
    <tableColumn id="5" xr3:uid="{688FF2A4-D7C6-4425-A915-A9ADD700A9EE}" name="Lime pH requirement" dataDxfId="347"/>
    <tableColumn id="6" xr3:uid="{05FC5CFF-3D81-4B5F-87C7-2364076F2714}"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973D7FFB-D248-4199-9B2E-B3C6CC09D382}" name="Crop" dataDxfId="340"/>
    <tableColumn id="2" xr3:uid="{7F2A3986-EC86-4CF9-BD10-791170BA6682}" name="P Offtake" dataDxfId="339"/>
    <tableColumn id="3" xr3:uid="{D6129C35-9DC6-42E5-AE3F-EA3A083168E6}" name="K Offtake" dataDxfId="338"/>
    <tableColumn id="4" xr3:uid="{C1CC42B5-564A-4DE7-B817-B7D686FE9A11}" name="Order" dataDxfId="337"/>
    <tableColumn id="5" xr3:uid="{620F3ABD-564C-411A-8DEA-CE1A34F9FC36}" name="Lime pH requirement" dataDxfId="336"/>
    <tableColumn id="6" xr3:uid="{76C9BC4F-4FF3-4AFB-8E7B-16DC0CC3E97C}"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D13A12FC-EAE6-4280-A219-C2622262E5F4}" name="Crop" dataDxfId="329"/>
    <tableColumn id="2" xr3:uid="{FD06C4A3-4B75-490D-88CF-232C7DC3EFC6}" name="P Offtake" dataDxfId="328"/>
    <tableColumn id="3" xr3:uid="{B043BEFF-10D4-4840-989B-BB13A502ECDF}" name="K Offtake" dataDxfId="327"/>
    <tableColumn id="4" xr3:uid="{48481FDC-5D20-466C-B554-D45886EA366A}" name="Order" dataDxfId="326"/>
    <tableColumn id="5" xr3:uid="{9E0852D2-9D0D-44AB-98B7-FBA51F331ACF}" name="Lime pH requirement" dataDxfId="325"/>
    <tableColumn id="6" xr3:uid="{29F9C4A5-6854-4F37-8BD1-0DD9B6024A55}"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1B554ED3-7AAF-4192-827C-B071945474B8}" name="Crop" dataDxfId="318"/>
    <tableColumn id="2" xr3:uid="{35F435E0-8D8E-44D1-84BD-C2FF51C3F944}" name="P Offtake" dataDxfId="317"/>
    <tableColumn id="3" xr3:uid="{38465C9D-AA8F-443A-80F5-96D1F6258317}" name="K Offtake" dataDxfId="316"/>
    <tableColumn id="4" xr3:uid="{E0C0E6AF-5628-4BC3-9625-81A87B93D279}" name="Order" dataDxfId="315"/>
    <tableColumn id="5" xr3:uid="{ACDE1D9A-7F94-4404-BDDC-1235C32C758F}" name="Lime pH requirement" dataDxfId="314"/>
    <tableColumn id="6" xr3:uid="{B093C9DF-C4CF-4906-9658-89F446EB9C12}"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C4B2E6E9-5990-417D-9E04-7933BDF1FC69}" name="Crop" dataDxfId="307"/>
    <tableColumn id="2" xr3:uid="{E74EF8D0-6C68-49B8-AE52-40C276CA5FC9}" name="P Offtake" dataDxfId="306"/>
    <tableColumn id="3" xr3:uid="{9E0A7857-36E3-482D-B4B2-65B90760417F}" name="K Offtake" dataDxfId="305"/>
    <tableColumn id="4" xr3:uid="{A78867D2-7566-4070-AF99-15EE4CEB1699}" name="Order" dataDxfId="304"/>
    <tableColumn id="5" xr3:uid="{240FD5FA-5659-468E-8544-C93086800EC9}" name="Lime pH requirement" dataDxfId="303"/>
    <tableColumn id="6" xr3:uid="{D5C8E9C3-9076-473B-AE62-DA32692BAABC}"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82F1A1D2-F5AA-4D76-98E8-3C18592FB8CF}" name="Crop" dataDxfId="296"/>
    <tableColumn id="2" xr3:uid="{17F60BEE-3BBA-4198-AA21-518EC4696EB6}" name="P Offtake" dataDxfId="295"/>
    <tableColumn id="3" xr3:uid="{95D820EB-2583-433A-A070-6E8356E186E7}" name="K Offtake" dataDxfId="294"/>
    <tableColumn id="4" xr3:uid="{F3AE1839-F59F-4A70-B11A-A32E3FDD1A00}" name="Order" dataDxfId="293"/>
    <tableColumn id="5" xr3:uid="{C52880C5-B266-4CF0-9A11-778ABC47F9F0}" name="Lime pH requirement" dataDxfId="292"/>
    <tableColumn id="6" xr3:uid="{233F7657-9414-44B1-9E43-A91A69CB9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D38" sqref="D3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60" t="s">
        <v>41</v>
      </c>
      <c r="B1" s="161"/>
      <c r="C1" s="134" t="s">
        <v>160</v>
      </c>
      <c r="D1" s="135"/>
      <c r="E1" s="106" t="s">
        <v>45</v>
      </c>
      <c r="F1" s="109">
        <v>33.6</v>
      </c>
      <c r="G1" s="136" t="s">
        <v>43</v>
      </c>
      <c r="H1" s="137"/>
      <c r="I1" s="109">
        <v>6.7</v>
      </c>
      <c r="J1" s="160" t="s">
        <v>153</v>
      </c>
      <c r="K1" s="161"/>
      <c r="L1" s="109">
        <v>57.4</v>
      </c>
      <c r="AB1" s="13"/>
      <c r="AC1" s="13"/>
      <c r="AD1" s="22" t="s">
        <v>126</v>
      </c>
      <c r="AE1" s="13"/>
      <c r="AF1" s="13"/>
      <c r="AG1" s="13"/>
      <c r="AH1" s="13"/>
      <c r="AI1" s="30" t="s">
        <v>79</v>
      </c>
      <c r="AJ1" s="31" t="s">
        <v>94</v>
      </c>
      <c r="AK1" s="32" t="s">
        <v>95</v>
      </c>
      <c r="AL1" s="33" t="s">
        <v>125</v>
      </c>
      <c r="AM1" s="33" t="s">
        <v>131</v>
      </c>
      <c r="AN1" s="33" t="s">
        <v>111</v>
      </c>
    </row>
    <row r="2" spans="1:40" ht="13" x14ac:dyDescent="0.3">
      <c r="A2" s="140" t="s">
        <v>87</v>
      </c>
      <c r="B2" s="141"/>
      <c r="C2" s="132" t="s">
        <v>161</v>
      </c>
      <c r="D2" s="133"/>
      <c r="E2" s="96" t="s">
        <v>109</v>
      </c>
      <c r="F2" s="110" t="s">
        <v>165</v>
      </c>
      <c r="G2" s="138" t="s">
        <v>110</v>
      </c>
      <c r="H2" s="139"/>
      <c r="I2" s="110"/>
      <c r="J2" s="140" t="s">
        <v>158</v>
      </c>
      <c r="K2" s="141"/>
      <c r="L2" s="110">
        <v>1.23</v>
      </c>
      <c r="AB2" s="22" t="s">
        <v>56</v>
      </c>
      <c r="AC2" s="13"/>
      <c r="AD2" s="22" t="s">
        <v>70</v>
      </c>
      <c r="AE2" s="13"/>
      <c r="AF2" s="13"/>
      <c r="AG2" s="34" t="s">
        <v>76</v>
      </c>
      <c r="AH2" s="13"/>
      <c r="AI2" s="35" t="s">
        <v>126</v>
      </c>
      <c r="AJ2" s="36">
        <v>0</v>
      </c>
      <c r="AK2" s="37">
        <v>0</v>
      </c>
      <c r="AL2" s="7">
        <v>0</v>
      </c>
      <c r="AM2" s="9">
        <v>0</v>
      </c>
      <c r="AN2" s="9">
        <v>0</v>
      </c>
    </row>
    <row r="3" spans="1:40" ht="13" x14ac:dyDescent="0.25">
      <c r="A3" s="162" t="s">
        <v>42</v>
      </c>
      <c r="B3" s="163"/>
      <c r="C3" s="132" t="s">
        <v>162</v>
      </c>
      <c r="D3" s="133"/>
      <c r="E3" s="96" t="s">
        <v>108</v>
      </c>
      <c r="F3" s="111" t="s">
        <v>76</v>
      </c>
      <c r="G3" s="140" t="s">
        <v>159</v>
      </c>
      <c r="H3" s="141"/>
      <c r="I3" s="110"/>
      <c r="J3" s="162" t="s">
        <v>154</v>
      </c>
      <c r="K3" s="163"/>
      <c r="L3" s="110">
        <f>(L1/(L2*10000))*100</f>
        <v>0.46666666666666662</v>
      </c>
      <c r="AB3" s="22" t="s">
        <v>57</v>
      </c>
      <c r="AC3" s="13"/>
      <c r="AD3" s="22" t="s">
        <v>71</v>
      </c>
      <c r="AE3" s="13"/>
      <c r="AF3" s="13"/>
      <c r="AG3" s="34" t="s">
        <v>77</v>
      </c>
      <c r="AH3" s="13"/>
      <c r="AI3" s="38" t="s">
        <v>113</v>
      </c>
      <c r="AJ3" s="39">
        <v>1.7</v>
      </c>
      <c r="AK3" s="40">
        <v>6</v>
      </c>
      <c r="AL3" s="41">
        <v>1</v>
      </c>
      <c r="AM3" s="9">
        <v>6.2</v>
      </c>
      <c r="AN3" s="9" t="s">
        <v>112</v>
      </c>
    </row>
    <row r="4" spans="1:40" ht="13" x14ac:dyDescent="0.25">
      <c r="A4" s="140" t="s">
        <v>0</v>
      </c>
      <c r="B4" s="141"/>
      <c r="C4" s="144" t="s">
        <v>163</v>
      </c>
      <c r="D4" s="145"/>
      <c r="E4" s="99" t="s">
        <v>1</v>
      </c>
      <c r="F4" s="110" t="s">
        <v>166</v>
      </c>
      <c r="G4" s="140"/>
      <c r="H4" s="141"/>
      <c r="I4" s="110"/>
      <c r="J4" s="162"/>
      <c r="K4" s="163"/>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2" t="s">
        <v>47</v>
      </c>
      <c r="B5" s="143"/>
      <c r="C5" s="146" t="s">
        <v>164</v>
      </c>
      <c r="D5" s="147"/>
      <c r="E5" s="112"/>
      <c r="F5" s="108"/>
      <c r="G5" s="142"/>
      <c r="H5" s="143"/>
      <c r="I5" s="108"/>
      <c r="J5" s="166"/>
      <c r="K5" s="16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2" t="s">
        <v>63</v>
      </c>
      <c r="B7" s="153"/>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40" t="s">
        <v>2</v>
      </c>
      <c r="B8" s="141"/>
      <c r="C8" s="11" t="s">
        <v>176</v>
      </c>
      <c r="D8" s="11" t="s">
        <v>177</v>
      </c>
      <c r="E8" s="11" t="s">
        <v>178</v>
      </c>
      <c r="F8" s="11" t="s">
        <v>179</v>
      </c>
      <c r="G8" s="11" t="s">
        <v>180</v>
      </c>
      <c r="H8" s="11" t="s">
        <v>181</v>
      </c>
      <c r="I8" s="11"/>
      <c r="J8" s="11"/>
      <c r="K8" s="11"/>
      <c r="L8" s="11"/>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40" t="s">
        <v>3</v>
      </c>
      <c r="B9" s="141"/>
      <c r="C9" s="11" t="s">
        <v>182</v>
      </c>
      <c r="D9" s="11" t="s">
        <v>182</v>
      </c>
      <c r="E9" s="11" t="s">
        <v>182</v>
      </c>
      <c r="F9" s="11">
        <v>1</v>
      </c>
      <c r="G9" s="11">
        <v>1</v>
      </c>
      <c r="H9" s="11" t="s">
        <v>182</v>
      </c>
      <c r="I9" s="11"/>
      <c r="J9" s="11"/>
      <c r="K9" s="11"/>
      <c r="L9" s="11"/>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40" t="s">
        <v>4</v>
      </c>
      <c r="B10" s="141"/>
      <c r="C10" s="11">
        <v>6.4</v>
      </c>
      <c r="D10" s="11">
        <v>5.8</v>
      </c>
      <c r="E10" s="11">
        <v>6</v>
      </c>
      <c r="F10" s="11">
        <v>6</v>
      </c>
      <c r="G10" s="11">
        <v>5.9</v>
      </c>
      <c r="H10" s="11">
        <v>6.1</v>
      </c>
      <c r="I10" s="11"/>
      <c r="J10" s="11"/>
      <c r="K10" s="11"/>
      <c r="L10" s="11"/>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40" t="s">
        <v>5</v>
      </c>
      <c r="B11" s="141"/>
      <c r="C11" s="11">
        <v>2</v>
      </c>
      <c r="D11" s="11">
        <v>2</v>
      </c>
      <c r="E11" s="11">
        <v>3</v>
      </c>
      <c r="F11" s="11">
        <v>1</v>
      </c>
      <c r="G11" s="11">
        <v>0</v>
      </c>
      <c r="H11" s="11">
        <v>3</v>
      </c>
      <c r="I11" s="11"/>
      <c r="J11" s="11"/>
      <c r="K11" s="11"/>
      <c r="L11" s="11"/>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40" t="s">
        <v>6</v>
      </c>
      <c r="B12" s="141"/>
      <c r="C12" s="11">
        <v>3</v>
      </c>
      <c r="D12" s="11">
        <v>4</v>
      </c>
      <c r="E12" s="11">
        <v>4</v>
      </c>
      <c r="F12" s="11">
        <v>1</v>
      </c>
      <c r="G12" s="11">
        <v>1</v>
      </c>
      <c r="H12" s="11">
        <v>2</v>
      </c>
      <c r="I12" s="11"/>
      <c r="J12" s="11"/>
      <c r="K12" s="11"/>
      <c r="L12" s="11"/>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40" t="s">
        <v>7</v>
      </c>
      <c r="B13" s="141"/>
      <c r="C13" s="11">
        <v>4</v>
      </c>
      <c r="D13" s="11">
        <v>3</v>
      </c>
      <c r="E13" s="11">
        <v>3</v>
      </c>
      <c r="F13" s="11">
        <v>3</v>
      </c>
      <c r="G13" s="11">
        <v>3</v>
      </c>
      <c r="H13" s="11">
        <v>3</v>
      </c>
      <c r="I13" s="11"/>
      <c r="J13" s="11"/>
      <c r="K13" s="11"/>
      <c r="L13" s="11"/>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6" t="s">
        <v>8</v>
      </c>
      <c r="B14" s="157"/>
      <c r="C14" s="82" t="s">
        <v>113</v>
      </c>
      <c r="D14" s="82" t="s">
        <v>113</v>
      </c>
      <c r="E14" s="82" t="s">
        <v>113</v>
      </c>
      <c r="F14" s="82" t="s">
        <v>68</v>
      </c>
      <c r="G14" s="82" t="s">
        <v>68</v>
      </c>
      <c r="H14" s="82" t="s">
        <v>113</v>
      </c>
      <c r="I14" s="82"/>
      <c r="J14" s="82"/>
      <c r="K14" s="82"/>
      <c r="L14" s="82"/>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54" t="s">
        <v>9</v>
      </c>
      <c r="B15" s="155"/>
      <c r="C15" s="11">
        <v>38</v>
      </c>
      <c r="D15" s="11">
        <v>38</v>
      </c>
      <c r="E15" s="11">
        <v>38</v>
      </c>
      <c r="F15" s="11">
        <v>5.5</v>
      </c>
      <c r="G15" s="11">
        <v>5.5</v>
      </c>
      <c r="H15" s="11">
        <v>38</v>
      </c>
      <c r="I15" s="11"/>
      <c r="J15" s="11"/>
      <c r="K15" s="11"/>
      <c r="L15" s="11"/>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8" t="s">
        <v>44</v>
      </c>
      <c r="B16" s="159"/>
      <c r="C16" s="100" t="s">
        <v>72</v>
      </c>
      <c r="D16" s="100" t="s">
        <v>72</v>
      </c>
      <c r="E16" s="100" t="s">
        <v>72</v>
      </c>
      <c r="F16" s="100" t="s">
        <v>72</v>
      </c>
      <c r="G16" s="100" t="s">
        <v>72</v>
      </c>
      <c r="H16" s="100" t="s">
        <v>72</v>
      </c>
      <c r="I16" s="100"/>
      <c r="J16" s="100"/>
      <c r="K16" s="100"/>
      <c r="L16" s="100"/>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2" t="s">
        <v>69</v>
      </c>
      <c r="B17" s="153"/>
      <c r="C17" s="20">
        <f>(VLOOKUP(C$14,$AI2:$AK26,2,FALSE))*C$15</f>
        <v>64.599999999999994</v>
      </c>
      <c r="D17" s="20">
        <f t="shared" ref="D17:V17" si="0">(VLOOKUP(D$14,$AI2:$AK26,2,FALSE))*D$15</f>
        <v>64.599999999999994</v>
      </c>
      <c r="E17" s="20">
        <f t="shared" si="0"/>
        <v>64.599999999999994</v>
      </c>
      <c r="F17" s="20">
        <f t="shared" si="0"/>
        <v>46.75</v>
      </c>
      <c r="G17" s="20">
        <f t="shared" si="0"/>
        <v>46.75</v>
      </c>
      <c r="H17" s="20">
        <f t="shared" si="0"/>
        <v>64.599999999999994</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0" t="s">
        <v>23</v>
      </c>
      <c r="B18" s="151"/>
      <c r="C18" s="12">
        <f>$D31</f>
        <v>65.173085039999989</v>
      </c>
      <c r="D18" s="12">
        <f>$D32</f>
        <v>0</v>
      </c>
      <c r="E18" s="12">
        <f>$D33</f>
        <v>31.921511039999999</v>
      </c>
      <c r="F18" s="12">
        <f>$D34</f>
        <v>150.29711448</v>
      </c>
      <c r="G18" s="12">
        <f>$D35</f>
        <v>0</v>
      </c>
      <c r="H18" s="12">
        <f>$D36</f>
        <v>31.921511039999999</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0" t="s">
        <v>90</v>
      </c>
      <c r="B19" s="151"/>
      <c r="C19" s="12">
        <f>C18-C17</f>
        <v>0.57308503999999516</v>
      </c>
      <c r="D19" s="12">
        <f t="shared" ref="D19:V19" si="1">D18-D17</f>
        <v>-64.599999999999994</v>
      </c>
      <c r="E19" s="12">
        <f t="shared" si="1"/>
        <v>-32.678488959999996</v>
      </c>
      <c r="F19" s="12">
        <f t="shared" si="1"/>
        <v>103.54711448</v>
      </c>
      <c r="G19" s="12">
        <f t="shared" si="1"/>
        <v>-46.75</v>
      </c>
      <c r="H19" s="12">
        <f t="shared" si="1"/>
        <v>-32.678488959999996</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8" t="s">
        <v>91</v>
      </c>
      <c r="B20" s="149"/>
      <c r="C20" s="18" t="str">
        <f>IF($B31="","",IF(C$19&gt;=0,"INCREASE","DECREASE"))</f>
        <v>INCREASE</v>
      </c>
      <c r="D20" s="18" t="str">
        <f>IF($B32="","",IF(D$19&gt;=0,"INCREASE","DECREASE"))</f>
        <v>DECREASE</v>
      </c>
      <c r="E20" s="18" t="str">
        <f>IF($B33="","",IF(E$19&gt;=0,"INCREASE","DECREASE"))</f>
        <v>DECREASE</v>
      </c>
      <c r="F20" s="18" t="str">
        <f>IF($B34="","",IF(F$19&gt;=0,"INCREASE","DECREASE"))</f>
        <v>INCREASE</v>
      </c>
      <c r="G20" s="18" t="str">
        <f>IF($B35="","",IF(G$19&gt;=0,"INCREASE","DECREASE"))</f>
        <v>DECREASE</v>
      </c>
      <c r="H20" s="18" t="str">
        <f>IF($B36="","",IF(H$19&gt;=0,"INCREASE","DECREASE"))</f>
        <v>DECREASE</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2" t="s">
        <v>88</v>
      </c>
      <c r="B21" s="153"/>
      <c r="C21" s="20">
        <f>(VLOOKUP(C$14,$AI2:$AK26,3,FALSE))*C$15</f>
        <v>228</v>
      </c>
      <c r="D21" s="20">
        <f t="shared" ref="D21:V21" si="2">(VLOOKUP(D$14,$AI2:$AK26,3,FALSE))*D$15</f>
        <v>228</v>
      </c>
      <c r="E21" s="20">
        <f t="shared" si="2"/>
        <v>228</v>
      </c>
      <c r="F21" s="20">
        <f t="shared" si="2"/>
        <v>66</v>
      </c>
      <c r="G21" s="20">
        <f t="shared" si="2"/>
        <v>66</v>
      </c>
      <c r="H21" s="20">
        <f t="shared" si="2"/>
        <v>228</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0" t="s">
        <v>89</v>
      </c>
      <c r="B22" s="151"/>
      <c r="C22" s="12">
        <f>$E31</f>
        <v>4.0089193199999995</v>
      </c>
      <c r="D22" s="12">
        <f>$E32</f>
        <v>0</v>
      </c>
      <c r="E22" s="12">
        <f>$E33</f>
        <v>1.9635523199999996</v>
      </c>
      <c r="F22" s="12">
        <f>$E34</f>
        <v>9.2450588399999987</v>
      </c>
      <c r="G22" s="12">
        <f>$E35</f>
        <v>0</v>
      </c>
      <c r="H22" s="12">
        <f>$E36</f>
        <v>1.9635523199999996</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0" t="s">
        <v>92</v>
      </c>
      <c r="B23" s="151"/>
      <c r="C23" s="12">
        <f>C22-C21</f>
        <v>-223.99108068000001</v>
      </c>
      <c r="D23" s="12">
        <f t="shared" ref="D23:V23" si="3">D22-D21</f>
        <v>-228</v>
      </c>
      <c r="E23" s="12">
        <f t="shared" si="3"/>
        <v>-226.03644768000001</v>
      </c>
      <c r="F23" s="12">
        <f t="shared" si="3"/>
        <v>-56.754941160000001</v>
      </c>
      <c r="G23" s="12">
        <f t="shared" si="3"/>
        <v>-66</v>
      </c>
      <c r="H23" s="12">
        <f t="shared" si="3"/>
        <v>-226.03644768000001</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8" t="s">
        <v>93</v>
      </c>
      <c r="B24" s="149"/>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16.399999999999999</v>
      </c>
      <c r="C28" s="11">
        <v>1.23</v>
      </c>
      <c r="D28" s="11">
        <v>0.35399999999999998</v>
      </c>
      <c r="E28" s="11">
        <v>4.1399999999999999E-2</v>
      </c>
      <c r="F28" s="11">
        <v>648</v>
      </c>
      <c r="G28" s="11">
        <v>51.4</v>
      </c>
      <c r="H28" s="11">
        <v>85.7</v>
      </c>
      <c r="I28" s="11">
        <v>19</v>
      </c>
      <c r="J28" s="11">
        <v>0.34</v>
      </c>
      <c r="K28" s="15">
        <v>0.31</v>
      </c>
      <c r="L28" s="11">
        <v>24.2</v>
      </c>
      <c r="M28" s="11">
        <v>13.2</v>
      </c>
      <c r="N28" s="11">
        <v>164000</v>
      </c>
      <c r="O28" s="11">
        <v>17800</v>
      </c>
      <c r="P28" s="11"/>
      <c r="Q28" s="11">
        <v>5300</v>
      </c>
      <c r="R28" s="11"/>
      <c r="S28" s="11">
        <v>22.1</v>
      </c>
      <c r="T28" s="11"/>
      <c r="U28" s="97"/>
    </row>
    <row r="29" spans="1:40" s="7" customFormat="1" ht="28" x14ac:dyDescent="0.35">
      <c r="A29" s="16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SCJ1</v>
      </c>
      <c r="B31" s="11">
        <v>49</v>
      </c>
      <c r="C31" s="65">
        <f>IF(C$27="%w/w SAR",((C$28*10)*$B31),IF(C$27="%w/w DM",(((C$28*10)*($B$28/100))*$B31),IF(C$27="kg/t SAR",(C$28*$B31),IF(C$27="kg/t DM",((C$28*($B$28/100))*$B31),IF(C$27="mg/kg SAR",((C$28*0.001)*$B31),IF(C$27="mg/kg DM",(((C$28*0.001)*($B$28/100))*$B31),0))))))</f>
        <v>98.842799999999997</v>
      </c>
      <c r="D31" s="65">
        <f>(IF(D$27="%w/w SAR",((D$28*10)*$B31),IF(D$27="%w/w DM",(((D$28*10)*($B$28/100))*$B31),IF(D$27="kg/t SAR",(D$28*$B31),IF(D$27="kg/t DM",((D$28*($B$28/100))*$B31),IF(D$27="mg/kg SAR",((D$28*0.001)*$B31),IF(D$27="mg/kg DM",(((D$28*0.001)*($B$28/100))*$B31),"0")))))))*2.291</f>
        <v>65.173085039999989</v>
      </c>
      <c r="E31" s="65">
        <f>(IF(E$27="%w/w SAR",((E$28*10)*$B31),IF(E$27="%w/w DM",(((E$28*10)*($B$28/100))*$B31),IF(E$27="kg/t SAR",(E$28*$B31),IF(E$27="kg/t DM",((E$28*($B$28/100))*$B31),IF(E$27="mg/kg SAR",((E$28*0.001)*$B31),IF(E$27="mg/kg DM",(((E$28*0.001)*($B$28/100))*$B31),"0")))))))*1.205</f>
        <v>4.0089193199999995</v>
      </c>
      <c r="F31" s="65">
        <f>(IF(F$27="%w/w SAR",((F$28*10)*$B31),IF(F$27="%w/w DM",(((F$28*10)*($B$28/100))*$B31),IF(F$27="kg/t SAR",(F$28*$B31),IF(F$27="kg/t DM",((F$28*($B$28/100))*$B31),IF(F$27="mg/kg SAR",((F$28*0.001)*$B31),IF(F$27="mg/kg DM",(((F$28*0.001)*($B$28/100))*$B31),"0")))))))*1.658</f>
        <v>8.6337498239999988</v>
      </c>
      <c r="G31" s="65">
        <f t="shared" ref="G31:P31" si="5">IF(G$27="%w/w SAR",((G$28*10)*$B31),IF(G$27="%w/w DM",(((G$28*10)*($B$28/100))*$B31),IF(G$27="kg/t SAR",(G$28*$B31),IF(G$27="kg/t DM",((G$28*($B$28/100))*$B31),IF(G$27="mg/kg SAR",((G$28*0.001)*$B31),IF(G$27="mg/kg DM",(((G$28*0.001)*($B$28/100))*$B31),0))))))</f>
        <v>0.41305039999999993</v>
      </c>
      <c r="H31" s="65">
        <f t="shared" si="5"/>
        <v>0.68868519999999989</v>
      </c>
      <c r="I31" s="65">
        <f t="shared" si="5"/>
        <v>0.15268399999999996</v>
      </c>
      <c r="J31" s="65">
        <f t="shared" si="5"/>
        <v>2.7322399999999999E-3</v>
      </c>
      <c r="K31" s="65">
        <f t="shared" si="5"/>
        <v>2.4911599999999996E-3</v>
      </c>
      <c r="L31" s="65">
        <f t="shared" si="5"/>
        <v>0.19447119999999998</v>
      </c>
      <c r="M31" s="65">
        <f t="shared" si="5"/>
        <v>0.10607519999999998</v>
      </c>
      <c r="N31" s="65">
        <f t="shared" si="5"/>
        <v>1317.9039999999998</v>
      </c>
      <c r="O31" s="65">
        <f t="shared" si="5"/>
        <v>143.04079999999999</v>
      </c>
      <c r="P31" s="65">
        <f t="shared" si="5"/>
        <v>0</v>
      </c>
      <c r="Q31" s="65">
        <f>(IF(Q$27="%w/w SAR",((Q$28*10)*$B31),IF(Q$27="%w/w DM",(((Q$28*10)*($B$28/100))*$B31),IF(Q$27="kg/t SAR",(Q$28*$B31),IF(Q$27="kg/t DM",((Q$28*($B$28/100))*$B31),IF(Q$27="mg/kg SAR",((Q$28*0.001)*$B31),IF(Q$27="mg/kg DM",(((Q$28*0.001)*($B$28/100))*$B31),0)))))))*2.5</f>
        <v>106.47699999999999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0.17759559999999999</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SCJ2</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ref="G32:P50" si="10">IF(G$27="%w/w SAR",((G$28*10)*$B32),IF(G$27="%w/w DM",(((G$28*10)*($B$28/100))*$B32),IF(G$27="kg/t SAR",(G$28*$B32),IF(G$27="kg/t DM",((G$28*($B$28/100))*$B32),IF(G$27="mg/kg SAR",((G$28*0.001)*$B32),IF(G$27="mg/kg DM",(((G$28*0.001)*($B$28/100))*$B32),0))))))</f>
        <v>0</v>
      </c>
      <c r="H32" s="65">
        <f t="shared" si="10"/>
        <v>0</v>
      </c>
      <c r="I32" s="65">
        <f t="shared" si="10"/>
        <v>0</v>
      </c>
      <c r="J32" s="65">
        <f t="shared" si="10"/>
        <v>0</v>
      </c>
      <c r="K32" s="65">
        <f t="shared" si="10"/>
        <v>0</v>
      </c>
      <c r="L32" s="65">
        <f t="shared" si="10"/>
        <v>0</v>
      </c>
      <c r="M32" s="65">
        <f t="shared" si="10"/>
        <v>0</v>
      </c>
      <c r="N32" s="65">
        <f t="shared" si="10"/>
        <v>0</v>
      </c>
      <c r="O32" s="65">
        <f t="shared" si="10"/>
        <v>0</v>
      </c>
      <c r="P32" s="65">
        <f t="shared" si="10"/>
        <v>0</v>
      </c>
      <c r="Q32" s="65">
        <f t="shared" ref="Q32:Q50" si="11">(IF(Q$27="%w/w SAR",((Q$28*10)*$B32),IF(Q$27="%w/w DM",(((Q$28*10)*($B$28/100))*$B32),IF(Q$27="kg/t SAR",(Q$28*$B32),IF(Q$27="kg/t DM",((Q$28*($B$28/100))*$B32),IF(Q$27="mg/kg SAR",((Q$28*0.001)*$B32),IF(Q$27="mg/kg DM",(((Q$28*0.001)*($B$28/100))*$B32),0)))))))*2.5</f>
        <v>0</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t="str">
        <f>E8</f>
        <v>SCJ3</v>
      </c>
      <c r="B33" s="11">
        <v>24</v>
      </c>
      <c r="C33" s="65">
        <f t="shared" si="6"/>
        <v>48.412799999999997</v>
      </c>
      <c r="D33" s="65">
        <f t="shared" si="7"/>
        <v>31.921511039999999</v>
      </c>
      <c r="E33" s="65">
        <f t="shared" si="8"/>
        <v>1.9635523199999996</v>
      </c>
      <c r="F33" s="65">
        <f t="shared" si="9"/>
        <v>4.2287754239999993</v>
      </c>
      <c r="G33" s="65">
        <f t="shared" si="10"/>
        <v>0.20231039999999997</v>
      </c>
      <c r="H33" s="65">
        <f t="shared" si="10"/>
        <v>0.33731519999999993</v>
      </c>
      <c r="I33" s="65">
        <f t="shared" si="10"/>
        <v>7.4783999999999989E-2</v>
      </c>
      <c r="J33" s="65">
        <f t="shared" si="10"/>
        <v>1.3382399999999999E-3</v>
      </c>
      <c r="K33" s="65">
        <f t="shared" si="10"/>
        <v>1.2201599999999999E-3</v>
      </c>
      <c r="L33" s="65">
        <f t="shared" si="10"/>
        <v>9.5251199999999994E-2</v>
      </c>
      <c r="M33" s="65">
        <f t="shared" si="10"/>
        <v>5.1955199999999993E-2</v>
      </c>
      <c r="N33" s="65">
        <f t="shared" si="10"/>
        <v>645.50399999999991</v>
      </c>
      <c r="O33" s="65">
        <f t="shared" si="10"/>
        <v>70.060799999999986</v>
      </c>
      <c r="P33" s="65">
        <f t="shared" si="10"/>
        <v>0</v>
      </c>
      <c r="Q33" s="65">
        <f t="shared" si="11"/>
        <v>52.151999999999994</v>
      </c>
      <c r="R33" s="65">
        <f t="shared" si="12"/>
        <v>0</v>
      </c>
      <c r="S33" s="65">
        <f t="shared" si="12"/>
        <v>8.6985599999999996E-2</v>
      </c>
      <c r="T33" s="65">
        <f t="shared" si="12"/>
        <v>0</v>
      </c>
      <c r="U33" s="126">
        <f t="shared" si="12"/>
        <v>0</v>
      </c>
    </row>
    <row r="34" spans="1:21" s="48" customFormat="1" ht="13" x14ac:dyDescent="0.35">
      <c r="A34" s="125" t="str">
        <f>F8</f>
        <v>SCJ4</v>
      </c>
      <c r="B34" s="11">
        <v>113</v>
      </c>
      <c r="C34" s="65">
        <f t="shared" si="6"/>
        <v>227.94359999999998</v>
      </c>
      <c r="D34" s="65">
        <f t="shared" si="7"/>
        <v>150.29711448</v>
      </c>
      <c r="E34" s="65">
        <f t="shared" si="8"/>
        <v>9.2450588399999987</v>
      </c>
      <c r="F34" s="65">
        <f t="shared" si="9"/>
        <v>19.910484287999996</v>
      </c>
      <c r="G34" s="65">
        <f t="shared" si="10"/>
        <v>0.95254479999999986</v>
      </c>
      <c r="H34" s="65">
        <f t="shared" si="10"/>
        <v>1.5881923999999996</v>
      </c>
      <c r="I34" s="65">
        <f t="shared" si="10"/>
        <v>0.35210799999999992</v>
      </c>
      <c r="J34" s="65">
        <f t="shared" si="10"/>
        <v>6.3008799999999992E-3</v>
      </c>
      <c r="K34" s="65">
        <f t="shared" si="10"/>
        <v>5.7449199999999997E-3</v>
      </c>
      <c r="L34" s="65">
        <f t="shared" si="10"/>
        <v>0.4484744</v>
      </c>
      <c r="M34" s="65">
        <f t="shared" si="10"/>
        <v>0.24462239999999996</v>
      </c>
      <c r="N34" s="65">
        <f t="shared" si="10"/>
        <v>3039.2479999999996</v>
      </c>
      <c r="O34" s="65">
        <f t="shared" si="10"/>
        <v>329.86959999999993</v>
      </c>
      <c r="P34" s="65">
        <f t="shared" si="10"/>
        <v>0</v>
      </c>
      <c r="Q34" s="65">
        <f t="shared" si="11"/>
        <v>245.54899999999998</v>
      </c>
      <c r="R34" s="65">
        <f t="shared" si="12"/>
        <v>0</v>
      </c>
      <c r="S34" s="65">
        <f t="shared" si="12"/>
        <v>0.40955719999999995</v>
      </c>
      <c r="T34" s="65">
        <f t="shared" si="12"/>
        <v>0</v>
      </c>
      <c r="U34" s="126">
        <f t="shared" si="12"/>
        <v>0</v>
      </c>
    </row>
    <row r="35" spans="1:21" s="48" customFormat="1" ht="13" x14ac:dyDescent="0.35">
      <c r="A35" s="125" t="str">
        <f>G8</f>
        <v>SCJ5</v>
      </c>
      <c r="B35" s="11">
        <v>0</v>
      </c>
      <c r="C35" s="65">
        <f t="shared" si="6"/>
        <v>0</v>
      </c>
      <c r="D35" s="65">
        <f t="shared" si="7"/>
        <v>0</v>
      </c>
      <c r="E35" s="65">
        <f t="shared" si="8"/>
        <v>0</v>
      </c>
      <c r="F35" s="65">
        <f t="shared" si="9"/>
        <v>0</v>
      </c>
      <c r="G35" s="65">
        <f t="shared" si="10"/>
        <v>0</v>
      </c>
      <c r="H35" s="65">
        <f t="shared" si="10"/>
        <v>0</v>
      </c>
      <c r="I35" s="65">
        <f t="shared" si="10"/>
        <v>0</v>
      </c>
      <c r="J35" s="65">
        <f t="shared" si="10"/>
        <v>0</v>
      </c>
      <c r="K35" s="65">
        <f t="shared" si="10"/>
        <v>0</v>
      </c>
      <c r="L35" s="65">
        <f t="shared" si="10"/>
        <v>0</v>
      </c>
      <c r="M35" s="65">
        <f t="shared" si="10"/>
        <v>0</v>
      </c>
      <c r="N35" s="65">
        <f t="shared" si="10"/>
        <v>0</v>
      </c>
      <c r="O35" s="65">
        <f t="shared" si="10"/>
        <v>0</v>
      </c>
      <c r="P35" s="65">
        <f t="shared" si="10"/>
        <v>0</v>
      </c>
      <c r="Q35" s="65">
        <f t="shared" si="11"/>
        <v>0</v>
      </c>
      <c r="R35" s="65">
        <f t="shared" si="12"/>
        <v>0</v>
      </c>
      <c r="S35" s="65">
        <f t="shared" si="12"/>
        <v>0</v>
      </c>
      <c r="T35" s="65">
        <f t="shared" si="12"/>
        <v>0</v>
      </c>
      <c r="U35" s="126">
        <f t="shared" si="12"/>
        <v>0</v>
      </c>
    </row>
    <row r="36" spans="1:21" s="48" customFormat="1" ht="13" x14ac:dyDescent="0.35">
      <c r="A36" s="125" t="str">
        <f>H8</f>
        <v>SCJ6</v>
      </c>
      <c r="B36" s="11">
        <v>24</v>
      </c>
      <c r="C36" s="65">
        <f t="shared" si="6"/>
        <v>48.412799999999997</v>
      </c>
      <c r="D36" s="65">
        <f t="shared" si="7"/>
        <v>31.921511039999999</v>
      </c>
      <c r="E36" s="65">
        <f t="shared" si="8"/>
        <v>1.9635523199999996</v>
      </c>
      <c r="F36" s="65">
        <f t="shared" si="9"/>
        <v>4.2287754239999993</v>
      </c>
      <c r="G36" s="65">
        <f t="shared" si="10"/>
        <v>0.20231039999999997</v>
      </c>
      <c r="H36" s="65">
        <f t="shared" si="10"/>
        <v>0.33731519999999993</v>
      </c>
      <c r="I36" s="65">
        <f t="shared" si="10"/>
        <v>7.4783999999999989E-2</v>
      </c>
      <c r="J36" s="65">
        <f t="shared" si="10"/>
        <v>1.3382399999999999E-3</v>
      </c>
      <c r="K36" s="65">
        <f t="shared" si="10"/>
        <v>1.2201599999999999E-3</v>
      </c>
      <c r="L36" s="65">
        <f t="shared" si="10"/>
        <v>9.5251199999999994E-2</v>
      </c>
      <c r="M36" s="65">
        <f t="shared" si="10"/>
        <v>5.1955199999999993E-2</v>
      </c>
      <c r="N36" s="65">
        <f t="shared" si="10"/>
        <v>645.50399999999991</v>
      </c>
      <c r="O36" s="65">
        <f t="shared" si="10"/>
        <v>70.060799999999986</v>
      </c>
      <c r="P36" s="65">
        <f t="shared" si="10"/>
        <v>0</v>
      </c>
      <c r="Q36" s="65">
        <f t="shared" si="11"/>
        <v>52.151999999999994</v>
      </c>
      <c r="R36" s="65">
        <f t="shared" si="12"/>
        <v>0</v>
      </c>
      <c r="S36" s="65">
        <f t="shared" si="12"/>
        <v>8.6985599999999996E-2</v>
      </c>
      <c r="T36" s="65">
        <f t="shared" si="12"/>
        <v>0</v>
      </c>
      <c r="U36" s="126">
        <f t="shared" si="12"/>
        <v>0</v>
      </c>
    </row>
    <row r="37" spans="1:21" s="48" customFormat="1" ht="13" x14ac:dyDescent="0.35">
      <c r="A37" s="125">
        <f>I8</f>
        <v>0</v>
      </c>
      <c r="B37" s="11"/>
      <c r="C37" s="65">
        <f t="shared" si="6"/>
        <v>0</v>
      </c>
      <c r="D37" s="65">
        <f t="shared" si="7"/>
        <v>0</v>
      </c>
      <c r="E37" s="65">
        <f t="shared" si="8"/>
        <v>0</v>
      </c>
      <c r="F37" s="65">
        <f t="shared" si="9"/>
        <v>0</v>
      </c>
      <c r="G37" s="65">
        <f t="shared" si="10"/>
        <v>0</v>
      </c>
      <c r="H37" s="65">
        <f t="shared" si="10"/>
        <v>0</v>
      </c>
      <c r="I37" s="65">
        <f t="shared" si="10"/>
        <v>0</v>
      </c>
      <c r="J37" s="65">
        <f t="shared" si="10"/>
        <v>0</v>
      </c>
      <c r="K37" s="65">
        <f t="shared" si="10"/>
        <v>0</v>
      </c>
      <c r="L37" s="65">
        <f t="shared" si="10"/>
        <v>0</v>
      </c>
      <c r="M37" s="65">
        <f t="shared" si="10"/>
        <v>0</v>
      </c>
      <c r="N37" s="65">
        <f t="shared" si="10"/>
        <v>0</v>
      </c>
      <c r="O37" s="65">
        <f t="shared" si="10"/>
        <v>0</v>
      </c>
      <c r="P37" s="65">
        <f t="shared" si="10"/>
        <v>0</v>
      </c>
      <c r="Q37" s="65">
        <f t="shared" si="11"/>
        <v>0</v>
      </c>
      <c r="R37" s="65">
        <f t="shared" si="12"/>
        <v>0</v>
      </c>
      <c r="S37" s="65">
        <f t="shared" si="12"/>
        <v>0</v>
      </c>
      <c r="T37" s="65">
        <f t="shared" si="12"/>
        <v>0</v>
      </c>
      <c r="U37" s="126">
        <f t="shared" si="12"/>
        <v>0</v>
      </c>
    </row>
    <row r="38" spans="1:21" s="48" customFormat="1" ht="13" x14ac:dyDescent="0.35">
      <c r="A38" s="125">
        <f>J8</f>
        <v>0</v>
      </c>
      <c r="B38" s="11"/>
      <c r="C38" s="65">
        <f t="shared" si="6"/>
        <v>0</v>
      </c>
      <c r="D38" s="65">
        <f t="shared" si="7"/>
        <v>0</v>
      </c>
      <c r="E38" s="65">
        <f t="shared" si="8"/>
        <v>0</v>
      </c>
      <c r="F38" s="65">
        <f t="shared" si="9"/>
        <v>0</v>
      </c>
      <c r="G38" s="65">
        <f t="shared" si="10"/>
        <v>0</v>
      </c>
      <c r="H38" s="65">
        <f t="shared" si="10"/>
        <v>0</v>
      </c>
      <c r="I38" s="65">
        <f t="shared" si="10"/>
        <v>0</v>
      </c>
      <c r="J38" s="65">
        <f t="shared" si="10"/>
        <v>0</v>
      </c>
      <c r="K38" s="65">
        <f t="shared" si="10"/>
        <v>0</v>
      </c>
      <c r="L38" s="65">
        <f t="shared" si="10"/>
        <v>0</v>
      </c>
      <c r="M38" s="65">
        <f t="shared" si="10"/>
        <v>0</v>
      </c>
      <c r="N38" s="65">
        <f t="shared" si="10"/>
        <v>0</v>
      </c>
      <c r="O38" s="65">
        <f t="shared" si="10"/>
        <v>0</v>
      </c>
      <c r="P38" s="65">
        <f t="shared" si="10"/>
        <v>0</v>
      </c>
      <c r="Q38" s="65">
        <f t="shared" si="11"/>
        <v>0</v>
      </c>
      <c r="R38" s="65">
        <f t="shared" si="12"/>
        <v>0</v>
      </c>
      <c r="S38" s="65">
        <f t="shared" si="12"/>
        <v>0</v>
      </c>
      <c r="T38" s="65">
        <f t="shared" si="12"/>
        <v>0</v>
      </c>
      <c r="U38" s="126">
        <f t="shared" si="12"/>
        <v>0</v>
      </c>
    </row>
    <row r="39" spans="1:21" s="48" customFormat="1" ht="13" x14ac:dyDescent="0.35">
      <c r="A39" s="125">
        <f>K8</f>
        <v>0</v>
      </c>
      <c r="B39" s="11"/>
      <c r="C39" s="65">
        <f t="shared" si="6"/>
        <v>0</v>
      </c>
      <c r="D39" s="65">
        <f t="shared" si="7"/>
        <v>0</v>
      </c>
      <c r="E39" s="65">
        <f t="shared" si="8"/>
        <v>0</v>
      </c>
      <c r="F39" s="65">
        <f t="shared" si="9"/>
        <v>0</v>
      </c>
      <c r="G39" s="65">
        <f t="shared" si="10"/>
        <v>0</v>
      </c>
      <c r="H39" s="65">
        <f t="shared" si="10"/>
        <v>0</v>
      </c>
      <c r="I39" s="65">
        <f t="shared" si="10"/>
        <v>0</v>
      </c>
      <c r="J39" s="65">
        <f t="shared" si="10"/>
        <v>0</v>
      </c>
      <c r="K39" s="65">
        <f t="shared" si="10"/>
        <v>0</v>
      </c>
      <c r="L39" s="65">
        <f t="shared" si="10"/>
        <v>0</v>
      </c>
      <c r="M39" s="65">
        <f t="shared" si="10"/>
        <v>0</v>
      </c>
      <c r="N39" s="65">
        <f t="shared" si="10"/>
        <v>0</v>
      </c>
      <c r="O39" s="65">
        <f t="shared" si="10"/>
        <v>0</v>
      </c>
      <c r="P39" s="65">
        <f t="shared" si="10"/>
        <v>0</v>
      </c>
      <c r="Q39" s="65">
        <f t="shared" si="11"/>
        <v>0</v>
      </c>
      <c r="R39" s="65">
        <f t="shared" si="12"/>
        <v>0</v>
      </c>
      <c r="S39" s="65">
        <f t="shared" si="12"/>
        <v>0</v>
      </c>
      <c r="T39" s="65">
        <f t="shared" si="12"/>
        <v>0</v>
      </c>
      <c r="U39" s="126">
        <f t="shared" si="12"/>
        <v>0</v>
      </c>
    </row>
    <row r="40" spans="1:21" s="48" customFormat="1" ht="13" x14ac:dyDescent="0.35">
      <c r="A40" s="125">
        <f>L8</f>
        <v>0</v>
      </c>
      <c r="B40" s="11"/>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f t="shared" si="12"/>
        <v>0</v>
      </c>
      <c r="S40" s="65">
        <f t="shared" si="12"/>
        <v>0</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SCJ1</v>
      </c>
      <c r="C57" s="8" t="str">
        <f t="shared" ref="C57:U57" si="13">D8</f>
        <v>SCJ2</v>
      </c>
      <c r="D57" s="8" t="str">
        <f t="shared" si="13"/>
        <v>SCJ3</v>
      </c>
      <c r="E57" s="8" t="str">
        <f t="shared" si="13"/>
        <v>SCJ4</v>
      </c>
      <c r="F57" s="8" t="str">
        <f t="shared" si="13"/>
        <v>SCJ5</v>
      </c>
      <c r="G57" s="8" t="str">
        <f t="shared" si="13"/>
        <v>SCJ6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Arable</v>
      </c>
      <c r="F58" s="10" t="str">
        <f>G16&amp;" I "&amp;(VLOOKUP(G14,Table24[],6,FALSE))</f>
        <v>Medium/Clay I Arable</v>
      </c>
      <c r="G58" s="10" t="str">
        <f>H16&amp;" I "&amp;(VLOOKUP(H14,Table24[],6,FALSE))</f>
        <v>Medium/Clay I Grass</v>
      </c>
      <c r="H58" s="10" t="e">
        <f>I16&amp;" I "&amp;(VLOOKUP(I14,Table24[],6,FALSE))</f>
        <v>#N/A</v>
      </c>
      <c r="I58" s="10" t="e">
        <f>J16&amp;" I "&amp;(VLOOKUP(J14,Table24[],6,FALSE))</f>
        <v>#N/A</v>
      </c>
      <c r="J58" s="10" t="e">
        <f>K16&amp;" I "&amp;(VLOOKUP(K14,Table24[],6,FALSE))</f>
        <v>#N/A</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6.7</v>
      </c>
      <c r="F59" s="64">
        <f>VLOOKUP(G$14,Table24[],5,FALSE)</f>
        <v>6.7</v>
      </c>
      <c r="G59" s="64">
        <f>VLOOKUP(H$14,Table24[],5,FALSE)</f>
        <v>6.2</v>
      </c>
      <c r="H59" s="64" t="e">
        <f>VLOOKUP(I$14,Table24[],5,FALSE)</f>
        <v>#N/A</v>
      </c>
      <c r="I59" s="64" t="e">
        <f>VLOOKUP(J$14,Table24[],5,FALSE)</f>
        <v>#N/A</v>
      </c>
      <c r="J59" s="64" t="e">
        <f>VLOOKUP(K$14,Table24[],5,FALSE)</f>
        <v>#N/A</v>
      </c>
      <c r="K59" s="64" t="e">
        <f>VLOOKUP(L$14,Table24[],5,FALSE)</f>
        <v>#N/A</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6.4</v>
      </c>
      <c r="C60" s="64">
        <f t="shared" ref="C60:U60" si="14">D10</f>
        <v>5.8</v>
      </c>
      <c r="D60" s="64">
        <f t="shared" si="14"/>
        <v>6</v>
      </c>
      <c r="E60" s="64">
        <f t="shared" si="14"/>
        <v>6</v>
      </c>
      <c r="F60" s="64">
        <f t="shared" si="14"/>
        <v>5.9</v>
      </c>
      <c r="G60" s="64">
        <f t="shared" si="14"/>
        <v>6.1</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8</v>
      </c>
      <c r="G61" s="64">
        <f t="shared" si="15"/>
        <v>6</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49</v>
      </c>
      <c r="C62" s="65">
        <f>B32</f>
        <v>0</v>
      </c>
      <c r="D62" s="65">
        <f>B33</f>
        <v>24</v>
      </c>
      <c r="E62" s="65">
        <f>B34</f>
        <v>113</v>
      </c>
      <c r="F62" s="65">
        <f>B35</f>
        <v>0</v>
      </c>
      <c r="G62" s="65">
        <f>B36</f>
        <v>24</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1.2000000000000011</v>
      </c>
      <c r="E64" s="65">
        <f t="shared" si="17"/>
        <v>5.6000000000000014</v>
      </c>
      <c r="F64" s="65">
        <f t="shared" si="17"/>
        <v>6.3999999999999986</v>
      </c>
      <c r="G64" s="65">
        <f t="shared" si="17"/>
        <v>0.6000000000000032</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-1.2000000000000011</v>
      </c>
      <c r="E65" s="65">
        <f t="shared" si="18"/>
        <v>-5.6000000000000014</v>
      </c>
      <c r="F65" s="65">
        <f t="shared" si="18"/>
        <v>-6.3999999999999986</v>
      </c>
      <c r="G65" s="65">
        <f t="shared" si="18"/>
        <v>-0.6000000000000032</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phoneticPr fontId="12" type="noConversion"/>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Q29" sqref="Q2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60" t="s">
        <v>41</v>
      </c>
      <c r="B1" s="161"/>
      <c r="C1" s="168" t="str">
        <f>'DCWW Alaw'!C1:D1</f>
        <v xml:space="preserve"> PAN-031280</v>
      </c>
      <c r="D1" s="169"/>
      <c r="E1" s="106" t="s">
        <v>45</v>
      </c>
      <c r="F1" s="113">
        <f>'DCWW Alaw'!F1</f>
        <v>33.6</v>
      </c>
      <c r="G1" s="136" t="s">
        <v>43</v>
      </c>
      <c r="H1" s="137"/>
      <c r="I1" s="109">
        <v>5.9</v>
      </c>
      <c r="J1" s="160" t="s">
        <v>153</v>
      </c>
      <c r="K1" s="161"/>
      <c r="L1" s="109">
        <v>262</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40" t="s">
        <v>87</v>
      </c>
      <c r="B2" s="141"/>
      <c r="C2" s="170" t="str">
        <f>'DCWW Alaw'!C2:D2</f>
        <v>EPR/GP3792SK</v>
      </c>
      <c r="D2" s="171"/>
      <c r="E2" s="96" t="s">
        <v>109</v>
      </c>
      <c r="F2" s="110" t="s">
        <v>165</v>
      </c>
      <c r="G2" s="138" t="s">
        <v>110</v>
      </c>
      <c r="H2" s="139"/>
      <c r="I2" s="110"/>
      <c r="J2" s="140" t="s">
        <v>158</v>
      </c>
      <c r="K2" s="141"/>
      <c r="L2" s="110">
        <v>0.66400000000000003</v>
      </c>
      <c r="AB2" s="22" t="s">
        <v>56</v>
      </c>
      <c r="AC2" s="13"/>
      <c r="AD2" s="22" t="s">
        <v>70</v>
      </c>
      <c r="AE2" s="13"/>
      <c r="AF2" s="13"/>
      <c r="AG2" s="34" t="s">
        <v>76</v>
      </c>
      <c r="AH2" s="13"/>
      <c r="AI2" s="35" t="s">
        <v>126</v>
      </c>
      <c r="AJ2" s="36">
        <v>0</v>
      </c>
      <c r="AK2" s="37">
        <v>0</v>
      </c>
      <c r="AL2" s="7">
        <v>0</v>
      </c>
      <c r="AM2" s="9">
        <v>0</v>
      </c>
      <c r="AN2" s="9">
        <v>0</v>
      </c>
    </row>
    <row r="3" spans="1:41" ht="13" x14ac:dyDescent="0.25">
      <c r="A3" s="162" t="s">
        <v>42</v>
      </c>
      <c r="B3" s="163"/>
      <c r="C3" s="170" t="str">
        <f>'DCWW Alaw'!C3:D3</f>
        <v>Byproduct Recovery Ltd</v>
      </c>
      <c r="D3" s="171"/>
      <c r="E3" s="96" t="s">
        <v>108</v>
      </c>
      <c r="F3" s="111" t="s">
        <v>77</v>
      </c>
      <c r="G3" s="140" t="s">
        <v>159</v>
      </c>
      <c r="H3" s="141"/>
      <c r="I3" s="110"/>
      <c r="J3" s="162" t="s">
        <v>154</v>
      </c>
      <c r="K3" s="163"/>
      <c r="L3" s="110">
        <f>(L1/(L2*10000))*100</f>
        <v>3.9457831325301203</v>
      </c>
      <c r="AB3" s="22" t="s">
        <v>57</v>
      </c>
      <c r="AC3" s="13"/>
      <c r="AD3" s="22" t="s">
        <v>71</v>
      </c>
      <c r="AE3" s="13"/>
      <c r="AF3" s="13"/>
      <c r="AG3" s="34" t="s">
        <v>77</v>
      </c>
      <c r="AH3" s="13"/>
      <c r="AI3" s="38" t="s">
        <v>113</v>
      </c>
      <c r="AJ3" s="39">
        <v>1.7</v>
      </c>
      <c r="AK3" s="40">
        <v>6</v>
      </c>
      <c r="AL3" s="41">
        <v>1</v>
      </c>
      <c r="AM3" s="9">
        <v>6.2</v>
      </c>
      <c r="AN3" s="9" t="s">
        <v>112</v>
      </c>
    </row>
    <row r="4" spans="1:41" ht="25" x14ac:dyDescent="0.25">
      <c r="A4" s="140" t="s">
        <v>0</v>
      </c>
      <c r="B4" s="141"/>
      <c r="C4" s="172" t="str">
        <f>'DCWW Alaw'!C4:D4</f>
        <v>Plas Bach, Cerrigceinwen, Bodorgan, LL62 5NS</v>
      </c>
      <c r="D4" s="173"/>
      <c r="E4" s="99" t="s">
        <v>1</v>
      </c>
      <c r="F4" s="131" t="s">
        <v>169</v>
      </c>
      <c r="G4" s="162"/>
      <c r="H4" s="163"/>
      <c r="I4" s="115"/>
      <c r="J4" s="162"/>
      <c r="K4" s="163"/>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2" t="s">
        <v>47</v>
      </c>
      <c r="B5" s="143"/>
      <c r="C5" s="174" t="str">
        <f>'DCWW Alaw'!C5:D5</f>
        <v>Owen Clee</v>
      </c>
      <c r="D5" s="175"/>
      <c r="E5" s="107"/>
      <c r="F5" s="114"/>
      <c r="G5" s="166"/>
      <c r="H5" s="167"/>
      <c r="I5" s="114"/>
      <c r="J5" s="166"/>
      <c r="K5" s="16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2" t="s">
        <v>63</v>
      </c>
      <c r="B7" s="153"/>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40" t="s">
        <v>2</v>
      </c>
      <c r="B8" s="141"/>
      <c r="C8" s="49" t="str">
        <f>'DCWW Alaw'!C8</f>
        <v>SCJ1</v>
      </c>
      <c r="D8" s="49" t="str">
        <f>'DCWW Alaw'!D8</f>
        <v>SCJ2</v>
      </c>
      <c r="E8" s="49" t="str">
        <f>'DCWW Alaw'!E8</f>
        <v>SCJ3</v>
      </c>
      <c r="F8" s="49" t="str">
        <f>'DCWW Alaw'!F8</f>
        <v>SCJ4</v>
      </c>
      <c r="G8" s="49" t="str">
        <f>'DCWW Alaw'!G8</f>
        <v>SCJ5</v>
      </c>
      <c r="H8" s="49" t="str">
        <f>'DCWW Alaw'!H8</f>
        <v>SCJ6</v>
      </c>
      <c r="I8" s="49">
        <f>'DCWW Alaw'!I8</f>
        <v>0</v>
      </c>
      <c r="J8" s="49">
        <f>'DCWW Alaw'!J8</f>
        <v>0</v>
      </c>
      <c r="K8" s="49">
        <f>'DCWW Alaw'!K8</f>
        <v>0</v>
      </c>
      <c r="L8" s="49">
        <f>'DCWW Alaw'!L8</f>
        <v>0</v>
      </c>
      <c r="M8" s="49">
        <f>'DCWW Alaw'!M8</f>
        <v>0</v>
      </c>
      <c r="N8" s="49">
        <f>'DCWW Alaw'!N8</f>
        <v>0</v>
      </c>
      <c r="O8" s="49">
        <f>'DCWW Alaw'!O8</f>
        <v>0</v>
      </c>
      <c r="P8" s="49">
        <f>'DCWW Alaw'!P8</f>
        <v>0</v>
      </c>
      <c r="Q8" s="49">
        <f>'DCWW Alaw'!Q8</f>
        <v>0</v>
      </c>
      <c r="R8" s="49">
        <f>'DCWW Alaw'!R8</f>
        <v>0</v>
      </c>
      <c r="S8" s="49">
        <f>'DCWW Alaw'!S8</f>
        <v>0</v>
      </c>
      <c r="T8" s="49">
        <f>'DCWW Alaw'!T8</f>
        <v>0</v>
      </c>
      <c r="U8" s="49">
        <f>'DCWW Alaw'!U8</f>
        <v>0</v>
      </c>
      <c r="V8" s="102">
        <f>'DCWW Alaw'!V8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40" t="s">
        <v>3</v>
      </c>
      <c r="B9" s="141"/>
      <c r="C9" s="49" t="str">
        <f>'DCWW Alaw'!C9</f>
        <v>Moderate</v>
      </c>
      <c r="D9" s="49" t="str">
        <f>'DCWW Alaw'!D9</f>
        <v>Moderate</v>
      </c>
      <c r="E9" s="49" t="str">
        <f>'DCWW Alaw'!E9</f>
        <v>Moderate</v>
      </c>
      <c r="F9" s="49">
        <f>'DCWW Alaw'!F9</f>
        <v>1</v>
      </c>
      <c r="G9" s="49">
        <f>'DCWW Alaw'!G9</f>
        <v>1</v>
      </c>
      <c r="H9" s="49" t="str">
        <f>'DCWW Alaw'!H9</f>
        <v>Moderate</v>
      </c>
      <c r="I9" s="49">
        <f>'DCWW Alaw'!I9</f>
        <v>0</v>
      </c>
      <c r="J9" s="49">
        <f>'DCWW Alaw'!J9</f>
        <v>0</v>
      </c>
      <c r="K9" s="49">
        <f>'DCWW Alaw'!K9</f>
        <v>0</v>
      </c>
      <c r="L9" s="49">
        <f>'DCWW Alaw'!L9</f>
        <v>0</v>
      </c>
      <c r="M9" s="49">
        <f>'DCWW Alaw'!M9</f>
        <v>0</v>
      </c>
      <c r="N9" s="49">
        <f>'DCWW Alaw'!N9</f>
        <v>0</v>
      </c>
      <c r="O9" s="49">
        <f>'DCWW Alaw'!O9</f>
        <v>0</v>
      </c>
      <c r="P9" s="49">
        <f>'DCWW Alaw'!P9</f>
        <v>0</v>
      </c>
      <c r="Q9" s="49">
        <f>'DCWW Alaw'!Q9</f>
        <v>0</v>
      </c>
      <c r="R9" s="49">
        <f>'DCWW Alaw'!R9</f>
        <v>0</v>
      </c>
      <c r="S9" s="49">
        <f>'DCWW Alaw'!S9</f>
        <v>0</v>
      </c>
      <c r="T9" s="49">
        <f>'DCWW Alaw'!T9</f>
        <v>0</v>
      </c>
      <c r="U9" s="49">
        <f>'DCWW Alaw'!U9</f>
        <v>0</v>
      </c>
      <c r="V9" s="102">
        <f>'DCWW Alaw'!V9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40" t="s">
        <v>4</v>
      </c>
      <c r="B10" s="141"/>
      <c r="C10" s="49">
        <f>'DCWW Alaw'!C10</f>
        <v>6.4</v>
      </c>
      <c r="D10" s="49">
        <f>'DCWW Alaw'!D10</f>
        <v>5.8</v>
      </c>
      <c r="E10" s="49">
        <f>'DCWW Alaw'!E10</f>
        <v>6</v>
      </c>
      <c r="F10" s="49">
        <f>'DCWW Alaw'!F10</f>
        <v>6</v>
      </c>
      <c r="G10" s="49">
        <f>'DCWW Alaw'!G10</f>
        <v>5.9</v>
      </c>
      <c r="H10" s="49">
        <f>'DCWW Alaw'!H10</f>
        <v>6.1</v>
      </c>
      <c r="I10" s="49">
        <f>'DCWW Alaw'!I10</f>
        <v>0</v>
      </c>
      <c r="J10" s="49">
        <f>'DCWW Alaw'!J10</f>
        <v>0</v>
      </c>
      <c r="K10" s="49">
        <f>'DCWW Alaw'!K10</f>
        <v>0</v>
      </c>
      <c r="L10" s="49">
        <f>'DCWW Alaw'!L10</f>
        <v>0</v>
      </c>
      <c r="M10" s="49">
        <f>'DCWW Alaw'!M10</f>
        <v>0</v>
      </c>
      <c r="N10" s="49">
        <f>'DCWW Alaw'!N10</f>
        <v>0</v>
      </c>
      <c r="O10" s="49">
        <f>'DCWW Alaw'!O10</f>
        <v>0</v>
      </c>
      <c r="P10" s="49">
        <f>'DCWW Alaw'!P10</f>
        <v>0</v>
      </c>
      <c r="Q10" s="49">
        <f>'DCWW Alaw'!Q10</f>
        <v>0</v>
      </c>
      <c r="R10" s="49">
        <f>'DCWW Alaw'!R10</f>
        <v>0</v>
      </c>
      <c r="S10" s="49">
        <f>'DCWW Alaw'!S10</f>
        <v>0</v>
      </c>
      <c r="T10" s="49">
        <f>'DCWW Alaw'!T10</f>
        <v>0</v>
      </c>
      <c r="U10" s="49">
        <f>'DCWW Alaw'!U10</f>
        <v>0</v>
      </c>
      <c r="V10" s="102">
        <f>'DCWW Alaw'!V10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40" t="s">
        <v>5</v>
      </c>
      <c r="B11" s="141"/>
      <c r="C11" s="49">
        <f>'DCWW Alaw'!C11</f>
        <v>2</v>
      </c>
      <c r="D11" s="49">
        <f>'DCWW Alaw'!D11</f>
        <v>2</v>
      </c>
      <c r="E11" s="49">
        <f>'DCWW Alaw'!E11</f>
        <v>3</v>
      </c>
      <c r="F11" s="49">
        <f>'DCWW Alaw'!F11</f>
        <v>1</v>
      </c>
      <c r="G11" s="49">
        <f>'DCWW Alaw'!G11</f>
        <v>0</v>
      </c>
      <c r="H11" s="49">
        <f>'DCWW Alaw'!H11</f>
        <v>3</v>
      </c>
      <c r="I11" s="49">
        <f>'DCWW Alaw'!I11</f>
        <v>0</v>
      </c>
      <c r="J11" s="49">
        <f>'DCWW Alaw'!J11</f>
        <v>0</v>
      </c>
      <c r="K11" s="49">
        <f>'DCWW Alaw'!K11</f>
        <v>0</v>
      </c>
      <c r="L11" s="49">
        <f>'DCWW Alaw'!L11</f>
        <v>0</v>
      </c>
      <c r="M11" s="49">
        <f>'DCWW Alaw'!M11</f>
        <v>0</v>
      </c>
      <c r="N11" s="49">
        <f>'DCWW Alaw'!N11</f>
        <v>0</v>
      </c>
      <c r="O11" s="49">
        <f>'DCWW Alaw'!O11</f>
        <v>0</v>
      </c>
      <c r="P11" s="49">
        <f>'DCWW Alaw'!P11</f>
        <v>0</v>
      </c>
      <c r="Q11" s="49">
        <f>'DCWW Alaw'!Q11</f>
        <v>0</v>
      </c>
      <c r="R11" s="49">
        <f>'DCWW Alaw'!R11</f>
        <v>0</v>
      </c>
      <c r="S11" s="49">
        <f>'DCWW Alaw'!S11</f>
        <v>0</v>
      </c>
      <c r="T11" s="49">
        <f>'DCWW Alaw'!T11</f>
        <v>0</v>
      </c>
      <c r="U11" s="49">
        <f>'DCWW Alaw'!U11</f>
        <v>0</v>
      </c>
      <c r="V11" s="102">
        <f>'DCWW Alaw'!V11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40" t="s">
        <v>6</v>
      </c>
      <c r="B12" s="141"/>
      <c r="C12" s="49">
        <f>'DCWW Alaw'!C12</f>
        <v>3</v>
      </c>
      <c r="D12" s="49">
        <f>'DCWW Alaw'!D12</f>
        <v>4</v>
      </c>
      <c r="E12" s="49">
        <f>'DCWW Alaw'!E12</f>
        <v>4</v>
      </c>
      <c r="F12" s="49">
        <f>'DCWW Alaw'!F12</f>
        <v>1</v>
      </c>
      <c r="G12" s="49">
        <f>'DCWW Alaw'!G12</f>
        <v>1</v>
      </c>
      <c r="H12" s="49">
        <f>'DCWW Alaw'!H12</f>
        <v>2</v>
      </c>
      <c r="I12" s="49">
        <f>'DCWW Alaw'!I12</f>
        <v>0</v>
      </c>
      <c r="J12" s="49">
        <f>'DCWW Alaw'!J12</f>
        <v>0</v>
      </c>
      <c r="K12" s="49">
        <f>'DCWW Alaw'!K12</f>
        <v>0</v>
      </c>
      <c r="L12" s="49">
        <f>'DCWW Alaw'!L12</f>
        <v>0</v>
      </c>
      <c r="M12" s="49">
        <f>'DCWW Alaw'!M12</f>
        <v>0</v>
      </c>
      <c r="N12" s="49">
        <f>'DCWW Alaw'!N12</f>
        <v>0</v>
      </c>
      <c r="O12" s="49">
        <f>'DCWW Alaw'!O12</f>
        <v>0</v>
      </c>
      <c r="P12" s="49">
        <f>'DCWW Alaw'!P12</f>
        <v>0</v>
      </c>
      <c r="Q12" s="49">
        <f>'DCWW Alaw'!Q12</f>
        <v>0</v>
      </c>
      <c r="R12" s="49">
        <f>'DCWW Alaw'!R12</f>
        <v>0</v>
      </c>
      <c r="S12" s="49">
        <f>'DCWW Alaw'!S12</f>
        <v>0</v>
      </c>
      <c r="T12" s="49">
        <f>'DCWW Alaw'!T12</f>
        <v>0</v>
      </c>
      <c r="U12" s="49">
        <f>'DCWW Alaw'!U12</f>
        <v>0</v>
      </c>
      <c r="V12" s="102">
        <f>'DCWW Alaw'!V12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40" t="s">
        <v>7</v>
      </c>
      <c r="B13" s="141"/>
      <c r="C13" s="49">
        <f>'DCWW Alaw'!C13</f>
        <v>4</v>
      </c>
      <c r="D13" s="49">
        <f>'DCWW Alaw'!D13</f>
        <v>3</v>
      </c>
      <c r="E13" s="49">
        <f>'DCWW Alaw'!E13</f>
        <v>3</v>
      </c>
      <c r="F13" s="49">
        <f>'DCWW Alaw'!F13</f>
        <v>3</v>
      </c>
      <c r="G13" s="49">
        <f>'DCWW Alaw'!G13</f>
        <v>3</v>
      </c>
      <c r="H13" s="49">
        <f>'DCWW Alaw'!H13</f>
        <v>3</v>
      </c>
      <c r="I13" s="49">
        <f>'DCWW Alaw'!I13</f>
        <v>0</v>
      </c>
      <c r="J13" s="49">
        <f>'DCWW Alaw'!J13</f>
        <v>0</v>
      </c>
      <c r="K13" s="49">
        <f>'DCWW Alaw'!K13</f>
        <v>0</v>
      </c>
      <c r="L13" s="49">
        <f>'DCWW Alaw'!L13</f>
        <v>0</v>
      </c>
      <c r="M13" s="49">
        <f>'DCWW Alaw'!M13</f>
        <v>0</v>
      </c>
      <c r="N13" s="49">
        <f>'DCWW Alaw'!N13</f>
        <v>0</v>
      </c>
      <c r="O13" s="49">
        <f>'DCWW Alaw'!O13</f>
        <v>0</v>
      </c>
      <c r="P13" s="49">
        <f>'DCWW Alaw'!P13</f>
        <v>0</v>
      </c>
      <c r="Q13" s="49">
        <f>'DCWW Alaw'!Q13</f>
        <v>0</v>
      </c>
      <c r="R13" s="49">
        <f>'DCWW Alaw'!R13</f>
        <v>0</v>
      </c>
      <c r="S13" s="49">
        <f>'DCWW Alaw'!S13</f>
        <v>0</v>
      </c>
      <c r="T13" s="49">
        <f>'DCWW Alaw'!T13</f>
        <v>0</v>
      </c>
      <c r="U13" s="49">
        <f>'DCWW Alaw'!U13</f>
        <v>0</v>
      </c>
      <c r="V13" s="102">
        <f>'DCWW Alaw'!V13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6" t="s">
        <v>8</v>
      </c>
      <c r="B14" s="157"/>
      <c r="C14" s="83" t="str">
        <f>'DCWW Alaw'!C14</f>
        <v xml:space="preserve">Grass Silage (25% DM) </v>
      </c>
      <c r="D14" s="83" t="str">
        <f>'DCWW Alaw'!D14</f>
        <v xml:space="preserve">Grass Silage (25% DM) </v>
      </c>
      <c r="E14" s="83" t="str">
        <f>'DCWW Alaw'!E14</f>
        <v xml:space="preserve">Grass Silage (25% DM) </v>
      </c>
      <c r="F14" s="83" t="str">
        <f>'DCWW Alaw'!F14</f>
        <v>Spring wheat/barley</v>
      </c>
      <c r="G14" s="83" t="str">
        <f>'DCWW Alaw'!G14</f>
        <v>Spring wheat/barley</v>
      </c>
      <c r="H14" s="83" t="str">
        <f>'DCWW Alaw'!H14</f>
        <v xml:space="preserve">Grass Silage (25% DM) </v>
      </c>
      <c r="I14" s="83">
        <f>'DCWW Alaw'!I14</f>
        <v>0</v>
      </c>
      <c r="J14" s="83">
        <f>'DCWW Alaw'!J14</f>
        <v>0</v>
      </c>
      <c r="K14" s="83">
        <f>'DCWW Alaw'!K14</f>
        <v>0</v>
      </c>
      <c r="L14" s="83">
        <f>'DCWW Alaw'!L14</f>
        <v>0</v>
      </c>
      <c r="M14" s="83">
        <f>'DCWW Alaw'!M14</f>
        <v>0</v>
      </c>
      <c r="N14" s="83">
        <f>'DCWW Alaw'!N14</f>
        <v>0</v>
      </c>
      <c r="O14" s="83">
        <f>'DCWW Alaw'!O14</f>
        <v>0</v>
      </c>
      <c r="P14" s="83">
        <f>'DCWW Alaw'!P14</f>
        <v>0</v>
      </c>
      <c r="Q14" s="83">
        <f>'DCWW Alaw'!Q14</f>
        <v>0</v>
      </c>
      <c r="R14" s="83">
        <f>'DCWW Alaw'!R14</f>
        <v>0</v>
      </c>
      <c r="S14" s="83">
        <f>'DCWW Alaw'!S14</f>
        <v>0</v>
      </c>
      <c r="T14" s="83">
        <f>'DCWW Alaw'!T14</f>
        <v>0</v>
      </c>
      <c r="U14" s="83">
        <f>'DCWW Alaw'!U14</f>
        <v>0</v>
      </c>
      <c r="V14" s="103">
        <f>'DCWW Alaw'!V14</f>
        <v>0</v>
      </c>
      <c r="AD14" s="22" t="s">
        <v>138</v>
      </c>
      <c r="AE14" s="22">
        <v>6</v>
      </c>
      <c r="AI14" s="43" t="s">
        <v>119</v>
      </c>
      <c r="AJ14" s="44">
        <v>0.8</v>
      </c>
      <c r="AK14" s="45">
        <v>1.7</v>
      </c>
      <c r="AL14" s="9">
        <v>12</v>
      </c>
      <c r="AM14" s="9">
        <v>6.7</v>
      </c>
      <c r="AN14" s="9" t="s">
        <v>135</v>
      </c>
    </row>
    <row r="15" spans="1:41" ht="13" x14ac:dyDescent="0.25">
      <c r="A15" s="154" t="s">
        <v>9</v>
      </c>
      <c r="B15" s="155"/>
      <c r="C15" s="49">
        <f>'DCWW Alaw'!C15</f>
        <v>38</v>
      </c>
      <c r="D15" s="49">
        <f>'DCWW Alaw'!D15</f>
        <v>38</v>
      </c>
      <c r="E15" s="49">
        <f>'DCWW Alaw'!E15</f>
        <v>38</v>
      </c>
      <c r="F15" s="49">
        <f>'DCWW Alaw'!F15</f>
        <v>5.5</v>
      </c>
      <c r="G15" s="49">
        <f>'DCWW Alaw'!G15</f>
        <v>5.5</v>
      </c>
      <c r="H15" s="49">
        <f>'DCWW Alaw'!H15</f>
        <v>38</v>
      </c>
      <c r="I15" s="49">
        <f>'DCWW Alaw'!I15</f>
        <v>0</v>
      </c>
      <c r="J15" s="49">
        <f>'DCWW Alaw'!J15</f>
        <v>0</v>
      </c>
      <c r="K15" s="49">
        <f>'DCWW Alaw'!K15</f>
        <v>0</v>
      </c>
      <c r="L15" s="49">
        <f>'DCWW Alaw'!L15</f>
        <v>0</v>
      </c>
      <c r="M15" s="49">
        <f>'DCWW Alaw'!M15</f>
        <v>0</v>
      </c>
      <c r="N15" s="49">
        <f>'DCWW Alaw'!N15</f>
        <v>0</v>
      </c>
      <c r="O15" s="49">
        <f>'DCWW Alaw'!O15</f>
        <v>0</v>
      </c>
      <c r="P15" s="49">
        <f>'DCWW Alaw'!P15</f>
        <v>0</v>
      </c>
      <c r="Q15" s="49">
        <f>'DCWW Alaw'!Q15</f>
        <v>0</v>
      </c>
      <c r="R15" s="49">
        <f>'DCWW Alaw'!R15</f>
        <v>0</v>
      </c>
      <c r="S15" s="49">
        <f>'DCWW Alaw'!S15</f>
        <v>0</v>
      </c>
      <c r="T15" s="49">
        <f>'DCWW Alaw'!T15</f>
        <v>0</v>
      </c>
      <c r="U15" s="49">
        <f>'DCWW Alaw'!U15</f>
        <v>0</v>
      </c>
      <c r="V15" s="102">
        <f>'DCWW Alaw'!V15</f>
        <v>0</v>
      </c>
      <c r="AD15" s="22" t="s">
        <v>144</v>
      </c>
      <c r="AE15" s="22">
        <v>7</v>
      </c>
      <c r="AI15" s="43" t="s">
        <v>101</v>
      </c>
      <c r="AJ15" s="51">
        <v>1.8</v>
      </c>
      <c r="AK15" s="45">
        <v>5.4</v>
      </c>
      <c r="AL15" s="9">
        <v>13</v>
      </c>
      <c r="AM15" s="9">
        <v>6.7</v>
      </c>
      <c r="AN15" s="9" t="s">
        <v>135</v>
      </c>
    </row>
    <row r="16" spans="1:41" ht="13.5" thickBot="1" x14ac:dyDescent="0.3">
      <c r="A16" s="158" t="s">
        <v>44</v>
      </c>
      <c r="B16" s="159"/>
      <c r="C16" s="104" t="str">
        <f>'DCWW Alaw'!C16</f>
        <v>Medium/Clay</v>
      </c>
      <c r="D16" s="104" t="str">
        <f>'DCWW Alaw'!D16</f>
        <v>Medium/Clay</v>
      </c>
      <c r="E16" s="104" t="str">
        <f>'DCWW Alaw'!E16</f>
        <v>Medium/Clay</v>
      </c>
      <c r="F16" s="104" t="str">
        <f>'DCWW Alaw'!F16</f>
        <v>Medium/Clay</v>
      </c>
      <c r="G16" s="104" t="str">
        <f>'DCWW Alaw'!G16</f>
        <v>Medium/Clay</v>
      </c>
      <c r="H16" s="104" t="str">
        <f>'DCWW Alaw'!H16</f>
        <v>Medium/Clay</v>
      </c>
      <c r="I16" s="104">
        <f>'DCWW Alaw'!I16</f>
        <v>0</v>
      </c>
      <c r="J16" s="104">
        <f>'DCWW Alaw'!J16</f>
        <v>0</v>
      </c>
      <c r="K16" s="104">
        <f>'DCWW Alaw'!K16</f>
        <v>0</v>
      </c>
      <c r="L16" s="104">
        <f>'DCWW Alaw'!L16</f>
        <v>0</v>
      </c>
      <c r="M16" s="104">
        <f>'DCWW Alaw'!M16</f>
        <v>0</v>
      </c>
      <c r="N16" s="104">
        <f>'DCWW Alaw'!N16</f>
        <v>0</v>
      </c>
      <c r="O16" s="104">
        <f>'DCWW Alaw'!O16</f>
        <v>0</v>
      </c>
      <c r="P16" s="104">
        <f>'DCWW Alaw'!P16</f>
        <v>0</v>
      </c>
      <c r="Q16" s="104">
        <f>'DCWW Alaw'!Q16</f>
        <v>0</v>
      </c>
      <c r="R16" s="104">
        <f>'DCWW Alaw'!R16</f>
        <v>0</v>
      </c>
      <c r="S16" s="104">
        <f>'DCWW Alaw'!S16</f>
        <v>0</v>
      </c>
      <c r="T16" s="104">
        <f>'DCWW Alaw'!T16</f>
        <v>0</v>
      </c>
      <c r="U16" s="104">
        <f>'DCWW Alaw'!U16</f>
        <v>0</v>
      </c>
      <c r="V16" s="105">
        <f>'DCWW Alaw'!V16</f>
        <v>0</v>
      </c>
      <c r="AD16" s="42" t="s">
        <v>145</v>
      </c>
      <c r="AE16" s="22">
        <v>8</v>
      </c>
      <c r="AI16" s="43" t="s">
        <v>118</v>
      </c>
      <c r="AJ16" s="44">
        <v>8</v>
      </c>
      <c r="AK16" s="45">
        <v>5.5</v>
      </c>
      <c r="AL16" s="7">
        <v>14</v>
      </c>
      <c r="AM16" s="9">
        <v>6.7</v>
      </c>
      <c r="AN16" s="9" t="s">
        <v>135</v>
      </c>
    </row>
    <row r="17" spans="1:40" ht="13" x14ac:dyDescent="0.25">
      <c r="A17" s="152" t="s">
        <v>69</v>
      </c>
      <c r="B17" s="153"/>
      <c r="C17" s="20">
        <f>(VLOOKUP(C$14,$AI2:$AK26,2,FALSE))*C$15</f>
        <v>64.599999999999994</v>
      </c>
      <c r="D17" s="20">
        <f t="shared" ref="D17:V17" si="0">(VLOOKUP(D$14,$AI2:$AK26,2,FALSE))*D$15</f>
        <v>64.599999999999994</v>
      </c>
      <c r="E17" s="20">
        <f t="shared" si="0"/>
        <v>64.599999999999994</v>
      </c>
      <c r="F17" s="20">
        <f t="shared" si="0"/>
        <v>46.75</v>
      </c>
      <c r="G17" s="20">
        <f t="shared" si="0"/>
        <v>46.75</v>
      </c>
      <c r="H17" s="20">
        <f t="shared" si="0"/>
        <v>64.599999999999994</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0" t="s">
        <v>23</v>
      </c>
      <c r="B18" s="151"/>
      <c r="C18" s="12">
        <f>$D31</f>
        <v>4.016867575</v>
      </c>
      <c r="D18" s="12">
        <f>$D32</f>
        <v>4.016867575</v>
      </c>
      <c r="E18" s="12">
        <f>$D33</f>
        <v>4.016867575</v>
      </c>
      <c r="F18" s="12">
        <f>$D34</f>
        <v>4.016867575</v>
      </c>
      <c r="G18" s="12">
        <f>$D35</f>
        <v>4.016867575</v>
      </c>
      <c r="H18" s="12">
        <f>$D36</f>
        <v>4.016867575</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0" t="s">
        <v>90</v>
      </c>
      <c r="B19" s="151"/>
      <c r="C19" s="12">
        <f>C18-C17</f>
        <v>-60.583132424999995</v>
      </c>
      <c r="D19" s="12">
        <f t="shared" ref="D19:V19" si="1">D18-D17</f>
        <v>-60.583132424999995</v>
      </c>
      <c r="E19" s="12">
        <f t="shared" si="1"/>
        <v>-60.583132424999995</v>
      </c>
      <c r="F19" s="12">
        <f t="shared" si="1"/>
        <v>-42.733132425000001</v>
      </c>
      <c r="G19" s="12">
        <f t="shared" si="1"/>
        <v>-42.733132425000001</v>
      </c>
      <c r="H19" s="12">
        <f t="shared" si="1"/>
        <v>-60.583132424999995</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8" t="s">
        <v>91</v>
      </c>
      <c r="B20" s="149"/>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2" t="s">
        <v>88</v>
      </c>
      <c r="B21" s="153"/>
      <c r="C21" s="20">
        <f>(VLOOKUP(C$14,$AI2:$AK26,3,FALSE))*C$15</f>
        <v>228</v>
      </c>
      <c r="D21" s="20">
        <f t="shared" ref="D21:V21" si="2">(VLOOKUP(D$14,$AI2:$AK26,3,FALSE))*D$15</f>
        <v>228</v>
      </c>
      <c r="E21" s="20">
        <f t="shared" si="2"/>
        <v>228</v>
      </c>
      <c r="F21" s="20">
        <f t="shared" si="2"/>
        <v>66</v>
      </c>
      <c r="G21" s="20">
        <f t="shared" si="2"/>
        <v>66</v>
      </c>
      <c r="H21" s="20">
        <f t="shared" si="2"/>
        <v>228</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0" t="s">
        <v>89</v>
      </c>
      <c r="B22" s="151"/>
      <c r="C22" s="12">
        <f>$E31</f>
        <v>1.4038250000000001</v>
      </c>
      <c r="D22" s="12">
        <f>$E32</f>
        <v>1.4038250000000001</v>
      </c>
      <c r="E22" s="12">
        <f>$E33</f>
        <v>1.4038250000000001</v>
      </c>
      <c r="F22" s="12">
        <f>$E34</f>
        <v>1.4038250000000001</v>
      </c>
      <c r="G22" s="12">
        <f>$E35</f>
        <v>1.4038250000000001</v>
      </c>
      <c r="H22" s="12">
        <f>$E36</f>
        <v>1.4038250000000001</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0" t="s">
        <v>92</v>
      </c>
      <c r="B23" s="151"/>
      <c r="C23" s="12">
        <f>C22-C21</f>
        <v>-226.59617499999999</v>
      </c>
      <c r="D23" s="12">
        <f t="shared" ref="D23:V23" si="3">D22-D21</f>
        <v>-226.59617499999999</v>
      </c>
      <c r="E23" s="12">
        <f t="shared" si="3"/>
        <v>-226.59617499999999</v>
      </c>
      <c r="F23" s="12">
        <f t="shared" si="3"/>
        <v>-64.596175000000002</v>
      </c>
      <c r="G23" s="12">
        <f t="shared" si="3"/>
        <v>-64.596175000000002</v>
      </c>
      <c r="H23" s="12">
        <f t="shared" si="3"/>
        <v>-226.59617499999999</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8" t="s">
        <v>93</v>
      </c>
      <c r="B24" s="149"/>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2.33</v>
      </c>
      <c r="C28" s="11">
        <v>0.66400000000000003</v>
      </c>
      <c r="D28" s="11">
        <v>3.0099999999999998E-2</v>
      </c>
      <c r="E28" s="11">
        <v>0.02</v>
      </c>
      <c r="F28" s="11">
        <v>369</v>
      </c>
      <c r="G28" s="11">
        <v>4.9800000000000004</v>
      </c>
      <c r="H28" s="11">
        <v>168</v>
      </c>
      <c r="I28" s="11">
        <v>13</v>
      </c>
      <c r="J28" s="11">
        <v>0.73</v>
      </c>
      <c r="K28" s="15">
        <v>1.72</v>
      </c>
      <c r="L28" s="11">
        <v>37.200000000000003</v>
      </c>
      <c r="M28" s="11">
        <v>2.92</v>
      </c>
      <c r="N28" s="11">
        <v>3720</v>
      </c>
      <c r="O28" s="11">
        <v>46000</v>
      </c>
      <c r="P28" s="11"/>
      <c r="Q28" s="11">
        <v>4180</v>
      </c>
      <c r="R28" s="11"/>
      <c r="S28" s="11">
        <v>13.1</v>
      </c>
      <c r="T28" s="11"/>
      <c r="U28" s="97"/>
    </row>
    <row r="29" spans="1:40" s="7" customFormat="1" ht="28" x14ac:dyDescent="0.35">
      <c r="A29" s="16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SCJ1</v>
      </c>
      <c r="B31" s="11">
        <v>250</v>
      </c>
      <c r="C31" s="65">
        <f>IF(C$27="%w/w SAR",((C$28*10)*$B31),IF(C$27="%w/w DM",(((C$28*10)*($B$28/100))*$B31),IF(C$27="kg/t SAR",(C$28*$B31),IF(C$27="kg/t DM",((C$28*($B$28/100))*$B31),IF(C$27="mg/kg SAR",((C$28*0.001)*$B31),IF(C$27="mg/kg DM",(((C$28*0.001)*($B$28/100))*$B31),0))))))</f>
        <v>38.678000000000004</v>
      </c>
      <c r="D31" s="65">
        <f>(IF(D$27="%w/w SAR",((D$28*10)*$B31),IF(D$27="%w/w DM",(((D$28*10)*($B$28/100))*$B31),IF(D$27="kg/t SAR",(D$28*$B31),IF(D$27="kg/t DM",((D$28*($B$28/100))*$B31),IF(D$27="mg/kg SAR",((D$28*0.001)*$B31),IF(D$27="mg/kg DM",(((D$28*0.001)*($B$28/100))*$B31),"0")))))))*2.291</f>
        <v>4.016867575</v>
      </c>
      <c r="E31" s="65">
        <f>(IF(E$27="%w/w SAR",((E$28*10)*$B31),IF(E$27="%w/w DM",(((E$28*10)*($B$28/100))*$B31),IF(E$27="kg/t SAR",(E$28*$B31),IF(E$27="kg/t DM",((E$28*($B$28/100))*$B31),IF(E$27="mg/kg SAR",((E$28*0.001)*$B31),IF(E$27="mg/kg DM",(((E$28*0.001)*($B$28/100))*$B31),"0")))))))*1.205</f>
        <v>1.4038250000000001</v>
      </c>
      <c r="F31" s="65">
        <f>(IF(F$27="%w/w SAR",((F$28*10)*$B31),IF(F$27="%w/w DM",(((F$28*10)*($B$28/100))*$B31),IF(F$27="kg/t SAR",(F$28*$B31),IF(F$27="kg/t DM",((F$28*($B$28/100))*$B31),IF(F$27="mg/kg SAR",((F$28*0.001)*$B31),IF(F$27="mg/kg DM",(((F$28*0.001)*($B$28/100))*$B31),"0")))))))*1.658</f>
        <v>3.5637466499999997</v>
      </c>
      <c r="G31" s="65">
        <f t="shared" ref="G31:P46" si="5">IF(G$27="%w/w SAR",((G$28*10)*$B31),IF(G$27="%w/w DM",(((G$28*10)*($B$28/100))*$B31),IF(G$27="kg/t SAR",(G$28*$B31),IF(G$27="kg/t DM",((G$28*($B$28/100))*$B31),IF(G$27="mg/kg SAR",((G$28*0.001)*$B31),IF(G$27="mg/kg DM",(((G$28*0.001)*($B$28/100))*$B31),0))))))</f>
        <v>2.9008500000000007E-2</v>
      </c>
      <c r="H31" s="65">
        <f t="shared" si="5"/>
        <v>0.97860000000000003</v>
      </c>
      <c r="I31" s="65">
        <f t="shared" si="5"/>
        <v>7.5725000000000015E-2</v>
      </c>
      <c r="J31" s="65">
        <f t="shared" si="5"/>
        <v>4.25225E-3</v>
      </c>
      <c r="K31" s="65">
        <f t="shared" si="5"/>
        <v>1.0019E-2</v>
      </c>
      <c r="L31" s="65">
        <f t="shared" si="5"/>
        <v>0.21669000000000005</v>
      </c>
      <c r="M31" s="65">
        <f t="shared" si="5"/>
        <v>1.7009E-2</v>
      </c>
      <c r="N31" s="65">
        <f t="shared" si="5"/>
        <v>21.669</v>
      </c>
      <c r="O31" s="65">
        <f t="shared" si="5"/>
        <v>267.95000000000005</v>
      </c>
      <c r="P31" s="65">
        <f t="shared" si="5"/>
        <v>0</v>
      </c>
      <c r="Q31" s="65">
        <f>(IF(Q$27="%w/w SAR",((Q$28*10)*$B31),IF(Q$27="%w/w DM",(((Q$28*10)*($B$28/100))*$B31),IF(Q$27="kg/t SAR",(Q$28*$B31),IF(Q$27="kg/t DM",((Q$28*($B$28/100))*$B31),IF(Q$27="mg/kg SAR",((Q$28*0.001)*$B31),IF(Q$27="mg/kg DM",(((Q$28*0.001)*($B$28/100))*$B31),0)))))))*2.5</f>
        <v>60.871249999999996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7.6307500000000014E-2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SCJ2</v>
      </c>
      <c r="B32" s="11">
        <v>250</v>
      </c>
      <c r="C32" s="65">
        <f t="shared" ref="C32:C50" si="6">IF(C$27="%w/w SAR",((C$28*10)*$B32),IF(C$27="%w/w DM",(((C$28*10)*($B$28/100))*$B32),IF(C$27="kg/t SAR",(C$28*$B32),IF(C$27="kg/t DM",((C$28*($B$28/100))*$B32),IF(C$27="mg/kg SAR",((C$28*0.001)*$B32),IF(C$27="mg/kg DM",(((C$28*0.001)*($B$28/100))*$B32),0))))))</f>
        <v>38.678000000000004</v>
      </c>
      <c r="D32" s="65">
        <f t="shared" ref="D32:D50" si="7">(IF(D$27="%w/w SAR",((D$28*10)*$B32),IF(D$27="%w/w DM",(((D$28*10)*($B$28/100))*$B32),IF(D$27="kg/t SAR",(D$28*$B32),IF(D$27="kg/t DM",((D$28*($B$28/100))*$B32),IF(D$27="mg/kg SAR",((D$28*0.001)*$B32),IF(D$27="mg/kg DM",(((D$28*0.001)*($B$28/100))*$B32),"0")))))))*2.291</f>
        <v>4.016867575</v>
      </c>
      <c r="E32" s="65">
        <f t="shared" ref="E32:E50" si="8">(IF(E$27="%w/w SAR",((E$28*10)*$B32),IF(E$27="%w/w DM",(((E$28*10)*($B$28/100))*$B32),IF(E$27="kg/t SAR",(E$28*$B32),IF(E$27="kg/t DM",((E$28*($B$28/100))*$B32),IF(E$27="mg/kg SAR",((E$28*0.001)*$B32),IF(E$27="mg/kg DM",(((E$28*0.001)*($B$28/100))*$B32),"0")))))))*1.205</f>
        <v>1.4038250000000001</v>
      </c>
      <c r="F32" s="65">
        <f t="shared" ref="F32:F50" si="9">(IF(F$27="%w/w SAR",((F$28*10)*$B32),IF(F$27="%w/w DM",(((F$28*10)*($B$28/100))*$B32),IF(F$27="kg/t SAR",(F$28*$B32),IF(F$27="kg/t DM",((F$28*($B$28/100))*$B32),IF(F$27="mg/kg SAR",((F$28*0.001)*$B32),IF(F$27="mg/kg DM",(((F$28*0.001)*($B$28/100))*$B32),"0")))))))*1.658</f>
        <v>3.5637466499999997</v>
      </c>
      <c r="G32" s="65">
        <f t="shared" si="5"/>
        <v>2.9008500000000007E-2</v>
      </c>
      <c r="H32" s="65">
        <f t="shared" si="5"/>
        <v>0.97860000000000003</v>
      </c>
      <c r="I32" s="65">
        <f t="shared" si="5"/>
        <v>7.5725000000000015E-2</v>
      </c>
      <c r="J32" s="65">
        <f t="shared" si="5"/>
        <v>4.25225E-3</v>
      </c>
      <c r="K32" s="65">
        <f t="shared" si="5"/>
        <v>1.0019E-2</v>
      </c>
      <c r="L32" s="65">
        <f t="shared" si="5"/>
        <v>0.21669000000000005</v>
      </c>
      <c r="M32" s="65">
        <f t="shared" si="5"/>
        <v>1.7009E-2</v>
      </c>
      <c r="N32" s="65">
        <f t="shared" si="5"/>
        <v>21.669</v>
      </c>
      <c r="O32" s="65">
        <f t="shared" si="5"/>
        <v>267.95000000000005</v>
      </c>
      <c r="P32" s="65">
        <f t="shared" si="5"/>
        <v>0</v>
      </c>
      <c r="Q32" s="65">
        <f t="shared" ref="Q32:Q50" si="10">(IF(Q$27="%w/w SAR",((Q$28*10)*$B32),IF(Q$27="%w/w DM",(((Q$28*10)*($B$28/100))*$B32),IF(Q$27="kg/t SAR",(Q$28*$B32),IF(Q$27="kg/t DM",((Q$28*($B$28/100))*$B32),IF(Q$27="mg/kg SAR",((Q$28*0.001)*$B32),IF(Q$27="mg/kg DM",(((Q$28*0.001)*($B$28/100))*$B32),0)))))))*2.5</f>
        <v>60.871249999999996</v>
      </c>
      <c r="R32" s="65">
        <f t="shared" ref="R32:U50" si="11">IF(R$27="%w/w SAR",((R$28*10)*$B32),IF(R$27="%w/w DM",(((R$28*10)*($B$28/100))*$B32),IF(R$27="kg/t SAR",(R$28*$B32),IF(R$27="kg/t DM",((R$28*($B$28/100))*$B32),IF(R$27="mg/kg SAR",((R$28*0.001)*$B32),IF(R$27="mg/kg DM",(((R$28*0.001)*($B$28/100))*$B32),0))))))</f>
        <v>0</v>
      </c>
      <c r="S32" s="65">
        <f t="shared" si="11"/>
        <v>7.6307500000000014E-2</v>
      </c>
      <c r="T32" s="65">
        <f t="shared" si="11"/>
        <v>0</v>
      </c>
      <c r="U32" s="126">
        <f t="shared" si="11"/>
        <v>0</v>
      </c>
    </row>
    <row r="33" spans="1:21" s="48" customFormat="1" ht="13" x14ac:dyDescent="0.35">
      <c r="A33" s="125" t="str">
        <f>E8</f>
        <v>SCJ3</v>
      </c>
      <c r="B33" s="11">
        <v>250</v>
      </c>
      <c r="C33" s="65">
        <f t="shared" si="6"/>
        <v>38.678000000000004</v>
      </c>
      <c r="D33" s="65">
        <f t="shared" si="7"/>
        <v>4.016867575</v>
      </c>
      <c r="E33" s="65">
        <f t="shared" si="8"/>
        <v>1.4038250000000001</v>
      </c>
      <c r="F33" s="65">
        <f t="shared" si="9"/>
        <v>3.5637466499999997</v>
      </c>
      <c r="G33" s="65">
        <f t="shared" si="5"/>
        <v>2.9008500000000007E-2</v>
      </c>
      <c r="H33" s="65">
        <f t="shared" si="5"/>
        <v>0.97860000000000003</v>
      </c>
      <c r="I33" s="65">
        <f t="shared" si="5"/>
        <v>7.5725000000000015E-2</v>
      </c>
      <c r="J33" s="65">
        <f t="shared" si="5"/>
        <v>4.25225E-3</v>
      </c>
      <c r="K33" s="65">
        <f t="shared" si="5"/>
        <v>1.0019E-2</v>
      </c>
      <c r="L33" s="65">
        <f t="shared" si="5"/>
        <v>0.21669000000000005</v>
      </c>
      <c r="M33" s="65">
        <f t="shared" si="5"/>
        <v>1.7009E-2</v>
      </c>
      <c r="N33" s="65">
        <f t="shared" si="5"/>
        <v>21.669</v>
      </c>
      <c r="O33" s="65">
        <f t="shared" si="5"/>
        <v>267.95000000000005</v>
      </c>
      <c r="P33" s="65">
        <f t="shared" si="5"/>
        <v>0</v>
      </c>
      <c r="Q33" s="65">
        <f t="shared" si="10"/>
        <v>60.871249999999996</v>
      </c>
      <c r="R33" s="65">
        <f t="shared" si="11"/>
        <v>0</v>
      </c>
      <c r="S33" s="65">
        <f t="shared" si="11"/>
        <v>7.6307500000000014E-2</v>
      </c>
      <c r="T33" s="65">
        <f t="shared" si="11"/>
        <v>0</v>
      </c>
      <c r="U33" s="126">
        <f t="shared" si="11"/>
        <v>0</v>
      </c>
    </row>
    <row r="34" spans="1:21" s="48" customFormat="1" ht="13" x14ac:dyDescent="0.35">
      <c r="A34" s="125" t="str">
        <f>F8</f>
        <v>SCJ4</v>
      </c>
      <c r="B34" s="11">
        <v>250</v>
      </c>
      <c r="C34" s="65">
        <f t="shared" si="6"/>
        <v>38.678000000000004</v>
      </c>
      <c r="D34" s="65">
        <f t="shared" si="7"/>
        <v>4.016867575</v>
      </c>
      <c r="E34" s="65">
        <f t="shared" si="8"/>
        <v>1.4038250000000001</v>
      </c>
      <c r="F34" s="65">
        <f t="shared" si="9"/>
        <v>3.5637466499999997</v>
      </c>
      <c r="G34" s="65">
        <f t="shared" si="5"/>
        <v>2.9008500000000007E-2</v>
      </c>
      <c r="H34" s="65">
        <f t="shared" si="5"/>
        <v>0.97860000000000003</v>
      </c>
      <c r="I34" s="65">
        <f t="shared" si="5"/>
        <v>7.5725000000000015E-2</v>
      </c>
      <c r="J34" s="65">
        <f t="shared" si="5"/>
        <v>4.25225E-3</v>
      </c>
      <c r="K34" s="65">
        <f t="shared" si="5"/>
        <v>1.0019E-2</v>
      </c>
      <c r="L34" s="65">
        <f t="shared" si="5"/>
        <v>0.21669000000000005</v>
      </c>
      <c r="M34" s="65">
        <f t="shared" si="5"/>
        <v>1.7009E-2</v>
      </c>
      <c r="N34" s="65">
        <f t="shared" si="5"/>
        <v>21.669</v>
      </c>
      <c r="O34" s="65">
        <f t="shared" si="5"/>
        <v>267.95000000000005</v>
      </c>
      <c r="P34" s="65">
        <f t="shared" si="5"/>
        <v>0</v>
      </c>
      <c r="Q34" s="65">
        <f t="shared" si="10"/>
        <v>60.871249999999996</v>
      </c>
      <c r="R34" s="65">
        <f t="shared" si="11"/>
        <v>0</v>
      </c>
      <c r="S34" s="65">
        <f t="shared" si="11"/>
        <v>7.6307500000000014E-2</v>
      </c>
      <c r="T34" s="65">
        <f t="shared" si="11"/>
        <v>0</v>
      </c>
      <c r="U34" s="126">
        <f t="shared" si="11"/>
        <v>0</v>
      </c>
    </row>
    <row r="35" spans="1:21" s="48" customFormat="1" ht="13" x14ac:dyDescent="0.35">
      <c r="A35" s="125" t="str">
        <f>G8</f>
        <v>SCJ5</v>
      </c>
      <c r="B35" s="11">
        <v>250</v>
      </c>
      <c r="C35" s="65">
        <f t="shared" si="6"/>
        <v>38.678000000000004</v>
      </c>
      <c r="D35" s="65">
        <f t="shared" si="7"/>
        <v>4.016867575</v>
      </c>
      <c r="E35" s="65">
        <f t="shared" si="8"/>
        <v>1.4038250000000001</v>
      </c>
      <c r="F35" s="65">
        <f t="shared" si="9"/>
        <v>3.5637466499999997</v>
      </c>
      <c r="G35" s="65">
        <f t="shared" si="5"/>
        <v>2.9008500000000007E-2</v>
      </c>
      <c r="H35" s="65">
        <f t="shared" si="5"/>
        <v>0.97860000000000003</v>
      </c>
      <c r="I35" s="65">
        <f t="shared" si="5"/>
        <v>7.5725000000000015E-2</v>
      </c>
      <c r="J35" s="65">
        <f t="shared" si="5"/>
        <v>4.25225E-3</v>
      </c>
      <c r="K35" s="65">
        <f t="shared" si="5"/>
        <v>1.0019E-2</v>
      </c>
      <c r="L35" s="65">
        <f t="shared" si="5"/>
        <v>0.21669000000000005</v>
      </c>
      <c r="M35" s="65">
        <f t="shared" si="5"/>
        <v>1.7009E-2</v>
      </c>
      <c r="N35" s="65">
        <f t="shared" si="5"/>
        <v>21.669</v>
      </c>
      <c r="O35" s="65">
        <f t="shared" si="5"/>
        <v>267.95000000000005</v>
      </c>
      <c r="P35" s="65">
        <f t="shared" si="5"/>
        <v>0</v>
      </c>
      <c r="Q35" s="65">
        <f t="shared" si="10"/>
        <v>60.871249999999996</v>
      </c>
      <c r="R35" s="65">
        <f t="shared" si="11"/>
        <v>0</v>
      </c>
      <c r="S35" s="65">
        <f t="shared" si="11"/>
        <v>7.6307500000000014E-2</v>
      </c>
      <c r="T35" s="65">
        <f t="shared" si="11"/>
        <v>0</v>
      </c>
      <c r="U35" s="126">
        <f t="shared" si="11"/>
        <v>0</v>
      </c>
    </row>
    <row r="36" spans="1:21" s="48" customFormat="1" ht="13" x14ac:dyDescent="0.35">
      <c r="A36" s="125" t="str">
        <f>H8</f>
        <v>SCJ6</v>
      </c>
      <c r="B36" s="11">
        <v>250</v>
      </c>
      <c r="C36" s="65">
        <f t="shared" si="6"/>
        <v>38.678000000000004</v>
      </c>
      <c r="D36" s="65">
        <f t="shared" si="7"/>
        <v>4.016867575</v>
      </c>
      <c r="E36" s="65">
        <f t="shared" si="8"/>
        <v>1.4038250000000001</v>
      </c>
      <c r="F36" s="65">
        <f t="shared" si="9"/>
        <v>3.5637466499999997</v>
      </c>
      <c r="G36" s="65">
        <f t="shared" si="5"/>
        <v>2.9008500000000007E-2</v>
      </c>
      <c r="H36" s="65">
        <f t="shared" si="5"/>
        <v>0.97860000000000003</v>
      </c>
      <c r="I36" s="65">
        <f t="shared" si="5"/>
        <v>7.5725000000000015E-2</v>
      </c>
      <c r="J36" s="65">
        <f t="shared" si="5"/>
        <v>4.25225E-3</v>
      </c>
      <c r="K36" s="65">
        <f t="shared" si="5"/>
        <v>1.0019E-2</v>
      </c>
      <c r="L36" s="65">
        <f t="shared" si="5"/>
        <v>0.21669000000000005</v>
      </c>
      <c r="M36" s="65">
        <f t="shared" si="5"/>
        <v>1.7009E-2</v>
      </c>
      <c r="N36" s="65">
        <f t="shared" si="5"/>
        <v>21.669</v>
      </c>
      <c r="O36" s="65">
        <f t="shared" si="5"/>
        <v>267.95000000000005</v>
      </c>
      <c r="P36" s="65">
        <f t="shared" si="5"/>
        <v>0</v>
      </c>
      <c r="Q36" s="65">
        <f t="shared" si="10"/>
        <v>60.871249999999996</v>
      </c>
      <c r="R36" s="65">
        <f t="shared" si="11"/>
        <v>0</v>
      </c>
      <c r="S36" s="65">
        <f t="shared" si="11"/>
        <v>7.6307500000000014E-2</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SCJ1</v>
      </c>
      <c r="C57" s="8" t="str">
        <f t="shared" ref="C57:U57" si="13">D8</f>
        <v>SCJ2</v>
      </c>
      <c r="D57" s="8" t="str">
        <f t="shared" si="13"/>
        <v>SCJ3</v>
      </c>
      <c r="E57" s="8" t="str">
        <f t="shared" si="13"/>
        <v>SCJ4</v>
      </c>
      <c r="F57" s="8" t="str">
        <f t="shared" si="13"/>
        <v>SCJ5</v>
      </c>
      <c r="G57" s="8" t="str">
        <f t="shared" si="13"/>
        <v>SCJ6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Arable</v>
      </c>
      <c r="F58" s="10" t="str">
        <f>G16&amp;" I "&amp;(VLOOKUP(G14,Table245[],6,FALSE))</f>
        <v>Medium/Clay I Arable</v>
      </c>
      <c r="G58" s="10" t="str">
        <f>H16&amp;" I "&amp;(VLOOKUP(H14,Table245[],6,FALSE))</f>
        <v>Medium/Clay I Grass</v>
      </c>
      <c r="H58" s="10" t="e">
        <f>I16&amp;" I "&amp;(VLOOKUP(I14,Table245[],6,FALSE))</f>
        <v>#N/A</v>
      </c>
      <c r="I58" s="10" t="e">
        <f>J16&amp;" I "&amp;(VLOOKUP(J14,Table245[],6,FALSE))</f>
        <v>#N/A</v>
      </c>
      <c r="J58" s="10" t="e">
        <f>K16&amp;" I "&amp;(VLOOKUP(K14,Table245[],6,FALSE))</f>
        <v>#N/A</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6.7</v>
      </c>
      <c r="F59" s="64">
        <f>VLOOKUP(G$14,Table245[],5,FALSE)</f>
        <v>6.7</v>
      </c>
      <c r="G59" s="64">
        <f>VLOOKUP(H$14,Table245[],5,FALSE)</f>
        <v>6.2</v>
      </c>
      <c r="H59" s="64" t="e">
        <f>VLOOKUP(I$14,Table245[],5,FALSE)</f>
        <v>#N/A</v>
      </c>
      <c r="I59" s="64" t="e">
        <f>VLOOKUP(J$14,Table245[],5,FALSE)</f>
        <v>#N/A</v>
      </c>
      <c r="J59" s="64" t="e">
        <f>VLOOKUP(K$14,Table245[],5,FALSE)</f>
        <v>#N/A</v>
      </c>
      <c r="K59" s="64" t="e">
        <f>VLOOKUP(L$14,Table245[],5,FALSE)</f>
        <v>#N/A</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6.4</v>
      </c>
      <c r="C60" s="64">
        <f t="shared" ref="C60:U60" si="14">D10</f>
        <v>5.8</v>
      </c>
      <c r="D60" s="64">
        <f t="shared" si="14"/>
        <v>6</v>
      </c>
      <c r="E60" s="64">
        <f t="shared" si="14"/>
        <v>6</v>
      </c>
      <c r="F60" s="64">
        <f t="shared" si="14"/>
        <v>5.9</v>
      </c>
      <c r="G60" s="64">
        <f t="shared" si="14"/>
        <v>6.1</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8</v>
      </c>
      <c r="G61" s="64">
        <f t="shared" si="15"/>
        <v>6</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1.2000000000000011</v>
      </c>
      <c r="E64" s="65">
        <f t="shared" si="17"/>
        <v>5.6000000000000014</v>
      </c>
      <c r="F64" s="65">
        <f t="shared" si="17"/>
        <v>6.3999999999999986</v>
      </c>
      <c r="G64" s="65">
        <f t="shared" si="17"/>
        <v>0.6000000000000032</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-1.2000000000000011</v>
      </c>
      <c r="E65" s="65">
        <f t="shared" si="18"/>
        <v>-5.6000000000000014</v>
      </c>
      <c r="F65" s="65">
        <f t="shared" si="18"/>
        <v>-6.3999999999999986</v>
      </c>
      <c r="G65" s="65">
        <f t="shared" si="18"/>
        <v>-0.6000000000000032</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L32" sqref="L3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60" t="s">
        <v>41</v>
      </c>
      <c r="B1" s="161"/>
      <c r="C1" s="168" t="str">
        <f>'DCWW Alaw'!C1:D1</f>
        <v xml:space="preserve"> PAN-031280</v>
      </c>
      <c r="D1" s="169"/>
      <c r="E1" s="106" t="s">
        <v>45</v>
      </c>
      <c r="F1" s="113">
        <f>'DCWW Alaw'!F1</f>
        <v>33.6</v>
      </c>
      <c r="G1" s="136" t="s">
        <v>43</v>
      </c>
      <c r="H1" s="137"/>
      <c r="I1" s="109">
        <v>6.8</v>
      </c>
      <c r="J1" s="160" t="s">
        <v>153</v>
      </c>
      <c r="K1" s="161"/>
      <c r="L1" s="109">
        <v>434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40" t="s">
        <v>87</v>
      </c>
      <c r="B2" s="141"/>
      <c r="C2" s="170" t="str">
        <f>'DCWW Alaw'!C2:D2</f>
        <v>EPR/GP3792SK</v>
      </c>
      <c r="D2" s="171"/>
      <c r="E2" s="96" t="s">
        <v>109</v>
      </c>
      <c r="F2" s="110" t="s">
        <v>165</v>
      </c>
      <c r="G2" s="138" t="s">
        <v>110</v>
      </c>
      <c r="H2" s="139"/>
      <c r="I2" s="110"/>
      <c r="J2" s="140" t="s">
        <v>158</v>
      </c>
      <c r="K2" s="141"/>
      <c r="L2" s="110">
        <v>1.06</v>
      </c>
      <c r="AB2" s="22" t="s">
        <v>56</v>
      </c>
      <c r="AC2" s="13"/>
      <c r="AD2" s="22" t="s">
        <v>70</v>
      </c>
      <c r="AE2" s="13"/>
      <c r="AF2" s="13"/>
      <c r="AG2" s="34" t="s">
        <v>76</v>
      </c>
      <c r="AH2" s="13"/>
      <c r="AI2" s="35" t="s">
        <v>126</v>
      </c>
      <c r="AJ2" s="36">
        <v>0</v>
      </c>
      <c r="AK2" s="37">
        <v>0</v>
      </c>
      <c r="AL2" s="7">
        <v>0</v>
      </c>
      <c r="AM2" s="9">
        <v>0</v>
      </c>
      <c r="AN2" s="9">
        <v>0</v>
      </c>
    </row>
    <row r="3" spans="1:41" ht="13" x14ac:dyDescent="0.25">
      <c r="A3" s="162" t="s">
        <v>42</v>
      </c>
      <c r="B3" s="163"/>
      <c r="C3" s="170" t="str">
        <f>'DCWW Alaw'!C3:D3</f>
        <v>Byproduct Recovery Ltd</v>
      </c>
      <c r="D3" s="171"/>
      <c r="E3" s="96" t="s">
        <v>108</v>
      </c>
      <c r="F3" s="111" t="s">
        <v>77</v>
      </c>
      <c r="G3" s="140" t="s">
        <v>159</v>
      </c>
      <c r="H3" s="141"/>
      <c r="I3" s="110"/>
      <c r="J3" s="162" t="s">
        <v>154</v>
      </c>
      <c r="K3" s="163"/>
      <c r="L3" s="110">
        <f>(L1/(L2*10000))*100</f>
        <v>4.0943396226415096</v>
      </c>
      <c r="AB3" s="22" t="s">
        <v>57</v>
      </c>
      <c r="AC3" s="13"/>
      <c r="AD3" s="22" t="s">
        <v>71</v>
      </c>
      <c r="AE3" s="13"/>
      <c r="AF3" s="13"/>
      <c r="AG3" s="34" t="s">
        <v>77</v>
      </c>
      <c r="AH3" s="13"/>
      <c r="AI3" s="38" t="s">
        <v>113</v>
      </c>
      <c r="AJ3" s="39">
        <v>1.7</v>
      </c>
      <c r="AK3" s="40">
        <v>6</v>
      </c>
      <c r="AL3" s="41">
        <v>1</v>
      </c>
      <c r="AM3" s="9">
        <v>6.2</v>
      </c>
      <c r="AN3" s="9" t="s">
        <v>112</v>
      </c>
    </row>
    <row r="4" spans="1:41" ht="13" x14ac:dyDescent="0.25">
      <c r="A4" s="140" t="s">
        <v>0</v>
      </c>
      <c r="B4" s="141"/>
      <c r="C4" s="172" t="str">
        <f>'DCWW Alaw'!C4:D4</f>
        <v>Plas Bach, Cerrigceinwen, Bodorgan, LL62 5NS</v>
      </c>
      <c r="D4" s="173"/>
      <c r="E4" s="99" t="s">
        <v>1</v>
      </c>
      <c r="F4" s="110" t="s">
        <v>170</v>
      </c>
      <c r="G4" s="162"/>
      <c r="H4" s="163"/>
      <c r="I4" s="115"/>
      <c r="J4" s="162"/>
      <c r="K4" s="163"/>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2" t="s">
        <v>47</v>
      </c>
      <c r="B5" s="143"/>
      <c r="C5" s="174" t="str">
        <f>'DCWW Alaw'!C5:D5</f>
        <v>Owen Clee</v>
      </c>
      <c r="D5" s="175"/>
      <c r="E5" s="107"/>
      <c r="F5" s="114"/>
      <c r="G5" s="166"/>
      <c r="H5" s="167"/>
      <c r="I5" s="114"/>
      <c r="J5" s="166"/>
      <c r="K5" s="16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2" t="s">
        <v>63</v>
      </c>
      <c r="B7" s="153"/>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40" t="s">
        <v>2</v>
      </c>
      <c r="B8" s="141"/>
      <c r="C8" s="49" t="str">
        <f>'DCWW Alaw'!C8</f>
        <v>SCJ1</v>
      </c>
      <c r="D8" s="49" t="str">
        <f>'DCWW Alaw'!D8</f>
        <v>SCJ2</v>
      </c>
      <c r="E8" s="49" t="str">
        <f>'DCWW Alaw'!E8</f>
        <v>SCJ3</v>
      </c>
      <c r="F8" s="49" t="str">
        <f>'DCWW Alaw'!F8</f>
        <v>SCJ4</v>
      </c>
      <c r="G8" s="49" t="str">
        <f>'DCWW Alaw'!G8</f>
        <v>SCJ5</v>
      </c>
      <c r="H8" s="49" t="str">
        <f>'DCWW Alaw'!H8</f>
        <v>SCJ6</v>
      </c>
      <c r="I8" s="49">
        <f>'DCWW Alaw'!I8</f>
        <v>0</v>
      </c>
      <c r="J8" s="49">
        <f>'DCWW Alaw'!J8</f>
        <v>0</v>
      </c>
      <c r="K8" s="49">
        <f>'DCWW Alaw'!K8</f>
        <v>0</v>
      </c>
      <c r="L8" s="49">
        <f>'DCWW Alaw'!L8</f>
        <v>0</v>
      </c>
      <c r="M8" s="49">
        <f>'DCWW Alaw'!M8</f>
        <v>0</v>
      </c>
      <c r="N8" s="49">
        <f>'DCWW Alaw'!N8</f>
        <v>0</v>
      </c>
      <c r="O8" s="49">
        <f>'DCWW Alaw'!O8</f>
        <v>0</v>
      </c>
      <c r="P8" s="49">
        <f>'DCWW Alaw'!P8</f>
        <v>0</v>
      </c>
      <c r="Q8" s="49">
        <f>'DCWW Alaw'!Q8</f>
        <v>0</v>
      </c>
      <c r="R8" s="49">
        <f>'DCWW Alaw'!R8</f>
        <v>0</v>
      </c>
      <c r="S8" s="49">
        <f>'DCWW Alaw'!S8</f>
        <v>0</v>
      </c>
      <c r="T8" s="49">
        <f>'DCWW Alaw'!T8</f>
        <v>0</v>
      </c>
      <c r="U8" s="49">
        <f>'DCWW Alaw'!U8</f>
        <v>0</v>
      </c>
      <c r="V8" s="102">
        <f>'DCWW Alaw'!V8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40" t="s">
        <v>3</v>
      </c>
      <c r="B9" s="141"/>
      <c r="C9" s="49" t="str">
        <f>'DCWW Alaw'!C9</f>
        <v>Moderate</v>
      </c>
      <c r="D9" s="49" t="str">
        <f>'DCWW Alaw'!D9</f>
        <v>Moderate</v>
      </c>
      <c r="E9" s="49" t="str">
        <f>'DCWW Alaw'!E9</f>
        <v>Moderate</v>
      </c>
      <c r="F9" s="49">
        <f>'DCWW Alaw'!F9</f>
        <v>1</v>
      </c>
      <c r="G9" s="49">
        <f>'DCWW Alaw'!G9</f>
        <v>1</v>
      </c>
      <c r="H9" s="49" t="str">
        <f>'DCWW Alaw'!H9</f>
        <v>Moderate</v>
      </c>
      <c r="I9" s="49">
        <f>'DCWW Alaw'!I9</f>
        <v>0</v>
      </c>
      <c r="J9" s="49">
        <f>'DCWW Alaw'!J9</f>
        <v>0</v>
      </c>
      <c r="K9" s="49">
        <f>'DCWW Alaw'!K9</f>
        <v>0</v>
      </c>
      <c r="L9" s="49">
        <f>'DCWW Alaw'!L9</f>
        <v>0</v>
      </c>
      <c r="M9" s="49">
        <f>'DCWW Alaw'!M9</f>
        <v>0</v>
      </c>
      <c r="N9" s="49">
        <f>'DCWW Alaw'!N9</f>
        <v>0</v>
      </c>
      <c r="O9" s="49">
        <f>'DCWW Alaw'!O9</f>
        <v>0</v>
      </c>
      <c r="P9" s="49">
        <f>'DCWW Alaw'!P9</f>
        <v>0</v>
      </c>
      <c r="Q9" s="49">
        <f>'DCWW Alaw'!Q9</f>
        <v>0</v>
      </c>
      <c r="R9" s="49">
        <f>'DCWW Alaw'!R9</f>
        <v>0</v>
      </c>
      <c r="S9" s="49">
        <f>'DCWW Alaw'!S9</f>
        <v>0</v>
      </c>
      <c r="T9" s="49">
        <f>'DCWW Alaw'!T9</f>
        <v>0</v>
      </c>
      <c r="U9" s="49">
        <f>'DCWW Alaw'!U9</f>
        <v>0</v>
      </c>
      <c r="V9" s="102">
        <f>'DCWW Alaw'!V9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40" t="s">
        <v>4</v>
      </c>
      <c r="B10" s="141"/>
      <c r="C10" s="49">
        <f>'DCWW Alaw'!C10</f>
        <v>6.4</v>
      </c>
      <c r="D10" s="49">
        <f>'DCWW Alaw'!D10</f>
        <v>5.8</v>
      </c>
      <c r="E10" s="49">
        <f>'DCWW Alaw'!E10</f>
        <v>6</v>
      </c>
      <c r="F10" s="49">
        <f>'DCWW Alaw'!F10</f>
        <v>6</v>
      </c>
      <c r="G10" s="49">
        <f>'DCWW Alaw'!G10</f>
        <v>5.9</v>
      </c>
      <c r="H10" s="49">
        <f>'DCWW Alaw'!H10</f>
        <v>6.1</v>
      </c>
      <c r="I10" s="49">
        <f>'DCWW Alaw'!I10</f>
        <v>0</v>
      </c>
      <c r="J10" s="49">
        <f>'DCWW Alaw'!J10</f>
        <v>0</v>
      </c>
      <c r="K10" s="49">
        <f>'DCWW Alaw'!K10</f>
        <v>0</v>
      </c>
      <c r="L10" s="49">
        <f>'DCWW Alaw'!L10</f>
        <v>0</v>
      </c>
      <c r="M10" s="49">
        <f>'DCWW Alaw'!M10</f>
        <v>0</v>
      </c>
      <c r="N10" s="49">
        <f>'DCWW Alaw'!N10</f>
        <v>0</v>
      </c>
      <c r="O10" s="49">
        <f>'DCWW Alaw'!O10</f>
        <v>0</v>
      </c>
      <c r="P10" s="49">
        <f>'DCWW Alaw'!P10</f>
        <v>0</v>
      </c>
      <c r="Q10" s="49">
        <f>'DCWW Alaw'!Q10</f>
        <v>0</v>
      </c>
      <c r="R10" s="49">
        <f>'DCWW Alaw'!R10</f>
        <v>0</v>
      </c>
      <c r="S10" s="49">
        <f>'DCWW Alaw'!S10</f>
        <v>0</v>
      </c>
      <c r="T10" s="49">
        <f>'DCWW Alaw'!T10</f>
        <v>0</v>
      </c>
      <c r="U10" s="49">
        <f>'DCWW Alaw'!U10</f>
        <v>0</v>
      </c>
      <c r="V10" s="102">
        <f>'DCWW Alaw'!V10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40" t="s">
        <v>5</v>
      </c>
      <c r="B11" s="141"/>
      <c r="C11" s="49">
        <f>'DCWW Alaw'!C11</f>
        <v>2</v>
      </c>
      <c r="D11" s="49">
        <f>'DCWW Alaw'!D11</f>
        <v>2</v>
      </c>
      <c r="E11" s="49">
        <f>'DCWW Alaw'!E11</f>
        <v>3</v>
      </c>
      <c r="F11" s="49">
        <f>'DCWW Alaw'!F11</f>
        <v>1</v>
      </c>
      <c r="G11" s="49">
        <f>'DCWW Alaw'!G11</f>
        <v>0</v>
      </c>
      <c r="H11" s="49">
        <f>'DCWW Alaw'!H11</f>
        <v>3</v>
      </c>
      <c r="I11" s="49">
        <f>'DCWW Alaw'!I11</f>
        <v>0</v>
      </c>
      <c r="J11" s="49">
        <f>'DCWW Alaw'!J11</f>
        <v>0</v>
      </c>
      <c r="K11" s="49">
        <f>'DCWW Alaw'!K11</f>
        <v>0</v>
      </c>
      <c r="L11" s="49">
        <f>'DCWW Alaw'!L11</f>
        <v>0</v>
      </c>
      <c r="M11" s="49">
        <f>'DCWW Alaw'!M11</f>
        <v>0</v>
      </c>
      <c r="N11" s="49">
        <f>'DCWW Alaw'!N11</f>
        <v>0</v>
      </c>
      <c r="O11" s="49">
        <f>'DCWW Alaw'!O11</f>
        <v>0</v>
      </c>
      <c r="P11" s="49">
        <f>'DCWW Alaw'!P11</f>
        <v>0</v>
      </c>
      <c r="Q11" s="49">
        <f>'DCWW Alaw'!Q11</f>
        <v>0</v>
      </c>
      <c r="R11" s="49">
        <f>'DCWW Alaw'!R11</f>
        <v>0</v>
      </c>
      <c r="S11" s="49">
        <f>'DCWW Alaw'!S11</f>
        <v>0</v>
      </c>
      <c r="T11" s="49">
        <f>'DCWW Alaw'!T11</f>
        <v>0</v>
      </c>
      <c r="U11" s="49">
        <f>'DCWW Alaw'!U11</f>
        <v>0</v>
      </c>
      <c r="V11" s="102">
        <f>'DCWW Alaw'!V11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40" t="s">
        <v>6</v>
      </c>
      <c r="B12" s="141"/>
      <c r="C12" s="49">
        <f>'DCWW Alaw'!C12</f>
        <v>3</v>
      </c>
      <c r="D12" s="49">
        <f>'DCWW Alaw'!D12</f>
        <v>4</v>
      </c>
      <c r="E12" s="49">
        <f>'DCWW Alaw'!E12</f>
        <v>4</v>
      </c>
      <c r="F12" s="49">
        <f>'DCWW Alaw'!F12</f>
        <v>1</v>
      </c>
      <c r="G12" s="49">
        <f>'DCWW Alaw'!G12</f>
        <v>1</v>
      </c>
      <c r="H12" s="49">
        <f>'DCWW Alaw'!H12</f>
        <v>2</v>
      </c>
      <c r="I12" s="49">
        <f>'DCWW Alaw'!I12</f>
        <v>0</v>
      </c>
      <c r="J12" s="49">
        <f>'DCWW Alaw'!J12</f>
        <v>0</v>
      </c>
      <c r="K12" s="49">
        <f>'DCWW Alaw'!K12</f>
        <v>0</v>
      </c>
      <c r="L12" s="49">
        <f>'DCWW Alaw'!L12</f>
        <v>0</v>
      </c>
      <c r="M12" s="49">
        <f>'DCWW Alaw'!M12</f>
        <v>0</v>
      </c>
      <c r="N12" s="49">
        <f>'DCWW Alaw'!N12</f>
        <v>0</v>
      </c>
      <c r="O12" s="49">
        <f>'DCWW Alaw'!O12</f>
        <v>0</v>
      </c>
      <c r="P12" s="49">
        <f>'DCWW Alaw'!P12</f>
        <v>0</v>
      </c>
      <c r="Q12" s="49">
        <f>'DCWW Alaw'!Q12</f>
        <v>0</v>
      </c>
      <c r="R12" s="49">
        <f>'DCWW Alaw'!R12</f>
        <v>0</v>
      </c>
      <c r="S12" s="49">
        <f>'DCWW Alaw'!S12</f>
        <v>0</v>
      </c>
      <c r="T12" s="49">
        <f>'DCWW Alaw'!T12</f>
        <v>0</v>
      </c>
      <c r="U12" s="49">
        <f>'DCWW Alaw'!U12</f>
        <v>0</v>
      </c>
      <c r="V12" s="102">
        <f>'DCWW Alaw'!V12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40" t="s">
        <v>7</v>
      </c>
      <c r="B13" s="141"/>
      <c r="C13" s="49">
        <f>'DCWW Alaw'!C13</f>
        <v>4</v>
      </c>
      <c r="D13" s="49">
        <f>'DCWW Alaw'!D13</f>
        <v>3</v>
      </c>
      <c r="E13" s="49">
        <f>'DCWW Alaw'!E13</f>
        <v>3</v>
      </c>
      <c r="F13" s="49">
        <f>'DCWW Alaw'!F13</f>
        <v>3</v>
      </c>
      <c r="G13" s="49">
        <f>'DCWW Alaw'!G13</f>
        <v>3</v>
      </c>
      <c r="H13" s="49">
        <f>'DCWW Alaw'!H13</f>
        <v>3</v>
      </c>
      <c r="I13" s="49">
        <f>'DCWW Alaw'!I13</f>
        <v>0</v>
      </c>
      <c r="J13" s="49">
        <f>'DCWW Alaw'!J13</f>
        <v>0</v>
      </c>
      <c r="K13" s="49">
        <f>'DCWW Alaw'!K13</f>
        <v>0</v>
      </c>
      <c r="L13" s="49">
        <f>'DCWW Alaw'!L13</f>
        <v>0</v>
      </c>
      <c r="M13" s="49">
        <f>'DCWW Alaw'!M13</f>
        <v>0</v>
      </c>
      <c r="N13" s="49">
        <f>'DCWW Alaw'!N13</f>
        <v>0</v>
      </c>
      <c r="O13" s="49">
        <f>'DCWW Alaw'!O13</f>
        <v>0</v>
      </c>
      <c r="P13" s="49">
        <f>'DCWW Alaw'!P13</f>
        <v>0</v>
      </c>
      <c r="Q13" s="49">
        <f>'DCWW Alaw'!Q13</f>
        <v>0</v>
      </c>
      <c r="R13" s="49">
        <f>'DCWW Alaw'!R13</f>
        <v>0</v>
      </c>
      <c r="S13" s="49">
        <f>'DCWW Alaw'!S13</f>
        <v>0</v>
      </c>
      <c r="T13" s="49">
        <f>'DCWW Alaw'!T13</f>
        <v>0</v>
      </c>
      <c r="U13" s="49">
        <f>'DCWW Alaw'!U13</f>
        <v>0</v>
      </c>
      <c r="V13" s="102">
        <f>'DCWW Alaw'!V13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6" t="s">
        <v>8</v>
      </c>
      <c r="B14" s="157"/>
      <c r="C14" s="83" t="str">
        <f>'DCWW Alaw'!C14</f>
        <v xml:space="preserve">Grass Silage (25% DM) </v>
      </c>
      <c r="D14" s="83" t="str">
        <f>'DCWW Alaw'!D14</f>
        <v xml:space="preserve">Grass Silage (25% DM) </v>
      </c>
      <c r="E14" s="83" t="str">
        <f>'DCWW Alaw'!E14</f>
        <v xml:space="preserve">Grass Silage (25% DM) </v>
      </c>
      <c r="F14" s="83" t="str">
        <f>'DCWW Alaw'!F14</f>
        <v>Spring wheat/barley</v>
      </c>
      <c r="G14" s="83" t="str">
        <f>'DCWW Alaw'!G14</f>
        <v>Spring wheat/barley</v>
      </c>
      <c r="H14" s="83" t="str">
        <f>'DCWW Alaw'!H14</f>
        <v xml:space="preserve">Grass Silage (25% DM) </v>
      </c>
      <c r="I14" s="83">
        <f>'DCWW Alaw'!I14</f>
        <v>0</v>
      </c>
      <c r="J14" s="83">
        <f>'DCWW Alaw'!J14</f>
        <v>0</v>
      </c>
      <c r="K14" s="83">
        <f>'DCWW Alaw'!K14</f>
        <v>0</v>
      </c>
      <c r="L14" s="83">
        <f>'DCWW Alaw'!L14</f>
        <v>0</v>
      </c>
      <c r="M14" s="83">
        <f>'DCWW Alaw'!M14</f>
        <v>0</v>
      </c>
      <c r="N14" s="83">
        <f>'DCWW Alaw'!N14</f>
        <v>0</v>
      </c>
      <c r="O14" s="83">
        <f>'DCWW Alaw'!O14</f>
        <v>0</v>
      </c>
      <c r="P14" s="83">
        <f>'DCWW Alaw'!P14</f>
        <v>0</v>
      </c>
      <c r="Q14" s="83">
        <f>'DCWW Alaw'!Q14</f>
        <v>0</v>
      </c>
      <c r="R14" s="83">
        <f>'DCWW Alaw'!R14</f>
        <v>0</v>
      </c>
      <c r="S14" s="83">
        <f>'DCWW Alaw'!S14</f>
        <v>0</v>
      </c>
      <c r="T14" s="83">
        <f>'DCWW Alaw'!T14</f>
        <v>0</v>
      </c>
      <c r="U14" s="83">
        <f>'DCWW Alaw'!U14</f>
        <v>0</v>
      </c>
      <c r="V14" s="103">
        <f>'DCWW Alaw'!V14</f>
        <v>0</v>
      </c>
      <c r="AD14" s="22" t="s">
        <v>138</v>
      </c>
      <c r="AE14" s="22">
        <v>6</v>
      </c>
      <c r="AI14" s="43" t="s">
        <v>119</v>
      </c>
      <c r="AJ14" s="44">
        <v>0.8</v>
      </c>
      <c r="AK14" s="45">
        <v>1.7</v>
      </c>
      <c r="AL14" s="9">
        <v>12</v>
      </c>
      <c r="AM14" s="9">
        <v>6.7</v>
      </c>
      <c r="AN14" s="9" t="s">
        <v>135</v>
      </c>
    </row>
    <row r="15" spans="1:41" ht="13" x14ac:dyDescent="0.25">
      <c r="A15" s="154" t="s">
        <v>9</v>
      </c>
      <c r="B15" s="155"/>
      <c r="C15" s="49">
        <f>'DCWW Alaw'!C15</f>
        <v>38</v>
      </c>
      <c r="D15" s="49">
        <f>'DCWW Alaw'!D15</f>
        <v>38</v>
      </c>
      <c r="E15" s="49">
        <f>'DCWW Alaw'!E15</f>
        <v>38</v>
      </c>
      <c r="F15" s="49">
        <f>'DCWW Alaw'!F15</f>
        <v>5.5</v>
      </c>
      <c r="G15" s="49">
        <f>'DCWW Alaw'!G15</f>
        <v>5.5</v>
      </c>
      <c r="H15" s="49">
        <f>'DCWW Alaw'!H15</f>
        <v>38</v>
      </c>
      <c r="I15" s="49">
        <f>'DCWW Alaw'!I15</f>
        <v>0</v>
      </c>
      <c r="J15" s="49">
        <f>'DCWW Alaw'!J15</f>
        <v>0</v>
      </c>
      <c r="K15" s="49">
        <f>'DCWW Alaw'!K15</f>
        <v>0</v>
      </c>
      <c r="L15" s="49">
        <f>'DCWW Alaw'!L15</f>
        <v>0</v>
      </c>
      <c r="M15" s="49">
        <f>'DCWW Alaw'!M15</f>
        <v>0</v>
      </c>
      <c r="N15" s="49">
        <f>'DCWW Alaw'!N15</f>
        <v>0</v>
      </c>
      <c r="O15" s="49">
        <f>'DCWW Alaw'!O15</f>
        <v>0</v>
      </c>
      <c r="P15" s="49">
        <f>'DCWW Alaw'!P15</f>
        <v>0</v>
      </c>
      <c r="Q15" s="49">
        <f>'DCWW Alaw'!Q15</f>
        <v>0</v>
      </c>
      <c r="R15" s="49">
        <f>'DCWW Alaw'!R15</f>
        <v>0</v>
      </c>
      <c r="S15" s="49">
        <f>'DCWW Alaw'!S15</f>
        <v>0</v>
      </c>
      <c r="T15" s="49">
        <f>'DCWW Alaw'!T15</f>
        <v>0</v>
      </c>
      <c r="U15" s="49">
        <f>'DCWW Alaw'!U15</f>
        <v>0</v>
      </c>
      <c r="V15" s="102">
        <f>'DCWW Alaw'!V15</f>
        <v>0</v>
      </c>
      <c r="AD15" s="22" t="s">
        <v>144</v>
      </c>
      <c r="AE15" s="22">
        <v>7</v>
      </c>
      <c r="AI15" s="43" t="s">
        <v>101</v>
      </c>
      <c r="AJ15" s="51">
        <v>1.8</v>
      </c>
      <c r="AK15" s="45">
        <v>5.4</v>
      </c>
      <c r="AL15" s="9">
        <v>13</v>
      </c>
      <c r="AM15" s="9">
        <v>6.7</v>
      </c>
      <c r="AN15" s="9" t="s">
        <v>135</v>
      </c>
    </row>
    <row r="16" spans="1:41" ht="13.5" thickBot="1" x14ac:dyDescent="0.3">
      <c r="A16" s="158" t="s">
        <v>44</v>
      </c>
      <c r="B16" s="159"/>
      <c r="C16" s="104" t="str">
        <f>'DCWW Alaw'!C16</f>
        <v>Medium/Clay</v>
      </c>
      <c r="D16" s="104" t="str">
        <f>'DCWW Alaw'!D16</f>
        <v>Medium/Clay</v>
      </c>
      <c r="E16" s="104" t="str">
        <f>'DCWW Alaw'!E16</f>
        <v>Medium/Clay</v>
      </c>
      <c r="F16" s="104" t="str">
        <f>'DCWW Alaw'!F16</f>
        <v>Medium/Clay</v>
      </c>
      <c r="G16" s="104" t="str">
        <f>'DCWW Alaw'!G16</f>
        <v>Medium/Clay</v>
      </c>
      <c r="H16" s="104" t="str">
        <f>'DCWW Alaw'!H16</f>
        <v>Medium/Clay</v>
      </c>
      <c r="I16" s="104">
        <f>'DCWW Alaw'!I16</f>
        <v>0</v>
      </c>
      <c r="J16" s="104">
        <f>'DCWW Alaw'!J16</f>
        <v>0</v>
      </c>
      <c r="K16" s="104">
        <f>'DCWW Alaw'!K16</f>
        <v>0</v>
      </c>
      <c r="L16" s="104">
        <f>'DCWW Alaw'!L16</f>
        <v>0</v>
      </c>
      <c r="M16" s="104">
        <f>'DCWW Alaw'!M16</f>
        <v>0</v>
      </c>
      <c r="N16" s="104">
        <f>'DCWW Alaw'!N16</f>
        <v>0</v>
      </c>
      <c r="O16" s="104">
        <f>'DCWW Alaw'!O16</f>
        <v>0</v>
      </c>
      <c r="P16" s="104">
        <f>'DCWW Alaw'!P16</f>
        <v>0</v>
      </c>
      <c r="Q16" s="104">
        <f>'DCWW Alaw'!Q16</f>
        <v>0</v>
      </c>
      <c r="R16" s="104">
        <f>'DCWW Alaw'!R16</f>
        <v>0</v>
      </c>
      <c r="S16" s="104">
        <f>'DCWW Alaw'!S16</f>
        <v>0</v>
      </c>
      <c r="T16" s="104">
        <f>'DCWW Alaw'!T16</f>
        <v>0</v>
      </c>
      <c r="U16" s="104">
        <f>'DCWW Alaw'!U16</f>
        <v>0</v>
      </c>
      <c r="V16" s="105">
        <f>'DCWW Alaw'!V16</f>
        <v>0</v>
      </c>
      <c r="AD16" s="42" t="s">
        <v>145</v>
      </c>
      <c r="AE16" s="22">
        <v>8</v>
      </c>
      <c r="AI16" s="43" t="s">
        <v>118</v>
      </c>
      <c r="AJ16" s="44">
        <v>8</v>
      </c>
      <c r="AK16" s="45">
        <v>5.5</v>
      </c>
      <c r="AL16" s="7">
        <v>14</v>
      </c>
      <c r="AM16" s="9">
        <v>6.7</v>
      </c>
      <c r="AN16" s="9" t="s">
        <v>135</v>
      </c>
    </row>
    <row r="17" spans="1:40" ht="13" x14ac:dyDescent="0.25">
      <c r="A17" s="152" t="s">
        <v>69</v>
      </c>
      <c r="B17" s="153"/>
      <c r="C17" s="20">
        <f>(VLOOKUP(C$14,$AI2:$AK26,2,FALSE))*C$15</f>
        <v>64.599999999999994</v>
      </c>
      <c r="D17" s="20">
        <f t="shared" ref="D17:V17" si="0">(VLOOKUP(D$14,$AI2:$AK26,2,FALSE))*D$15</f>
        <v>64.599999999999994</v>
      </c>
      <c r="E17" s="20">
        <f t="shared" si="0"/>
        <v>64.599999999999994</v>
      </c>
      <c r="F17" s="20">
        <f t="shared" si="0"/>
        <v>46.75</v>
      </c>
      <c r="G17" s="20">
        <f t="shared" si="0"/>
        <v>46.75</v>
      </c>
      <c r="H17" s="20">
        <f t="shared" si="0"/>
        <v>64.599999999999994</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0" t="s">
        <v>23</v>
      </c>
      <c r="B18" s="151"/>
      <c r="C18" s="12">
        <f>$D31</f>
        <v>65.242163271999999</v>
      </c>
      <c r="D18" s="12">
        <f>$D32</f>
        <v>0</v>
      </c>
      <c r="E18" s="12">
        <f>$D33</f>
        <v>32.351485920000002</v>
      </c>
      <c r="F18" s="12">
        <f>$D34</f>
        <v>67.398928999999995</v>
      </c>
      <c r="G18" s="12">
        <f>$D35</f>
        <v>0</v>
      </c>
      <c r="H18" s="12">
        <f>$D36</f>
        <v>32.351485920000002</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0" t="s">
        <v>90</v>
      </c>
      <c r="B19" s="151"/>
      <c r="C19" s="12">
        <f>C18-C17</f>
        <v>0.64216327200000478</v>
      </c>
      <c r="D19" s="12">
        <f t="shared" ref="D19:V19" si="1">D18-D17</f>
        <v>-64.599999999999994</v>
      </c>
      <c r="E19" s="12">
        <f t="shared" si="1"/>
        <v>-32.248514079999993</v>
      </c>
      <c r="F19" s="12">
        <f t="shared" si="1"/>
        <v>20.648928999999995</v>
      </c>
      <c r="G19" s="12">
        <f t="shared" si="1"/>
        <v>-46.75</v>
      </c>
      <c r="H19" s="12">
        <f t="shared" si="1"/>
        <v>-32.248514079999993</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8" t="s">
        <v>91</v>
      </c>
      <c r="B20" s="149"/>
      <c r="C20" s="18" t="str">
        <f>IF($B31="","",IF(C$19&gt;=0,"INCREASE","DECREASE"))</f>
        <v>INCREASE</v>
      </c>
      <c r="D20" s="18" t="str">
        <f>IF($B32="","",IF(D$19&gt;=0,"INCREASE","DECREASE"))</f>
        <v>DECREASE</v>
      </c>
      <c r="E20" s="18" t="str">
        <f>IF($B33="","",IF(E$19&gt;=0,"INCREASE","DECREASE"))</f>
        <v>DECREASE</v>
      </c>
      <c r="F20" s="18" t="str">
        <f>IF($B34="","",IF(F$19&gt;=0,"INCREASE","DECREASE"))</f>
        <v>INCREASE</v>
      </c>
      <c r="G20" s="18" t="str">
        <f>IF($B35="","",IF(G$19&gt;=0,"INCREASE","DECREASE"))</f>
        <v>DECREASE</v>
      </c>
      <c r="H20" s="18" t="str">
        <f>IF($B36="","",IF(H$19&gt;=0,"INCREASE","DECREASE"))</f>
        <v>DECREASE</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2" t="s">
        <v>88</v>
      </c>
      <c r="B21" s="153"/>
      <c r="C21" s="20">
        <f>(VLOOKUP(C$14,$AI2:$AK26,3,FALSE))*C$15</f>
        <v>228</v>
      </c>
      <c r="D21" s="20">
        <f t="shared" ref="D21:V21" si="2">(VLOOKUP(D$14,$AI2:$AK24,3,FALSE))*D$15</f>
        <v>228</v>
      </c>
      <c r="E21" s="20">
        <f t="shared" si="2"/>
        <v>228</v>
      </c>
      <c r="F21" s="20">
        <f t="shared" si="2"/>
        <v>66</v>
      </c>
      <c r="G21" s="20">
        <f t="shared" si="2"/>
        <v>66</v>
      </c>
      <c r="H21" s="20">
        <f t="shared" si="2"/>
        <v>228</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0" t="s">
        <v>89</v>
      </c>
      <c r="B22" s="151"/>
      <c r="C22" s="12">
        <f>$E31</f>
        <v>5.1175222120000008</v>
      </c>
      <c r="D22" s="12">
        <f>$E32</f>
        <v>0</v>
      </c>
      <c r="E22" s="12">
        <f>$E33</f>
        <v>2.5376143200000003</v>
      </c>
      <c r="F22" s="12">
        <f>$E34</f>
        <v>5.2866965000000015</v>
      </c>
      <c r="G22" s="12">
        <f>$E35</f>
        <v>0</v>
      </c>
      <c r="H22" s="12">
        <f>$E36</f>
        <v>2.5376143200000003</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0" t="s">
        <v>92</v>
      </c>
      <c r="B23" s="151"/>
      <c r="C23" s="12">
        <f>C22-C21</f>
        <v>-222.88247778799999</v>
      </c>
      <c r="D23" s="12">
        <f t="shared" ref="D23:V23" si="3">D22-D21</f>
        <v>-228</v>
      </c>
      <c r="E23" s="12">
        <f t="shared" si="3"/>
        <v>-225.46238568000001</v>
      </c>
      <c r="F23" s="12">
        <f t="shared" si="3"/>
        <v>-60.713303499999995</v>
      </c>
      <c r="G23" s="12">
        <f t="shared" si="3"/>
        <v>-66</v>
      </c>
      <c r="H23" s="12">
        <f t="shared" si="3"/>
        <v>-225.46238568000001</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8" t="s">
        <v>93</v>
      </c>
      <c r="B24" s="149"/>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2.92</v>
      </c>
      <c r="C28" s="11">
        <v>1.06</v>
      </c>
      <c r="D28" s="11">
        <v>0.40300000000000002</v>
      </c>
      <c r="E28" s="11">
        <v>6.0100000000000001E-2</v>
      </c>
      <c r="F28" s="11">
        <v>675</v>
      </c>
      <c r="G28" s="11">
        <v>53.9</v>
      </c>
      <c r="H28" s="11">
        <v>84.9</v>
      </c>
      <c r="I28" s="11">
        <v>42.8</v>
      </c>
      <c r="J28" s="11">
        <v>0.76</v>
      </c>
      <c r="K28" s="15">
        <v>0.69</v>
      </c>
      <c r="L28" s="11">
        <v>35.200000000000003</v>
      </c>
      <c r="M28" s="11">
        <v>29.7</v>
      </c>
      <c r="N28" s="11">
        <v>712000</v>
      </c>
      <c r="O28" s="11">
        <v>5070</v>
      </c>
      <c r="P28" s="11"/>
      <c r="Q28" s="11">
        <v>15200</v>
      </c>
      <c r="R28" s="11"/>
      <c r="S28" s="11">
        <v>17.5</v>
      </c>
      <c r="T28" s="11"/>
      <c r="U28" s="97"/>
    </row>
    <row r="29" spans="1:40" s="7" customFormat="1" ht="28" x14ac:dyDescent="0.35">
      <c r="A29" s="16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SCJ1</v>
      </c>
      <c r="B31" s="11">
        <v>242</v>
      </c>
      <c r="C31" s="65">
        <f>IF(C$27="%w/w SAR",((C$28*10)*$B31),IF(C$27="%w/w DM",(((C$28*10)*($B$28/100))*$B31),IF(C$27="kg/t SAR",(C$28*$B31),IF(C$27="kg/t DM",((C$28*($B$28/100))*$B31),IF(C$27="mg/kg SAR",((C$28*0.001)*$B31),IF(C$27="mg/kg DM",(((C$28*0.001)*($B$28/100))*$B31),0))))))</f>
        <v>74.903840000000002</v>
      </c>
      <c r="D31" s="65">
        <f>(IF(D$27="%w/w SAR",((D$28*10)*$B31),IF(D$27="%w/w DM",(((D$28*10)*($B$28/100))*$B31),IF(D$27="kg/t SAR",(D$28*$B31),IF(D$27="kg/t DM",((D$28*($B$28/100))*$B31),IF(D$27="mg/kg SAR",((D$28*0.001)*$B31),IF(D$27="mg/kg DM",(((D$28*0.001)*($B$28/100))*$B31),"0")))))))*2.291</f>
        <v>65.242163271999999</v>
      </c>
      <c r="E31" s="65">
        <f>(IF(E$27="%w/w SAR",((E$28*10)*$B31),IF(E$27="%w/w DM",(((E$28*10)*($B$28/100))*$B31),IF(E$27="kg/t SAR",(E$28*$B31),IF(E$27="kg/t DM",((E$28*($B$28/100))*$B31),IF(E$27="mg/kg SAR",((E$28*0.001)*$B31),IF(E$27="mg/kg DM",(((E$28*0.001)*($B$28/100))*$B31),"0")))))))*1.205</f>
        <v>5.1175222120000008</v>
      </c>
      <c r="F31" s="65">
        <f>(IF(F$27="%w/w SAR",((F$28*10)*$B31),IF(F$27="%w/w DM",(((F$28*10)*($B$28/100))*$B31),IF(F$27="kg/t SAR",(F$28*$B31),IF(F$27="kg/t DM",((F$28*($B$28/100))*$B31),IF(F$27="mg/kg SAR",((F$28*0.001)*$B31),IF(F$27="mg/kg DM",(((F$28*0.001)*($B$28/100))*$B31),"0")))))))*1.658</f>
        <v>7.9083615599999995</v>
      </c>
      <c r="G31" s="65">
        <f t="shared" ref="G31:P46" si="5">IF(G$27="%w/w SAR",((G$28*10)*$B31),IF(G$27="%w/w DM",(((G$28*10)*($B$28/100))*$B31),IF(G$27="kg/t SAR",(G$28*$B31),IF(G$27="kg/t DM",((G$28*($B$28/100))*$B31),IF(G$27="mg/kg SAR",((G$28*0.001)*$B31),IF(G$27="mg/kg DM",(((G$28*0.001)*($B$28/100))*$B31),0))))))</f>
        <v>0.38087895999999999</v>
      </c>
      <c r="H31" s="65">
        <f t="shared" si="5"/>
        <v>0.59993736000000009</v>
      </c>
      <c r="I31" s="65">
        <f t="shared" si="5"/>
        <v>0.30244191999999998</v>
      </c>
      <c r="J31" s="65">
        <f t="shared" si="5"/>
        <v>5.3704640000000001E-3</v>
      </c>
      <c r="K31" s="65">
        <f t="shared" si="5"/>
        <v>4.8758159999999998E-3</v>
      </c>
      <c r="L31" s="65">
        <f t="shared" si="5"/>
        <v>0.24873728000000003</v>
      </c>
      <c r="M31" s="65">
        <f t="shared" si="5"/>
        <v>0.20987208000000002</v>
      </c>
      <c r="N31" s="65">
        <f t="shared" si="5"/>
        <v>5031.2768000000005</v>
      </c>
      <c r="O31" s="65">
        <f t="shared" si="5"/>
        <v>35.826647999999999</v>
      </c>
      <c r="P31" s="65">
        <f t="shared" si="5"/>
        <v>0</v>
      </c>
      <c r="Q31" s="65">
        <f>(IF(Q$27="%w/w SAR",((Q$28*10)*$B31),IF(Q$27="%w/w DM",(((Q$28*10)*($B$28/100))*$B31),IF(Q$27="kg/t SAR",(Q$28*$B31),IF(Q$27="kg/t DM",((Q$28*($B$28/100))*$B31),IF(Q$27="mg/kg SAR",((Q$28*0.001)*$B31),IF(Q$27="mg/kg DM",(((Q$28*0.001)*($B$28/100))*$B31),0)))))))*2.5</f>
        <v>268.52320000000003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0.12366200000000001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SCJ2</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SCJ3</v>
      </c>
      <c r="B33" s="11">
        <v>120</v>
      </c>
      <c r="C33" s="65">
        <f t="shared" si="6"/>
        <v>37.142400000000002</v>
      </c>
      <c r="D33" s="65">
        <f t="shared" si="7"/>
        <v>32.351485920000002</v>
      </c>
      <c r="E33" s="65">
        <f t="shared" si="8"/>
        <v>2.5376143200000003</v>
      </c>
      <c r="F33" s="65">
        <f t="shared" si="9"/>
        <v>3.9215016</v>
      </c>
      <c r="G33" s="65">
        <f t="shared" si="5"/>
        <v>0.18886559999999999</v>
      </c>
      <c r="H33" s="65">
        <f t="shared" si="5"/>
        <v>0.29748960000000002</v>
      </c>
      <c r="I33" s="65">
        <f t="shared" si="5"/>
        <v>0.1499712</v>
      </c>
      <c r="J33" s="65">
        <f t="shared" si="5"/>
        <v>2.6630400000000002E-3</v>
      </c>
      <c r="K33" s="65">
        <f t="shared" si="5"/>
        <v>2.4177600000000001E-3</v>
      </c>
      <c r="L33" s="65">
        <f t="shared" si="5"/>
        <v>0.12334080000000001</v>
      </c>
      <c r="M33" s="65">
        <f t="shared" si="5"/>
        <v>0.1040688</v>
      </c>
      <c r="N33" s="65">
        <f t="shared" si="5"/>
        <v>2494.8480000000004</v>
      </c>
      <c r="O33" s="65">
        <f t="shared" si="5"/>
        <v>17.765280000000001</v>
      </c>
      <c r="P33" s="65">
        <f t="shared" si="5"/>
        <v>0</v>
      </c>
      <c r="Q33" s="65">
        <f t="shared" si="10"/>
        <v>133.15200000000002</v>
      </c>
      <c r="R33" s="65">
        <f t="shared" si="11"/>
        <v>0</v>
      </c>
      <c r="S33" s="65">
        <f t="shared" si="11"/>
        <v>6.1320000000000006E-2</v>
      </c>
      <c r="T33" s="65">
        <f t="shared" si="11"/>
        <v>0</v>
      </c>
      <c r="U33" s="126">
        <f t="shared" si="11"/>
        <v>0</v>
      </c>
    </row>
    <row r="34" spans="1:21" s="48" customFormat="1" ht="13" x14ac:dyDescent="0.35">
      <c r="A34" s="125" t="str">
        <f>F8</f>
        <v>SCJ4</v>
      </c>
      <c r="B34" s="11">
        <v>250</v>
      </c>
      <c r="C34" s="65">
        <f t="shared" si="6"/>
        <v>77.38000000000001</v>
      </c>
      <c r="D34" s="65">
        <f t="shared" si="7"/>
        <v>67.398928999999995</v>
      </c>
      <c r="E34" s="65">
        <f t="shared" si="8"/>
        <v>5.2866965000000015</v>
      </c>
      <c r="F34" s="65">
        <f t="shared" si="9"/>
        <v>8.1697950000000006</v>
      </c>
      <c r="G34" s="65">
        <f t="shared" si="5"/>
        <v>0.39346999999999999</v>
      </c>
      <c r="H34" s="65">
        <f t="shared" si="5"/>
        <v>0.61977000000000004</v>
      </c>
      <c r="I34" s="65">
        <f t="shared" si="5"/>
        <v>0.31244</v>
      </c>
      <c r="J34" s="65">
        <f t="shared" si="5"/>
        <v>5.548E-3</v>
      </c>
      <c r="K34" s="65">
        <f t="shared" si="5"/>
        <v>5.0369999999999998E-3</v>
      </c>
      <c r="L34" s="65">
        <f t="shared" si="5"/>
        <v>0.25696000000000002</v>
      </c>
      <c r="M34" s="65">
        <f t="shared" si="5"/>
        <v>0.21681</v>
      </c>
      <c r="N34" s="65">
        <f t="shared" si="5"/>
        <v>5197.6000000000004</v>
      </c>
      <c r="O34" s="65">
        <f t="shared" si="5"/>
        <v>37.011000000000003</v>
      </c>
      <c r="P34" s="65">
        <f t="shared" si="5"/>
        <v>0</v>
      </c>
      <c r="Q34" s="65">
        <f t="shared" si="10"/>
        <v>277.40000000000003</v>
      </c>
      <c r="R34" s="65">
        <f t="shared" si="11"/>
        <v>0</v>
      </c>
      <c r="S34" s="65">
        <f t="shared" si="11"/>
        <v>0.12775</v>
      </c>
      <c r="T34" s="65">
        <f t="shared" si="11"/>
        <v>0</v>
      </c>
      <c r="U34" s="126">
        <f t="shared" si="11"/>
        <v>0</v>
      </c>
    </row>
    <row r="35" spans="1:21" s="48" customFormat="1" ht="13" x14ac:dyDescent="0.35">
      <c r="A35" s="125" t="str">
        <f>G8</f>
        <v>SCJ5</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SCJ6</v>
      </c>
      <c r="B36" s="11">
        <v>120</v>
      </c>
      <c r="C36" s="65">
        <f t="shared" si="6"/>
        <v>37.142400000000002</v>
      </c>
      <c r="D36" s="65">
        <f t="shared" si="7"/>
        <v>32.351485920000002</v>
      </c>
      <c r="E36" s="65">
        <f t="shared" si="8"/>
        <v>2.5376143200000003</v>
      </c>
      <c r="F36" s="65">
        <f t="shared" si="9"/>
        <v>3.9215016</v>
      </c>
      <c r="G36" s="65">
        <f t="shared" si="5"/>
        <v>0.18886559999999999</v>
      </c>
      <c r="H36" s="65">
        <f t="shared" si="5"/>
        <v>0.29748960000000002</v>
      </c>
      <c r="I36" s="65">
        <f t="shared" si="5"/>
        <v>0.1499712</v>
      </c>
      <c r="J36" s="65">
        <f t="shared" si="5"/>
        <v>2.6630400000000002E-3</v>
      </c>
      <c r="K36" s="65">
        <f t="shared" si="5"/>
        <v>2.4177600000000001E-3</v>
      </c>
      <c r="L36" s="65">
        <f t="shared" si="5"/>
        <v>0.12334080000000001</v>
      </c>
      <c r="M36" s="65">
        <f t="shared" si="5"/>
        <v>0.1040688</v>
      </c>
      <c r="N36" s="65">
        <f t="shared" si="5"/>
        <v>2494.8480000000004</v>
      </c>
      <c r="O36" s="65">
        <f t="shared" si="5"/>
        <v>17.765280000000001</v>
      </c>
      <c r="P36" s="65">
        <f t="shared" si="5"/>
        <v>0</v>
      </c>
      <c r="Q36" s="65">
        <f t="shared" si="10"/>
        <v>133.15200000000002</v>
      </c>
      <c r="R36" s="65">
        <f t="shared" si="11"/>
        <v>0</v>
      </c>
      <c r="S36" s="65">
        <f t="shared" si="11"/>
        <v>6.1320000000000006E-2</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SCJ1</v>
      </c>
      <c r="C57" s="8" t="str">
        <f t="shared" ref="C57:U57" si="13">D8</f>
        <v>SCJ2</v>
      </c>
      <c r="D57" s="8" t="str">
        <f t="shared" si="13"/>
        <v>SCJ3</v>
      </c>
      <c r="E57" s="8" t="str">
        <f t="shared" si="13"/>
        <v>SCJ4</v>
      </c>
      <c r="F57" s="8" t="str">
        <f t="shared" si="13"/>
        <v>SCJ5</v>
      </c>
      <c r="G57" s="8" t="str">
        <f t="shared" si="13"/>
        <v>SCJ6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Arable</v>
      </c>
      <c r="F58" s="10" t="str">
        <f>G16&amp;" I "&amp;(VLOOKUP(G14,Table245811[],6,FALSE))</f>
        <v>Medium/Clay I Arable</v>
      </c>
      <c r="G58" s="10" t="str">
        <f>H16&amp;" I "&amp;(VLOOKUP(H14,Table245811[],6,FALSE))</f>
        <v>Medium/Clay I Grass</v>
      </c>
      <c r="H58" s="10" t="e">
        <f>I16&amp;" I "&amp;(VLOOKUP(I14,Table245811[],6,FALSE))</f>
        <v>#N/A</v>
      </c>
      <c r="I58" s="10" t="e">
        <f>J16&amp;" I "&amp;(VLOOKUP(J14,Table245811[],6,FALSE))</f>
        <v>#N/A</v>
      </c>
      <c r="J58" s="10" t="e">
        <f>K16&amp;" I "&amp;(VLOOKUP(K14,Table245811[],6,FALSE))</f>
        <v>#N/A</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6.7</v>
      </c>
      <c r="F59" s="64">
        <f>VLOOKUP(G$14,Table245811[],5,FALSE)</f>
        <v>6.7</v>
      </c>
      <c r="G59" s="64">
        <f>VLOOKUP(H$14,Table245811[],5,FALSE)</f>
        <v>6.2</v>
      </c>
      <c r="H59" s="64" t="e">
        <f>VLOOKUP(I$14,Table245811[],5,FALSE)</f>
        <v>#N/A</v>
      </c>
      <c r="I59" s="64" t="e">
        <f>VLOOKUP(J$14,Table245811[],5,FALSE)</f>
        <v>#N/A</v>
      </c>
      <c r="J59" s="64" t="e">
        <f>VLOOKUP(K$14,Table245811[],5,FALSE)</f>
        <v>#N/A</v>
      </c>
      <c r="K59" s="64" t="e">
        <f>VLOOKUP(L$14,Table245811[],5,FALSE)</f>
        <v>#N/A</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6.4</v>
      </c>
      <c r="C60" s="64">
        <f t="shared" ref="C60:U60" si="14">D10</f>
        <v>5.8</v>
      </c>
      <c r="D60" s="64">
        <f t="shared" si="14"/>
        <v>6</v>
      </c>
      <c r="E60" s="64">
        <f t="shared" si="14"/>
        <v>6</v>
      </c>
      <c r="F60" s="64">
        <f t="shared" si="14"/>
        <v>5.9</v>
      </c>
      <c r="G60" s="64">
        <f t="shared" si="14"/>
        <v>6.1</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8</v>
      </c>
      <c r="G61" s="64">
        <f t="shared" si="15"/>
        <v>6</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242</v>
      </c>
      <c r="C62" s="65">
        <f>B32</f>
        <v>0</v>
      </c>
      <c r="D62" s="65">
        <f>B33</f>
        <v>120</v>
      </c>
      <c r="E62" s="65">
        <f>B34</f>
        <v>250</v>
      </c>
      <c r="F62" s="65">
        <f>B35</f>
        <v>0</v>
      </c>
      <c r="G62" s="65">
        <f>B36</f>
        <v>120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1.2000000000000011</v>
      </c>
      <c r="E64" s="65">
        <f t="shared" si="17"/>
        <v>5.6000000000000014</v>
      </c>
      <c r="F64" s="65">
        <f t="shared" si="17"/>
        <v>6.3999999999999986</v>
      </c>
      <c r="G64" s="65">
        <f t="shared" si="17"/>
        <v>0.6000000000000032</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-1.2000000000000011</v>
      </c>
      <c r="E65" s="65">
        <f t="shared" si="18"/>
        <v>-5.6000000000000014</v>
      </c>
      <c r="F65" s="65">
        <f t="shared" si="18"/>
        <v>-6.3999999999999986</v>
      </c>
      <c r="G65" s="65">
        <f t="shared" si="18"/>
        <v>-0.6000000000000032</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L27" sqref="L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60" t="s">
        <v>41</v>
      </c>
      <c r="B1" s="161"/>
      <c r="C1" s="168" t="str">
        <f>'DCWW Alaw'!C1:D1</f>
        <v xml:space="preserve"> PAN-031280</v>
      </c>
      <c r="D1" s="169"/>
      <c r="E1" s="106" t="s">
        <v>45</v>
      </c>
      <c r="F1" s="113">
        <f>'DCWW Alaw'!F1</f>
        <v>33.6</v>
      </c>
      <c r="G1" s="136" t="s">
        <v>43</v>
      </c>
      <c r="H1" s="137"/>
      <c r="I1" s="109">
        <v>6.9</v>
      </c>
      <c r="J1" s="160" t="s">
        <v>153</v>
      </c>
      <c r="K1" s="161"/>
      <c r="L1" s="109">
        <v>296.10000000000002</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40" t="s">
        <v>87</v>
      </c>
      <c r="B2" s="141"/>
      <c r="C2" s="170" t="str">
        <f>'DCWW Alaw'!C2:D2</f>
        <v>EPR/GP3792SK</v>
      </c>
      <c r="D2" s="171"/>
      <c r="E2" s="96" t="s">
        <v>109</v>
      </c>
      <c r="F2" s="110" t="s">
        <v>165</v>
      </c>
      <c r="G2" s="138" t="s">
        <v>110</v>
      </c>
      <c r="H2" s="139"/>
      <c r="I2" s="110"/>
      <c r="J2" s="140" t="s">
        <v>158</v>
      </c>
      <c r="K2" s="141"/>
      <c r="L2" s="110">
        <v>1.05</v>
      </c>
      <c r="AB2" s="22" t="s">
        <v>56</v>
      </c>
      <c r="AC2" s="13"/>
      <c r="AD2" s="22" t="s">
        <v>70</v>
      </c>
      <c r="AE2" s="13"/>
      <c r="AF2" s="13"/>
      <c r="AG2" s="34" t="s">
        <v>76</v>
      </c>
      <c r="AH2" s="13"/>
      <c r="AI2" s="35" t="s">
        <v>126</v>
      </c>
      <c r="AJ2" s="36">
        <v>0</v>
      </c>
      <c r="AK2" s="37">
        <v>0</v>
      </c>
      <c r="AL2" s="7">
        <v>0</v>
      </c>
      <c r="AM2" s="9">
        <v>0</v>
      </c>
      <c r="AN2" s="9">
        <v>0</v>
      </c>
    </row>
    <row r="3" spans="1:41" ht="13" x14ac:dyDescent="0.25">
      <c r="A3" s="162" t="s">
        <v>42</v>
      </c>
      <c r="B3" s="163"/>
      <c r="C3" s="170" t="str">
        <f>'DCWW Alaw'!C3:D3</f>
        <v>Byproduct Recovery Ltd</v>
      </c>
      <c r="D3" s="171"/>
      <c r="E3" s="96" t="s">
        <v>108</v>
      </c>
      <c r="F3" s="111" t="s">
        <v>77</v>
      </c>
      <c r="G3" s="140" t="s">
        <v>159</v>
      </c>
      <c r="H3" s="141"/>
      <c r="I3" s="110"/>
      <c r="J3" s="162" t="s">
        <v>154</v>
      </c>
      <c r="K3" s="163"/>
      <c r="L3" s="110">
        <f>(L1/(L2*10000))*100</f>
        <v>2.8200000000000003</v>
      </c>
      <c r="AB3" s="22" t="s">
        <v>57</v>
      </c>
      <c r="AC3" s="13"/>
      <c r="AD3" s="22" t="s">
        <v>71</v>
      </c>
      <c r="AE3" s="13"/>
      <c r="AF3" s="13"/>
      <c r="AG3" s="34" t="s">
        <v>77</v>
      </c>
      <c r="AH3" s="13"/>
      <c r="AI3" s="38" t="s">
        <v>113</v>
      </c>
      <c r="AJ3" s="39">
        <v>1.7</v>
      </c>
      <c r="AK3" s="40">
        <v>6</v>
      </c>
      <c r="AL3" s="41">
        <v>1</v>
      </c>
      <c r="AM3" s="9">
        <v>6.2</v>
      </c>
      <c r="AN3" s="9" t="s">
        <v>112</v>
      </c>
    </row>
    <row r="4" spans="1:41" ht="13" x14ac:dyDescent="0.25">
      <c r="A4" s="140" t="s">
        <v>0</v>
      </c>
      <c r="B4" s="141"/>
      <c r="C4" s="172" t="str">
        <f>'DCWW Alaw'!C4:D4</f>
        <v>Plas Bach, Cerrigceinwen, Bodorgan, LL62 5NS</v>
      </c>
      <c r="D4" s="173"/>
      <c r="E4" s="99" t="s">
        <v>1</v>
      </c>
      <c r="F4" s="110" t="s">
        <v>168</v>
      </c>
      <c r="G4" s="162"/>
      <c r="H4" s="163"/>
      <c r="I4" s="115"/>
      <c r="J4" s="162"/>
      <c r="K4" s="163"/>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2" t="s">
        <v>47</v>
      </c>
      <c r="B5" s="143"/>
      <c r="C5" s="174" t="str">
        <f>'DCWW Alaw'!C5:D5</f>
        <v>Owen Clee</v>
      </c>
      <c r="D5" s="175"/>
      <c r="E5" s="107"/>
      <c r="F5" s="114"/>
      <c r="G5" s="166"/>
      <c r="H5" s="167"/>
      <c r="I5" s="114"/>
      <c r="J5" s="166"/>
      <c r="K5" s="16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2" t="s">
        <v>63</v>
      </c>
      <c r="B7" s="153"/>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40" t="s">
        <v>2</v>
      </c>
      <c r="B8" s="141"/>
      <c r="C8" s="49" t="str">
        <f>'DCWW Alaw'!C8</f>
        <v>SCJ1</v>
      </c>
      <c r="D8" s="49" t="str">
        <f>'DCWW Alaw'!D8</f>
        <v>SCJ2</v>
      </c>
      <c r="E8" s="49" t="str">
        <f>'DCWW Alaw'!E8</f>
        <v>SCJ3</v>
      </c>
      <c r="F8" s="49" t="str">
        <f>'DCWW Alaw'!F8</f>
        <v>SCJ4</v>
      </c>
      <c r="G8" s="49" t="str">
        <f>'DCWW Alaw'!G8</f>
        <v>SCJ5</v>
      </c>
      <c r="H8" s="49" t="str">
        <f>'DCWW Alaw'!H8</f>
        <v>SCJ6</v>
      </c>
      <c r="I8" s="49">
        <f>'DCWW Alaw'!I8</f>
        <v>0</v>
      </c>
      <c r="J8" s="49">
        <f>'DCWW Alaw'!J8</f>
        <v>0</v>
      </c>
      <c r="K8" s="49">
        <f>'DCWW Alaw'!K8</f>
        <v>0</v>
      </c>
      <c r="L8" s="49">
        <f>'DCWW Alaw'!L8</f>
        <v>0</v>
      </c>
      <c r="M8" s="49">
        <f>'DCWW Alaw'!M8</f>
        <v>0</v>
      </c>
      <c r="N8" s="49">
        <f>'DCWW Alaw'!N8</f>
        <v>0</v>
      </c>
      <c r="O8" s="49">
        <f>'DCWW Alaw'!O8</f>
        <v>0</v>
      </c>
      <c r="P8" s="49">
        <f>'DCWW Alaw'!P8</f>
        <v>0</v>
      </c>
      <c r="Q8" s="49">
        <f>'DCWW Alaw'!Q8</f>
        <v>0</v>
      </c>
      <c r="R8" s="49">
        <f>'DCWW Alaw'!R8</f>
        <v>0</v>
      </c>
      <c r="S8" s="49">
        <f>'DCWW Alaw'!S8</f>
        <v>0</v>
      </c>
      <c r="T8" s="49">
        <f>'DCWW Alaw'!T8</f>
        <v>0</v>
      </c>
      <c r="U8" s="49">
        <f>'DCWW Alaw'!U8</f>
        <v>0</v>
      </c>
      <c r="V8" s="102">
        <f>'DCWW Alaw'!V8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40" t="s">
        <v>3</v>
      </c>
      <c r="B9" s="141"/>
      <c r="C9" s="49" t="str">
        <f>'DCWW Alaw'!C9</f>
        <v>Moderate</v>
      </c>
      <c r="D9" s="49" t="str">
        <f>'DCWW Alaw'!D9</f>
        <v>Moderate</v>
      </c>
      <c r="E9" s="49" t="str">
        <f>'DCWW Alaw'!E9</f>
        <v>Moderate</v>
      </c>
      <c r="F9" s="49">
        <f>'DCWW Alaw'!F9</f>
        <v>1</v>
      </c>
      <c r="G9" s="49">
        <f>'DCWW Alaw'!G9</f>
        <v>1</v>
      </c>
      <c r="H9" s="49" t="str">
        <f>'DCWW Alaw'!H9</f>
        <v>Moderate</v>
      </c>
      <c r="I9" s="49">
        <f>'DCWW Alaw'!I9</f>
        <v>0</v>
      </c>
      <c r="J9" s="49">
        <f>'DCWW Alaw'!J9</f>
        <v>0</v>
      </c>
      <c r="K9" s="49">
        <f>'DCWW Alaw'!K9</f>
        <v>0</v>
      </c>
      <c r="L9" s="49">
        <f>'DCWW Alaw'!L9</f>
        <v>0</v>
      </c>
      <c r="M9" s="49">
        <f>'DCWW Alaw'!M9</f>
        <v>0</v>
      </c>
      <c r="N9" s="49">
        <f>'DCWW Alaw'!N9</f>
        <v>0</v>
      </c>
      <c r="O9" s="49">
        <f>'DCWW Alaw'!O9</f>
        <v>0</v>
      </c>
      <c r="P9" s="49">
        <f>'DCWW Alaw'!P9</f>
        <v>0</v>
      </c>
      <c r="Q9" s="49">
        <f>'DCWW Alaw'!Q9</f>
        <v>0</v>
      </c>
      <c r="R9" s="49">
        <f>'DCWW Alaw'!R9</f>
        <v>0</v>
      </c>
      <c r="S9" s="49">
        <f>'DCWW Alaw'!S9</f>
        <v>0</v>
      </c>
      <c r="T9" s="49">
        <f>'DCWW Alaw'!T9</f>
        <v>0</v>
      </c>
      <c r="U9" s="49">
        <f>'DCWW Alaw'!U9</f>
        <v>0</v>
      </c>
      <c r="V9" s="102">
        <f>'DCWW Alaw'!V9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40" t="s">
        <v>4</v>
      </c>
      <c r="B10" s="141"/>
      <c r="C10" s="49">
        <f>'DCWW Alaw'!C10</f>
        <v>6.4</v>
      </c>
      <c r="D10" s="49">
        <f>'DCWW Alaw'!D10</f>
        <v>5.8</v>
      </c>
      <c r="E10" s="49">
        <f>'DCWW Alaw'!E10</f>
        <v>6</v>
      </c>
      <c r="F10" s="49">
        <f>'DCWW Alaw'!F10</f>
        <v>6</v>
      </c>
      <c r="G10" s="49">
        <f>'DCWW Alaw'!G10</f>
        <v>5.9</v>
      </c>
      <c r="H10" s="49">
        <f>'DCWW Alaw'!H10</f>
        <v>6.1</v>
      </c>
      <c r="I10" s="49">
        <f>'DCWW Alaw'!I10</f>
        <v>0</v>
      </c>
      <c r="J10" s="49">
        <f>'DCWW Alaw'!J10</f>
        <v>0</v>
      </c>
      <c r="K10" s="49">
        <f>'DCWW Alaw'!K10</f>
        <v>0</v>
      </c>
      <c r="L10" s="49">
        <f>'DCWW Alaw'!L10</f>
        <v>0</v>
      </c>
      <c r="M10" s="49">
        <f>'DCWW Alaw'!M10</f>
        <v>0</v>
      </c>
      <c r="N10" s="49">
        <f>'DCWW Alaw'!N10</f>
        <v>0</v>
      </c>
      <c r="O10" s="49">
        <f>'DCWW Alaw'!O10</f>
        <v>0</v>
      </c>
      <c r="P10" s="49">
        <f>'DCWW Alaw'!P10</f>
        <v>0</v>
      </c>
      <c r="Q10" s="49">
        <f>'DCWW Alaw'!Q10</f>
        <v>0</v>
      </c>
      <c r="R10" s="49">
        <f>'DCWW Alaw'!R10</f>
        <v>0</v>
      </c>
      <c r="S10" s="49">
        <f>'DCWW Alaw'!S10</f>
        <v>0</v>
      </c>
      <c r="T10" s="49">
        <f>'DCWW Alaw'!T10</f>
        <v>0</v>
      </c>
      <c r="U10" s="49">
        <f>'DCWW Alaw'!U10</f>
        <v>0</v>
      </c>
      <c r="V10" s="102">
        <f>'DCWW Alaw'!V10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40" t="s">
        <v>5</v>
      </c>
      <c r="B11" s="141"/>
      <c r="C11" s="49">
        <f>'DCWW Alaw'!C11</f>
        <v>2</v>
      </c>
      <c r="D11" s="49">
        <f>'DCWW Alaw'!D11</f>
        <v>2</v>
      </c>
      <c r="E11" s="49">
        <f>'DCWW Alaw'!E11</f>
        <v>3</v>
      </c>
      <c r="F11" s="49">
        <f>'DCWW Alaw'!F11</f>
        <v>1</v>
      </c>
      <c r="G11" s="49">
        <f>'DCWW Alaw'!G11</f>
        <v>0</v>
      </c>
      <c r="H11" s="49">
        <f>'DCWW Alaw'!H11</f>
        <v>3</v>
      </c>
      <c r="I11" s="49">
        <f>'DCWW Alaw'!I11</f>
        <v>0</v>
      </c>
      <c r="J11" s="49">
        <f>'DCWW Alaw'!J11</f>
        <v>0</v>
      </c>
      <c r="K11" s="49">
        <f>'DCWW Alaw'!K11</f>
        <v>0</v>
      </c>
      <c r="L11" s="49">
        <f>'DCWW Alaw'!L11</f>
        <v>0</v>
      </c>
      <c r="M11" s="49">
        <f>'DCWW Alaw'!M11</f>
        <v>0</v>
      </c>
      <c r="N11" s="49">
        <f>'DCWW Alaw'!N11</f>
        <v>0</v>
      </c>
      <c r="O11" s="49">
        <f>'DCWW Alaw'!O11</f>
        <v>0</v>
      </c>
      <c r="P11" s="49">
        <f>'DCWW Alaw'!P11</f>
        <v>0</v>
      </c>
      <c r="Q11" s="49">
        <f>'DCWW Alaw'!Q11</f>
        <v>0</v>
      </c>
      <c r="R11" s="49">
        <f>'DCWW Alaw'!R11</f>
        <v>0</v>
      </c>
      <c r="S11" s="49">
        <f>'DCWW Alaw'!S11</f>
        <v>0</v>
      </c>
      <c r="T11" s="49">
        <f>'DCWW Alaw'!T11</f>
        <v>0</v>
      </c>
      <c r="U11" s="49">
        <f>'DCWW Alaw'!U11</f>
        <v>0</v>
      </c>
      <c r="V11" s="102">
        <f>'DCWW Alaw'!V11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40" t="s">
        <v>6</v>
      </c>
      <c r="B12" s="141"/>
      <c r="C12" s="49">
        <f>'DCWW Alaw'!C12</f>
        <v>3</v>
      </c>
      <c r="D12" s="49">
        <f>'DCWW Alaw'!D12</f>
        <v>4</v>
      </c>
      <c r="E12" s="49">
        <f>'DCWW Alaw'!E12</f>
        <v>4</v>
      </c>
      <c r="F12" s="49">
        <f>'DCWW Alaw'!F12</f>
        <v>1</v>
      </c>
      <c r="G12" s="49">
        <f>'DCWW Alaw'!G12</f>
        <v>1</v>
      </c>
      <c r="H12" s="49">
        <f>'DCWW Alaw'!H12</f>
        <v>2</v>
      </c>
      <c r="I12" s="49">
        <f>'DCWW Alaw'!I12</f>
        <v>0</v>
      </c>
      <c r="J12" s="49">
        <f>'DCWW Alaw'!J12</f>
        <v>0</v>
      </c>
      <c r="K12" s="49">
        <f>'DCWW Alaw'!K12</f>
        <v>0</v>
      </c>
      <c r="L12" s="49">
        <f>'DCWW Alaw'!L12</f>
        <v>0</v>
      </c>
      <c r="M12" s="49">
        <f>'DCWW Alaw'!M12</f>
        <v>0</v>
      </c>
      <c r="N12" s="49">
        <f>'DCWW Alaw'!N12</f>
        <v>0</v>
      </c>
      <c r="O12" s="49">
        <f>'DCWW Alaw'!O12</f>
        <v>0</v>
      </c>
      <c r="P12" s="49">
        <f>'DCWW Alaw'!P12</f>
        <v>0</v>
      </c>
      <c r="Q12" s="49">
        <f>'DCWW Alaw'!Q12</f>
        <v>0</v>
      </c>
      <c r="R12" s="49">
        <f>'DCWW Alaw'!R12</f>
        <v>0</v>
      </c>
      <c r="S12" s="49">
        <f>'DCWW Alaw'!S12</f>
        <v>0</v>
      </c>
      <c r="T12" s="49">
        <f>'DCWW Alaw'!T12</f>
        <v>0</v>
      </c>
      <c r="U12" s="49">
        <f>'DCWW Alaw'!U12</f>
        <v>0</v>
      </c>
      <c r="V12" s="102">
        <f>'DCWW Alaw'!V12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40" t="s">
        <v>7</v>
      </c>
      <c r="B13" s="141"/>
      <c r="C13" s="49">
        <f>'DCWW Alaw'!C13</f>
        <v>4</v>
      </c>
      <c r="D13" s="49">
        <f>'DCWW Alaw'!D13</f>
        <v>3</v>
      </c>
      <c r="E13" s="49">
        <f>'DCWW Alaw'!E13</f>
        <v>3</v>
      </c>
      <c r="F13" s="49">
        <f>'DCWW Alaw'!F13</f>
        <v>3</v>
      </c>
      <c r="G13" s="49">
        <f>'DCWW Alaw'!G13</f>
        <v>3</v>
      </c>
      <c r="H13" s="49">
        <f>'DCWW Alaw'!H13</f>
        <v>3</v>
      </c>
      <c r="I13" s="49">
        <f>'DCWW Alaw'!I13</f>
        <v>0</v>
      </c>
      <c r="J13" s="49">
        <f>'DCWW Alaw'!J13</f>
        <v>0</v>
      </c>
      <c r="K13" s="49">
        <f>'DCWW Alaw'!K13</f>
        <v>0</v>
      </c>
      <c r="L13" s="49">
        <f>'DCWW Alaw'!L13</f>
        <v>0</v>
      </c>
      <c r="M13" s="49">
        <f>'DCWW Alaw'!M13</f>
        <v>0</v>
      </c>
      <c r="N13" s="49">
        <f>'DCWW Alaw'!N13</f>
        <v>0</v>
      </c>
      <c r="O13" s="49">
        <f>'DCWW Alaw'!O13</f>
        <v>0</v>
      </c>
      <c r="P13" s="49">
        <f>'DCWW Alaw'!P13</f>
        <v>0</v>
      </c>
      <c r="Q13" s="49">
        <f>'DCWW Alaw'!Q13</f>
        <v>0</v>
      </c>
      <c r="R13" s="49">
        <f>'DCWW Alaw'!R13</f>
        <v>0</v>
      </c>
      <c r="S13" s="49">
        <f>'DCWW Alaw'!S13</f>
        <v>0</v>
      </c>
      <c r="T13" s="49">
        <f>'DCWW Alaw'!T13</f>
        <v>0</v>
      </c>
      <c r="U13" s="49">
        <f>'DCWW Alaw'!U13</f>
        <v>0</v>
      </c>
      <c r="V13" s="102">
        <f>'DCWW Alaw'!V13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6" t="s">
        <v>8</v>
      </c>
      <c r="B14" s="157"/>
      <c r="C14" s="83" t="str">
        <f>'DCWW Alaw'!C14</f>
        <v xml:space="preserve">Grass Silage (25% DM) </v>
      </c>
      <c r="D14" s="83" t="str">
        <f>'DCWW Alaw'!D14</f>
        <v xml:space="preserve">Grass Silage (25% DM) </v>
      </c>
      <c r="E14" s="83" t="str">
        <f>'DCWW Alaw'!E14</f>
        <v xml:space="preserve">Grass Silage (25% DM) </v>
      </c>
      <c r="F14" s="83" t="str">
        <f>'DCWW Alaw'!F14</f>
        <v>Spring wheat/barley</v>
      </c>
      <c r="G14" s="83" t="str">
        <f>'DCWW Alaw'!G14</f>
        <v>Spring wheat/barley</v>
      </c>
      <c r="H14" s="83" t="str">
        <f>'DCWW Alaw'!H14</f>
        <v xml:space="preserve">Grass Silage (25% DM) </v>
      </c>
      <c r="I14" s="83">
        <f>'DCWW Alaw'!I14</f>
        <v>0</v>
      </c>
      <c r="J14" s="83">
        <f>'DCWW Alaw'!J14</f>
        <v>0</v>
      </c>
      <c r="K14" s="83">
        <f>'DCWW Alaw'!K14</f>
        <v>0</v>
      </c>
      <c r="L14" s="83">
        <f>'DCWW Alaw'!L14</f>
        <v>0</v>
      </c>
      <c r="M14" s="83">
        <f>'DCWW Alaw'!M14</f>
        <v>0</v>
      </c>
      <c r="N14" s="83">
        <f>'DCWW Alaw'!N14</f>
        <v>0</v>
      </c>
      <c r="O14" s="83">
        <f>'DCWW Alaw'!O14</f>
        <v>0</v>
      </c>
      <c r="P14" s="83">
        <f>'DCWW Alaw'!P14</f>
        <v>0</v>
      </c>
      <c r="Q14" s="83">
        <f>'DCWW Alaw'!Q14</f>
        <v>0</v>
      </c>
      <c r="R14" s="83">
        <f>'DCWW Alaw'!R14</f>
        <v>0</v>
      </c>
      <c r="S14" s="83">
        <f>'DCWW Alaw'!S14</f>
        <v>0</v>
      </c>
      <c r="T14" s="83">
        <f>'DCWW Alaw'!T14</f>
        <v>0</v>
      </c>
      <c r="U14" s="83">
        <f>'DCWW Alaw'!U14</f>
        <v>0</v>
      </c>
      <c r="V14" s="103">
        <f>'DCWW Alaw'!V14</f>
        <v>0</v>
      </c>
      <c r="AD14" s="22" t="s">
        <v>138</v>
      </c>
      <c r="AE14" s="22">
        <v>6</v>
      </c>
      <c r="AI14" s="43" t="s">
        <v>119</v>
      </c>
      <c r="AJ14" s="44">
        <v>0.8</v>
      </c>
      <c r="AK14" s="45">
        <v>1.7</v>
      </c>
      <c r="AL14" s="9">
        <v>12</v>
      </c>
      <c r="AM14" s="9">
        <v>6.7</v>
      </c>
      <c r="AN14" s="9" t="s">
        <v>135</v>
      </c>
    </row>
    <row r="15" spans="1:41" ht="13" x14ac:dyDescent="0.25">
      <c r="A15" s="154" t="s">
        <v>9</v>
      </c>
      <c r="B15" s="155"/>
      <c r="C15" s="49">
        <f>'DCWW Alaw'!C15</f>
        <v>38</v>
      </c>
      <c r="D15" s="49">
        <f>'DCWW Alaw'!D15</f>
        <v>38</v>
      </c>
      <c r="E15" s="49">
        <f>'DCWW Alaw'!E15</f>
        <v>38</v>
      </c>
      <c r="F15" s="49">
        <f>'DCWW Alaw'!F15</f>
        <v>5.5</v>
      </c>
      <c r="G15" s="49">
        <f>'DCWW Alaw'!G15</f>
        <v>5.5</v>
      </c>
      <c r="H15" s="49">
        <f>'DCWW Alaw'!H15</f>
        <v>38</v>
      </c>
      <c r="I15" s="49">
        <f>'DCWW Alaw'!I15</f>
        <v>0</v>
      </c>
      <c r="J15" s="49">
        <f>'DCWW Alaw'!J15</f>
        <v>0</v>
      </c>
      <c r="K15" s="49">
        <f>'DCWW Alaw'!K15</f>
        <v>0</v>
      </c>
      <c r="L15" s="49">
        <f>'DCWW Alaw'!L15</f>
        <v>0</v>
      </c>
      <c r="M15" s="49">
        <f>'DCWW Alaw'!M15</f>
        <v>0</v>
      </c>
      <c r="N15" s="49">
        <f>'DCWW Alaw'!N15</f>
        <v>0</v>
      </c>
      <c r="O15" s="49">
        <f>'DCWW Alaw'!O15</f>
        <v>0</v>
      </c>
      <c r="P15" s="49">
        <f>'DCWW Alaw'!P15</f>
        <v>0</v>
      </c>
      <c r="Q15" s="49">
        <f>'DCWW Alaw'!Q15</f>
        <v>0</v>
      </c>
      <c r="R15" s="49">
        <f>'DCWW Alaw'!R15</f>
        <v>0</v>
      </c>
      <c r="S15" s="49">
        <f>'DCWW Alaw'!S15</f>
        <v>0</v>
      </c>
      <c r="T15" s="49">
        <f>'DCWW Alaw'!T15</f>
        <v>0</v>
      </c>
      <c r="U15" s="49">
        <f>'DCWW Alaw'!U15</f>
        <v>0</v>
      </c>
      <c r="V15" s="102">
        <f>'DCWW Alaw'!V15</f>
        <v>0</v>
      </c>
      <c r="AD15" s="22" t="s">
        <v>144</v>
      </c>
      <c r="AE15" s="22">
        <v>7</v>
      </c>
      <c r="AI15" s="43" t="s">
        <v>101</v>
      </c>
      <c r="AJ15" s="51">
        <v>1.8</v>
      </c>
      <c r="AK15" s="45">
        <v>5.4</v>
      </c>
      <c r="AL15" s="9">
        <v>13</v>
      </c>
      <c r="AM15" s="9">
        <v>6.7</v>
      </c>
      <c r="AN15" s="9" t="s">
        <v>135</v>
      </c>
    </row>
    <row r="16" spans="1:41" ht="13.5" thickBot="1" x14ac:dyDescent="0.3">
      <c r="A16" s="158" t="s">
        <v>44</v>
      </c>
      <c r="B16" s="159"/>
      <c r="C16" s="104" t="str">
        <f>'DCWW Alaw'!C16</f>
        <v>Medium/Clay</v>
      </c>
      <c r="D16" s="104" t="str">
        <f>'DCWW Alaw'!D16</f>
        <v>Medium/Clay</v>
      </c>
      <c r="E16" s="104" t="str">
        <f>'DCWW Alaw'!E16</f>
        <v>Medium/Clay</v>
      </c>
      <c r="F16" s="104" t="str">
        <f>'DCWW Alaw'!F16</f>
        <v>Medium/Clay</v>
      </c>
      <c r="G16" s="104" t="str">
        <f>'DCWW Alaw'!G16</f>
        <v>Medium/Clay</v>
      </c>
      <c r="H16" s="104" t="str">
        <f>'DCWW Alaw'!H16</f>
        <v>Medium/Clay</v>
      </c>
      <c r="I16" s="104">
        <f>'DCWW Alaw'!I16</f>
        <v>0</v>
      </c>
      <c r="J16" s="104">
        <f>'DCWW Alaw'!J16</f>
        <v>0</v>
      </c>
      <c r="K16" s="104">
        <f>'DCWW Alaw'!K16</f>
        <v>0</v>
      </c>
      <c r="L16" s="104">
        <f>'DCWW Alaw'!L16</f>
        <v>0</v>
      </c>
      <c r="M16" s="104">
        <f>'DCWW Alaw'!M16</f>
        <v>0</v>
      </c>
      <c r="N16" s="104">
        <f>'DCWW Alaw'!N16</f>
        <v>0</v>
      </c>
      <c r="O16" s="104">
        <f>'DCWW Alaw'!O16</f>
        <v>0</v>
      </c>
      <c r="P16" s="104">
        <f>'DCWW Alaw'!P16</f>
        <v>0</v>
      </c>
      <c r="Q16" s="104">
        <f>'DCWW Alaw'!Q16</f>
        <v>0</v>
      </c>
      <c r="R16" s="104">
        <f>'DCWW Alaw'!R16</f>
        <v>0</v>
      </c>
      <c r="S16" s="104">
        <f>'DCWW Alaw'!S16</f>
        <v>0</v>
      </c>
      <c r="T16" s="104">
        <f>'DCWW Alaw'!T16</f>
        <v>0</v>
      </c>
      <c r="U16" s="104">
        <f>'DCWW Alaw'!U16</f>
        <v>0</v>
      </c>
      <c r="V16" s="105">
        <f>'DCWW Alaw'!V16</f>
        <v>0</v>
      </c>
      <c r="AD16" s="42" t="s">
        <v>145</v>
      </c>
      <c r="AE16" s="22">
        <v>8</v>
      </c>
      <c r="AI16" s="43" t="s">
        <v>118</v>
      </c>
      <c r="AJ16" s="44">
        <v>8</v>
      </c>
      <c r="AK16" s="45">
        <v>5.5</v>
      </c>
      <c r="AL16" s="7">
        <v>14</v>
      </c>
      <c r="AM16" s="9">
        <v>6.7</v>
      </c>
      <c r="AN16" s="9" t="s">
        <v>135</v>
      </c>
    </row>
    <row r="17" spans="1:40" ht="13" x14ac:dyDescent="0.25">
      <c r="A17" s="152" t="s">
        <v>69</v>
      </c>
      <c r="B17" s="153"/>
      <c r="C17" s="20">
        <f>(VLOOKUP(C$14,$AI2:$AK26,2,FALSE))*C$15</f>
        <v>64.599999999999994</v>
      </c>
      <c r="D17" s="20">
        <f t="shared" ref="D17:V17" si="0">(VLOOKUP(D$14,$AI2:$AK26,2,FALSE))*D$15</f>
        <v>64.599999999999994</v>
      </c>
      <c r="E17" s="20">
        <f t="shared" si="0"/>
        <v>64.599999999999994</v>
      </c>
      <c r="F17" s="20">
        <f t="shared" si="0"/>
        <v>46.75</v>
      </c>
      <c r="G17" s="20">
        <f t="shared" si="0"/>
        <v>46.75</v>
      </c>
      <c r="H17" s="20">
        <f t="shared" si="0"/>
        <v>64.599999999999994</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0" t="s">
        <v>23</v>
      </c>
      <c r="B18" s="151"/>
      <c r="C18" s="12">
        <f>$D31</f>
        <v>65.213498279999996</v>
      </c>
      <c r="D18" s="12">
        <f>$D32</f>
        <v>0</v>
      </c>
      <c r="E18" s="12">
        <f>$D33</f>
        <v>32.739837911999999</v>
      </c>
      <c r="F18" s="12">
        <f>$D34</f>
        <v>66.544386000000003</v>
      </c>
      <c r="G18" s="12">
        <f>$D35</f>
        <v>0</v>
      </c>
      <c r="H18" s="12">
        <f>$D36</f>
        <v>32.739837911999999</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0" t="s">
        <v>90</v>
      </c>
      <c r="B19" s="151"/>
      <c r="C19" s="12">
        <f>C18-C17</f>
        <v>0.61349828000000173</v>
      </c>
      <c r="D19" s="12">
        <f t="shared" ref="D19:V19" si="1">D18-D17</f>
        <v>-64.599999999999994</v>
      </c>
      <c r="E19" s="12">
        <f t="shared" si="1"/>
        <v>-31.860162087999996</v>
      </c>
      <c r="F19" s="12">
        <f t="shared" si="1"/>
        <v>19.794386000000003</v>
      </c>
      <c r="G19" s="12">
        <f t="shared" si="1"/>
        <v>-46.75</v>
      </c>
      <c r="H19" s="12">
        <f t="shared" si="1"/>
        <v>-31.860162087999996</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8" t="s">
        <v>91</v>
      </c>
      <c r="B20" s="149"/>
      <c r="C20" s="18" t="str">
        <f>IF($B31="","",IF(C$19&gt;=0,"INCREASE","DECREASE"))</f>
        <v>INCREASE</v>
      </c>
      <c r="D20" s="18" t="str">
        <f>IF($B32="","",IF(D$19&gt;=0,"INCREASE","DECREASE"))</f>
        <v>DECREASE</v>
      </c>
      <c r="E20" s="18" t="str">
        <f>IF($B33="","",IF(E$19&gt;=0,"INCREASE","DECREASE"))</f>
        <v>DECREASE</v>
      </c>
      <c r="F20" s="18" t="str">
        <f>IF($B34="","",IF(F$19&gt;=0,"INCREASE","DECREASE"))</f>
        <v>INCREASE</v>
      </c>
      <c r="G20" s="18" t="str">
        <f>IF($B35="","",IF(G$19&gt;=0,"INCREASE","DECREASE"))</f>
        <v>DECREASE</v>
      </c>
      <c r="H20" s="18" t="str">
        <f>IF($B36="","",IF(H$19&gt;=0,"INCREASE","DECREASE"))</f>
        <v>DECREASE</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2" t="s">
        <v>88</v>
      </c>
      <c r="B21" s="153"/>
      <c r="C21" s="20">
        <f>(VLOOKUP(C$14,$AI2:$AK26,3,FALSE))*C$15</f>
        <v>228</v>
      </c>
      <c r="D21" s="20">
        <f t="shared" ref="D21:V21" si="2">(VLOOKUP(D$14,$AI2:$AK26,3,FALSE))*D$15</f>
        <v>228</v>
      </c>
      <c r="E21" s="20">
        <f t="shared" si="2"/>
        <v>228</v>
      </c>
      <c r="F21" s="20">
        <f t="shared" si="2"/>
        <v>66</v>
      </c>
      <c r="G21" s="20">
        <f t="shared" si="2"/>
        <v>66</v>
      </c>
      <c r="H21" s="20">
        <f t="shared" si="2"/>
        <v>228</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0" t="s">
        <v>89</v>
      </c>
      <c r="B22" s="151"/>
      <c r="C22" s="12">
        <f>$E31</f>
        <v>5.1085734000000018</v>
      </c>
      <c r="D22" s="12">
        <f>$E32</f>
        <v>0</v>
      </c>
      <c r="E22" s="12">
        <f>$E33</f>
        <v>2.5647123600000006</v>
      </c>
      <c r="F22" s="12">
        <f>$E34</f>
        <v>5.2128300000000012</v>
      </c>
      <c r="G22" s="12">
        <f>$E35</f>
        <v>0</v>
      </c>
      <c r="H22" s="12">
        <f>$E36</f>
        <v>2.5647123600000006</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0" t="s">
        <v>92</v>
      </c>
      <c r="B23" s="151"/>
      <c r="C23" s="12">
        <f>C22-C21</f>
        <v>-222.89142659999999</v>
      </c>
      <c r="D23" s="12">
        <f t="shared" ref="D23:V23" si="3">D22-D21</f>
        <v>-228</v>
      </c>
      <c r="E23" s="12">
        <f t="shared" si="3"/>
        <v>-225.43528764000001</v>
      </c>
      <c r="F23" s="12">
        <f t="shared" si="3"/>
        <v>-60.787169999999996</v>
      </c>
      <c r="G23" s="12">
        <f t="shared" si="3"/>
        <v>-66</v>
      </c>
      <c r="H23" s="12">
        <f t="shared" si="3"/>
        <v>-225.43528764000001</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8" t="s">
        <v>93</v>
      </c>
      <c r="B24" s="149"/>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2.06</v>
      </c>
      <c r="C28" s="11">
        <v>1.05</v>
      </c>
      <c r="D28" s="11">
        <v>0.56399999999999995</v>
      </c>
      <c r="E28" s="11">
        <v>8.4000000000000005E-2</v>
      </c>
      <c r="F28" s="11">
        <v>1260</v>
      </c>
      <c r="G28" s="11">
        <v>75.3</v>
      </c>
      <c r="H28" s="11">
        <v>119</v>
      </c>
      <c r="I28" s="11">
        <v>59.8</v>
      </c>
      <c r="J28" s="11">
        <v>1.06</v>
      </c>
      <c r="K28" s="15">
        <v>0.97</v>
      </c>
      <c r="L28" s="11">
        <v>49.2</v>
      </c>
      <c r="M28" s="11">
        <v>41.5</v>
      </c>
      <c r="N28" s="11">
        <v>1040000</v>
      </c>
      <c r="O28" s="11">
        <v>3510</v>
      </c>
      <c r="P28" s="11"/>
      <c r="Q28" s="11">
        <v>13800</v>
      </c>
      <c r="R28" s="11"/>
      <c r="S28" s="11">
        <v>14.5</v>
      </c>
      <c r="T28" s="11"/>
      <c r="U28" s="97"/>
    </row>
    <row r="29" spans="1:40" s="7" customFormat="1" ht="28" x14ac:dyDescent="0.35">
      <c r="A29" s="16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SCJ1</v>
      </c>
      <c r="B31" s="11">
        <v>245</v>
      </c>
      <c r="C31" s="65">
        <f>IF(C$27="%w/w SAR",((C$28*10)*$B31),IF(C$27="%w/w DM",(((C$28*10)*($B$28/100))*$B31),IF(C$27="kg/t SAR",(C$28*$B31),IF(C$27="kg/t DM",((C$28*($B$28/100))*$B31),IF(C$27="mg/kg SAR",((C$28*0.001)*$B31),IF(C$27="mg/kg DM",(((C$28*0.001)*($B$28/100))*$B31),0))))))</f>
        <v>52.993499999999997</v>
      </c>
      <c r="D31" s="65">
        <f>(IF(D$27="%w/w SAR",((D$28*10)*$B31),IF(D$27="%w/w DM",(((D$28*10)*($B$28/100))*$B31),IF(D$27="kg/t SAR",(D$28*$B31),IF(D$27="kg/t DM",((D$28*($B$28/100))*$B31),IF(D$27="mg/kg SAR",((D$28*0.001)*$B31),IF(D$27="mg/kg DM",(((D$28*0.001)*($B$28/100))*$B31),"0")))))))*2.291</f>
        <v>65.213498279999996</v>
      </c>
      <c r="E31" s="65">
        <f>(IF(E$27="%w/w SAR",((E$28*10)*$B31),IF(E$27="%w/w DM",(((E$28*10)*($B$28/100))*$B31),IF(E$27="kg/t SAR",(E$28*$B31),IF(E$27="kg/t DM",((E$28*($B$28/100))*$B31),IF(E$27="mg/kg SAR",((E$28*0.001)*$B31),IF(E$27="mg/kg DM",(((E$28*0.001)*($B$28/100))*$B31),"0")))))))*1.205</f>
        <v>5.1085734000000018</v>
      </c>
      <c r="F31" s="65">
        <f>(IF(F$27="%w/w SAR",((F$28*10)*$B31),IF(F$27="%w/w DM",(((F$28*10)*($B$28/100))*$B31),IF(F$27="kg/t SAR",(F$28*$B31),IF(F$27="kg/t DM",((F$28*($B$28/100))*$B31),IF(F$27="mg/kg SAR",((F$28*0.001)*$B31),IF(F$27="mg/kg DM",(((F$28*0.001)*($B$28/100))*$B31),"0")))))))*1.658</f>
        <v>10.543586759999998</v>
      </c>
      <c r="G31" s="65">
        <f t="shared" ref="G31:P46" si="5">IF(G$27="%w/w SAR",((G$28*10)*$B31),IF(G$27="%w/w DM",(((G$28*10)*($B$28/100))*$B31),IF(G$27="kg/t SAR",(G$28*$B31),IF(G$27="kg/t DM",((G$28*($B$28/100))*$B31),IF(G$27="mg/kg SAR",((G$28*0.001)*$B31),IF(G$27="mg/kg DM",(((G$28*0.001)*($B$28/100))*$B31),0))))))</f>
        <v>0.38003909999999996</v>
      </c>
      <c r="H31" s="65">
        <f t="shared" si="5"/>
        <v>0.60059300000000004</v>
      </c>
      <c r="I31" s="65">
        <f t="shared" si="5"/>
        <v>0.30181060000000004</v>
      </c>
      <c r="J31" s="65">
        <f t="shared" si="5"/>
        <v>5.3498200000000008E-3</v>
      </c>
      <c r="K31" s="65">
        <f t="shared" si="5"/>
        <v>4.89559E-3</v>
      </c>
      <c r="L31" s="65">
        <f t="shared" si="5"/>
        <v>0.24831239999999999</v>
      </c>
      <c r="M31" s="65">
        <f t="shared" si="5"/>
        <v>0.20945050000000001</v>
      </c>
      <c r="N31" s="65">
        <f t="shared" si="5"/>
        <v>5248.88</v>
      </c>
      <c r="O31" s="65">
        <f t="shared" si="5"/>
        <v>17.714970000000001</v>
      </c>
      <c r="P31" s="65">
        <f t="shared" si="5"/>
        <v>0</v>
      </c>
      <c r="Q31" s="65">
        <f>(IF(Q$27="%w/w SAR",((Q$28*10)*$B31),IF(Q$27="%w/w DM",(((Q$28*10)*($B$28/100))*$B31),IF(Q$27="kg/t SAR",(Q$28*$B31),IF(Q$27="kg/t DM",((Q$28*($B$28/100))*$B31),IF(Q$27="mg/kg SAR",((Q$28*0.001)*$B31),IF(Q$27="mg/kg DM",(((Q$28*0.001)*($B$28/100))*$B31),0)))))))*2.5</f>
        <v>174.1215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7.3181499999999997E-2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SCJ2</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SCJ3</v>
      </c>
      <c r="B33" s="11">
        <v>123</v>
      </c>
      <c r="C33" s="65">
        <f t="shared" si="6"/>
        <v>26.604900000000001</v>
      </c>
      <c r="D33" s="65">
        <f t="shared" si="7"/>
        <v>32.739837911999999</v>
      </c>
      <c r="E33" s="65">
        <f t="shared" si="8"/>
        <v>2.5647123600000006</v>
      </c>
      <c r="F33" s="65">
        <f t="shared" si="9"/>
        <v>5.2933109040000001</v>
      </c>
      <c r="G33" s="65">
        <f t="shared" si="5"/>
        <v>0.19079513999999997</v>
      </c>
      <c r="H33" s="65">
        <f t="shared" si="5"/>
        <v>0.30152220000000002</v>
      </c>
      <c r="I33" s="65">
        <f t="shared" si="5"/>
        <v>0.15152124</v>
      </c>
      <c r="J33" s="65">
        <f t="shared" si="5"/>
        <v>2.6858280000000003E-3</v>
      </c>
      <c r="K33" s="65">
        <f t="shared" si="5"/>
        <v>2.457786E-3</v>
      </c>
      <c r="L33" s="65">
        <f t="shared" si="5"/>
        <v>0.12466295999999999</v>
      </c>
      <c r="M33" s="65">
        <f t="shared" si="5"/>
        <v>0.1051527</v>
      </c>
      <c r="N33" s="65">
        <f t="shared" si="5"/>
        <v>2635.152</v>
      </c>
      <c r="O33" s="65">
        <f t="shared" si="5"/>
        <v>8.893638000000001</v>
      </c>
      <c r="P33" s="65">
        <f t="shared" si="5"/>
        <v>0</v>
      </c>
      <c r="Q33" s="65">
        <f t="shared" si="10"/>
        <v>87.416100000000014</v>
      </c>
      <c r="R33" s="65">
        <f t="shared" si="11"/>
        <v>0</v>
      </c>
      <c r="S33" s="65">
        <f t="shared" si="11"/>
        <v>3.6740099999999998E-2</v>
      </c>
      <c r="T33" s="65">
        <f t="shared" si="11"/>
        <v>0</v>
      </c>
      <c r="U33" s="126">
        <f t="shared" si="11"/>
        <v>0</v>
      </c>
    </row>
    <row r="34" spans="1:21" s="48" customFormat="1" ht="13" x14ac:dyDescent="0.35">
      <c r="A34" s="125" t="str">
        <f>F8</f>
        <v>SCJ4</v>
      </c>
      <c r="B34" s="11">
        <v>250</v>
      </c>
      <c r="C34" s="65">
        <f t="shared" si="6"/>
        <v>54.074999999999996</v>
      </c>
      <c r="D34" s="65">
        <f t="shared" si="7"/>
        <v>66.544386000000003</v>
      </c>
      <c r="E34" s="65">
        <f t="shared" si="8"/>
        <v>5.2128300000000012</v>
      </c>
      <c r="F34" s="65">
        <f t="shared" si="9"/>
        <v>10.758761999999999</v>
      </c>
      <c r="G34" s="65">
        <f t="shared" si="5"/>
        <v>0.38779499999999995</v>
      </c>
      <c r="H34" s="65">
        <f t="shared" si="5"/>
        <v>0.61285000000000012</v>
      </c>
      <c r="I34" s="65">
        <f t="shared" si="5"/>
        <v>0.30797000000000002</v>
      </c>
      <c r="J34" s="65">
        <f t="shared" si="5"/>
        <v>5.4590000000000003E-3</v>
      </c>
      <c r="K34" s="65">
        <f t="shared" si="5"/>
        <v>4.9954999999999999E-3</v>
      </c>
      <c r="L34" s="65">
        <f t="shared" si="5"/>
        <v>0.25337999999999999</v>
      </c>
      <c r="M34" s="65">
        <f t="shared" si="5"/>
        <v>0.213725</v>
      </c>
      <c r="N34" s="65">
        <f t="shared" si="5"/>
        <v>5356</v>
      </c>
      <c r="O34" s="65">
        <f t="shared" si="5"/>
        <v>18.076500000000003</v>
      </c>
      <c r="P34" s="65">
        <f t="shared" si="5"/>
        <v>0</v>
      </c>
      <c r="Q34" s="65">
        <f t="shared" si="10"/>
        <v>177.67500000000001</v>
      </c>
      <c r="R34" s="65">
        <f t="shared" si="11"/>
        <v>0</v>
      </c>
      <c r="S34" s="65">
        <f t="shared" si="11"/>
        <v>7.4675000000000005E-2</v>
      </c>
      <c r="T34" s="65">
        <f t="shared" si="11"/>
        <v>0</v>
      </c>
      <c r="U34" s="126">
        <f t="shared" si="11"/>
        <v>0</v>
      </c>
    </row>
    <row r="35" spans="1:21" s="48" customFormat="1" ht="13" x14ac:dyDescent="0.35">
      <c r="A35" s="125" t="str">
        <f>G8</f>
        <v>SCJ5</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SCJ6</v>
      </c>
      <c r="B36" s="11">
        <v>123</v>
      </c>
      <c r="C36" s="65">
        <f t="shared" si="6"/>
        <v>26.604900000000001</v>
      </c>
      <c r="D36" s="65">
        <f t="shared" si="7"/>
        <v>32.739837911999999</v>
      </c>
      <c r="E36" s="65">
        <f t="shared" si="8"/>
        <v>2.5647123600000006</v>
      </c>
      <c r="F36" s="65">
        <f t="shared" si="9"/>
        <v>5.2933109040000001</v>
      </c>
      <c r="G36" s="65">
        <f t="shared" si="5"/>
        <v>0.19079513999999997</v>
      </c>
      <c r="H36" s="65">
        <f t="shared" si="5"/>
        <v>0.30152220000000002</v>
      </c>
      <c r="I36" s="65">
        <f t="shared" si="5"/>
        <v>0.15152124</v>
      </c>
      <c r="J36" s="65">
        <f t="shared" si="5"/>
        <v>2.6858280000000003E-3</v>
      </c>
      <c r="K36" s="65">
        <f t="shared" si="5"/>
        <v>2.457786E-3</v>
      </c>
      <c r="L36" s="65">
        <f t="shared" si="5"/>
        <v>0.12466295999999999</v>
      </c>
      <c r="M36" s="65">
        <f t="shared" si="5"/>
        <v>0.1051527</v>
      </c>
      <c r="N36" s="65">
        <f t="shared" si="5"/>
        <v>2635.152</v>
      </c>
      <c r="O36" s="65">
        <f t="shared" si="5"/>
        <v>8.893638000000001</v>
      </c>
      <c r="P36" s="65">
        <f t="shared" si="5"/>
        <v>0</v>
      </c>
      <c r="Q36" s="65">
        <f t="shared" si="10"/>
        <v>87.416100000000014</v>
      </c>
      <c r="R36" s="65">
        <f t="shared" si="11"/>
        <v>0</v>
      </c>
      <c r="S36" s="65">
        <f t="shared" si="11"/>
        <v>3.6740099999999998E-2</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SCJ1</v>
      </c>
      <c r="C57" s="8" t="str">
        <f t="shared" ref="C57:U57" si="13">D8</f>
        <v>SCJ2</v>
      </c>
      <c r="D57" s="8" t="str">
        <f t="shared" si="13"/>
        <v>SCJ3</v>
      </c>
      <c r="E57" s="8" t="str">
        <f t="shared" si="13"/>
        <v>SCJ4</v>
      </c>
      <c r="F57" s="8" t="str">
        <f t="shared" si="13"/>
        <v>SCJ5</v>
      </c>
      <c r="G57" s="8" t="str">
        <f t="shared" si="13"/>
        <v>SCJ6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Arable</v>
      </c>
      <c r="F58" s="10" t="str">
        <f>G16&amp;" I "&amp;(VLOOKUP(G14,Table2456[],6,FALSE))</f>
        <v>Medium/Clay I Arable</v>
      </c>
      <c r="G58" s="10" t="str">
        <f>H16&amp;" I "&amp;(VLOOKUP(H14,Table2456[],6,FALSE))</f>
        <v>Medium/Clay I Grass</v>
      </c>
      <c r="H58" s="10" t="e">
        <f>I16&amp;" I "&amp;(VLOOKUP(I14,Table2456[],6,FALSE))</f>
        <v>#N/A</v>
      </c>
      <c r="I58" s="10" t="e">
        <f>J16&amp;" I "&amp;(VLOOKUP(J14,Table2456[],6,FALSE))</f>
        <v>#N/A</v>
      </c>
      <c r="J58" s="10" t="e">
        <f>K16&amp;" I "&amp;(VLOOKUP(K14,Table2456[],6,FALSE))</f>
        <v>#N/A</v>
      </c>
      <c r="K58" s="10" t="e">
        <f>L16&amp;" I "&amp;(VLOOKUP(L14,Table2456[],6,FALSE))</f>
        <v>#N/A</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6.7</v>
      </c>
      <c r="F59" s="64">
        <f>VLOOKUP(G$14,Table2456[],5,FALSE)</f>
        <v>6.7</v>
      </c>
      <c r="G59" s="64">
        <f>VLOOKUP(H$14,Table2456[],5,FALSE)</f>
        <v>6.2</v>
      </c>
      <c r="H59" s="64" t="e">
        <f>VLOOKUP(I$14,Table2456[],5,FALSE)</f>
        <v>#N/A</v>
      </c>
      <c r="I59" s="64" t="e">
        <f>VLOOKUP(J$14,Table2456[],5,FALSE)</f>
        <v>#N/A</v>
      </c>
      <c r="J59" s="64" t="e">
        <f>VLOOKUP(K$14,Table2456[],5,FALSE)</f>
        <v>#N/A</v>
      </c>
      <c r="K59" s="64" t="e">
        <f>VLOOKUP(L$14,Table2456[],5,FALSE)</f>
        <v>#N/A</v>
      </c>
      <c r="L59" s="64" t="e">
        <f>VLOOKUP(M$14,Table2456[],5,FALSE)</f>
        <v>#N/A</v>
      </c>
      <c r="M59" s="64" t="e">
        <f>VLOOKUP(N$14,Table2456[],5,FALSE)</f>
        <v>#N/A</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6.4</v>
      </c>
      <c r="C60" s="64">
        <f t="shared" ref="C60:U60" si="14">D10</f>
        <v>5.8</v>
      </c>
      <c r="D60" s="64">
        <f t="shared" si="14"/>
        <v>6</v>
      </c>
      <c r="E60" s="64">
        <f t="shared" si="14"/>
        <v>6</v>
      </c>
      <c r="F60" s="64">
        <f t="shared" si="14"/>
        <v>5.9</v>
      </c>
      <c r="G60" s="64">
        <f t="shared" si="14"/>
        <v>6.1</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8</v>
      </c>
      <c r="G61" s="64">
        <f t="shared" si="15"/>
        <v>6</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245</v>
      </c>
      <c r="C62" s="65">
        <f>B32</f>
        <v>0</v>
      </c>
      <c r="D62" s="65">
        <f>B33</f>
        <v>123</v>
      </c>
      <c r="E62" s="65">
        <f>B34</f>
        <v>250</v>
      </c>
      <c r="F62" s="65">
        <f>B35</f>
        <v>0</v>
      </c>
      <c r="G62" s="65">
        <f>B36</f>
        <v>123</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1.2000000000000011</v>
      </c>
      <c r="E64" s="65">
        <f t="shared" si="17"/>
        <v>5.6000000000000014</v>
      </c>
      <c r="F64" s="65">
        <f t="shared" si="17"/>
        <v>6.3999999999999986</v>
      </c>
      <c r="G64" s="65">
        <f t="shared" si="17"/>
        <v>0.6000000000000032</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-1.2000000000000011</v>
      </c>
      <c r="E65" s="65">
        <f t="shared" si="18"/>
        <v>-5.6000000000000014</v>
      </c>
      <c r="F65" s="65">
        <f t="shared" si="18"/>
        <v>-6.3999999999999986</v>
      </c>
      <c r="G65" s="65">
        <f t="shared" si="18"/>
        <v>-0.6000000000000032</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G11" sqref="G1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60" t="s">
        <v>41</v>
      </c>
      <c r="B1" s="161"/>
      <c r="C1" s="168" t="str">
        <f>'DCWW Alaw'!C1:D1</f>
        <v xml:space="preserve"> PAN-031280</v>
      </c>
      <c r="D1" s="169"/>
      <c r="E1" s="106" t="s">
        <v>45</v>
      </c>
      <c r="F1" s="113">
        <f>'DCWW Alaw'!F1</f>
        <v>33.6</v>
      </c>
      <c r="G1" s="136" t="s">
        <v>43</v>
      </c>
      <c r="H1" s="137"/>
      <c r="I1" s="109">
        <v>6.8</v>
      </c>
      <c r="J1" s="160" t="s">
        <v>153</v>
      </c>
      <c r="K1" s="161"/>
      <c r="L1" s="109">
        <v>310</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40" t="s">
        <v>87</v>
      </c>
      <c r="B2" s="141"/>
      <c r="C2" s="170" t="str">
        <f>'DCWW Alaw'!C2:D2</f>
        <v>EPR/GP3792SK</v>
      </c>
      <c r="D2" s="171"/>
      <c r="E2" s="96" t="s">
        <v>109</v>
      </c>
      <c r="F2" s="110" t="s">
        <v>165</v>
      </c>
      <c r="G2" s="138" t="s">
        <v>110</v>
      </c>
      <c r="H2" s="139"/>
      <c r="I2" s="110"/>
      <c r="J2" s="140" t="s">
        <v>158</v>
      </c>
      <c r="K2" s="141"/>
      <c r="L2" s="110">
        <v>1.47</v>
      </c>
      <c r="AB2" s="22" t="s">
        <v>56</v>
      </c>
      <c r="AC2" s="13"/>
      <c r="AD2" s="22" t="s">
        <v>70</v>
      </c>
      <c r="AE2" s="13"/>
      <c r="AF2" s="13"/>
      <c r="AG2" s="34" t="s">
        <v>76</v>
      </c>
      <c r="AH2" s="13"/>
      <c r="AI2" s="35" t="s">
        <v>126</v>
      </c>
      <c r="AJ2" s="36">
        <v>0</v>
      </c>
      <c r="AK2" s="37">
        <v>0</v>
      </c>
      <c r="AL2" s="7">
        <v>0</v>
      </c>
      <c r="AM2" s="9">
        <v>0</v>
      </c>
      <c r="AN2" s="9">
        <v>0</v>
      </c>
    </row>
    <row r="3" spans="1:41" ht="13" x14ac:dyDescent="0.25">
      <c r="A3" s="162" t="s">
        <v>42</v>
      </c>
      <c r="B3" s="163"/>
      <c r="C3" s="170" t="str">
        <f>'DCWW Alaw'!C3:D3</f>
        <v>Byproduct Recovery Ltd</v>
      </c>
      <c r="D3" s="171"/>
      <c r="E3" s="96" t="s">
        <v>108</v>
      </c>
      <c r="F3" s="111" t="s">
        <v>77</v>
      </c>
      <c r="G3" s="140" t="s">
        <v>159</v>
      </c>
      <c r="H3" s="141"/>
      <c r="I3" s="110"/>
      <c r="J3" s="162" t="s">
        <v>154</v>
      </c>
      <c r="K3" s="163"/>
      <c r="L3" s="110">
        <f>(L1/(L2*10000))*100</f>
        <v>2.1088435374149657</v>
      </c>
      <c r="AB3" s="22" t="s">
        <v>57</v>
      </c>
      <c r="AC3" s="13"/>
      <c r="AD3" s="22" t="s">
        <v>71</v>
      </c>
      <c r="AE3" s="13"/>
      <c r="AF3" s="13"/>
      <c r="AG3" s="34" t="s">
        <v>77</v>
      </c>
      <c r="AH3" s="13"/>
      <c r="AI3" s="38" t="s">
        <v>113</v>
      </c>
      <c r="AJ3" s="39">
        <v>1.7</v>
      </c>
      <c r="AK3" s="40">
        <v>6</v>
      </c>
      <c r="AL3" s="41">
        <v>1</v>
      </c>
      <c r="AM3" s="9">
        <v>6.2</v>
      </c>
      <c r="AN3" s="9" t="s">
        <v>112</v>
      </c>
    </row>
    <row r="4" spans="1:41" ht="13" x14ac:dyDescent="0.25">
      <c r="A4" s="140" t="s">
        <v>0</v>
      </c>
      <c r="B4" s="141"/>
      <c r="C4" s="172" t="str">
        <f>'DCWW Alaw'!C4:D4</f>
        <v>Plas Bach, Cerrigceinwen, Bodorgan, LL62 5NS</v>
      </c>
      <c r="D4" s="173"/>
      <c r="E4" s="99" t="s">
        <v>1</v>
      </c>
      <c r="F4" s="110" t="s">
        <v>171</v>
      </c>
      <c r="G4" s="162"/>
      <c r="H4" s="163"/>
      <c r="I4" s="115"/>
      <c r="J4" s="162"/>
      <c r="K4" s="163"/>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2" t="s">
        <v>47</v>
      </c>
      <c r="B5" s="143"/>
      <c r="C5" s="174" t="str">
        <f>'DCWW Alaw'!C5:D5</f>
        <v>Owen Clee</v>
      </c>
      <c r="D5" s="175"/>
      <c r="E5" s="107"/>
      <c r="F5" s="114"/>
      <c r="G5" s="166"/>
      <c r="H5" s="167"/>
      <c r="I5" s="114"/>
      <c r="J5" s="166"/>
      <c r="K5" s="16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2" t="s">
        <v>63</v>
      </c>
      <c r="B7" s="153"/>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40" t="s">
        <v>2</v>
      </c>
      <c r="B8" s="141"/>
      <c r="C8" s="49" t="str">
        <f>'DCWW Alaw'!C8</f>
        <v>SCJ1</v>
      </c>
      <c r="D8" s="49" t="str">
        <f>'DCWW Alaw'!D8</f>
        <v>SCJ2</v>
      </c>
      <c r="E8" s="49" t="str">
        <f>'DCWW Alaw'!E8</f>
        <v>SCJ3</v>
      </c>
      <c r="F8" s="49" t="str">
        <f>'DCWW Alaw'!F8</f>
        <v>SCJ4</v>
      </c>
      <c r="G8" s="49" t="str">
        <f>'DCWW Alaw'!G8</f>
        <v>SCJ5</v>
      </c>
      <c r="H8" s="49" t="str">
        <f>'DCWW Alaw'!H8</f>
        <v>SCJ6</v>
      </c>
      <c r="I8" s="49">
        <f>'DCWW Alaw'!I8</f>
        <v>0</v>
      </c>
      <c r="J8" s="49">
        <f>'DCWW Alaw'!J8</f>
        <v>0</v>
      </c>
      <c r="K8" s="49">
        <f>'DCWW Alaw'!K8</f>
        <v>0</v>
      </c>
      <c r="L8" s="49">
        <f>'DCWW Alaw'!L8</f>
        <v>0</v>
      </c>
      <c r="M8" s="49">
        <f>'DCWW Alaw'!M8</f>
        <v>0</v>
      </c>
      <c r="N8" s="49">
        <f>'DCWW Alaw'!N8</f>
        <v>0</v>
      </c>
      <c r="O8" s="49">
        <f>'DCWW Alaw'!O8</f>
        <v>0</v>
      </c>
      <c r="P8" s="49">
        <f>'DCWW Alaw'!P8</f>
        <v>0</v>
      </c>
      <c r="Q8" s="49">
        <f>'DCWW Alaw'!Q8</f>
        <v>0</v>
      </c>
      <c r="R8" s="49">
        <f>'DCWW Alaw'!R8</f>
        <v>0</v>
      </c>
      <c r="S8" s="49">
        <f>'DCWW Alaw'!S8</f>
        <v>0</v>
      </c>
      <c r="T8" s="49">
        <f>'DCWW Alaw'!T8</f>
        <v>0</v>
      </c>
      <c r="U8" s="49">
        <f>'DCWW Alaw'!U8</f>
        <v>0</v>
      </c>
      <c r="V8" s="102">
        <f>'DCWW Alaw'!V8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40" t="s">
        <v>3</v>
      </c>
      <c r="B9" s="141"/>
      <c r="C9" s="49" t="str">
        <f>'DCWW Alaw'!C9</f>
        <v>Moderate</v>
      </c>
      <c r="D9" s="49" t="str">
        <f>'DCWW Alaw'!D9</f>
        <v>Moderate</v>
      </c>
      <c r="E9" s="49" t="str">
        <f>'DCWW Alaw'!E9</f>
        <v>Moderate</v>
      </c>
      <c r="F9" s="49">
        <f>'DCWW Alaw'!F9</f>
        <v>1</v>
      </c>
      <c r="G9" s="49">
        <f>'DCWW Alaw'!G9</f>
        <v>1</v>
      </c>
      <c r="H9" s="49" t="str">
        <f>'DCWW Alaw'!H9</f>
        <v>Moderate</v>
      </c>
      <c r="I9" s="49">
        <f>'DCWW Alaw'!I9</f>
        <v>0</v>
      </c>
      <c r="J9" s="49">
        <f>'DCWW Alaw'!J9</f>
        <v>0</v>
      </c>
      <c r="K9" s="49">
        <f>'DCWW Alaw'!K9</f>
        <v>0</v>
      </c>
      <c r="L9" s="49">
        <f>'DCWW Alaw'!L9</f>
        <v>0</v>
      </c>
      <c r="M9" s="49">
        <f>'DCWW Alaw'!M9</f>
        <v>0</v>
      </c>
      <c r="N9" s="49">
        <f>'DCWW Alaw'!N9</f>
        <v>0</v>
      </c>
      <c r="O9" s="49">
        <f>'DCWW Alaw'!O9</f>
        <v>0</v>
      </c>
      <c r="P9" s="49">
        <f>'DCWW Alaw'!P9</f>
        <v>0</v>
      </c>
      <c r="Q9" s="49">
        <f>'DCWW Alaw'!Q9</f>
        <v>0</v>
      </c>
      <c r="R9" s="49">
        <f>'DCWW Alaw'!R9</f>
        <v>0</v>
      </c>
      <c r="S9" s="49">
        <f>'DCWW Alaw'!S9</f>
        <v>0</v>
      </c>
      <c r="T9" s="49">
        <f>'DCWW Alaw'!T9</f>
        <v>0</v>
      </c>
      <c r="U9" s="49">
        <f>'DCWW Alaw'!U9</f>
        <v>0</v>
      </c>
      <c r="V9" s="102">
        <f>'DCWW Alaw'!V9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40" t="s">
        <v>4</v>
      </c>
      <c r="B10" s="141"/>
      <c r="C10" s="49">
        <f>'DCWW Alaw'!C10</f>
        <v>6.4</v>
      </c>
      <c r="D10" s="49">
        <f>'DCWW Alaw'!D10</f>
        <v>5.8</v>
      </c>
      <c r="E10" s="49">
        <f>'DCWW Alaw'!E10</f>
        <v>6</v>
      </c>
      <c r="F10" s="49">
        <f>'DCWW Alaw'!F10</f>
        <v>6</v>
      </c>
      <c r="G10" s="49">
        <f>'DCWW Alaw'!G10</f>
        <v>5.9</v>
      </c>
      <c r="H10" s="49">
        <f>'DCWW Alaw'!H10</f>
        <v>6.1</v>
      </c>
      <c r="I10" s="49">
        <f>'DCWW Alaw'!I10</f>
        <v>0</v>
      </c>
      <c r="J10" s="49">
        <f>'DCWW Alaw'!J10</f>
        <v>0</v>
      </c>
      <c r="K10" s="49">
        <f>'DCWW Alaw'!K10</f>
        <v>0</v>
      </c>
      <c r="L10" s="49">
        <f>'DCWW Alaw'!L10</f>
        <v>0</v>
      </c>
      <c r="M10" s="49">
        <f>'DCWW Alaw'!M10</f>
        <v>0</v>
      </c>
      <c r="N10" s="49">
        <f>'DCWW Alaw'!N10</f>
        <v>0</v>
      </c>
      <c r="O10" s="49">
        <f>'DCWW Alaw'!O10</f>
        <v>0</v>
      </c>
      <c r="P10" s="49">
        <f>'DCWW Alaw'!P10</f>
        <v>0</v>
      </c>
      <c r="Q10" s="49">
        <f>'DCWW Alaw'!Q10</f>
        <v>0</v>
      </c>
      <c r="R10" s="49">
        <f>'DCWW Alaw'!R10</f>
        <v>0</v>
      </c>
      <c r="S10" s="49">
        <f>'DCWW Alaw'!S10</f>
        <v>0</v>
      </c>
      <c r="T10" s="49">
        <f>'DCWW Alaw'!T10</f>
        <v>0</v>
      </c>
      <c r="U10" s="49">
        <f>'DCWW Alaw'!U10</f>
        <v>0</v>
      </c>
      <c r="V10" s="102">
        <f>'DCWW Alaw'!V10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40" t="s">
        <v>5</v>
      </c>
      <c r="B11" s="141"/>
      <c r="C11" s="49">
        <f>'DCWW Alaw'!C11</f>
        <v>2</v>
      </c>
      <c r="D11" s="49">
        <f>'DCWW Alaw'!D11</f>
        <v>2</v>
      </c>
      <c r="E11" s="49">
        <f>'DCWW Alaw'!E11</f>
        <v>3</v>
      </c>
      <c r="F11" s="49">
        <f>'DCWW Alaw'!F11</f>
        <v>1</v>
      </c>
      <c r="G11" s="49">
        <f>'DCWW Alaw'!G11</f>
        <v>0</v>
      </c>
      <c r="H11" s="49">
        <f>'DCWW Alaw'!H11</f>
        <v>3</v>
      </c>
      <c r="I11" s="49">
        <f>'DCWW Alaw'!I11</f>
        <v>0</v>
      </c>
      <c r="J11" s="49">
        <f>'DCWW Alaw'!J11</f>
        <v>0</v>
      </c>
      <c r="K11" s="49">
        <f>'DCWW Alaw'!K11</f>
        <v>0</v>
      </c>
      <c r="L11" s="49">
        <f>'DCWW Alaw'!L11</f>
        <v>0</v>
      </c>
      <c r="M11" s="49">
        <f>'DCWW Alaw'!M11</f>
        <v>0</v>
      </c>
      <c r="N11" s="49">
        <f>'DCWW Alaw'!N11</f>
        <v>0</v>
      </c>
      <c r="O11" s="49">
        <f>'DCWW Alaw'!O11</f>
        <v>0</v>
      </c>
      <c r="P11" s="49">
        <f>'DCWW Alaw'!P11</f>
        <v>0</v>
      </c>
      <c r="Q11" s="49">
        <f>'DCWW Alaw'!Q11</f>
        <v>0</v>
      </c>
      <c r="R11" s="49">
        <f>'DCWW Alaw'!R11</f>
        <v>0</v>
      </c>
      <c r="S11" s="49">
        <f>'DCWW Alaw'!S11</f>
        <v>0</v>
      </c>
      <c r="T11" s="49">
        <f>'DCWW Alaw'!T11</f>
        <v>0</v>
      </c>
      <c r="U11" s="49">
        <f>'DCWW Alaw'!U11</f>
        <v>0</v>
      </c>
      <c r="V11" s="102">
        <f>'DCWW Alaw'!V11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40" t="s">
        <v>6</v>
      </c>
      <c r="B12" s="141"/>
      <c r="C12" s="49">
        <f>'DCWW Alaw'!C12</f>
        <v>3</v>
      </c>
      <c r="D12" s="49">
        <f>'DCWW Alaw'!D12</f>
        <v>4</v>
      </c>
      <c r="E12" s="49">
        <f>'DCWW Alaw'!E12</f>
        <v>4</v>
      </c>
      <c r="F12" s="49">
        <f>'DCWW Alaw'!F12</f>
        <v>1</v>
      </c>
      <c r="G12" s="49">
        <f>'DCWW Alaw'!G12</f>
        <v>1</v>
      </c>
      <c r="H12" s="49">
        <f>'DCWW Alaw'!H12</f>
        <v>2</v>
      </c>
      <c r="I12" s="49">
        <f>'DCWW Alaw'!I12</f>
        <v>0</v>
      </c>
      <c r="J12" s="49">
        <f>'DCWW Alaw'!J12</f>
        <v>0</v>
      </c>
      <c r="K12" s="49">
        <f>'DCWW Alaw'!K12</f>
        <v>0</v>
      </c>
      <c r="L12" s="49">
        <f>'DCWW Alaw'!L12</f>
        <v>0</v>
      </c>
      <c r="M12" s="49">
        <f>'DCWW Alaw'!M12</f>
        <v>0</v>
      </c>
      <c r="N12" s="49">
        <f>'DCWW Alaw'!N12</f>
        <v>0</v>
      </c>
      <c r="O12" s="49">
        <f>'DCWW Alaw'!O12</f>
        <v>0</v>
      </c>
      <c r="P12" s="49">
        <f>'DCWW Alaw'!P12</f>
        <v>0</v>
      </c>
      <c r="Q12" s="49">
        <f>'DCWW Alaw'!Q12</f>
        <v>0</v>
      </c>
      <c r="R12" s="49">
        <f>'DCWW Alaw'!R12</f>
        <v>0</v>
      </c>
      <c r="S12" s="49">
        <f>'DCWW Alaw'!S12</f>
        <v>0</v>
      </c>
      <c r="T12" s="49">
        <f>'DCWW Alaw'!T12</f>
        <v>0</v>
      </c>
      <c r="U12" s="49">
        <f>'DCWW Alaw'!U12</f>
        <v>0</v>
      </c>
      <c r="V12" s="102">
        <f>'DCWW Alaw'!V12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40" t="s">
        <v>7</v>
      </c>
      <c r="B13" s="141"/>
      <c r="C13" s="49">
        <f>'DCWW Alaw'!C13</f>
        <v>4</v>
      </c>
      <c r="D13" s="49">
        <f>'DCWW Alaw'!D13</f>
        <v>3</v>
      </c>
      <c r="E13" s="49">
        <f>'DCWW Alaw'!E13</f>
        <v>3</v>
      </c>
      <c r="F13" s="49">
        <f>'DCWW Alaw'!F13</f>
        <v>3</v>
      </c>
      <c r="G13" s="49">
        <f>'DCWW Alaw'!G13</f>
        <v>3</v>
      </c>
      <c r="H13" s="49">
        <f>'DCWW Alaw'!H13</f>
        <v>3</v>
      </c>
      <c r="I13" s="49">
        <f>'DCWW Alaw'!I13</f>
        <v>0</v>
      </c>
      <c r="J13" s="49">
        <f>'DCWW Alaw'!J13</f>
        <v>0</v>
      </c>
      <c r="K13" s="49">
        <f>'DCWW Alaw'!K13</f>
        <v>0</v>
      </c>
      <c r="L13" s="49">
        <f>'DCWW Alaw'!L13</f>
        <v>0</v>
      </c>
      <c r="M13" s="49">
        <f>'DCWW Alaw'!M13</f>
        <v>0</v>
      </c>
      <c r="N13" s="49">
        <f>'DCWW Alaw'!N13</f>
        <v>0</v>
      </c>
      <c r="O13" s="49">
        <f>'DCWW Alaw'!O13</f>
        <v>0</v>
      </c>
      <c r="P13" s="49">
        <f>'DCWW Alaw'!P13</f>
        <v>0</v>
      </c>
      <c r="Q13" s="49">
        <f>'DCWW Alaw'!Q13</f>
        <v>0</v>
      </c>
      <c r="R13" s="49">
        <f>'DCWW Alaw'!R13</f>
        <v>0</v>
      </c>
      <c r="S13" s="49">
        <f>'DCWW Alaw'!S13</f>
        <v>0</v>
      </c>
      <c r="T13" s="49">
        <f>'DCWW Alaw'!T13</f>
        <v>0</v>
      </c>
      <c r="U13" s="49">
        <f>'DCWW Alaw'!U13</f>
        <v>0</v>
      </c>
      <c r="V13" s="102">
        <f>'DCWW Alaw'!V13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6" t="s">
        <v>8</v>
      </c>
      <c r="B14" s="157"/>
      <c r="C14" s="83" t="str">
        <f>'DCWW Alaw'!C14</f>
        <v xml:space="preserve">Grass Silage (25% DM) </v>
      </c>
      <c r="D14" s="83" t="str">
        <f>'DCWW Alaw'!D14</f>
        <v xml:space="preserve">Grass Silage (25% DM) </v>
      </c>
      <c r="E14" s="83" t="str">
        <f>'DCWW Alaw'!E14</f>
        <v xml:space="preserve">Grass Silage (25% DM) </v>
      </c>
      <c r="F14" s="83" t="str">
        <f>'DCWW Alaw'!F14</f>
        <v>Spring wheat/barley</v>
      </c>
      <c r="G14" s="83" t="str">
        <f>'DCWW Alaw'!G14</f>
        <v>Spring wheat/barley</v>
      </c>
      <c r="H14" s="83" t="str">
        <f>'DCWW Alaw'!H14</f>
        <v xml:space="preserve">Grass Silage (25% DM) </v>
      </c>
      <c r="I14" s="83">
        <f>'DCWW Alaw'!I14</f>
        <v>0</v>
      </c>
      <c r="J14" s="83">
        <f>'DCWW Alaw'!J14</f>
        <v>0</v>
      </c>
      <c r="K14" s="83">
        <f>'DCWW Alaw'!K14</f>
        <v>0</v>
      </c>
      <c r="L14" s="83">
        <f>'DCWW Alaw'!L14</f>
        <v>0</v>
      </c>
      <c r="M14" s="83">
        <f>'DCWW Alaw'!M14</f>
        <v>0</v>
      </c>
      <c r="N14" s="83">
        <f>'DCWW Alaw'!N14</f>
        <v>0</v>
      </c>
      <c r="O14" s="83">
        <f>'DCWW Alaw'!O14</f>
        <v>0</v>
      </c>
      <c r="P14" s="83">
        <f>'DCWW Alaw'!P14</f>
        <v>0</v>
      </c>
      <c r="Q14" s="83">
        <f>'DCWW Alaw'!Q14</f>
        <v>0</v>
      </c>
      <c r="R14" s="83">
        <f>'DCWW Alaw'!R14</f>
        <v>0</v>
      </c>
      <c r="S14" s="83">
        <f>'DCWW Alaw'!S14</f>
        <v>0</v>
      </c>
      <c r="T14" s="83">
        <f>'DCWW Alaw'!T14</f>
        <v>0</v>
      </c>
      <c r="U14" s="83">
        <f>'DCWW Alaw'!U14</f>
        <v>0</v>
      </c>
      <c r="V14" s="103">
        <f>'DCWW Alaw'!V14</f>
        <v>0</v>
      </c>
      <c r="AD14" s="22" t="s">
        <v>138</v>
      </c>
      <c r="AE14" s="22">
        <v>6</v>
      </c>
      <c r="AI14" s="43" t="s">
        <v>119</v>
      </c>
      <c r="AJ14" s="44">
        <v>0.8</v>
      </c>
      <c r="AK14" s="45">
        <v>1.7</v>
      </c>
      <c r="AL14" s="9">
        <v>12</v>
      </c>
      <c r="AM14" s="9">
        <v>6.7</v>
      </c>
      <c r="AN14" s="9" t="s">
        <v>135</v>
      </c>
    </row>
    <row r="15" spans="1:41" ht="13" x14ac:dyDescent="0.25">
      <c r="A15" s="154" t="s">
        <v>9</v>
      </c>
      <c r="B15" s="155"/>
      <c r="C15" s="49">
        <f>'DCWW Alaw'!C15</f>
        <v>38</v>
      </c>
      <c r="D15" s="49">
        <f>'DCWW Alaw'!D15</f>
        <v>38</v>
      </c>
      <c r="E15" s="49">
        <f>'DCWW Alaw'!E15</f>
        <v>38</v>
      </c>
      <c r="F15" s="49">
        <f>'DCWW Alaw'!F15</f>
        <v>5.5</v>
      </c>
      <c r="G15" s="49">
        <f>'DCWW Alaw'!G15</f>
        <v>5.5</v>
      </c>
      <c r="H15" s="49">
        <f>'DCWW Alaw'!H15</f>
        <v>38</v>
      </c>
      <c r="I15" s="49">
        <f>'DCWW Alaw'!I15</f>
        <v>0</v>
      </c>
      <c r="J15" s="49">
        <f>'DCWW Alaw'!J15</f>
        <v>0</v>
      </c>
      <c r="K15" s="49">
        <f>'DCWW Alaw'!K15</f>
        <v>0</v>
      </c>
      <c r="L15" s="49">
        <f>'DCWW Alaw'!L15</f>
        <v>0</v>
      </c>
      <c r="M15" s="49">
        <f>'DCWW Alaw'!M15</f>
        <v>0</v>
      </c>
      <c r="N15" s="49">
        <f>'DCWW Alaw'!N15</f>
        <v>0</v>
      </c>
      <c r="O15" s="49">
        <f>'DCWW Alaw'!O15</f>
        <v>0</v>
      </c>
      <c r="P15" s="49">
        <f>'DCWW Alaw'!P15</f>
        <v>0</v>
      </c>
      <c r="Q15" s="49">
        <f>'DCWW Alaw'!Q15</f>
        <v>0</v>
      </c>
      <c r="R15" s="49">
        <f>'DCWW Alaw'!R15</f>
        <v>0</v>
      </c>
      <c r="S15" s="49">
        <f>'DCWW Alaw'!S15</f>
        <v>0</v>
      </c>
      <c r="T15" s="49">
        <f>'DCWW Alaw'!T15</f>
        <v>0</v>
      </c>
      <c r="U15" s="49">
        <f>'DCWW Alaw'!U15</f>
        <v>0</v>
      </c>
      <c r="V15" s="102">
        <f>'DCWW Alaw'!V15</f>
        <v>0</v>
      </c>
      <c r="AD15" s="22" t="s">
        <v>144</v>
      </c>
      <c r="AE15" s="22">
        <v>7</v>
      </c>
      <c r="AI15" s="43" t="s">
        <v>101</v>
      </c>
      <c r="AJ15" s="51">
        <v>1.8</v>
      </c>
      <c r="AK15" s="45">
        <v>5.4</v>
      </c>
      <c r="AL15" s="9">
        <v>13</v>
      </c>
      <c r="AM15" s="9">
        <v>6.7</v>
      </c>
      <c r="AN15" s="9" t="s">
        <v>135</v>
      </c>
    </row>
    <row r="16" spans="1:41" ht="13.5" thickBot="1" x14ac:dyDescent="0.3">
      <c r="A16" s="158" t="s">
        <v>44</v>
      </c>
      <c r="B16" s="159"/>
      <c r="C16" s="104" t="str">
        <f>'DCWW Alaw'!C16</f>
        <v>Medium/Clay</v>
      </c>
      <c r="D16" s="104" t="str">
        <f>'DCWW Alaw'!D16</f>
        <v>Medium/Clay</v>
      </c>
      <c r="E16" s="104" t="str">
        <f>'DCWW Alaw'!E16</f>
        <v>Medium/Clay</v>
      </c>
      <c r="F16" s="104" t="str">
        <f>'DCWW Alaw'!F16</f>
        <v>Medium/Clay</v>
      </c>
      <c r="G16" s="104" t="str">
        <f>'DCWW Alaw'!G16</f>
        <v>Medium/Clay</v>
      </c>
      <c r="H16" s="104" t="str">
        <f>'DCWW Alaw'!H16</f>
        <v>Medium/Clay</v>
      </c>
      <c r="I16" s="104">
        <f>'DCWW Alaw'!I16</f>
        <v>0</v>
      </c>
      <c r="J16" s="104">
        <f>'DCWW Alaw'!J16</f>
        <v>0</v>
      </c>
      <c r="K16" s="104">
        <f>'DCWW Alaw'!K16</f>
        <v>0</v>
      </c>
      <c r="L16" s="104">
        <f>'DCWW Alaw'!L16</f>
        <v>0</v>
      </c>
      <c r="M16" s="104">
        <f>'DCWW Alaw'!M16</f>
        <v>0</v>
      </c>
      <c r="N16" s="104">
        <f>'DCWW Alaw'!N16</f>
        <v>0</v>
      </c>
      <c r="O16" s="104">
        <f>'DCWW Alaw'!O16</f>
        <v>0</v>
      </c>
      <c r="P16" s="104">
        <f>'DCWW Alaw'!P16</f>
        <v>0</v>
      </c>
      <c r="Q16" s="104">
        <f>'DCWW Alaw'!Q16</f>
        <v>0</v>
      </c>
      <c r="R16" s="104">
        <f>'DCWW Alaw'!R16</f>
        <v>0</v>
      </c>
      <c r="S16" s="104">
        <f>'DCWW Alaw'!S16</f>
        <v>0</v>
      </c>
      <c r="T16" s="104">
        <f>'DCWW Alaw'!T16</f>
        <v>0</v>
      </c>
      <c r="U16" s="104">
        <f>'DCWW Alaw'!U16</f>
        <v>0</v>
      </c>
      <c r="V16" s="105">
        <f>'DCWW Alaw'!V16</f>
        <v>0</v>
      </c>
      <c r="AD16" s="42" t="s">
        <v>145</v>
      </c>
      <c r="AE16" s="22">
        <v>8</v>
      </c>
      <c r="AI16" s="43" t="s">
        <v>118</v>
      </c>
      <c r="AJ16" s="44">
        <v>8</v>
      </c>
      <c r="AK16" s="45">
        <v>5.5</v>
      </c>
      <c r="AL16" s="7">
        <v>14</v>
      </c>
      <c r="AM16" s="9">
        <v>6.7</v>
      </c>
      <c r="AN16" s="9" t="s">
        <v>135</v>
      </c>
    </row>
    <row r="17" spans="1:40" ht="13" x14ac:dyDescent="0.25">
      <c r="A17" s="152" t="s">
        <v>69</v>
      </c>
      <c r="B17" s="153"/>
      <c r="C17" s="20">
        <f>(VLOOKUP(C$14,$AI2:$AK26,2,FALSE))*C$15</f>
        <v>64.599999999999994</v>
      </c>
      <c r="D17" s="20">
        <f t="shared" ref="D17:V17" si="0">(VLOOKUP(D$14,$AI2:$AK26,2,FALSE))*D$15</f>
        <v>64.599999999999994</v>
      </c>
      <c r="E17" s="20">
        <f t="shared" si="0"/>
        <v>64.599999999999994</v>
      </c>
      <c r="F17" s="20">
        <f t="shared" si="0"/>
        <v>46.75</v>
      </c>
      <c r="G17" s="20">
        <f t="shared" si="0"/>
        <v>46.75</v>
      </c>
      <c r="H17" s="20">
        <f t="shared" si="0"/>
        <v>64.599999999999994</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0" t="s">
        <v>23</v>
      </c>
      <c r="B18" s="151"/>
      <c r="C18" s="12">
        <f>$D31</f>
        <v>63.294474204000011</v>
      </c>
      <c r="D18" s="12">
        <f>$D32</f>
        <v>0</v>
      </c>
      <c r="E18" s="12">
        <f>$D33</f>
        <v>31.514821884000003</v>
      </c>
      <c r="F18" s="12">
        <f>$D34</f>
        <v>66.207609000000005</v>
      </c>
      <c r="G18" s="12">
        <f>$D35</f>
        <v>0</v>
      </c>
      <c r="H18" s="12">
        <f>$D36</f>
        <v>31.514821884000003</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0" t="s">
        <v>90</v>
      </c>
      <c r="B19" s="151"/>
      <c r="C19" s="12">
        <f>C18-C17</f>
        <v>-1.3055257959999835</v>
      </c>
      <c r="D19" s="12">
        <f t="shared" ref="D19:V19" si="1">D18-D17</f>
        <v>-64.599999999999994</v>
      </c>
      <c r="E19" s="12">
        <f t="shared" si="1"/>
        <v>-33.085178115999994</v>
      </c>
      <c r="F19" s="12">
        <f t="shared" si="1"/>
        <v>19.457609000000005</v>
      </c>
      <c r="G19" s="12">
        <f t="shared" si="1"/>
        <v>-46.75</v>
      </c>
      <c r="H19" s="12">
        <f t="shared" si="1"/>
        <v>-33.085178115999994</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8" t="s">
        <v>91</v>
      </c>
      <c r="B20" s="149"/>
      <c r="C20" s="18" t="str">
        <f>IF($B31="","",IF(C$19&gt;=0,"INCREASE","DECREASE"))</f>
        <v>DECREASE</v>
      </c>
      <c r="D20" s="18" t="str">
        <f>IF($B32="","",IF(D$19&gt;=0,"INCREASE","DECREASE"))</f>
        <v>DECREASE</v>
      </c>
      <c r="E20" s="18" t="str">
        <f>IF($B33="","",IF(E$19&gt;=0,"INCREASE","DECREASE"))</f>
        <v>DECREASE</v>
      </c>
      <c r="F20" s="18" t="str">
        <f>IF($B34="","",IF(F$19&gt;=0,"INCREASE","DECREASE"))</f>
        <v>INCREASE</v>
      </c>
      <c r="G20" s="18" t="str">
        <f>IF($B35="","",IF(G$19&gt;=0,"INCREASE","DECREASE"))</f>
        <v>DECREASE</v>
      </c>
      <c r="H20" s="18" t="str">
        <f>IF($B36="","",IF(H$19&gt;=0,"INCREASE","DECREASE"))</f>
        <v>DECREASE</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2" t="s">
        <v>88</v>
      </c>
      <c r="B21" s="153"/>
      <c r="C21" s="20">
        <f>(VLOOKUP(C$14,$AI2:$AK26,3,FALSE))*C$15</f>
        <v>228</v>
      </c>
      <c r="D21" s="20">
        <f t="shared" ref="D21:V21" si="2">(VLOOKUP(D$14,$AI2:$AK26,3,FALSE))*D$15</f>
        <v>228</v>
      </c>
      <c r="E21" s="20">
        <f t="shared" si="2"/>
        <v>228</v>
      </c>
      <c r="F21" s="20">
        <f t="shared" si="2"/>
        <v>66</v>
      </c>
      <c r="G21" s="20">
        <f t="shared" si="2"/>
        <v>66</v>
      </c>
      <c r="H21" s="20">
        <f t="shared" si="2"/>
        <v>228</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0" t="s">
        <v>89</v>
      </c>
      <c r="B22" s="151"/>
      <c r="C22" s="12">
        <f>$E31</f>
        <v>4.9641122160000002</v>
      </c>
      <c r="D22" s="12">
        <f>$E32</f>
        <v>0</v>
      </c>
      <c r="E22" s="12">
        <f>$E33</f>
        <v>2.4716709360000002</v>
      </c>
      <c r="F22" s="12">
        <f>$E34</f>
        <v>5.1925860000000004</v>
      </c>
      <c r="G22" s="12">
        <f>$E35</f>
        <v>0</v>
      </c>
      <c r="H22" s="12">
        <f>$E36</f>
        <v>2.4716709360000002</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0" t="s">
        <v>92</v>
      </c>
      <c r="B23" s="151"/>
      <c r="C23" s="12">
        <f>C22-C21</f>
        <v>-223.03588778400001</v>
      </c>
      <c r="D23" s="12">
        <f t="shared" ref="D23:V23" si="3">D22-D21</f>
        <v>-228</v>
      </c>
      <c r="E23" s="12">
        <f t="shared" si="3"/>
        <v>-225.52832906399999</v>
      </c>
      <c r="F23" s="12">
        <f t="shared" si="3"/>
        <v>-60.807414000000001</v>
      </c>
      <c r="G23" s="12">
        <f t="shared" si="3"/>
        <v>-66</v>
      </c>
      <c r="H23" s="12">
        <f t="shared" si="3"/>
        <v>-225.52832906399999</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8" t="s">
        <v>93</v>
      </c>
      <c r="B24" s="149"/>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c r="M27" s="84" t="s">
        <v>55</v>
      </c>
      <c r="N27" s="84" t="s">
        <v>55</v>
      </c>
      <c r="O27" s="84" t="s">
        <v>55</v>
      </c>
      <c r="P27" s="84"/>
      <c r="Q27" s="84" t="s">
        <v>55</v>
      </c>
      <c r="R27" s="84"/>
      <c r="S27" s="84" t="s">
        <v>55</v>
      </c>
      <c r="T27" s="84"/>
      <c r="U27" s="121"/>
    </row>
    <row r="28" spans="1:40" x14ac:dyDescent="0.35">
      <c r="A28" s="122"/>
      <c r="B28" s="16">
        <v>3.42</v>
      </c>
      <c r="C28" s="11">
        <v>1.47</v>
      </c>
      <c r="D28" s="11">
        <v>0.33800000000000002</v>
      </c>
      <c r="E28" s="11">
        <v>5.04E-2</v>
      </c>
      <c r="F28" s="11">
        <v>589</v>
      </c>
      <c r="G28" s="11">
        <v>76.2</v>
      </c>
      <c r="H28" s="11">
        <v>226</v>
      </c>
      <c r="I28" s="11">
        <v>35.9</v>
      </c>
      <c r="J28" s="11">
        <v>0.87</v>
      </c>
      <c r="K28" s="15">
        <v>0.57999999999999996</v>
      </c>
      <c r="L28" s="11">
        <v>32.200000000000003</v>
      </c>
      <c r="M28" s="11">
        <v>24.9</v>
      </c>
      <c r="N28" s="11">
        <v>848000</v>
      </c>
      <c r="O28" s="11">
        <v>7290</v>
      </c>
      <c r="P28" s="11"/>
      <c r="Q28" s="11">
        <v>7590</v>
      </c>
      <c r="R28" s="11"/>
      <c r="S28" s="11">
        <v>28.4</v>
      </c>
      <c r="T28" s="11"/>
      <c r="U28" s="97"/>
    </row>
    <row r="29" spans="1:40" s="7" customFormat="1" ht="28" x14ac:dyDescent="0.35">
      <c r="A29" s="16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SCJ1</v>
      </c>
      <c r="B31" s="130">
        <v>239</v>
      </c>
      <c r="C31" s="65">
        <f>IF(C$27="%w/w SAR",((C$28*10)*$B31),IF(C$27="%w/w DM",(((C$28*10)*($B$28/100))*$B31),IF(C$27="kg/t SAR",(C$28*$B31),IF(C$27="kg/t DM",((C$28*($B$28/100))*$B31),IF(C$27="mg/kg SAR",((C$28*0.001)*$B31),IF(C$27="mg/kg DM",(((C$28*0.001)*($B$28/100))*$B31),0))))))</f>
        <v>120.15485999999999</v>
      </c>
      <c r="D31" s="65">
        <f>(IF(D$27="%w/w SAR",((D$28*10)*$B31),IF(D$27="%w/w DM",(((D$28*10)*($B$28/100))*$B31),IF(D$27="kg/t SAR",(D$28*$B31),IF(D$27="kg/t DM",((D$28*($B$28/100))*$B31),IF(D$27="mg/kg SAR",((D$28*0.001)*$B31),IF(D$27="mg/kg DM",(((D$28*0.001)*($B$28/100))*$B31),"0")))))))*2.291</f>
        <v>63.294474204000011</v>
      </c>
      <c r="E31" s="65">
        <f>(IF(E$27="%w/w SAR",((E$28*10)*$B31),IF(E$27="%w/w DM",(((E$28*10)*($B$28/100))*$B31),IF(E$27="kg/t SAR",(E$28*$B31),IF(E$27="kg/t DM",((E$28*($B$28/100))*$B31),IF(E$27="mg/kg SAR",((E$28*0.001)*$B31),IF(E$27="mg/kg DM",(((E$28*0.001)*($B$28/100))*$B31),"0")))))))*1.205</f>
        <v>4.9641122160000002</v>
      </c>
      <c r="F31" s="65">
        <f>(IF(F$27="%w/w SAR",((F$28*10)*$B31),IF(F$27="%w/w DM",(((F$28*10)*($B$28/100))*$B31),IF(F$27="kg/t SAR",(F$28*$B31),IF(F$27="kg/t DM",((F$28*($B$28/100))*$B31),IF(F$27="mg/kg SAR",((F$28*0.001)*$B31),IF(F$27="mg/kg DM",(((F$28*0.001)*($B$28/100))*$B31),"0")))))))*1.658</f>
        <v>7.9822224755999986</v>
      </c>
      <c r="G31" s="65">
        <f t="shared" ref="G31:P46" si="5">IF(G$27="%w/w SAR",((G$28*10)*$B31),IF(G$27="%w/w DM",(((G$28*10)*($B$28/100))*$B31),IF(G$27="kg/t SAR",(G$28*$B31),IF(G$27="kg/t DM",((G$28*($B$28/100))*$B31),IF(G$27="mg/kg SAR",((G$28*0.001)*$B31),IF(G$27="mg/kg DM",(((G$28*0.001)*($B$28/100))*$B31),0))))))</f>
        <v>0.62284356000000007</v>
      </c>
      <c r="H31" s="65">
        <f t="shared" si="5"/>
        <v>1.8472788</v>
      </c>
      <c r="I31" s="65">
        <f t="shared" si="5"/>
        <v>0.29343942000000006</v>
      </c>
      <c r="J31" s="65">
        <f t="shared" si="5"/>
        <v>7.1112060000000001E-3</v>
      </c>
      <c r="K31" s="65">
        <f t="shared" si="5"/>
        <v>4.7408040000000004E-3</v>
      </c>
      <c r="L31" s="65">
        <f t="shared" si="5"/>
        <v>0</v>
      </c>
      <c r="M31" s="65">
        <f t="shared" si="5"/>
        <v>0.20352761999999999</v>
      </c>
      <c r="N31" s="65">
        <f t="shared" si="5"/>
        <v>6931.3823999999995</v>
      </c>
      <c r="O31" s="65">
        <f t="shared" si="5"/>
        <v>59.587002000000005</v>
      </c>
      <c r="P31" s="65">
        <f t="shared" si="5"/>
        <v>0</v>
      </c>
      <c r="Q31" s="65">
        <f>(IF(Q$27="%w/w SAR",((Q$28*10)*$B31),IF(Q$27="%w/w DM",(((Q$28*10)*($B$28/100))*$B31),IF(Q$27="kg/t SAR",(Q$28*$B31),IF(Q$27="kg/t DM",((Q$28*($B$28/100))*$B31),IF(Q$27="mg/kg SAR",((Q$28*0.001)*$B31),IF(Q$27="mg/kg DM",(((Q$28*0.001)*($B$28/100))*$B31),0)))))))*2.5</f>
        <v>155.09785500000001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0.23213592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SCJ2</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SCJ3</v>
      </c>
      <c r="B33" s="11">
        <v>119</v>
      </c>
      <c r="C33" s="65">
        <f t="shared" si="6"/>
        <v>59.826059999999998</v>
      </c>
      <c r="D33" s="65">
        <f t="shared" si="7"/>
        <v>31.514821884000003</v>
      </c>
      <c r="E33" s="65">
        <f t="shared" si="8"/>
        <v>2.4716709360000002</v>
      </c>
      <c r="F33" s="65">
        <f t="shared" si="9"/>
        <v>3.9744120275999997</v>
      </c>
      <c r="G33" s="65">
        <f t="shared" si="5"/>
        <v>0.31011876000000005</v>
      </c>
      <c r="H33" s="65">
        <f t="shared" si="5"/>
        <v>0.9197748</v>
      </c>
      <c r="I33" s="65">
        <f t="shared" si="5"/>
        <v>0.14610582000000003</v>
      </c>
      <c r="J33" s="65">
        <f t="shared" si="5"/>
        <v>3.5407260000000001E-3</v>
      </c>
      <c r="K33" s="65">
        <f t="shared" si="5"/>
        <v>2.3604839999999999E-3</v>
      </c>
      <c r="L33" s="65">
        <f t="shared" si="5"/>
        <v>0</v>
      </c>
      <c r="M33" s="65">
        <f t="shared" si="5"/>
        <v>0.10133802</v>
      </c>
      <c r="N33" s="65">
        <f t="shared" si="5"/>
        <v>3451.1904</v>
      </c>
      <c r="O33" s="65">
        <f t="shared" si="5"/>
        <v>29.668842000000001</v>
      </c>
      <c r="P33" s="65">
        <f t="shared" si="5"/>
        <v>0</v>
      </c>
      <c r="Q33" s="65">
        <f t="shared" si="10"/>
        <v>77.224455000000006</v>
      </c>
      <c r="R33" s="65">
        <f t="shared" si="11"/>
        <v>0</v>
      </c>
      <c r="S33" s="65">
        <f t="shared" si="11"/>
        <v>0.11558231999999999</v>
      </c>
      <c r="T33" s="65">
        <f t="shared" si="11"/>
        <v>0</v>
      </c>
      <c r="U33" s="126">
        <f t="shared" si="11"/>
        <v>0</v>
      </c>
    </row>
    <row r="34" spans="1:21" s="48" customFormat="1" ht="13" x14ac:dyDescent="0.35">
      <c r="A34" s="125" t="str">
        <f>F8</f>
        <v>SCJ4</v>
      </c>
      <c r="B34" s="11">
        <v>250</v>
      </c>
      <c r="C34" s="65">
        <f t="shared" si="6"/>
        <v>125.68499999999999</v>
      </c>
      <c r="D34" s="65">
        <f t="shared" si="7"/>
        <v>66.207609000000005</v>
      </c>
      <c r="E34" s="65">
        <f t="shared" si="8"/>
        <v>5.1925860000000004</v>
      </c>
      <c r="F34" s="65">
        <f t="shared" si="9"/>
        <v>8.3496050999999998</v>
      </c>
      <c r="G34" s="65">
        <f t="shared" si="5"/>
        <v>0.65151000000000014</v>
      </c>
      <c r="H34" s="65">
        <f t="shared" si="5"/>
        <v>1.9323000000000001</v>
      </c>
      <c r="I34" s="65">
        <f t="shared" si="5"/>
        <v>0.30694500000000002</v>
      </c>
      <c r="J34" s="65">
        <f t="shared" si="5"/>
        <v>7.4384999999999998E-3</v>
      </c>
      <c r="K34" s="65">
        <f t="shared" si="5"/>
        <v>4.9589999999999999E-3</v>
      </c>
      <c r="L34" s="65">
        <f t="shared" si="5"/>
        <v>0</v>
      </c>
      <c r="M34" s="65">
        <f t="shared" si="5"/>
        <v>0.212895</v>
      </c>
      <c r="N34" s="65">
        <f t="shared" si="5"/>
        <v>7250.4</v>
      </c>
      <c r="O34" s="65">
        <f t="shared" si="5"/>
        <v>62.329500000000003</v>
      </c>
      <c r="P34" s="65">
        <f t="shared" si="5"/>
        <v>0</v>
      </c>
      <c r="Q34" s="65">
        <f t="shared" si="10"/>
        <v>162.23625000000001</v>
      </c>
      <c r="R34" s="65">
        <f t="shared" si="11"/>
        <v>0</v>
      </c>
      <c r="S34" s="65">
        <f t="shared" si="11"/>
        <v>0.24281999999999998</v>
      </c>
      <c r="T34" s="65">
        <f t="shared" si="11"/>
        <v>0</v>
      </c>
      <c r="U34" s="126">
        <f t="shared" si="11"/>
        <v>0</v>
      </c>
    </row>
    <row r="35" spans="1:21" s="48" customFormat="1" ht="13" x14ac:dyDescent="0.35">
      <c r="A35" s="125" t="str">
        <f>G8</f>
        <v>SCJ5</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SCJ6</v>
      </c>
      <c r="B36" s="11">
        <v>119</v>
      </c>
      <c r="C36" s="65">
        <f t="shared" si="6"/>
        <v>59.826059999999998</v>
      </c>
      <c r="D36" s="65">
        <f t="shared" si="7"/>
        <v>31.514821884000003</v>
      </c>
      <c r="E36" s="65">
        <f t="shared" si="8"/>
        <v>2.4716709360000002</v>
      </c>
      <c r="F36" s="65">
        <f t="shared" si="9"/>
        <v>3.9744120275999997</v>
      </c>
      <c r="G36" s="65">
        <f t="shared" si="5"/>
        <v>0.31011876000000005</v>
      </c>
      <c r="H36" s="65">
        <f t="shared" si="5"/>
        <v>0.9197748</v>
      </c>
      <c r="I36" s="65">
        <f t="shared" si="5"/>
        <v>0.14610582000000003</v>
      </c>
      <c r="J36" s="65">
        <f t="shared" si="5"/>
        <v>3.5407260000000001E-3</v>
      </c>
      <c r="K36" s="65">
        <f t="shared" si="5"/>
        <v>2.3604839999999999E-3</v>
      </c>
      <c r="L36" s="65">
        <f t="shared" si="5"/>
        <v>0</v>
      </c>
      <c r="M36" s="65">
        <f t="shared" si="5"/>
        <v>0.10133802</v>
      </c>
      <c r="N36" s="65">
        <f t="shared" si="5"/>
        <v>3451.1904</v>
      </c>
      <c r="O36" s="65">
        <f t="shared" si="5"/>
        <v>29.668842000000001</v>
      </c>
      <c r="P36" s="65">
        <f t="shared" si="5"/>
        <v>0</v>
      </c>
      <c r="Q36" s="65">
        <f t="shared" si="10"/>
        <v>77.224455000000006</v>
      </c>
      <c r="R36" s="65">
        <f t="shared" si="11"/>
        <v>0</v>
      </c>
      <c r="S36" s="65">
        <f t="shared" si="11"/>
        <v>0.11558231999999999</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SCJ1</v>
      </c>
      <c r="C57" s="8" t="str">
        <f t="shared" ref="C57:U57" si="13">D8</f>
        <v>SCJ2</v>
      </c>
      <c r="D57" s="8" t="str">
        <f t="shared" si="13"/>
        <v>SCJ3</v>
      </c>
      <c r="E57" s="8" t="str">
        <f t="shared" si="13"/>
        <v>SCJ4</v>
      </c>
      <c r="F57" s="8" t="str">
        <f t="shared" si="13"/>
        <v>SCJ5</v>
      </c>
      <c r="G57" s="8" t="str">
        <f t="shared" si="13"/>
        <v>SCJ6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Arable</v>
      </c>
      <c r="F58" s="10" t="str">
        <f>G16&amp;" I "&amp;(VLOOKUP(G14,Table24581112[],6,FALSE))</f>
        <v>Medium/Clay I Arable</v>
      </c>
      <c r="G58" s="10" t="str">
        <f>H16&amp;" I "&amp;(VLOOKUP(H14,Table24581112[],6,FALSE))</f>
        <v>Medium/Clay I Grass</v>
      </c>
      <c r="H58" s="10" t="e">
        <f>I16&amp;" I "&amp;(VLOOKUP(I14,Table24581112[],6,FALSE))</f>
        <v>#N/A</v>
      </c>
      <c r="I58" s="10" t="e">
        <f>J16&amp;" I "&amp;(VLOOKUP(J14,Table24581112[],6,FALSE))</f>
        <v>#N/A</v>
      </c>
      <c r="J58" s="10" t="e">
        <f>K16&amp;" I "&amp;(VLOOKUP(K14,Table24581112[],6,FALSE))</f>
        <v>#N/A</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6.7</v>
      </c>
      <c r="F59" s="64">
        <f>VLOOKUP(G$14,Table24581112[],5,FALSE)</f>
        <v>6.7</v>
      </c>
      <c r="G59" s="64">
        <f>VLOOKUP(H$14,Table24581112[],5,FALSE)</f>
        <v>6.2</v>
      </c>
      <c r="H59" s="64" t="e">
        <f>VLOOKUP(I$14,Table24581112[],5,FALSE)</f>
        <v>#N/A</v>
      </c>
      <c r="I59" s="64" t="e">
        <f>VLOOKUP(J$14,Table24581112[],5,FALSE)</f>
        <v>#N/A</v>
      </c>
      <c r="J59" s="64" t="e">
        <f>VLOOKUP(K$14,Table24581112[],5,FALSE)</f>
        <v>#N/A</v>
      </c>
      <c r="K59" s="64" t="e">
        <f>VLOOKUP(L$14,Table24581112[],5,FALSE)</f>
        <v>#N/A</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6.4</v>
      </c>
      <c r="C60" s="64">
        <f t="shared" ref="C60:U60" si="14">D10</f>
        <v>5.8</v>
      </c>
      <c r="D60" s="64">
        <f t="shared" si="14"/>
        <v>6</v>
      </c>
      <c r="E60" s="64">
        <f t="shared" si="14"/>
        <v>6</v>
      </c>
      <c r="F60" s="64">
        <f t="shared" si="14"/>
        <v>5.9</v>
      </c>
      <c r="G60" s="64">
        <f t="shared" si="14"/>
        <v>6.1</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8</v>
      </c>
      <c r="G61" s="64">
        <f t="shared" si="15"/>
        <v>6</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239</v>
      </c>
      <c r="C62" s="65">
        <f>B32</f>
        <v>0</v>
      </c>
      <c r="D62" s="65">
        <f>B33</f>
        <v>119</v>
      </c>
      <c r="E62" s="65">
        <f>B34</f>
        <v>250</v>
      </c>
      <c r="F62" s="65">
        <f>B35</f>
        <v>0</v>
      </c>
      <c r="G62" s="65">
        <f>B36</f>
        <v>119</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1.2000000000000011</v>
      </c>
      <c r="E64" s="65">
        <f t="shared" si="17"/>
        <v>5.6000000000000014</v>
      </c>
      <c r="F64" s="65">
        <f t="shared" si="17"/>
        <v>6.3999999999999986</v>
      </c>
      <c r="G64" s="65">
        <f t="shared" si="17"/>
        <v>0.6000000000000032</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-1.2000000000000011</v>
      </c>
      <c r="E65" s="65">
        <f t="shared" si="18"/>
        <v>-5.6000000000000014</v>
      </c>
      <c r="F65" s="65">
        <f t="shared" si="18"/>
        <v>-6.3999999999999986</v>
      </c>
      <c r="G65" s="65">
        <f t="shared" si="18"/>
        <v>-0.6000000000000032</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U28" sqref="U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60" t="s">
        <v>41</v>
      </c>
      <c r="B1" s="161"/>
      <c r="C1" s="168" t="str">
        <f>'DCWW Alaw'!C1:D1</f>
        <v xml:space="preserve"> PAN-031280</v>
      </c>
      <c r="D1" s="169"/>
      <c r="E1" s="106" t="s">
        <v>45</v>
      </c>
      <c r="F1" s="113">
        <f>'DCWW Alaw'!F1</f>
        <v>33.6</v>
      </c>
      <c r="G1" s="136" t="s">
        <v>43</v>
      </c>
      <c r="H1" s="137"/>
      <c r="I1" s="109">
        <v>7</v>
      </c>
      <c r="J1" s="160" t="s">
        <v>153</v>
      </c>
      <c r="K1" s="161"/>
      <c r="L1" s="109">
        <v>384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40" t="s">
        <v>87</v>
      </c>
      <c r="B2" s="141"/>
      <c r="C2" s="170" t="str">
        <f>'DCWW Alaw'!C2:D2</f>
        <v>EPR/GP3792SK</v>
      </c>
      <c r="D2" s="171"/>
      <c r="E2" s="96" t="s">
        <v>109</v>
      </c>
      <c r="F2" s="110" t="s">
        <v>165</v>
      </c>
      <c r="G2" s="138" t="s">
        <v>110</v>
      </c>
      <c r="H2" s="139"/>
      <c r="I2" s="110"/>
      <c r="J2" s="140" t="s">
        <v>158</v>
      </c>
      <c r="K2" s="141"/>
      <c r="L2" s="110">
        <v>1.1200000000000001</v>
      </c>
      <c r="AB2" s="22" t="s">
        <v>56</v>
      </c>
      <c r="AC2" s="13"/>
      <c r="AD2" s="22" t="s">
        <v>70</v>
      </c>
      <c r="AE2" s="13"/>
      <c r="AF2" s="13"/>
      <c r="AG2" s="34" t="s">
        <v>76</v>
      </c>
      <c r="AH2" s="13"/>
      <c r="AI2" s="35" t="s">
        <v>126</v>
      </c>
      <c r="AJ2" s="36">
        <v>0</v>
      </c>
      <c r="AK2" s="37">
        <v>0</v>
      </c>
      <c r="AL2" s="7">
        <v>0</v>
      </c>
      <c r="AM2" s="9">
        <v>0</v>
      </c>
      <c r="AN2" s="9">
        <v>0</v>
      </c>
    </row>
    <row r="3" spans="1:41" ht="13" x14ac:dyDescent="0.25">
      <c r="A3" s="162" t="s">
        <v>42</v>
      </c>
      <c r="B3" s="163"/>
      <c r="C3" s="170" t="str">
        <f>'DCWW Alaw'!C3:D3</f>
        <v>Byproduct Recovery Ltd</v>
      </c>
      <c r="D3" s="171"/>
      <c r="E3" s="96" t="s">
        <v>108</v>
      </c>
      <c r="F3" s="111" t="s">
        <v>77</v>
      </c>
      <c r="G3" s="140" t="s">
        <v>159</v>
      </c>
      <c r="H3" s="141"/>
      <c r="I3" s="110"/>
      <c r="J3" s="162" t="s">
        <v>154</v>
      </c>
      <c r="K3" s="163"/>
      <c r="L3" s="110">
        <f>(L1/(L2*10000))*100</f>
        <v>3.4285714285714279</v>
      </c>
      <c r="AB3" s="22" t="s">
        <v>57</v>
      </c>
      <c r="AC3" s="13"/>
      <c r="AD3" s="22" t="s">
        <v>71</v>
      </c>
      <c r="AE3" s="13"/>
      <c r="AF3" s="13"/>
      <c r="AG3" s="34" t="s">
        <v>77</v>
      </c>
      <c r="AH3" s="13"/>
      <c r="AI3" s="38" t="s">
        <v>113</v>
      </c>
      <c r="AJ3" s="39">
        <v>1.7</v>
      </c>
      <c r="AK3" s="40">
        <v>6</v>
      </c>
      <c r="AL3" s="41">
        <v>1</v>
      </c>
      <c r="AM3" s="9">
        <v>6.2</v>
      </c>
      <c r="AN3" s="9" t="s">
        <v>112</v>
      </c>
    </row>
    <row r="4" spans="1:41" ht="25" x14ac:dyDescent="0.25">
      <c r="A4" s="140" t="s">
        <v>0</v>
      </c>
      <c r="B4" s="141"/>
      <c r="C4" s="172" t="str">
        <f>'DCWW Alaw'!C4:D4</f>
        <v>Plas Bach, Cerrigceinwen, Bodorgan, LL62 5NS</v>
      </c>
      <c r="D4" s="173"/>
      <c r="E4" s="99" t="s">
        <v>1</v>
      </c>
      <c r="F4" s="131" t="s">
        <v>167</v>
      </c>
      <c r="G4" s="162"/>
      <c r="H4" s="163"/>
      <c r="I4" s="115"/>
      <c r="J4" s="162"/>
      <c r="K4" s="163"/>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2" t="s">
        <v>47</v>
      </c>
      <c r="B5" s="143"/>
      <c r="C5" s="174" t="str">
        <f>'DCWW Alaw'!C5:D5</f>
        <v>Owen Clee</v>
      </c>
      <c r="D5" s="175"/>
      <c r="E5" s="107"/>
      <c r="F5" s="114"/>
      <c r="G5" s="166"/>
      <c r="H5" s="167"/>
      <c r="I5" s="114"/>
      <c r="J5" s="166"/>
      <c r="K5" s="16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2" t="s">
        <v>63</v>
      </c>
      <c r="B7" s="153"/>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40" t="s">
        <v>2</v>
      </c>
      <c r="B8" s="141"/>
      <c r="C8" s="49" t="str">
        <f>'DCWW Alaw'!C8</f>
        <v>SCJ1</v>
      </c>
      <c r="D8" s="49" t="str">
        <f>'DCWW Alaw'!D8</f>
        <v>SCJ2</v>
      </c>
      <c r="E8" s="49" t="str">
        <f>'DCWW Alaw'!E8</f>
        <v>SCJ3</v>
      </c>
      <c r="F8" s="49" t="str">
        <f>'DCWW Alaw'!F8</f>
        <v>SCJ4</v>
      </c>
      <c r="G8" s="49" t="str">
        <f>'DCWW Alaw'!G8</f>
        <v>SCJ5</v>
      </c>
      <c r="H8" s="49" t="str">
        <f>'DCWW Alaw'!H8</f>
        <v>SCJ6</v>
      </c>
      <c r="I8" s="49">
        <f>'DCWW Alaw'!I8</f>
        <v>0</v>
      </c>
      <c r="J8" s="49">
        <f>'DCWW Alaw'!J8</f>
        <v>0</v>
      </c>
      <c r="K8" s="49">
        <f>'DCWW Alaw'!K8</f>
        <v>0</v>
      </c>
      <c r="L8" s="49">
        <f>'DCWW Alaw'!L8</f>
        <v>0</v>
      </c>
      <c r="M8" s="49">
        <f>'DCWW Alaw'!M8</f>
        <v>0</v>
      </c>
      <c r="N8" s="49">
        <f>'DCWW Alaw'!N8</f>
        <v>0</v>
      </c>
      <c r="O8" s="49">
        <f>'DCWW Alaw'!O8</f>
        <v>0</v>
      </c>
      <c r="P8" s="49">
        <f>'DCWW Alaw'!P8</f>
        <v>0</v>
      </c>
      <c r="Q8" s="49">
        <f>'DCWW Alaw'!Q8</f>
        <v>0</v>
      </c>
      <c r="R8" s="49">
        <f>'DCWW Alaw'!R8</f>
        <v>0</v>
      </c>
      <c r="S8" s="49">
        <f>'DCWW Alaw'!S8</f>
        <v>0</v>
      </c>
      <c r="T8" s="49">
        <f>'DCWW Alaw'!T8</f>
        <v>0</v>
      </c>
      <c r="U8" s="49">
        <f>'DCWW Alaw'!U8</f>
        <v>0</v>
      </c>
      <c r="V8" s="102">
        <f>'DCWW Alaw'!V8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40" t="s">
        <v>3</v>
      </c>
      <c r="B9" s="141"/>
      <c r="C9" s="49" t="str">
        <f>'DCWW Alaw'!C9</f>
        <v>Moderate</v>
      </c>
      <c r="D9" s="49" t="str">
        <f>'DCWW Alaw'!D9</f>
        <v>Moderate</v>
      </c>
      <c r="E9" s="49" t="str">
        <f>'DCWW Alaw'!E9</f>
        <v>Moderate</v>
      </c>
      <c r="F9" s="49">
        <f>'DCWW Alaw'!F9</f>
        <v>1</v>
      </c>
      <c r="G9" s="49">
        <f>'DCWW Alaw'!G9</f>
        <v>1</v>
      </c>
      <c r="H9" s="49" t="str">
        <f>'DCWW Alaw'!H9</f>
        <v>Moderate</v>
      </c>
      <c r="I9" s="49">
        <f>'DCWW Alaw'!I9</f>
        <v>0</v>
      </c>
      <c r="J9" s="49">
        <f>'DCWW Alaw'!J9</f>
        <v>0</v>
      </c>
      <c r="K9" s="49">
        <f>'DCWW Alaw'!K9</f>
        <v>0</v>
      </c>
      <c r="L9" s="49">
        <f>'DCWW Alaw'!L9</f>
        <v>0</v>
      </c>
      <c r="M9" s="49">
        <f>'DCWW Alaw'!M9</f>
        <v>0</v>
      </c>
      <c r="N9" s="49">
        <f>'DCWW Alaw'!N9</f>
        <v>0</v>
      </c>
      <c r="O9" s="49">
        <f>'DCWW Alaw'!O9</f>
        <v>0</v>
      </c>
      <c r="P9" s="49">
        <f>'DCWW Alaw'!P9</f>
        <v>0</v>
      </c>
      <c r="Q9" s="49">
        <f>'DCWW Alaw'!Q9</f>
        <v>0</v>
      </c>
      <c r="R9" s="49">
        <f>'DCWW Alaw'!R9</f>
        <v>0</v>
      </c>
      <c r="S9" s="49">
        <f>'DCWW Alaw'!S9</f>
        <v>0</v>
      </c>
      <c r="T9" s="49">
        <f>'DCWW Alaw'!T9</f>
        <v>0</v>
      </c>
      <c r="U9" s="49">
        <f>'DCWW Alaw'!U9</f>
        <v>0</v>
      </c>
      <c r="V9" s="102">
        <f>'DCWW Alaw'!V9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40" t="s">
        <v>4</v>
      </c>
      <c r="B10" s="141"/>
      <c r="C10" s="49">
        <f>'DCWW Alaw'!C10</f>
        <v>6.4</v>
      </c>
      <c r="D10" s="49">
        <f>'DCWW Alaw'!D10</f>
        <v>5.8</v>
      </c>
      <c r="E10" s="49">
        <f>'DCWW Alaw'!E10</f>
        <v>6</v>
      </c>
      <c r="F10" s="49">
        <f>'DCWW Alaw'!F10</f>
        <v>6</v>
      </c>
      <c r="G10" s="49">
        <f>'DCWW Alaw'!G10</f>
        <v>5.9</v>
      </c>
      <c r="H10" s="49">
        <f>'DCWW Alaw'!H10</f>
        <v>6.1</v>
      </c>
      <c r="I10" s="49">
        <f>'DCWW Alaw'!I10</f>
        <v>0</v>
      </c>
      <c r="J10" s="49">
        <f>'DCWW Alaw'!J10</f>
        <v>0</v>
      </c>
      <c r="K10" s="49">
        <f>'DCWW Alaw'!K10</f>
        <v>0</v>
      </c>
      <c r="L10" s="49">
        <f>'DCWW Alaw'!L10</f>
        <v>0</v>
      </c>
      <c r="M10" s="49">
        <f>'DCWW Alaw'!M10</f>
        <v>0</v>
      </c>
      <c r="N10" s="49">
        <f>'DCWW Alaw'!N10</f>
        <v>0</v>
      </c>
      <c r="O10" s="49">
        <f>'DCWW Alaw'!O10</f>
        <v>0</v>
      </c>
      <c r="P10" s="49">
        <f>'DCWW Alaw'!P10</f>
        <v>0</v>
      </c>
      <c r="Q10" s="49">
        <f>'DCWW Alaw'!Q10</f>
        <v>0</v>
      </c>
      <c r="R10" s="49">
        <f>'DCWW Alaw'!R10</f>
        <v>0</v>
      </c>
      <c r="S10" s="49">
        <f>'DCWW Alaw'!S10</f>
        <v>0</v>
      </c>
      <c r="T10" s="49">
        <f>'DCWW Alaw'!T10</f>
        <v>0</v>
      </c>
      <c r="U10" s="49">
        <f>'DCWW Alaw'!U10</f>
        <v>0</v>
      </c>
      <c r="V10" s="102">
        <f>'DCWW Alaw'!V10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40" t="s">
        <v>5</v>
      </c>
      <c r="B11" s="141"/>
      <c r="C11" s="49">
        <f>'DCWW Alaw'!C11</f>
        <v>2</v>
      </c>
      <c r="D11" s="49">
        <f>'DCWW Alaw'!D11</f>
        <v>2</v>
      </c>
      <c r="E11" s="49">
        <f>'DCWW Alaw'!E11</f>
        <v>3</v>
      </c>
      <c r="F11" s="49">
        <f>'DCWW Alaw'!F11</f>
        <v>1</v>
      </c>
      <c r="G11" s="49">
        <f>'DCWW Alaw'!G11</f>
        <v>0</v>
      </c>
      <c r="H11" s="49">
        <f>'DCWW Alaw'!H11</f>
        <v>3</v>
      </c>
      <c r="I11" s="49">
        <f>'DCWW Alaw'!I11</f>
        <v>0</v>
      </c>
      <c r="J11" s="49">
        <f>'DCWW Alaw'!J11</f>
        <v>0</v>
      </c>
      <c r="K11" s="49">
        <f>'DCWW Alaw'!K11</f>
        <v>0</v>
      </c>
      <c r="L11" s="49">
        <f>'DCWW Alaw'!L11</f>
        <v>0</v>
      </c>
      <c r="M11" s="49">
        <f>'DCWW Alaw'!M11</f>
        <v>0</v>
      </c>
      <c r="N11" s="49">
        <f>'DCWW Alaw'!N11</f>
        <v>0</v>
      </c>
      <c r="O11" s="49">
        <f>'DCWW Alaw'!O11</f>
        <v>0</v>
      </c>
      <c r="P11" s="49">
        <f>'DCWW Alaw'!P11</f>
        <v>0</v>
      </c>
      <c r="Q11" s="49">
        <f>'DCWW Alaw'!Q11</f>
        <v>0</v>
      </c>
      <c r="R11" s="49">
        <f>'DCWW Alaw'!R11</f>
        <v>0</v>
      </c>
      <c r="S11" s="49">
        <f>'DCWW Alaw'!S11</f>
        <v>0</v>
      </c>
      <c r="T11" s="49">
        <f>'DCWW Alaw'!T11</f>
        <v>0</v>
      </c>
      <c r="U11" s="49">
        <f>'DCWW Alaw'!U11</f>
        <v>0</v>
      </c>
      <c r="V11" s="102">
        <f>'DCWW Alaw'!V11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40" t="s">
        <v>6</v>
      </c>
      <c r="B12" s="141"/>
      <c r="C12" s="49">
        <f>'DCWW Alaw'!C12</f>
        <v>3</v>
      </c>
      <c r="D12" s="49">
        <f>'DCWW Alaw'!D12</f>
        <v>4</v>
      </c>
      <c r="E12" s="49">
        <f>'DCWW Alaw'!E12</f>
        <v>4</v>
      </c>
      <c r="F12" s="49">
        <f>'DCWW Alaw'!F12</f>
        <v>1</v>
      </c>
      <c r="G12" s="49">
        <f>'DCWW Alaw'!G12</f>
        <v>1</v>
      </c>
      <c r="H12" s="49">
        <f>'DCWW Alaw'!H12</f>
        <v>2</v>
      </c>
      <c r="I12" s="49">
        <f>'DCWW Alaw'!I12</f>
        <v>0</v>
      </c>
      <c r="J12" s="49">
        <f>'DCWW Alaw'!J12</f>
        <v>0</v>
      </c>
      <c r="K12" s="49">
        <f>'DCWW Alaw'!K12</f>
        <v>0</v>
      </c>
      <c r="L12" s="49">
        <f>'DCWW Alaw'!L12</f>
        <v>0</v>
      </c>
      <c r="M12" s="49">
        <f>'DCWW Alaw'!M12</f>
        <v>0</v>
      </c>
      <c r="N12" s="49">
        <f>'DCWW Alaw'!N12</f>
        <v>0</v>
      </c>
      <c r="O12" s="49">
        <f>'DCWW Alaw'!O12</f>
        <v>0</v>
      </c>
      <c r="P12" s="49">
        <f>'DCWW Alaw'!P12</f>
        <v>0</v>
      </c>
      <c r="Q12" s="49">
        <f>'DCWW Alaw'!Q12</f>
        <v>0</v>
      </c>
      <c r="R12" s="49">
        <f>'DCWW Alaw'!R12</f>
        <v>0</v>
      </c>
      <c r="S12" s="49">
        <f>'DCWW Alaw'!S12</f>
        <v>0</v>
      </c>
      <c r="T12" s="49">
        <f>'DCWW Alaw'!T12</f>
        <v>0</v>
      </c>
      <c r="U12" s="49">
        <f>'DCWW Alaw'!U12</f>
        <v>0</v>
      </c>
      <c r="V12" s="102">
        <f>'DCWW Alaw'!V12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40" t="s">
        <v>7</v>
      </c>
      <c r="B13" s="141"/>
      <c r="C13" s="49">
        <f>'DCWW Alaw'!C13</f>
        <v>4</v>
      </c>
      <c r="D13" s="49">
        <f>'DCWW Alaw'!D13</f>
        <v>3</v>
      </c>
      <c r="E13" s="49">
        <f>'DCWW Alaw'!E13</f>
        <v>3</v>
      </c>
      <c r="F13" s="49">
        <f>'DCWW Alaw'!F13</f>
        <v>3</v>
      </c>
      <c r="G13" s="49">
        <f>'DCWW Alaw'!G13</f>
        <v>3</v>
      </c>
      <c r="H13" s="49">
        <f>'DCWW Alaw'!H13</f>
        <v>3</v>
      </c>
      <c r="I13" s="49">
        <f>'DCWW Alaw'!I13</f>
        <v>0</v>
      </c>
      <c r="J13" s="49">
        <f>'DCWW Alaw'!J13</f>
        <v>0</v>
      </c>
      <c r="K13" s="49">
        <f>'DCWW Alaw'!K13</f>
        <v>0</v>
      </c>
      <c r="L13" s="49">
        <f>'DCWW Alaw'!L13</f>
        <v>0</v>
      </c>
      <c r="M13" s="49">
        <f>'DCWW Alaw'!M13</f>
        <v>0</v>
      </c>
      <c r="N13" s="49">
        <f>'DCWW Alaw'!N13</f>
        <v>0</v>
      </c>
      <c r="O13" s="49">
        <f>'DCWW Alaw'!O13</f>
        <v>0</v>
      </c>
      <c r="P13" s="49">
        <f>'DCWW Alaw'!P13</f>
        <v>0</v>
      </c>
      <c r="Q13" s="49">
        <f>'DCWW Alaw'!Q13</f>
        <v>0</v>
      </c>
      <c r="R13" s="49">
        <f>'DCWW Alaw'!R13</f>
        <v>0</v>
      </c>
      <c r="S13" s="49">
        <f>'DCWW Alaw'!S13</f>
        <v>0</v>
      </c>
      <c r="T13" s="49">
        <f>'DCWW Alaw'!T13</f>
        <v>0</v>
      </c>
      <c r="U13" s="49">
        <f>'DCWW Alaw'!U13</f>
        <v>0</v>
      </c>
      <c r="V13" s="102">
        <f>'DCWW Alaw'!V13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6" t="s">
        <v>8</v>
      </c>
      <c r="B14" s="157"/>
      <c r="C14" s="83" t="str">
        <f>'DCWW Alaw'!C14</f>
        <v xml:space="preserve">Grass Silage (25% DM) </v>
      </c>
      <c r="D14" s="83" t="str">
        <f>'DCWW Alaw'!D14</f>
        <v xml:space="preserve">Grass Silage (25% DM) </v>
      </c>
      <c r="E14" s="83" t="str">
        <f>'DCWW Alaw'!E14</f>
        <v xml:space="preserve">Grass Silage (25% DM) </v>
      </c>
      <c r="F14" s="83" t="str">
        <f>'DCWW Alaw'!F14</f>
        <v>Spring wheat/barley</v>
      </c>
      <c r="G14" s="83" t="str">
        <f>'DCWW Alaw'!G14</f>
        <v>Spring wheat/barley</v>
      </c>
      <c r="H14" s="83" t="str">
        <f>'DCWW Alaw'!H14</f>
        <v xml:space="preserve">Grass Silage (25% DM) </v>
      </c>
      <c r="I14" s="83">
        <f>'DCWW Alaw'!I14</f>
        <v>0</v>
      </c>
      <c r="J14" s="83">
        <f>'DCWW Alaw'!J14</f>
        <v>0</v>
      </c>
      <c r="K14" s="83">
        <f>'DCWW Alaw'!K14</f>
        <v>0</v>
      </c>
      <c r="L14" s="83">
        <f>'DCWW Alaw'!L14</f>
        <v>0</v>
      </c>
      <c r="M14" s="83">
        <f>'DCWW Alaw'!M14</f>
        <v>0</v>
      </c>
      <c r="N14" s="83">
        <f>'DCWW Alaw'!N14</f>
        <v>0</v>
      </c>
      <c r="O14" s="83">
        <f>'DCWW Alaw'!O14</f>
        <v>0</v>
      </c>
      <c r="P14" s="83">
        <f>'DCWW Alaw'!P14</f>
        <v>0</v>
      </c>
      <c r="Q14" s="83">
        <f>'DCWW Alaw'!Q14</f>
        <v>0</v>
      </c>
      <c r="R14" s="83">
        <f>'DCWW Alaw'!R14</f>
        <v>0</v>
      </c>
      <c r="S14" s="83">
        <f>'DCWW Alaw'!S14</f>
        <v>0</v>
      </c>
      <c r="T14" s="83">
        <f>'DCWW Alaw'!T14</f>
        <v>0</v>
      </c>
      <c r="U14" s="83">
        <f>'DCWW Alaw'!U14</f>
        <v>0</v>
      </c>
      <c r="V14" s="103">
        <f>'DCWW Alaw'!V14</f>
        <v>0</v>
      </c>
      <c r="AD14" s="22" t="s">
        <v>138</v>
      </c>
      <c r="AE14" s="22">
        <v>6</v>
      </c>
      <c r="AI14" s="43" t="s">
        <v>119</v>
      </c>
      <c r="AJ14" s="44">
        <v>0.8</v>
      </c>
      <c r="AK14" s="45">
        <v>1.7</v>
      </c>
      <c r="AL14" s="9">
        <v>12</v>
      </c>
      <c r="AM14" s="9">
        <v>6.7</v>
      </c>
      <c r="AN14" s="9" t="s">
        <v>135</v>
      </c>
    </row>
    <row r="15" spans="1:41" ht="13" x14ac:dyDescent="0.25">
      <c r="A15" s="154" t="s">
        <v>9</v>
      </c>
      <c r="B15" s="155"/>
      <c r="C15" s="49">
        <f>'DCWW Alaw'!C15</f>
        <v>38</v>
      </c>
      <c r="D15" s="49">
        <f>'DCWW Alaw'!D15</f>
        <v>38</v>
      </c>
      <c r="E15" s="49">
        <f>'DCWW Alaw'!E15</f>
        <v>38</v>
      </c>
      <c r="F15" s="49">
        <f>'DCWW Alaw'!F15</f>
        <v>5.5</v>
      </c>
      <c r="G15" s="49">
        <f>'DCWW Alaw'!G15</f>
        <v>5.5</v>
      </c>
      <c r="H15" s="49">
        <f>'DCWW Alaw'!H15</f>
        <v>38</v>
      </c>
      <c r="I15" s="49">
        <f>'DCWW Alaw'!I15</f>
        <v>0</v>
      </c>
      <c r="J15" s="49">
        <f>'DCWW Alaw'!J15</f>
        <v>0</v>
      </c>
      <c r="K15" s="49">
        <f>'DCWW Alaw'!K15</f>
        <v>0</v>
      </c>
      <c r="L15" s="49">
        <f>'DCWW Alaw'!L15</f>
        <v>0</v>
      </c>
      <c r="M15" s="49">
        <f>'DCWW Alaw'!M15</f>
        <v>0</v>
      </c>
      <c r="N15" s="49">
        <f>'DCWW Alaw'!N15</f>
        <v>0</v>
      </c>
      <c r="O15" s="49">
        <f>'DCWW Alaw'!O15</f>
        <v>0</v>
      </c>
      <c r="P15" s="49">
        <f>'DCWW Alaw'!P15</f>
        <v>0</v>
      </c>
      <c r="Q15" s="49">
        <f>'DCWW Alaw'!Q15</f>
        <v>0</v>
      </c>
      <c r="R15" s="49">
        <f>'DCWW Alaw'!R15</f>
        <v>0</v>
      </c>
      <c r="S15" s="49">
        <f>'DCWW Alaw'!S15</f>
        <v>0</v>
      </c>
      <c r="T15" s="49">
        <f>'DCWW Alaw'!T15</f>
        <v>0</v>
      </c>
      <c r="U15" s="49">
        <f>'DCWW Alaw'!U15</f>
        <v>0</v>
      </c>
      <c r="V15" s="102">
        <f>'DCWW Alaw'!V15</f>
        <v>0</v>
      </c>
      <c r="AD15" s="22" t="s">
        <v>144</v>
      </c>
      <c r="AE15" s="22">
        <v>7</v>
      </c>
      <c r="AI15" s="43" t="s">
        <v>101</v>
      </c>
      <c r="AJ15" s="51">
        <v>1.8</v>
      </c>
      <c r="AK15" s="45">
        <v>5.4</v>
      </c>
      <c r="AL15" s="9">
        <v>13</v>
      </c>
      <c r="AM15" s="9">
        <v>6.7</v>
      </c>
      <c r="AN15" s="9" t="s">
        <v>135</v>
      </c>
    </row>
    <row r="16" spans="1:41" ht="13.5" thickBot="1" x14ac:dyDescent="0.3">
      <c r="A16" s="158" t="s">
        <v>44</v>
      </c>
      <c r="B16" s="159"/>
      <c r="C16" s="104" t="str">
        <f>'DCWW Alaw'!C16</f>
        <v>Medium/Clay</v>
      </c>
      <c r="D16" s="104" t="str">
        <f>'DCWW Alaw'!D16</f>
        <v>Medium/Clay</v>
      </c>
      <c r="E16" s="104" t="str">
        <f>'DCWW Alaw'!E16</f>
        <v>Medium/Clay</v>
      </c>
      <c r="F16" s="104" t="str">
        <f>'DCWW Alaw'!F16</f>
        <v>Medium/Clay</v>
      </c>
      <c r="G16" s="104" t="str">
        <f>'DCWW Alaw'!G16</f>
        <v>Medium/Clay</v>
      </c>
      <c r="H16" s="104" t="str">
        <f>'DCWW Alaw'!H16</f>
        <v>Medium/Clay</v>
      </c>
      <c r="I16" s="104">
        <f>'DCWW Alaw'!I16</f>
        <v>0</v>
      </c>
      <c r="J16" s="104">
        <f>'DCWW Alaw'!J16</f>
        <v>0</v>
      </c>
      <c r="K16" s="104">
        <f>'DCWW Alaw'!K16</f>
        <v>0</v>
      </c>
      <c r="L16" s="104">
        <f>'DCWW Alaw'!L16</f>
        <v>0</v>
      </c>
      <c r="M16" s="104">
        <f>'DCWW Alaw'!M16</f>
        <v>0</v>
      </c>
      <c r="N16" s="104">
        <f>'DCWW Alaw'!N16</f>
        <v>0</v>
      </c>
      <c r="O16" s="104">
        <f>'DCWW Alaw'!O16</f>
        <v>0</v>
      </c>
      <c r="P16" s="104">
        <f>'DCWW Alaw'!P16</f>
        <v>0</v>
      </c>
      <c r="Q16" s="104">
        <f>'DCWW Alaw'!Q16</f>
        <v>0</v>
      </c>
      <c r="R16" s="104">
        <f>'DCWW Alaw'!R16</f>
        <v>0</v>
      </c>
      <c r="S16" s="104">
        <f>'DCWW Alaw'!S16</f>
        <v>0</v>
      </c>
      <c r="T16" s="104">
        <f>'DCWW Alaw'!T16</f>
        <v>0</v>
      </c>
      <c r="U16" s="104">
        <f>'DCWW Alaw'!U16</f>
        <v>0</v>
      </c>
      <c r="V16" s="105">
        <f>'DCWW Alaw'!V16</f>
        <v>0</v>
      </c>
      <c r="AD16" s="42" t="s">
        <v>145</v>
      </c>
      <c r="AE16" s="22">
        <v>8</v>
      </c>
      <c r="AI16" s="43" t="s">
        <v>118</v>
      </c>
      <c r="AJ16" s="44">
        <v>8</v>
      </c>
      <c r="AK16" s="45">
        <v>5.5</v>
      </c>
      <c r="AL16" s="7">
        <v>14</v>
      </c>
      <c r="AM16" s="9">
        <v>6.7</v>
      </c>
      <c r="AN16" s="9" t="s">
        <v>135</v>
      </c>
    </row>
    <row r="17" spans="1:40" ht="13" x14ac:dyDescent="0.25">
      <c r="A17" s="152" t="s">
        <v>69</v>
      </c>
      <c r="B17" s="153"/>
      <c r="C17" s="20">
        <f>(VLOOKUP(C$14,$AI2:$AK26,2,FALSE))*C$15</f>
        <v>64.599999999999994</v>
      </c>
      <c r="D17" s="20">
        <f t="shared" ref="D17:V17" si="0">(VLOOKUP(D$14,$AI2:$AK26,2,FALSE))*D$15</f>
        <v>64.599999999999994</v>
      </c>
      <c r="E17" s="20">
        <f t="shared" si="0"/>
        <v>64.599999999999994</v>
      </c>
      <c r="F17" s="20">
        <f t="shared" si="0"/>
        <v>46.75</v>
      </c>
      <c r="G17" s="20">
        <f t="shared" si="0"/>
        <v>46.75</v>
      </c>
      <c r="H17" s="20">
        <f t="shared" si="0"/>
        <v>64.599999999999994</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0" t="s">
        <v>23</v>
      </c>
      <c r="B18" s="151"/>
      <c r="C18" s="12">
        <f>$D31</f>
        <v>65.118375959999995</v>
      </c>
      <c r="D18" s="12">
        <f>$D32</f>
        <v>0</v>
      </c>
      <c r="E18" s="12">
        <f>$D33</f>
        <v>32.559187979999997</v>
      </c>
      <c r="F18" s="12">
        <f>$D34</f>
        <v>66.719647499999994</v>
      </c>
      <c r="G18" s="12">
        <f>$D35</f>
        <v>0</v>
      </c>
      <c r="H18" s="12">
        <f>$D36</f>
        <v>32.559187979999997</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0" t="s">
        <v>90</v>
      </c>
      <c r="B19" s="151"/>
      <c r="C19" s="12">
        <f>C18-C17</f>
        <v>0.51837596000000019</v>
      </c>
      <c r="D19" s="12">
        <f t="shared" ref="D19:V19" si="1">D18-D17</f>
        <v>-64.599999999999994</v>
      </c>
      <c r="E19" s="12">
        <f t="shared" si="1"/>
        <v>-32.040812019999997</v>
      </c>
      <c r="F19" s="12">
        <f t="shared" si="1"/>
        <v>19.969647499999994</v>
      </c>
      <c r="G19" s="12">
        <f t="shared" si="1"/>
        <v>-46.75</v>
      </c>
      <c r="H19" s="12">
        <f t="shared" si="1"/>
        <v>-32.040812019999997</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8" t="s">
        <v>91</v>
      </c>
      <c r="B20" s="149"/>
      <c r="C20" s="18" t="str">
        <f>IF($B31="","",IF(C$19&gt;=0,"INCREASE","DECREASE"))</f>
        <v>INCREASE</v>
      </c>
      <c r="D20" s="18" t="str">
        <f>IF($B32="","",IF(D$19&gt;=0,"INCREASE","DECREASE"))</f>
        <v>DECREASE</v>
      </c>
      <c r="E20" s="18" t="str">
        <f>IF($B33="","",IF(E$19&gt;=0,"INCREASE","DECREASE"))</f>
        <v>DECREASE</v>
      </c>
      <c r="F20" s="18" t="str">
        <f>IF($B34="","",IF(F$19&gt;=0,"INCREASE","DECREASE"))</f>
        <v>INCREASE</v>
      </c>
      <c r="G20" s="18" t="str">
        <f>IF($B35="","",IF(G$19&gt;=0,"INCREASE","DECREASE"))</f>
        <v>DECREASE</v>
      </c>
      <c r="H20" s="18" t="str">
        <f>IF($B36="","",IF(H$19&gt;=0,"INCREASE","DECREASE"))</f>
        <v>DECREASE</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2" t="s">
        <v>88</v>
      </c>
      <c r="B21" s="153"/>
      <c r="C21" s="20">
        <f>(VLOOKUP(C$14,$AI2:$AK26,3,FALSE))*C$15</f>
        <v>228</v>
      </c>
      <c r="D21" s="20">
        <f t="shared" ref="D21:V21" si="2">(VLOOKUP(D$14,$AI2:$AK26,3,FALSE))*D$15</f>
        <v>228</v>
      </c>
      <c r="E21" s="20">
        <f t="shared" si="2"/>
        <v>228</v>
      </c>
      <c r="F21" s="20">
        <f t="shared" si="2"/>
        <v>66</v>
      </c>
      <c r="G21" s="20">
        <f t="shared" si="2"/>
        <v>66</v>
      </c>
      <c r="H21" s="20">
        <f t="shared" si="2"/>
        <v>228</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0" t="s">
        <v>89</v>
      </c>
      <c r="B22" s="151"/>
      <c r="C22" s="12">
        <f>$E31</f>
        <v>5.0938964999999996</v>
      </c>
      <c r="D22" s="12">
        <f>$E32</f>
        <v>0</v>
      </c>
      <c r="E22" s="12">
        <f>$E33</f>
        <v>2.5469482499999998</v>
      </c>
      <c r="F22" s="12">
        <f>$E34</f>
        <v>5.2191562500000002</v>
      </c>
      <c r="G22" s="12">
        <f>$E35</f>
        <v>0</v>
      </c>
      <c r="H22" s="12">
        <f>$E36</f>
        <v>2.5469482499999998</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0" t="s">
        <v>92</v>
      </c>
      <c r="B23" s="151"/>
      <c r="C23" s="12">
        <f>C22-C21</f>
        <v>-222.9061035</v>
      </c>
      <c r="D23" s="12">
        <f t="shared" ref="D23:V23" si="3">D22-D21</f>
        <v>-228</v>
      </c>
      <c r="E23" s="12">
        <f t="shared" si="3"/>
        <v>-225.45305174999999</v>
      </c>
      <c r="F23" s="12">
        <f t="shared" si="3"/>
        <v>-60.780843750000003</v>
      </c>
      <c r="G23" s="12">
        <f t="shared" si="3"/>
        <v>-66</v>
      </c>
      <c r="H23" s="12">
        <f t="shared" si="3"/>
        <v>-225.45305174999999</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8" t="s">
        <v>93</v>
      </c>
      <c r="B24" s="149"/>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3.3</v>
      </c>
      <c r="C28" s="11">
        <v>1.1200000000000001</v>
      </c>
      <c r="D28" s="11">
        <v>0.35299999999999998</v>
      </c>
      <c r="E28" s="11">
        <v>5.2499999999999998E-2</v>
      </c>
      <c r="F28" s="11">
        <v>321</v>
      </c>
      <c r="G28" s="11">
        <v>47.1</v>
      </c>
      <c r="H28" s="11">
        <v>319</v>
      </c>
      <c r="I28" s="11">
        <v>37.4</v>
      </c>
      <c r="J28" s="11">
        <v>2.2599999999999998</v>
      </c>
      <c r="K28" s="15">
        <v>0.6</v>
      </c>
      <c r="L28" s="11">
        <v>30.8</v>
      </c>
      <c r="M28" s="11">
        <v>26</v>
      </c>
      <c r="N28" s="11">
        <v>1220000</v>
      </c>
      <c r="O28" s="11">
        <v>5800</v>
      </c>
      <c r="P28" s="11"/>
      <c r="Q28" s="11">
        <v>384</v>
      </c>
      <c r="R28" s="11"/>
      <c r="S28" s="11">
        <v>21.3</v>
      </c>
      <c r="T28" s="11"/>
      <c r="U28" s="97"/>
    </row>
    <row r="29" spans="1:40" s="7" customFormat="1" ht="28" x14ac:dyDescent="0.35">
      <c r="A29" s="16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SCJ1</v>
      </c>
      <c r="B31" s="11">
        <v>244</v>
      </c>
      <c r="C31" s="65">
        <f>IF(C$27="%w/w SAR",((C$28*10)*$B31),IF(C$27="%w/w DM",(((C$28*10)*($B$28/100))*$B31),IF(C$27="kg/t SAR",(C$28*$B31),IF(C$27="kg/t DM",((C$28*($B$28/100))*$B31),IF(C$27="mg/kg SAR",((C$28*0.001)*$B31),IF(C$27="mg/kg DM",(((C$28*0.001)*($B$28/100))*$B31),0))))))</f>
        <v>90.182400000000015</v>
      </c>
      <c r="D31" s="65">
        <f>(IF(D$27="%w/w SAR",((D$28*10)*$B31),IF(D$27="%w/w DM",(((D$28*10)*($B$28/100))*$B31),IF(D$27="kg/t SAR",(D$28*$B31),IF(D$27="kg/t DM",((D$28*($B$28/100))*$B31),IF(D$27="mg/kg SAR",((D$28*0.001)*$B31),IF(D$27="mg/kg DM",(((D$28*0.001)*($B$28/100))*$B31),"0")))))))*2.291</f>
        <v>65.118375959999995</v>
      </c>
      <c r="E31" s="65">
        <f>(IF(E$27="%w/w SAR",((E$28*10)*$B31),IF(E$27="%w/w DM",(((E$28*10)*($B$28/100))*$B31),IF(E$27="kg/t SAR",(E$28*$B31),IF(E$27="kg/t DM",((E$28*($B$28/100))*$B31),IF(E$27="mg/kg SAR",((E$28*0.001)*$B31),IF(E$27="mg/kg DM",(((E$28*0.001)*($B$28/100))*$B31),"0")))))))*1.205</f>
        <v>5.0938964999999996</v>
      </c>
      <c r="F31" s="65">
        <f>(IF(F$27="%w/w SAR",((F$28*10)*$B31),IF(F$27="%w/w DM",(((F$28*10)*($B$28/100))*$B31),IF(F$27="kg/t SAR",(F$28*$B31),IF(F$27="kg/t DM",((F$28*($B$28/100))*$B31),IF(F$27="mg/kg SAR",((F$28*0.001)*$B31),IF(F$27="mg/kg DM",(((F$28*0.001)*($B$28/100))*$B31),"0")))))))*1.658</f>
        <v>4.2854193359999995</v>
      </c>
      <c r="G31" s="65">
        <f t="shared" ref="G31:P46" si="5">IF(G$27="%w/w SAR",((G$28*10)*$B31),IF(G$27="%w/w DM",(((G$28*10)*($B$28/100))*$B31),IF(G$27="kg/t SAR",(G$28*$B31),IF(G$27="kg/t DM",((G$28*($B$28/100))*$B31),IF(G$27="mg/kg SAR",((G$28*0.001)*$B31),IF(G$27="mg/kg DM",(((G$28*0.001)*($B$28/100))*$B31),0))))))</f>
        <v>0.37924920000000006</v>
      </c>
      <c r="H31" s="65">
        <f t="shared" si="5"/>
        <v>2.5685880000000001</v>
      </c>
      <c r="I31" s="65">
        <f t="shared" si="5"/>
        <v>0.30114480000000005</v>
      </c>
      <c r="J31" s="65">
        <f t="shared" si="5"/>
        <v>1.8197519999999998E-2</v>
      </c>
      <c r="K31" s="65">
        <f t="shared" si="5"/>
        <v>4.8311999999999999E-3</v>
      </c>
      <c r="L31" s="65">
        <f t="shared" si="5"/>
        <v>0.24800159999999999</v>
      </c>
      <c r="M31" s="65">
        <f t="shared" si="5"/>
        <v>0.20935200000000004</v>
      </c>
      <c r="N31" s="65">
        <f t="shared" si="5"/>
        <v>9823.44</v>
      </c>
      <c r="O31" s="65">
        <f t="shared" si="5"/>
        <v>46.701600000000006</v>
      </c>
      <c r="P31" s="65">
        <f t="shared" si="5"/>
        <v>0</v>
      </c>
      <c r="Q31" s="65">
        <f>(IF(Q$27="%w/w SAR",((Q$28*10)*$B31),IF(Q$27="%w/w DM",(((Q$28*10)*($B$28/100))*$B31),IF(Q$27="kg/t SAR",(Q$28*$B31),IF(Q$27="kg/t DM",((Q$28*($B$28/100))*$B31),IF(Q$27="mg/kg SAR",((Q$28*0.001)*$B31),IF(Q$27="mg/kg DM",(((Q$28*0.001)*($B$28/100))*$B31),0)))))))*2.5</f>
        <v>7.7299199999999999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0.17150760000000001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SCJ2</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SCJ3</v>
      </c>
      <c r="B33" s="11">
        <v>122</v>
      </c>
      <c r="C33" s="65">
        <f t="shared" si="6"/>
        <v>45.091200000000008</v>
      </c>
      <c r="D33" s="65">
        <f t="shared" si="7"/>
        <v>32.559187979999997</v>
      </c>
      <c r="E33" s="65">
        <f t="shared" si="8"/>
        <v>2.5469482499999998</v>
      </c>
      <c r="F33" s="65">
        <f t="shared" si="9"/>
        <v>2.1427096679999997</v>
      </c>
      <c r="G33" s="65">
        <f t="shared" si="5"/>
        <v>0.18962460000000003</v>
      </c>
      <c r="H33" s="65">
        <f t="shared" si="5"/>
        <v>1.284294</v>
      </c>
      <c r="I33" s="65">
        <f t="shared" si="5"/>
        <v>0.15057240000000002</v>
      </c>
      <c r="J33" s="65">
        <f t="shared" si="5"/>
        <v>9.0987599999999991E-3</v>
      </c>
      <c r="K33" s="65">
        <f t="shared" si="5"/>
        <v>2.4156E-3</v>
      </c>
      <c r="L33" s="65">
        <f t="shared" si="5"/>
        <v>0.12400079999999999</v>
      </c>
      <c r="M33" s="65">
        <f t="shared" si="5"/>
        <v>0.10467600000000002</v>
      </c>
      <c r="N33" s="65">
        <f t="shared" si="5"/>
        <v>4911.72</v>
      </c>
      <c r="O33" s="65">
        <f t="shared" si="5"/>
        <v>23.350800000000003</v>
      </c>
      <c r="P33" s="65">
        <f t="shared" si="5"/>
        <v>0</v>
      </c>
      <c r="Q33" s="65">
        <f t="shared" si="10"/>
        <v>3.86496</v>
      </c>
      <c r="R33" s="65">
        <f t="shared" si="11"/>
        <v>0</v>
      </c>
      <c r="S33" s="65">
        <f t="shared" si="11"/>
        <v>8.5753800000000005E-2</v>
      </c>
      <c r="T33" s="65">
        <f t="shared" si="11"/>
        <v>0</v>
      </c>
      <c r="U33" s="126">
        <f t="shared" si="11"/>
        <v>0</v>
      </c>
    </row>
    <row r="34" spans="1:21" s="48" customFormat="1" ht="13" x14ac:dyDescent="0.35">
      <c r="A34" s="125" t="str">
        <f>F8</f>
        <v>SCJ4</v>
      </c>
      <c r="B34" s="11">
        <v>250</v>
      </c>
      <c r="C34" s="65">
        <f t="shared" si="6"/>
        <v>92.4</v>
      </c>
      <c r="D34" s="65">
        <f t="shared" si="7"/>
        <v>66.719647499999994</v>
      </c>
      <c r="E34" s="65">
        <f t="shared" si="8"/>
        <v>5.2191562500000002</v>
      </c>
      <c r="F34" s="65">
        <f t="shared" si="9"/>
        <v>4.3907984999999998</v>
      </c>
      <c r="G34" s="65">
        <f t="shared" si="5"/>
        <v>0.38857500000000006</v>
      </c>
      <c r="H34" s="65">
        <f t="shared" si="5"/>
        <v>2.6317499999999998</v>
      </c>
      <c r="I34" s="65">
        <f t="shared" si="5"/>
        <v>0.30855000000000005</v>
      </c>
      <c r="J34" s="65">
        <f t="shared" si="5"/>
        <v>1.8644999999999998E-2</v>
      </c>
      <c r="K34" s="65">
        <f t="shared" si="5"/>
        <v>4.9500000000000004E-3</v>
      </c>
      <c r="L34" s="65">
        <f t="shared" si="5"/>
        <v>0.25409999999999999</v>
      </c>
      <c r="M34" s="65">
        <f t="shared" si="5"/>
        <v>0.21450000000000002</v>
      </c>
      <c r="N34" s="65">
        <f t="shared" si="5"/>
        <v>10065.000000000002</v>
      </c>
      <c r="O34" s="65">
        <f t="shared" si="5"/>
        <v>47.85</v>
      </c>
      <c r="P34" s="65">
        <f t="shared" si="5"/>
        <v>0</v>
      </c>
      <c r="Q34" s="65">
        <f t="shared" si="10"/>
        <v>7.92</v>
      </c>
      <c r="R34" s="65">
        <f t="shared" si="11"/>
        <v>0</v>
      </c>
      <c r="S34" s="65">
        <f t="shared" si="11"/>
        <v>0.17572499999999999</v>
      </c>
      <c r="T34" s="65">
        <f t="shared" si="11"/>
        <v>0</v>
      </c>
      <c r="U34" s="126">
        <f t="shared" si="11"/>
        <v>0</v>
      </c>
    </row>
    <row r="35" spans="1:21" s="48" customFormat="1" ht="13" x14ac:dyDescent="0.35">
      <c r="A35" s="125" t="str">
        <f>G8</f>
        <v>SCJ5</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SCJ6</v>
      </c>
      <c r="B36" s="11">
        <v>122</v>
      </c>
      <c r="C36" s="65">
        <f t="shared" si="6"/>
        <v>45.091200000000008</v>
      </c>
      <c r="D36" s="65">
        <f t="shared" si="7"/>
        <v>32.559187979999997</v>
      </c>
      <c r="E36" s="65">
        <f t="shared" si="8"/>
        <v>2.5469482499999998</v>
      </c>
      <c r="F36" s="65">
        <f t="shared" si="9"/>
        <v>2.1427096679999997</v>
      </c>
      <c r="G36" s="65">
        <f t="shared" si="5"/>
        <v>0.18962460000000003</v>
      </c>
      <c r="H36" s="65">
        <f t="shared" si="5"/>
        <v>1.284294</v>
      </c>
      <c r="I36" s="65">
        <f t="shared" si="5"/>
        <v>0.15057240000000002</v>
      </c>
      <c r="J36" s="65">
        <f t="shared" si="5"/>
        <v>9.0987599999999991E-3</v>
      </c>
      <c r="K36" s="65">
        <f t="shared" si="5"/>
        <v>2.4156E-3</v>
      </c>
      <c r="L36" s="65">
        <f t="shared" si="5"/>
        <v>0.12400079999999999</v>
      </c>
      <c r="M36" s="65">
        <f t="shared" si="5"/>
        <v>0.10467600000000002</v>
      </c>
      <c r="N36" s="65">
        <f t="shared" si="5"/>
        <v>4911.72</v>
      </c>
      <c r="O36" s="65">
        <f t="shared" si="5"/>
        <v>23.350800000000003</v>
      </c>
      <c r="P36" s="65">
        <f t="shared" si="5"/>
        <v>0</v>
      </c>
      <c r="Q36" s="65">
        <f t="shared" si="10"/>
        <v>3.86496</v>
      </c>
      <c r="R36" s="65">
        <f t="shared" si="11"/>
        <v>0</v>
      </c>
      <c r="S36" s="65">
        <f t="shared" si="11"/>
        <v>8.5753800000000005E-2</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SCJ1</v>
      </c>
      <c r="C57" s="8" t="str">
        <f t="shared" ref="C57:U57" si="13">D8</f>
        <v>SCJ2</v>
      </c>
      <c r="D57" s="8" t="str">
        <f t="shared" si="13"/>
        <v>SCJ3</v>
      </c>
      <c r="E57" s="8" t="str">
        <f t="shared" si="13"/>
        <v>SCJ4</v>
      </c>
      <c r="F57" s="8" t="str">
        <f t="shared" si="13"/>
        <v>SCJ5</v>
      </c>
      <c r="G57" s="8" t="str">
        <f t="shared" si="13"/>
        <v>SCJ6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Arable</v>
      </c>
      <c r="F58" s="10" t="str">
        <f>G16&amp;" I "&amp;(VLOOKUP(G14,Table24581114[],6,FALSE))</f>
        <v>Medium/Clay I Arable</v>
      </c>
      <c r="G58" s="10" t="str">
        <f>H16&amp;" I "&amp;(VLOOKUP(H14,Table24581114[],6,FALSE))</f>
        <v>Medium/Clay I Grass</v>
      </c>
      <c r="H58" s="10" t="e">
        <f>I16&amp;" I "&amp;(VLOOKUP(I14,Table24581114[],6,FALSE))</f>
        <v>#N/A</v>
      </c>
      <c r="I58" s="10" t="e">
        <f>J16&amp;" I "&amp;(VLOOKUP(J14,Table24581114[],6,FALSE))</f>
        <v>#N/A</v>
      </c>
      <c r="J58" s="10" t="e">
        <f>K16&amp;" I "&amp;(VLOOKUP(K14,Table24581114[],6,FALSE))</f>
        <v>#N/A</v>
      </c>
      <c r="K58" s="10" t="e">
        <f>L16&amp;" I "&amp;(VLOOKUP(L14,Table24581114[],6,FALSE))</f>
        <v>#N/A</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6.7</v>
      </c>
      <c r="F59" s="64">
        <f>VLOOKUP(G$14,Table24581114[],5,FALSE)</f>
        <v>6.7</v>
      </c>
      <c r="G59" s="64">
        <f>VLOOKUP(H$14,Table24581114[],5,FALSE)</f>
        <v>6.2</v>
      </c>
      <c r="H59" s="64" t="e">
        <f>VLOOKUP(I$14,Table24581114[],5,FALSE)</f>
        <v>#N/A</v>
      </c>
      <c r="I59" s="64" t="e">
        <f>VLOOKUP(J$14,Table24581114[],5,FALSE)</f>
        <v>#N/A</v>
      </c>
      <c r="J59" s="64" t="e">
        <f>VLOOKUP(K$14,Table24581114[],5,FALSE)</f>
        <v>#N/A</v>
      </c>
      <c r="K59" s="64" t="e">
        <f>VLOOKUP(L$14,Table24581114[],5,FALSE)</f>
        <v>#N/A</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6.4</v>
      </c>
      <c r="C60" s="64">
        <f t="shared" ref="C60:U60" si="14">D10</f>
        <v>5.8</v>
      </c>
      <c r="D60" s="64">
        <f t="shared" si="14"/>
        <v>6</v>
      </c>
      <c r="E60" s="64">
        <f t="shared" si="14"/>
        <v>6</v>
      </c>
      <c r="F60" s="64">
        <f t="shared" si="14"/>
        <v>5.9</v>
      </c>
      <c r="G60" s="64">
        <f t="shared" si="14"/>
        <v>6.1</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8</v>
      </c>
      <c r="G61" s="64">
        <f t="shared" si="15"/>
        <v>6</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244</v>
      </c>
      <c r="C62" s="65">
        <f>B32</f>
        <v>0</v>
      </c>
      <c r="D62" s="65">
        <f>B33</f>
        <v>122</v>
      </c>
      <c r="E62" s="65">
        <f>B34</f>
        <v>250</v>
      </c>
      <c r="F62" s="65">
        <f>B35</f>
        <v>0</v>
      </c>
      <c r="G62" s="65">
        <f>B36</f>
        <v>122</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1.2000000000000011</v>
      </c>
      <c r="E64" s="65">
        <f t="shared" si="17"/>
        <v>5.6000000000000014</v>
      </c>
      <c r="F64" s="65">
        <f t="shared" si="17"/>
        <v>6.3999999999999986</v>
      </c>
      <c r="G64" s="65">
        <f t="shared" si="17"/>
        <v>0.6000000000000032</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-1.2000000000000011</v>
      </c>
      <c r="E65" s="65">
        <f t="shared" si="18"/>
        <v>-5.6000000000000014</v>
      </c>
      <c r="F65" s="65">
        <f t="shared" si="18"/>
        <v>-6.3999999999999986</v>
      </c>
      <c r="G65" s="65">
        <f t="shared" si="18"/>
        <v>-0.6000000000000032</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U28" sqref="U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60" t="s">
        <v>41</v>
      </c>
      <c r="B1" s="161"/>
      <c r="C1" s="168" t="str">
        <f>'DCWW Alaw'!C1:D1</f>
        <v xml:space="preserve"> PAN-031280</v>
      </c>
      <c r="D1" s="169"/>
      <c r="E1" s="106" t="s">
        <v>45</v>
      </c>
      <c r="F1" s="113">
        <f>'DCWW Alaw'!F1</f>
        <v>33.6</v>
      </c>
      <c r="G1" s="136" t="s">
        <v>43</v>
      </c>
      <c r="H1" s="137"/>
      <c r="I1" s="109">
        <v>6.4</v>
      </c>
      <c r="J1" s="160" t="s">
        <v>153</v>
      </c>
      <c r="K1" s="161"/>
      <c r="L1" s="109">
        <v>97.9</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40" t="s">
        <v>87</v>
      </c>
      <c r="B2" s="141"/>
      <c r="C2" s="170" t="str">
        <f>'DCWW Alaw'!C2:D2</f>
        <v>EPR/GP3792SK</v>
      </c>
      <c r="D2" s="171"/>
      <c r="E2" s="96" t="s">
        <v>109</v>
      </c>
      <c r="F2" s="110" t="s">
        <v>165</v>
      </c>
      <c r="G2" s="138" t="s">
        <v>110</v>
      </c>
      <c r="H2" s="139"/>
      <c r="I2" s="110"/>
      <c r="J2" s="140" t="s">
        <v>158</v>
      </c>
      <c r="K2" s="141"/>
      <c r="L2" s="110">
        <v>0.76600000000000001</v>
      </c>
      <c r="AB2" s="22" t="s">
        <v>56</v>
      </c>
      <c r="AC2" s="13"/>
      <c r="AD2" s="22" t="s">
        <v>70</v>
      </c>
      <c r="AE2" s="13"/>
      <c r="AF2" s="13"/>
      <c r="AG2" s="34" t="s">
        <v>76</v>
      </c>
      <c r="AH2" s="13"/>
      <c r="AI2" s="35" t="s">
        <v>126</v>
      </c>
      <c r="AJ2" s="36">
        <v>0</v>
      </c>
      <c r="AK2" s="37">
        <v>0</v>
      </c>
      <c r="AL2" s="7">
        <v>0</v>
      </c>
      <c r="AM2" s="9">
        <v>0</v>
      </c>
      <c r="AN2" s="9">
        <v>0</v>
      </c>
    </row>
    <row r="3" spans="1:41" ht="13" x14ac:dyDescent="0.25">
      <c r="A3" s="162" t="s">
        <v>42</v>
      </c>
      <c r="B3" s="163"/>
      <c r="C3" s="170" t="str">
        <f>'DCWW Alaw'!C3:D3</f>
        <v>Byproduct Recovery Ltd</v>
      </c>
      <c r="D3" s="171"/>
      <c r="E3" s="96" t="s">
        <v>108</v>
      </c>
      <c r="F3" s="111" t="s">
        <v>77</v>
      </c>
      <c r="G3" s="140" t="s">
        <v>159</v>
      </c>
      <c r="H3" s="141"/>
      <c r="I3" s="110"/>
      <c r="J3" s="162" t="s">
        <v>154</v>
      </c>
      <c r="K3" s="163"/>
      <c r="L3" s="110">
        <f>(L1/(L2*10000))*100</f>
        <v>1.2780678851174936</v>
      </c>
      <c r="AB3" s="22" t="s">
        <v>57</v>
      </c>
      <c r="AC3" s="13"/>
      <c r="AD3" s="22" t="s">
        <v>71</v>
      </c>
      <c r="AE3" s="13"/>
      <c r="AF3" s="13"/>
      <c r="AG3" s="34" t="s">
        <v>77</v>
      </c>
      <c r="AH3" s="13"/>
      <c r="AI3" s="38" t="s">
        <v>113</v>
      </c>
      <c r="AJ3" s="39">
        <v>1.7</v>
      </c>
      <c r="AK3" s="40">
        <v>6</v>
      </c>
      <c r="AL3" s="41">
        <v>1</v>
      </c>
      <c r="AM3" s="9">
        <v>6.2</v>
      </c>
      <c r="AN3" s="9" t="s">
        <v>112</v>
      </c>
    </row>
    <row r="4" spans="1:41" ht="25" x14ac:dyDescent="0.25">
      <c r="A4" s="140" t="s">
        <v>0</v>
      </c>
      <c r="B4" s="141"/>
      <c r="C4" s="172" t="str">
        <f>'DCWW Alaw'!C4:D4</f>
        <v>Plas Bach, Cerrigceinwen, Bodorgan, LL62 5NS</v>
      </c>
      <c r="D4" s="173"/>
      <c r="E4" s="99" t="s">
        <v>1</v>
      </c>
      <c r="F4" s="131" t="s">
        <v>172</v>
      </c>
      <c r="G4" s="162"/>
      <c r="H4" s="163"/>
      <c r="I4" s="115"/>
      <c r="J4" s="162"/>
      <c r="K4" s="163"/>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2" t="s">
        <v>47</v>
      </c>
      <c r="B5" s="143"/>
      <c r="C5" s="174" t="str">
        <f>'DCWW Alaw'!C5:D5</f>
        <v>Owen Clee</v>
      </c>
      <c r="D5" s="175"/>
      <c r="E5" s="107"/>
      <c r="F5" s="114"/>
      <c r="G5" s="166"/>
      <c r="H5" s="167"/>
      <c r="I5" s="114"/>
      <c r="J5" s="166"/>
      <c r="K5" s="16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2" t="s">
        <v>63</v>
      </c>
      <c r="B7" s="153"/>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40" t="s">
        <v>2</v>
      </c>
      <c r="B8" s="141"/>
      <c r="C8" s="49" t="str">
        <f>'DCWW Alaw'!C8</f>
        <v>SCJ1</v>
      </c>
      <c r="D8" s="49" t="str">
        <f>'DCWW Alaw'!D8</f>
        <v>SCJ2</v>
      </c>
      <c r="E8" s="49" t="str">
        <f>'DCWW Alaw'!E8</f>
        <v>SCJ3</v>
      </c>
      <c r="F8" s="49" t="str">
        <f>'DCWW Alaw'!F8</f>
        <v>SCJ4</v>
      </c>
      <c r="G8" s="49" t="str">
        <f>'DCWW Alaw'!G8</f>
        <v>SCJ5</v>
      </c>
      <c r="H8" s="49" t="str">
        <f>'DCWW Alaw'!H8</f>
        <v>SCJ6</v>
      </c>
      <c r="I8" s="49">
        <f>'DCWW Alaw'!I8</f>
        <v>0</v>
      </c>
      <c r="J8" s="49">
        <f>'DCWW Alaw'!J8</f>
        <v>0</v>
      </c>
      <c r="K8" s="49">
        <f>'DCWW Alaw'!K8</f>
        <v>0</v>
      </c>
      <c r="L8" s="49">
        <f>'DCWW Alaw'!L8</f>
        <v>0</v>
      </c>
      <c r="M8" s="49">
        <f>'DCWW Alaw'!M8</f>
        <v>0</v>
      </c>
      <c r="N8" s="49">
        <f>'DCWW Alaw'!N8</f>
        <v>0</v>
      </c>
      <c r="O8" s="49">
        <f>'DCWW Alaw'!O8</f>
        <v>0</v>
      </c>
      <c r="P8" s="49">
        <f>'DCWW Alaw'!P8</f>
        <v>0</v>
      </c>
      <c r="Q8" s="49">
        <f>'DCWW Alaw'!Q8</f>
        <v>0</v>
      </c>
      <c r="R8" s="49">
        <f>'DCWW Alaw'!R8</f>
        <v>0</v>
      </c>
      <c r="S8" s="49">
        <f>'DCWW Alaw'!S8</f>
        <v>0</v>
      </c>
      <c r="T8" s="49">
        <f>'DCWW Alaw'!T8</f>
        <v>0</v>
      </c>
      <c r="U8" s="49">
        <f>'DCWW Alaw'!U8</f>
        <v>0</v>
      </c>
      <c r="V8" s="102">
        <f>'DCWW Alaw'!V8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40" t="s">
        <v>3</v>
      </c>
      <c r="B9" s="141"/>
      <c r="C9" s="49" t="str">
        <f>'DCWW Alaw'!C9</f>
        <v>Moderate</v>
      </c>
      <c r="D9" s="49" t="str">
        <f>'DCWW Alaw'!D9</f>
        <v>Moderate</v>
      </c>
      <c r="E9" s="49" t="str">
        <f>'DCWW Alaw'!E9</f>
        <v>Moderate</v>
      </c>
      <c r="F9" s="49">
        <f>'DCWW Alaw'!F9</f>
        <v>1</v>
      </c>
      <c r="G9" s="49">
        <f>'DCWW Alaw'!G9</f>
        <v>1</v>
      </c>
      <c r="H9" s="49" t="str">
        <f>'DCWW Alaw'!H9</f>
        <v>Moderate</v>
      </c>
      <c r="I9" s="49">
        <f>'DCWW Alaw'!I9</f>
        <v>0</v>
      </c>
      <c r="J9" s="49">
        <f>'DCWW Alaw'!J9</f>
        <v>0</v>
      </c>
      <c r="K9" s="49">
        <f>'DCWW Alaw'!K9</f>
        <v>0</v>
      </c>
      <c r="L9" s="49">
        <f>'DCWW Alaw'!L9</f>
        <v>0</v>
      </c>
      <c r="M9" s="49">
        <f>'DCWW Alaw'!M9</f>
        <v>0</v>
      </c>
      <c r="N9" s="49">
        <f>'DCWW Alaw'!N9</f>
        <v>0</v>
      </c>
      <c r="O9" s="49">
        <f>'DCWW Alaw'!O9</f>
        <v>0</v>
      </c>
      <c r="P9" s="49">
        <f>'DCWW Alaw'!P9</f>
        <v>0</v>
      </c>
      <c r="Q9" s="49">
        <f>'DCWW Alaw'!Q9</f>
        <v>0</v>
      </c>
      <c r="R9" s="49">
        <f>'DCWW Alaw'!R9</f>
        <v>0</v>
      </c>
      <c r="S9" s="49">
        <f>'DCWW Alaw'!S9</f>
        <v>0</v>
      </c>
      <c r="T9" s="49">
        <f>'DCWW Alaw'!T9</f>
        <v>0</v>
      </c>
      <c r="U9" s="49">
        <f>'DCWW Alaw'!U9</f>
        <v>0</v>
      </c>
      <c r="V9" s="102">
        <f>'DCWW Alaw'!V9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40" t="s">
        <v>4</v>
      </c>
      <c r="B10" s="141"/>
      <c r="C10" s="49">
        <f>'DCWW Alaw'!C10</f>
        <v>6.4</v>
      </c>
      <c r="D10" s="49">
        <f>'DCWW Alaw'!D10</f>
        <v>5.8</v>
      </c>
      <c r="E10" s="49">
        <f>'DCWW Alaw'!E10</f>
        <v>6</v>
      </c>
      <c r="F10" s="49">
        <f>'DCWW Alaw'!F10</f>
        <v>6</v>
      </c>
      <c r="G10" s="49">
        <f>'DCWW Alaw'!G10</f>
        <v>5.9</v>
      </c>
      <c r="H10" s="49">
        <f>'DCWW Alaw'!H10</f>
        <v>6.1</v>
      </c>
      <c r="I10" s="49">
        <f>'DCWW Alaw'!I10</f>
        <v>0</v>
      </c>
      <c r="J10" s="49">
        <f>'DCWW Alaw'!J10</f>
        <v>0</v>
      </c>
      <c r="K10" s="49">
        <f>'DCWW Alaw'!K10</f>
        <v>0</v>
      </c>
      <c r="L10" s="49">
        <f>'DCWW Alaw'!L10</f>
        <v>0</v>
      </c>
      <c r="M10" s="49">
        <f>'DCWW Alaw'!M10</f>
        <v>0</v>
      </c>
      <c r="N10" s="49">
        <f>'DCWW Alaw'!N10</f>
        <v>0</v>
      </c>
      <c r="O10" s="49">
        <f>'DCWW Alaw'!O10</f>
        <v>0</v>
      </c>
      <c r="P10" s="49">
        <f>'DCWW Alaw'!P10</f>
        <v>0</v>
      </c>
      <c r="Q10" s="49">
        <f>'DCWW Alaw'!Q10</f>
        <v>0</v>
      </c>
      <c r="R10" s="49">
        <f>'DCWW Alaw'!R10</f>
        <v>0</v>
      </c>
      <c r="S10" s="49">
        <f>'DCWW Alaw'!S10</f>
        <v>0</v>
      </c>
      <c r="T10" s="49">
        <f>'DCWW Alaw'!T10</f>
        <v>0</v>
      </c>
      <c r="U10" s="49">
        <f>'DCWW Alaw'!U10</f>
        <v>0</v>
      </c>
      <c r="V10" s="102">
        <f>'DCWW Alaw'!V10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40" t="s">
        <v>5</v>
      </c>
      <c r="B11" s="141"/>
      <c r="C11" s="49">
        <f>'DCWW Alaw'!C11</f>
        <v>2</v>
      </c>
      <c r="D11" s="49">
        <f>'DCWW Alaw'!D11</f>
        <v>2</v>
      </c>
      <c r="E11" s="49">
        <f>'DCWW Alaw'!E11</f>
        <v>3</v>
      </c>
      <c r="F11" s="49">
        <f>'DCWW Alaw'!F11</f>
        <v>1</v>
      </c>
      <c r="G11" s="49">
        <f>'DCWW Alaw'!G11</f>
        <v>0</v>
      </c>
      <c r="H11" s="49">
        <f>'DCWW Alaw'!H11</f>
        <v>3</v>
      </c>
      <c r="I11" s="49">
        <f>'DCWW Alaw'!I11</f>
        <v>0</v>
      </c>
      <c r="J11" s="49">
        <f>'DCWW Alaw'!J11</f>
        <v>0</v>
      </c>
      <c r="K11" s="49">
        <f>'DCWW Alaw'!K11</f>
        <v>0</v>
      </c>
      <c r="L11" s="49">
        <f>'DCWW Alaw'!L11</f>
        <v>0</v>
      </c>
      <c r="M11" s="49">
        <f>'DCWW Alaw'!M11</f>
        <v>0</v>
      </c>
      <c r="N11" s="49">
        <f>'DCWW Alaw'!N11</f>
        <v>0</v>
      </c>
      <c r="O11" s="49">
        <f>'DCWW Alaw'!O11</f>
        <v>0</v>
      </c>
      <c r="P11" s="49">
        <f>'DCWW Alaw'!P11</f>
        <v>0</v>
      </c>
      <c r="Q11" s="49">
        <f>'DCWW Alaw'!Q11</f>
        <v>0</v>
      </c>
      <c r="R11" s="49">
        <f>'DCWW Alaw'!R11</f>
        <v>0</v>
      </c>
      <c r="S11" s="49">
        <f>'DCWW Alaw'!S11</f>
        <v>0</v>
      </c>
      <c r="T11" s="49">
        <f>'DCWW Alaw'!T11</f>
        <v>0</v>
      </c>
      <c r="U11" s="49">
        <f>'DCWW Alaw'!U11</f>
        <v>0</v>
      </c>
      <c r="V11" s="102">
        <f>'DCWW Alaw'!V11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40" t="s">
        <v>6</v>
      </c>
      <c r="B12" s="141"/>
      <c r="C12" s="49">
        <f>'DCWW Alaw'!C12</f>
        <v>3</v>
      </c>
      <c r="D12" s="49">
        <f>'DCWW Alaw'!D12</f>
        <v>4</v>
      </c>
      <c r="E12" s="49">
        <f>'DCWW Alaw'!E12</f>
        <v>4</v>
      </c>
      <c r="F12" s="49">
        <f>'DCWW Alaw'!F12</f>
        <v>1</v>
      </c>
      <c r="G12" s="49">
        <f>'DCWW Alaw'!G12</f>
        <v>1</v>
      </c>
      <c r="H12" s="49">
        <f>'DCWW Alaw'!H12</f>
        <v>2</v>
      </c>
      <c r="I12" s="49">
        <f>'DCWW Alaw'!I12</f>
        <v>0</v>
      </c>
      <c r="J12" s="49">
        <f>'DCWW Alaw'!J12</f>
        <v>0</v>
      </c>
      <c r="K12" s="49">
        <f>'DCWW Alaw'!K12</f>
        <v>0</v>
      </c>
      <c r="L12" s="49">
        <f>'DCWW Alaw'!L12</f>
        <v>0</v>
      </c>
      <c r="M12" s="49">
        <f>'DCWW Alaw'!M12</f>
        <v>0</v>
      </c>
      <c r="N12" s="49">
        <f>'DCWW Alaw'!N12</f>
        <v>0</v>
      </c>
      <c r="O12" s="49">
        <f>'DCWW Alaw'!O12</f>
        <v>0</v>
      </c>
      <c r="P12" s="49">
        <f>'DCWW Alaw'!P12</f>
        <v>0</v>
      </c>
      <c r="Q12" s="49">
        <f>'DCWW Alaw'!Q12</f>
        <v>0</v>
      </c>
      <c r="R12" s="49">
        <f>'DCWW Alaw'!R12</f>
        <v>0</v>
      </c>
      <c r="S12" s="49">
        <f>'DCWW Alaw'!S12</f>
        <v>0</v>
      </c>
      <c r="T12" s="49">
        <f>'DCWW Alaw'!T12</f>
        <v>0</v>
      </c>
      <c r="U12" s="49">
        <f>'DCWW Alaw'!U12</f>
        <v>0</v>
      </c>
      <c r="V12" s="102">
        <f>'DCWW Alaw'!V12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40" t="s">
        <v>7</v>
      </c>
      <c r="B13" s="141"/>
      <c r="C13" s="49">
        <f>'DCWW Alaw'!C13</f>
        <v>4</v>
      </c>
      <c r="D13" s="49">
        <f>'DCWW Alaw'!D13</f>
        <v>3</v>
      </c>
      <c r="E13" s="49">
        <f>'DCWW Alaw'!E13</f>
        <v>3</v>
      </c>
      <c r="F13" s="49">
        <f>'DCWW Alaw'!F13</f>
        <v>3</v>
      </c>
      <c r="G13" s="49">
        <f>'DCWW Alaw'!G13</f>
        <v>3</v>
      </c>
      <c r="H13" s="49">
        <f>'DCWW Alaw'!H13</f>
        <v>3</v>
      </c>
      <c r="I13" s="49">
        <f>'DCWW Alaw'!I13</f>
        <v>0</v>
      </c>
      <c r="J13" s="49">
        <f>'DCWW Alaw'!J13</f>
        <v>0</v>
      </c>
      <c r="K13" s="49">
        <f>'DCWW Alaw'!K13</f>
        <v>0</v>
      </c>
      <c r="L13" s="49">
        <f>'DCWW Alaw'!L13</f>
        <v>0</v>
      </c>
      <c r="M13" s="49">
        <f>'DCWW Alaw'!M13</f>
        <v>0</v>
      </c>
      <c r="N13" s="49">
        <f>'DCWW Alaw'!N13</f>
        <v>0</v>
      </c>
      <c r="O13" s="49">
        <f>'DCWW Alaw'!O13</f>
        <v>0</v>
      </c>
      <c r="P13" s="49">
        <f>'DCWW Alaw'!P13</f>
        <v>0</v>
      </c>
      <c r="Q13" s="49">
        <f>'DCWW Alaw'!Q13</f>
        <v>0</v>
      </c>
      <c r="R13" s="49">
        <f>'DCWW Alaw'!R13</f>
        <v>0</v>
      </c>
      <c r="S13" s="49">
        <f>'DCWW Alaw'!S13</f>
        <v>0</v>
      </c>
      <c r="T13" s="49">
        <f>'DCWW Alaw'!T13</f>
        <v>0</v>
      </c>
      <c r="U13" s="49">
        <f>'DCWW Alaw'!U13</f>
        <v>0</v>
      </c>
      <c r="V13" s="102">
        <f>'DCWW Alaw'!V13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6" t="s">
        <v>8</v>
      </c>
      <c r="B14" s="157"/>
      <c r="C14" s="83" t="str">
        <f>'DCWW Alaw'!C14</f>
        <v xml:space="preserve">Grass Silage (25% DM) </v>
      </c>
      <c r="D14" s="83" t="str">
        <f>'DCWW Alaw'!D14</f>
        <v xml:space="preserve">Grass Silage (25% DM) </v>
      </c>
      <c r="E14" s="83" t="str">
        <f>'DCWW Alaw'!E14</f>
        <v xml:space="preserve">Grass Silage (25% DM) </v>
      </c>
      <c r="F14" s="83" t="str">
        <f>'DCWW Alaw'!F14</f>
        <v>Spring wheat/barley</v>
      </c>
      <c r="G14" s="83" t="str">
        <f>'DCWW Alaw'!G14</f>
        <v>Spring wheat/barley</v>
      </c>
      <c r="H14" s="83" t="str">
        <f>'DCWW Alaw'!H14</f>
        <v xml:space="preserve">Grass Silage (25% DM) </v>
      </c>
      <c r="I14" s="83">
        <f>'DCWW Alaw'!I14</f>
        <v>0</v>
      </c>
      <c r="J14" s="83">
        <f>'DCWW Alaw'!J14</f>
        <v>0</v>
      </c>
      <c r="K14" s="83">
        <f>'DCWW Alaw'!K14</f>
        <v>0</v>
      </c>
      <c r="L14" s="83">
        <f>'DCWW Alaw'!L14</f>
        <v>0</v>
      </c>
      <c r="M14" s="83">
        <f>'DCWW Alaw'!M14</f>
        <v>0</v>
      </c>
      <c r="N14" s="83">
        <f>'DCWW Alaw'!N14</f>
        <v>0</v>
      </c>
      <c r="O14" s="83">
        <f>'DCWW Alaw'!O14</f>
        <v>0</v>
      </c>
      <c r="P14" s="83">
        <f>'DCWW Alaw'!P14</f>
        <v>0</v>
      </c>
      <c r="Q14" s="83">
        <f>'DCWW Alaw'!Q14</f>
        <v>0</v>
      </c>
      <c r="R14" s="83">
        <f>'DCWW Alaw'!R14</f>
        <v>0</v>
      </c>
      <c r="S14" s="83">
        <f>'DCWW Alaw'!S14</f>
        <v>0</v>
      </c>
      <c r="T14" s="83">
        <f>'DCWW Alaw'!T14</f>
        <v>0</v>
      </c>
      <c r="U14" s="83">
        <f>'DCWW Alaw'!U14</f>
        <v>0</v>
      </c>
      <c r="V14" s="103">
        <f>'DCWW Alaw'!V14</f>
        <v>0</v>
      </c>
      <c r="AD14" s="22" t="s">
        <v>138</v>
      </c>
      <c r="AE14" s="22">
        <v>6</v>
      </c>
      <c r="AI14" s="43" t="s">
        <v>119</v>
      </c>
      <c r="AJ14" s="44">
        <v>0.8</v>
      </c>
      <c r="AK14" s="45">
        <v>1.7</v>
      </c>
      <c r="AL14" s="9">
        <v>12</v>
      </c>
      <c r="AM14" s="9">
        <v>6.7</v>
      </c>
      <c r="AN14" s="9" t="s">
        <v>135</v>
      </c>
    </row>
    <row r="15" spans="1:41" ht="13" x14ac:dyDescent="0.25">
      <c r="A15" s="154" t="s">
        <v>9</v>
      </c>
      <c r="B15" s="155"/>
      <c r="C15" s="49">
        <f>'DCWW Alaw'!C15</f>
        <v>38</v>
      </c>
      <c r="D15" s="49">
        <f>'DCWW Alaw'!D15</f>
        <v>38</v>
      </c>
      <c r="E15" s="49">
        <f>'DCWW Alaw'!E15</f>
        <v>38</v>
      </c>
      <c r="F15" s="49">
        <f>'DCWW Alaw'!F15</f>
        <v>5.5</v>
      </c>
      <c r="G15" s="49">
        <f>'DCWW Alaw'!G15</f>
        <v>5.5</v>
      </c>
      <c r="H15" s="49">
        <f>'DCWW Alaw'!H15</f>
        <v>38</v>
      </c>
      <c r="I15" s="49">
        <f>'DCWW Alaw'!I15</f>
        <v>0</v>
      </c>
      <c r="J15" s="49">
        <f>'DCWW Alaw'!J15</f>
        <v>0</v>
      </c>
      <c r="K15" s="49">
        <f>'DCWW Alaw'!K15</f>
        <v>0</v>
      </c>
      <c r="L15" s="49">
        <f>'DCWW Alaw'!L15</f>
        <v>0</v>
      </c>
      <c r="M15" s="49">
        <f>'DCWW Alaw'!M15</f>
        <v>0</v>
      </c>
      <c r="N15" s="49">
        <f>'DCWW Alaw'!N15</f>
        <v>0</v>
      </c>
      <c r="O15" s="49">
        <f>'DCWW Alaw'!O15</f>
        <v>0</v>
      </c>
      <c r="P15" s="49">
        <f>'DCWW Alaw'!P15</f>
        <v>0</v>
      </c>
      <c r="Q15" s="49">
        <f>'DCWW Alaw'!Q15</f>
        <v>0</v>
      </c>
      <c r="R15" s="49">
        <f>'DCWW Alaw'!R15</f>
        <v>0</v>
      </c>
      <c r="S15" s="49">
        <f>'DCWW Alaw'!S15</f>
        <v>0</v>
      </c>
      <c r="T15" s="49">
        <f>'DCWW Alaw'!T15</f>
        <v>0</v>
      </c>
      <c r="U15" s="49">
        <f>'DCWW Alaw'!U15</f>
        <v>0</v>
      </c>
      <c r="V15" s="102">
        <f>'DCWW Alaw'!V15</f>
        <v>0</v>
      </c>
      <c r="AD15" s="22" t="s">
        <v>144</v>
      </c>
      <c r="AE15" s="22">
        <v>7</v>
      </c>
      <c r="AI15" s="43" t="s">
        <v>101</v>
      </c>
      <c r="AJ15" s="51">
        <v>1.8</v>
      </c>
      <c r="AK15" s="45">
        <v>5.4</v>
      </c>
      <c r="AL15" s="9">
        <v>13</v>
      </c>
      <c r="AM15" s="9">
        <v>6.7</v>
      </c>
      <c r="AN15" s="9" t="s">
        <v>135</v>
      </c>
    </row>
    <row r="16" spans="1:41" ht="13.5" thickBot="1" x14ac:dyDescent="0.3">
      <c r="A16" s="158" t="s">
        <v>44</v>
      </c>
      <c r="B16" s="159"/>
      <c r="C16" s="104" t="str">
        <f>'DCWW Alaw'!C16</f>
        <v>Medium/Clay</v>
      </c>
      <c r="D16" s="104" t="str">
        <f>'DCWW Alaw'!D16</f>
        <v>Medium/Clay</v>
      </c>
      <c r="E16" s="104" t="str">
        <f>'DCWW Alaw'!E16</f>
        <v>Medium/Clay</v>
      </c>
      <c r="F16" s="104" t="str">
        <f>'DCWW Alaw'!F16</f>
        <v>Medium/Clay</v>
      </c>
      <c r="G16" s="104" t="str">
        <f>'DCWW Alaw'!G16</f>
        <v>Medium/Clay</v>
      </c>
      <c r="H16" s="104" t="str">
        <f>'DCWW Alaw'!H16</f>
        <v>Medium/Clay</v>
      </c>
      <c r="I16" s="104">
        <f>'DCWW Alaw'!I16</f>
        <v>0</v>
      </c>
      <c r="J16" s="104">
        <f>'DCWW Alaw'!J16</f>
        <v>0</v>
      </c>
      <c r="K16" s="104">
        <f>'DCWW Alaw'!K16</f>
        <v>0</v>
      </c>
      <c r="L16" s="104">
        <f>'DCWW Alaw'!L16</f>
        <v>0</v>
      </c>
      <c r="M16" s="104">
        <f>'DCWW Alaw'!M16</f>
        <v>0</v>
      </c>
      <c r="N16" s="104">
        <f>'DCWW Alaw'!N16</f>
        <v>0</v>
      </c>
      <c r="O16" s="104">
        <f>'DCWW Alaw'!O16</f>
        <v>0</v>
      </c>
      <c r="P16" s="104">
        <f>'DCWW Alaw'!P16</f>
        <v>0</v>
      </c>
      <c r="Q16" s="104">
        <f>'DCWW Alaw'!Q16</f>
        <v>0</v>
      </c>
      <c r="R16" s="104">
        <f>'DCWW Alaw'!R16</f>
        <v>0</v>
      </c>
      <c r="S16" s="104">
        <f>'DCWW Alaw'!S16</f>
        <v>0</v>
      </c>
      <c r="T16" s="104">
        <f>'DCWW Alaw'!T16</f>
        <v>0</v>
      </c>
      <c r="U16" s="104">
        <f>'DCWW Alaw'!U16</f>
        <v>0</v>
      </c>
      <c r="V16" s="105">
        <f>'DCWW Alaw'!V16</f>
        <v>0</v>
      </c>
      <c r="AD16" s="42" t="s">
        <v>145</v>
      </c>
      <c r="AE16" s="22">
        <v>8</v>
      </c>
      <c r="AI16" s="43" t="s">
        <v>118</v>
      </c>
      <c r="AJ16" s="44">
        <v>8</v>
      </c>
      <c r="AK16" s="45">
        <v>5.5</v>
      </c>
      <c r="AL16" s="7">
        <v>14</v>
      </c>
      <c r="AM16" s="9">
        <v>6.7</v>
      </c>
      <c r="AN16" s="9" t="s">
        <v>135</v>
      </c>
    </row>
    <row r="17" spans="1:40" ht="13" x14ac:dyDescent="0.25">
      <c r="A17" s="152" t="s">
        <v>69</v>
      </c>
      <c r="B17" s="153"/>
      <c r="C17" s="20">
        <f>(VLOOKUP(C$14,$AI2:$AK26,2,FALSE))*C$15</f>
        <v>64.599999999999994</v>
      </c>
      <c r="D17" s="20">
        <f t="shared" ref="D17:V17" si="0">(VLOOKUP(D$14,$AI2:$AK26,2,FALSE))*D$15</f>
        <v>64.599999999999994</v>
      </c>
      <c r="E17" s="20">
        <f t="shared" si="0"/>
        <v>64.599999999999994</v>
      </c>
      <c r="F17" s="20">
        <f t="shared" si="0"/>
        <v>46.75</v>
      </c>
      <c r="G17" s="20">
        <f t="shared" si="0"/>
        <v>46.75</v>
      </c>
      <c r="H17" s="20">
        <f t="shared" si="0"/>
        <v>64.599999999999994</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0" t="s">
        <v>23</v>
      </c>
      <c r="B18" s="151"/>
      <c r="C18" s="12">
        <f>$D31</f>
        <v>65.262598991999994</v>
      </c>
      <c r="D18" s="12">
        <f>$D32</f>
        <v>65.262598991999994</v>
      </c>
      <c r="E18" s="12">
        <f>$D33</f>
        <v>32.631299495999997</v>
      </c>
      <c r="F18" s="12">
        <f>$D34</f>
        <v>66.867417000000003</v>
      </c>
      <c r="G18" s="12">
        <f>$D35</f>
        <v>66.867417000000003</v>
      </c>
      <c r="H18" s="12">
        <f>$D36</f>
        <v>32.631299495999997</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0" t="s">
        <v>90</v>
      </c>
      <c r="B19" s="151"/>
      <c r="C19" s="12">
        <f>C18-C17</f>
        <v>0.6625989919999995</v>
      </c>
      <c r="D19" s="12">
        <f t="shared" ref="D19:V19" si="1">D18-D17</f>
        <v>0.6625989919999995</v>
      </c>
      <c r="E19" s="12">
        <f t="shared" si="1"/>
        <v>-31.968700503999997</v>
      </c>
      <c r="F19" s="12">
        <f t="shared" si="1"/>
        <v>20.117417000000003</v>
      </c>
      <c r="G19" s="12">
        <f t="shared" si="1"/>
        <v>20.117417000000003</v>
      </c>
      <c r="H19" s="12">
        <f t="shared" si="1"/>
        <v>-31.968700503999997</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8" t="s">
        <v>91</v>
      </c>
      <c r="B20" s="149"/>
      <c r="C20" s="18" t="str">
        <f>IF($B31="","",IF(C$19&gt;=0,"INCREASE","DECREASE"))</f>
        <v>INCREASE</v>
      </c>
      <c r="D20" s="18" t="str">
        <f>IF($B32="","",IF(D$19&gt;=0,"INCREASE","DECREASE"))</f>
        <v>INCREASE</v>
      </c>
      <c r="E20" s="18" t="str">
        <f>IF($B33="","",IF(E$19&gt;=0,"INCREASE","DECREASE"))</f>
        <v>DECREASE</v>
      </c>
      <c r="F20" s="18" t="str">
        <f>IF($B34="","",IF(F$19&gt;=0,"INCREASE","DECREASE"))</f>
        <v>INCREASE</v>
      </c>
      <c r="G20" s="18" t="str">
        <f>IF($B35="","",IF(G$19&gt;=0,"INCREASE","DECREASE"))</f>
        <v>INCREASE</v>
      </c>
      <c r="H20" s="18" t="str">
        <f>IF($B36="","",IF(H$19&gt;=0,"INCREASE","DECREASE"))</f>
        <v>DECREASE</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2" t="s">
        <v>88</v>
      </c>
      <c r="B21" s="153"/>
      <c r="C21" s="20">
        <f>(VLOOKUP(C$14,$AI2:$AK26,3,FALSE))*C$15</f>
        <v>228</v>
      </c>
      <c r="D21" s="20">
        <f t="shared" ref="D21:V21" si="2">(VLOOKUP(D$14,$AI2:$AK26,3,FALSE))*D$15</f>
        <v>228</v>
      </c>
      <c r="E21" s="20">
        <f t="shared" si="2"/>
        <v>228</v>
      </c>
      <c r="F21" s="20">
        <f t="shared" si="2"/>
        <v>66</v>
      </c>
      <c r="G21" s="20">
        <f t="shared" si="2"/>
        <v>66</v>
      </c>
      <c r="H21" s="20">
        <f t="shared" si="2"/>
        <v>228</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0" t="s">
        <v>89</v>
      </c>
      <c r="B22" s="151"/>
      <c r="C22" s="12">
        <f>$E31</f>
        <v>5.1306784020000009</v>
      </c>
      <c r="D22" s="12">
        <f>$E32</f>
        <v>5.1306784020000009</v>
      </c>
      <c r="E22" s="12">
        <f>$E33</f>
        <v>2.5653392010000005</v>
      </c>
      <c r="F22" s="12">
        <f>$E34</f>
        <v>5.2568426250000009</v>
      </c>
      <c r="G22" s="12">
        <f>$E35</f>
        <v>5.2568426250000009</v>
      </c>
      <c r="H22" s="12">
        <f>$E36</f>
        <v>2.5653392010000005</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0" t="s">
        <v>92</v>
      </c>
      <c r="B23" s="151"/>
      <c r="C23" s="12">
        <f>C22-C21</f>
        <v>-222.869321598</v>
      </c>
      <c r="D23" s="12">
        <f t="shared" ref="D23:V23" si="3">D22-D21</f>
        <v>-222.869321598</v>
      </c>
      <c r="E23" s="12">
        <f t="shared" si="3"/>
        <v>-225.434660799</v>
      </c>
      <c r="F23" s="12">
        <f t="shared" si="3"/>
        <v>-60.743157374999996</v>
      </c>
      <c r="G23" s="12">
        <f t="shared" si="3"/>
        <v>-60.743157374999996</v>
      </c>
      <c r="H23" s="12">
        <f t="shared" si="3"/>
        <v>-225.434660799</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8" t="s">
        <v>93</v>
      </c>
      <c r="B24" s="149"/>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6.21</v>
      </c>
      <c r="C28" s="11">
        <v>0.76600000000000001</v>
      </c>
      <c r="D28" s="11">
        <v>0.188</v>
      </c>
      <c r="E28" s="11">
        <v>2.81E-2</v>
      </c>
      <c r="F28" s="11">
        <v>387</v>
      </c>
      <c r="G28" s="11">
        <v>35.4</v>
      </c>
      <c r="H28" s="11">
        <v>331</v>
      </c>
      <c r="I28" s="11">
        <v>31.4</v>
      </c>
      <c r="J28" s="11">
        <v>2.67</v>
      </c>
      <c r="K28" s="15">
        <v>0.32</v>
      </c>
      <c r="L28" s="11">
        <v>31</v>
      </c>
      <c r="M28" s="11">
        <v>16.2</v>
      </c>
      <c r="N28" s="11">
        <v>3810</v>
      </c>
      <c r="O28" s="11">
        <v>383000</v>
      </c>
      <c r="P28" s="11"/>
      <c r="Q28" s="11">
        <v>2100</v>
      </c>
      <c r="R28" s="11"/>
      <c r="S28" s="11">
        <v>17.600000000000001</v>
      </c>
      <c r="T28" s="11"/>
      <c r="U28" s="97" t="s">
        <v>183</v>
      </c>
    </row>
    <row r="29" spans="1:40" s="7" customFormat="1" ht="28" x14ac:dyDescent="0.35">
      <c r="A29" s="16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SCJ1</v>
      </c>
      <c r="B31" s="11">
        <v>244</v>
      </c>
      <c r="C31" s="65">
        <f>IF(C$27="%w/w SAR",((C$28*10)*$B31),IF(C$27="%w/w DM",(((C$28*10)*($B$28/100))*$B31),IF(C$27="kg/t SAR",(C$28*$B31),IF(C$27="kg/t DM",((C$28*($B$28/100))*$B31),IF(C$27="mg/kg SAR",((C$28*0.001)*$B31),IF(C$27="mg/kg DM",(((C$28*0.001)*($B$28/100))*$B31),0))))))</f>
        <v>116.06738400000002</v>
      </c>
      <c r="D31" s="65">
        <f>(IF(D$27="%w/w SAR",((D$28*10)*$B31),IF(D$27="%w/w DM",(((D$28*10)*($B$28/100))*$B31),IF(D$27="kg/t SAR",(D$28*$B31),IF(D$27="kg/t DM",((D$28*($B$28/100))*$B31),IF(D$27="mg/kg SAR",((D$28*0.001)*$B31),IF(D$27="mg/kg DM",(((D$28*0.001)*($B$28/100))*$B31),"0")))))))*2.291</f>
        <v>65.262598991999994</v>
      </c>
      <c r="E31" s="65">
        <f>(IF(E$27="%w/w SAR",((E$28*10)*$B31),IF(E$27="%w/w DM",(((E$28*10)*($B$28/100))*$B31),IF(E$27="kg/t SAR",(E$28*$B31),IF(E$27="kg/t DM",((E$28*($B$28/100))*$B31),IF(E$27="mg/kg SAR",((E$28*0.001)*$B31),IF(E$27="mg/kg DM",(((E$28*0.001)*($B$28/100))*$B31),"0")))))))*1.205</f>
        <v>5.1306784020000009</v>
      </c>
      <c r="F31" s="65">
        <f>(IF(F$27="%w/w SAR",((F$28*10)*$B31),IF(F$27="%w/w DM",(((F$28*10)*($B$28/100))*$B31),IF(F$27="kg/t SAR",(F$28*$B31),IF(F$27="kg/t DM",((F$28*($B$28/100))*$B31),IF(F$27="mg/kg SAR",((F$28*0.001)*$B31),IF(F$27="mg/kg DM",(((F$28*0.001)*($B$28/100))*$B31),"0")))))))*1.658</f>
        <v>9.7224768503999996</v>
      </c>
      <c r="G31" s="65">
        <f t="shared" ref="G31:P46" si="5">IF(G$27="%w/w SAR",((G$28*10)*$B31),IF(G$27="%w/w DM",(((G$28*10)*($B$28/100))*$B31),IF(G$27="kg/t SAR",(G$28*$B31),IF(G$27="kg/t DM",((G$28*($B$28/100))*$B31),IF(G$27="mg/kg SAR",((G$28*0.001)*$B31),IF(G$27="mg/kg DM",(((G$28*0.001)*($B$28/100))*$B31),0))))))</f>
        <v>0.53639495999999998</v>
      </c>
      <c r="H31" s="65">
        <f t="shared" si="5"/>
        <v>5.0154444000000007</v>
      </c>
      <c r="I31" s="65">
        <f t="shared" si="5"/>
        <v>0.47578535999999993</v>
      </c>
      <c r="J31" s="65">
        <f t="shared" si="5"/>
        <v>4.0456908000000007E-2</v>
      </c>
      <c r="K31" s="65">
        <f t="shared" si="5"/>
        <v>4.8487680000000007E-3</v>
      </c>
      <c r="L31" s="65">
        <f t="shared" si="5"/>
        <v>0.46972440000000004</v>
      </c>
      <c r="M31" s="65">
        <f t="shared" si="5"/>
        <v>0.24546888</v>
      </c>
      <c r="N31" s="65">
        <f t="shared" si="5"/>
        <v>57.730643999999998</v>
      </c>
      <c r="O31" s="65">
        <f t="shared" si="5"/>
        <v>5803.3692000000001</v>
      </c>
      <c r="P31" s="65">
        <f t="shared" si="5"/>
        <v>0</v>
      </c>
      <c r="Q31" s="65">
        <f>(IF(Q$27="%w/w SAR",((Q$28*10)*$B31),IF(Q$27="%w/w DM",(((Q$28*10)*($B$28/100))*$B31),IF(Q$27="kg/t SAR",(Q$28*$B31),IF(Q$27="kg/t DM",((Q$28*($B$28/100))*$B31),IF(Q$27="mg/kg SAR",((Q$28*0.001)*$B31),IF(Q$27="mg/kg DM",(((Q$28*0.001)*($B$28/100))*$B31),0)))))))*2.5</f>
        <v>79.5501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0.26668224000000001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SCJ2</v>
      </c>
      <c r="B32" s="11">
        <v>244</v>
      </c>
      <c r="C32" s="65">
        <f t="shared" ref="C32:C50" si="6">IF(C$27="%w/w SAR",((C$28*10)*$B32),IF(C$27="%w/w DM",(((C$28*10)*($B$28/100))*$B32),IF(C$27="kg/t SAR",(C$28*$B32),IF(C$27="kg/t DM",((C$28*($B$28/100))*$B32),IF(C$27="mg/kg SAR",((C$28*0.001)*$B32),IF(C$27="mg/kg DM",(((C$28*0.001)*($B$28/100))*$B32),0))))))</f>
        <v>116.06738400000002</v>
      </c>
      <c r="D32" s="65">
        <f t="shared" ref="D32:D50" si="7">(IF(D$27="%w/w SAR",((D$28*10)*$B32),IF(D$27="%w/w DM",(((D$28*10)*($B$28/100))*$B32),IF(D$27="kg/t SAR",(D$28*$B32),IF(D$27="kg/t DM",((D$28*($B$28/100))*$B32),IF(D$27="mg/kg SAR",((D$28*0.001)*$B32),IF(D$27="mg/kg DM",(((D$28*0.001)*($B$28/100))*$B32),"0")))))))*2.291</f>
        <v>65.262598991999994</v>
      </c>
      <c r="E32" s="65">
        <f t="shared" ref="E32:E50" si="8">(IF(E$27="%w/w SAR",((E$28*10)*$B32),IF(E$27="%w/w DM",(((E$28*10)*($B$28/100))*$B32),IF(E$27="kg/t SAR",(E$28*$B32),IF(E$27="kg/t DM",((E$28*($B$28/100))*$B32),IF(E$27="mg/kg SAR",((E$28*0.001)*$B32),IF(E$27="mg/kg DM",(((E$28*0.001)*($B$28/100))*$B32),"0")))))))*1.205</f>
        <v>5.1306784020000009</v>
      </c>
      <c r="F32" s="65">
        <f t="shared" ref="F32:F50" si="9">(IF(F$27="%w/w SAR",((F$28*10)*$B32),IF(F$27="%w/w DM",(((F$28*10)*($B$28/100))*$B32),IF(F$27="kg/t SAR",(F$28*$B32),IF(F$27="kg/t DM",((F$28*($B$28/100))*$B32),IF(F$27="mg/kg SAR",((F$28*0.001)*$B32),IF(F$27="mg/kg DM",(((F$28*0.001)*($B$28/100))*$B32),"0")))))))*1.658</f>
        <v>9.7224768503999996</v>
      </c>
      <c r="G32" s="65">
        <f t="shared" si="5"/>
        <v>0.53639495999999998</v>
      </c>
      <c r="H32" s="65">
        <f t="shared" si="5"/>
        <v>5.0154444000000007</v>
      </c>
      <c r="I32" s="65">
        <f t="shared" si="5"/>
        <v>0.47578535999999993</v>
      </c>
      <c r="J32" s="65">
        <f t="shared" si="5"/>
        <v>4.0456908000000007E-2</v>
      </c>
      <c r="K32" s="65">
        <f t="shared" si="5"/>
        <v>4.8487680000000007E-3</v>
      </c>
      <c r="L32" s="65">
        <f t="shared" si="5"/>
        <v>0.46972440000000004</v>
      </c>
      <c r="M32" s="65">
        <f t="shared" si="5"/>
        <v>0.24546888</v>
      </c>
      <c r="N32" s="65">
        <f t="shared" si="5"/>
        <v>57.730643999999998</v>
      </c>
      <c r="O32" s="65">
        <f t="shared" si="5"/>
        <v>5803.3692000000001</v>
      </c>
      <c r="P32" s="65">
        <f t="shared" si="5"/>
        <v>0</v>
      </c>
      <c r="Q32" s="65">
        <f t="shared" ref="Q32:Q50" si="10">(IF(Q$27="%w/w SAR",((Q$28*10)*$B32),IF(Q$27="%w/w DM",(((Q$28*10)*($B$28/100))*$B32),IF(Q$27="kg/t SAR",(Q$28*$B32),IF(Q$27="kg/t DM",((Q$28*($B$28/100))*$B32),IF(Q$27="mg/kg SAR",((Q$28*0.001)*$B32),IF(Q$27="mg/kg DM",(((Q$28*0.001)*($B$28/100))*$B32),0)))))))*2.5</f>
        <v>79.5501</v>
      </c>
      <c r="R32" s="65">
        <f t="shared" ref="R32:U50" si="11">IF(R$27="%w/w SAR",((R$28*10)*$B32),IF(R$27="%w/w DM",(((R$28*10)*($B$28/100))*$B32),IF(R$27="kg/t SAR",(R$28*$B32),IF(R$27="kg/t DM",((R$28*($B$28/100))*$B32),IF(R$27="mg/kg SAR",((R$28*0.001)*$B32),IF(R$27="mg/kg DM",(((R$28*0.001)*($B$28/100))*$B32),0))))))</f>
        <v>0</v>
      </c>
      <c r="S32" s="65">
        <f t="shared" si="11"/>
        <v>0.26668224000000001</v>
      </c>
      <c r="T32" s="65">
        <f t="shared" si="11"/>
        <v>0</v>
      </c>
      <c r="U32" s="126">
        <f t="shared" si="11"/>
        <v>0</v>
      </c>
    </row>
    <row r="33" spans="1:21" s="48" customFormat="1" ht="13" x14ac:dyDescent="0.35">
      <c r="A33" s="125" t="str">
        <f>E8</f>
        <v>SCJ3</v>
      </c>
      <c r="B33" s="11">
        <v>122</v>
      </c>
      <c r="C33" s="65">
        <f t="shared" si="6"/>
        <v>58.033692000000009</v>
      </c>
      <c r="D33" s="65">
        <f t="shared" si="7"/>
        <v>32.631299495999997</v>
      </c>
      <c r="E33" s="65">
        <f t="shared" si="8"/>
        <v>2.5653392010000005</v>
      </c>
      <c r="F33" s="65">
        <f t="shared" si="9"/>
        <v>4.8612384251999998</v>
      </c>
      <c r="G33" s="65">
        <f t="shared" si="5"/>
        <v>0.26819747999999999</v>
      </c>
      <c r="H33" s="65">
        <f t="shared" si="5"/>
        <v>2.5077222000000003</v>
      </c>
      <c r="I33" s="65">
        <f t="shared" si="5"/>
        <v>0.23789267999999997</v>
      </c>
      <c r="J33" s="65">
        <f t="shared" si="5"/>
        <v>2.0228454000000003E-2</v>
      </c>
      <c r="K33" s="65">
        <f t="shared" si="5"/>
        <v>2.4243840000000003E-3</v>
      </c>
      <c r="L33" s="65">
        <f t="shared" si="5"/>
        <v>0.23486220000000002</v>
      </c>
      <c r="M33" s="65">
        <f t="shared" si="5"/>
        <v>0.12273444</v>
      </c>
      <c r="N33" s="65">
        <f t="shared" si="5"/>
        <v>28.865321999999999</v>
      </c>
      <c r="O33" s="65">
        <f t="shared" si="5"/>
        <v>2901.6846</v>
      </c>
      <c r="P33" s="65">
        <f t="shared" si="5"/>
        <v>0</v>
      </c>
      <c r="Q33" s="65">
        <f t="shared" si="10"/>
        <v>39.77505</v>
      </c>
      <c r="R33" s="65">
        <f t="shared" si="11"/>
        <v>0</v>
      </c>
      <c r="S33" s="65">
        <f t="shared" si="11"/>
        <v>0.13334112000000001</v>
      </c>
      <c r="T33" s="65">
        <f t="shared" si="11"/>
        <v>0</v>
      </c>
      <c r="U33" s="126">
        <f t="shared" si="11"/>
        <v>0</v>
      </c>
    </row>
    <row r="34" spans="1:21" s="48" customFormat="1" ht="13" x14ac:dyDescent="0.35">
      <c r="A34" s="125" t="str">
        <f>F8</f>
        <v>SCJ4</v>
      </c>
      <c r="B34" s="11">
        <v>250</v>
      </c>
      <c r="C34" s="65">
        <f t="shared" si="6"/>
        <v>118.92150000000001</v>
      </c>
      <c r="D34" s="65">
        <f t="shared" si="7"/>
        <v>66.867417000000003</v>
      </c>
      <c r="E34" s="65">
        <f t="shared" si="8"/>
        <v>5.2568426250000009</v>
      </c>
      <c r="F34" s="65">
        <f t="shared" si="9"/>
        <v>9.9615541499999996</v>
      </c>
      <c r="G34" s="65">
        <f t="shared" si="5"/>
        <v>0.54958499999999999</v>
      </c>
      <c r="H34" s="65">
        <f t="shared" si="5"/>
        <v>5.1387750000000008</v>
      </c>
      <c r="I34" s="65">
        <f t="shared" si="5"/>
        <v>0.48748499999999995</v>
      </c>
      <c r="J34" s="65">
        <f t="shared" si="5"/>
        <v>4.1451750000000002E-2</v>
      </c>
      <c r="K34" s="65">
        <f t="shared" si="5"/>
        <v>4.9680000000000002E-3</v>
      </c>
      <c r="L34" s="65">
        <f t="shared" si="5"/>
        <v>0.48127500000000001</v>
      </c>
      <c r="M34" s="65">
        <f t="shared" si="5"/>
        <v>0.25150500000000003</v>
      </c>
      <c r="N34" s="65">
        <f t="shared" si="5"/>
        <v>59.15025</v>
      </c>
      <c r="O34" s="65">
        <f t="shared" si="5"/>
        <v>5946.0750000000007</v>
      </c>
      <c r="P34" s="65">
        <f t="shared" si="5"/>
        <v>0</v>
      </c>
      <c r="Q34" s="65">
        <f t="shared" si="10"/>
        <v>81.506249999999994</v>
      </c>
      <c r="R34" s="65">
        <f t="shared" si="11"/>
        <v>0</v>
      </c>
      <c r="S34" s="65">
        <f t="shared" si="11"/>
        <v>0.27323999999999998</v>
      </c>
      <c r="T34" s="65">
        <f t="shared" si="11"/>
        <v>0</v>
      </c>
      <c r="U34" s="126">
        <f t="shared" si="11"/>
        <v>0</v>
      </c>
    </row>
    <row r="35" spans="1:21" s="48" customFormat="1" ht="13" x14ac:dyDescent="0.35">
      <c r="A35" s="125" t="str">
        <f>G8</f>
        <v>SCJ5</v>
      </c>
      <c r="B35" s="11">
        <v>250</v>
      </c>
      <c r="C35" s="65">
        <f t="shared" si="6"/>
        <v>118.92150000000001</v>
      </c>
      <c r="D35" s="65">
        <f t="shared" si="7"/>
        <v>66.867417000000003</v>
      </c>
      <c r="E35" s="65">
        <f t="shared" si="8"/>
        <v>5.2568426250000009</v>
      </c>
      <c r="F35" s="65">
        <f t="shared" si="9"/>
        <v>9.9615541499999996</v>
      </c>
      <c r="G35" s="65">
        <f t="shared" si="5"/>
        <v>0.54958499999999999</v>
      </c>
      <c r="H35" s="65">
        <f t="shared" si="5"/>
        <v>5.1387750000000008</v>
      </c>
      <c r="I35" s="65">
        <f t="shared" si="5"/>
        <v>0.48748499999999995</v>
      </c>
      <c r="J35" s="65">
        <f t="shared" si="5"/>
        <v>4.1451750000000002E-2</v>
      </c>
      <c r="K35" s="65">
        <f t="shared" si="5"/>
        <v>4.9680000000000002E-3</v>
      </c>
      <c r="L35" s="65">
        <f t="shared" si="5"/>
        <v>0.48127500000000001</v>
      </c>
      <c r="M35" s="65">
        <f t="shared" si="5"/>
        <v>0.25150500000000003</v>
      </c>
      <c r="N35" s="65">
        <f t="shared" si="5"/>
        <v>59.15025</v>
      </c>
      <c r="O35" s="65">
        <f t="shared" si="5"/>
        <v>5946.0750000000007</v>
      </c>
      <c r="P35" s="65">
        <f t="shared" si="5"/>
        <v>0</v>
      </c>
      <c r="Q35" s="65">
        <f t="shared" si="10"/>
        <v>81.506249999999994</v>
      </c>
      <c r="R35" s="65">
        <f t="shared" si="11"/>
        <v>0</v>
      </c>
      <c r="S35" s="65">
        <f t="shared" si="11"/>
        <v>0.27323999999999998</v>
      </c>
      <c r="T35" s="65">
        <f t="shared" si="11"/>
        <v>0</v>
      </c>
      <c r="U35" s="126">
        <f t="shared" si="11"/>
        <v>0</v>
      </c>
    </row>
    <row r="36" spans="1:21" s="48" customFormat="1" ht="13" x14ac:dyDescent="0.35">
      <c r="A36" s="125" t="str">
        <f>H8</f>
        <v>SCJ6</v>
      </c>
      <c r="B36" s="11">
        <v>122</v>
      </c>
      <c r="C36" s="65">
        <f t="shared" si="6"/>
        <v>58.033692000000009</v>
      </c>
      <c r="D36" s="65">
        <f t="shared" si="7"/>
        <v>32.631299495999997</v>
      </c>
      <c r="E36" s="65">
        <f t="shared" si="8"/>
        <v>2.5653392010000005</v>
      </c>
      <c r="F36" s="65">
        <f t="shared" si="9"/>
        <v>4.8612384251999998</v>
      </c>
      <c r="G36" s="65">
        <f t="shared" si="5"/>
        <v>0.26819747999999999</v>
      </c>
      <c r="H36" s="65">
        <f t="shared" si="5"/>
        <v>2.5077222000000003</v>
      </c>
      <c r="I36" s="65">
        <f t="shared" si="5"/>
        <v>0.23789267999999997</v>
      </c>
      <c r="J36" s="65">
        <f t="shared" si="5"/>
        <v>2.0228454000000003E-2</v>
      </c>
      <c r="K36" s="65">
        <f t="shared" si="5"/>
        <v>2.4243840000000003E-3</v>
      </c>
      <c r="L36" s="65">
        <f t="shared" si="5"/>
        <v>0.23486220000000002</v>
      </c>
      <c r="M36" s="65">
        <f t="shared" si="5"/>
        <v>0.12273444</v>
      </c>
      <c r="N36" s="65">
        <f t="shared" si="5"/>
        <v>28.865321999999999</v>
      </c>
      <c r="O36" s="65">
        <f t="shared" si="5"/>
        <v>2901.6846</v>
      </c>
      <c r="P36" s="65">
        <f t="shared" si="5"/>
        <v>0</v>
      </c>
      <c r="Q36" s="65">
        <f t="shared" si="10"/>
        <v>39.77505</v>
      </c>
      <c r="R36" s="65">
        <f t="shared" si="11"/>
        <v>0</v>
      </c>
      <c r="S36" s="65">
        <f t="shared" si="11"/>
        <v>0.13334112000000001</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SCJ1</v>
      </c>
      <c r="C57" s="8" t="str">
        <f t="shared" ref="C57:U57" si="13">D8</f>
        <v>SCJ2</v>
      </c>
      <c r="D57" s="8" t="str">
        <f t="shared" si="13"/>
        <v>SCJ3</v>
      </c>
      <c r="E57" s="8" t="str">
        <f t="shared" si="13"/>
        <v>SCJ4</v>
      </c>
      <c r="F57" s="8" t="str">
        <f t="shared" si="13"/>
        <v>SCJ5</v>
      </c>
      <c r="G57" s="8" t="str">
        <f t="shared" si="13"/>
        <v>SCJ6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Arable</v>
      </c>
      <c r="F58" s="10" t="str">
        <f>G16&amp;" I "&amp;(VLOOKUP(G14,Table245810[],6,FALSE))</f>
        <v>Medium/Clay I Arable</v>
      </c>
      <c r="G58" s="10" t="str">
        <f>H16&amp;" I "&amp;(VLOOKUP(H14,Table245810[],6,FALSE))</f>
        <v>Medium/Clay I Grass</v>
      </c>
      <c r="H58" s="10" t="e">
        <f>I16&amp;" I "&amp;(VLOOKUP(I14,Table245810[],6,FALSE))</f>
        <v>#N/A</v>
      </c>
      <c r="I58" s="10" t="e">
        <f>J16&amp;" I "&amp;(VLOOKUP(J14,Table245810[],6,FALSE))</f>
        <v>#N/A</v>
      </c>
      <c r="J58" s="10" t="e">
        <f>K16&amp;" I "&amp;(VLOOKUP(K14,Table245810[],6,FALSE))</f>
        <v>#N/A</v>
      </c>
      <c r="K58" s="10" t="e">
        <f>L16&amp;" I "&amp;(VLOOKUP(L14,Table245810[],6,FALSE))</f>
        <v>#N/A</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6.7</v>
      </c>
      <c r="F59" s="64">
        <f>VLOOKUP(G$14,Table245810[],5,FALSE)</f>
        <v>6.7</v>
      </c>
      <c r="G59" s="64">
        <f>VLOOKUP(H$14,Table245810[],5,FALSE)</f>
        <v>6.2</v>
      </c>
      <c r="H59" s="64" t="e">
        <f>VLOOKUP(I$14,Table245810[],5,FALSE)</f>
        <v>#N/A</v>
      </c>
      <c r="I59" s="64" t="e">
        <f>VLOOKUP(J$14,Table245810[],5,FALSE)</f>
        <v>#N/A</v>
      </c>
      <c r="J59" s="64" t="e">
        <f>VLOOKUP(K$14,Table245810[],5,FALSE)</f>
        <v>#N/A</v>
      </c>
      <c r="K59" s="64" t="e">
        <f>VLOOKUP(L$14,Table245810[],5,FALSE)</f>
        <v>#N/A</v>
      </c>
      <c r="L59" s="64" t="e">
        <f>VLOOKUP(M$14,Table245810[],5,FALSE)</f>
        <v>#N/A</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6.4</v>
      </c>
      <c r="C60" s="64">
        <f t="shared" ref="C60:U60" si="14">D10</f>
        <v>5.8</v>
      </c>
      <c r="D60" s="64">
        <f t="shared" si="14"/>
        <v>6</v>
      </c>
      <c r="E60" s="64">
        <f t="shared" si="14"/>
        <v>6</v>
      </c>
      <c r="F60" s="64">
        <f t="shared" si="14"/>
        <v>5.9</v>
      </c>
      <c r="G60" s="64">
        <f t="shared" si="14"/>
        <v>6.1</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8</v>
      </c>
      <c r="G61" s="64">
        <f t="shared" si="15"/>
        <v>6</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244</v>
      </c>
      <c r="C62" s="65">
        <f>B32</f>
        <v>244</v>
      </c>
      <c r="D62" s="65">
        <f>B33</f>
        <v>122</v>
      </c>
      <c r="E62" s="65">
        <f>B34</f>
        <v>250</v>
      </c>
      <c r="F62" s="65">
        <f>B35</f>
        <v>250</v>
      </c>
      <c r="G62" s="65">
        <f>B36</f>
        <v>122</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1.2000000000000011</v>
      </c>
      <c r="E64" s="65">
        <f t="shared" si="17"/>
        <v>5.6000000000000014</v>
      </c>
      <c r="F64" s="65">
        <f t="shared" si="17"/>
        <v>6.3999999999999986</v>
      </c>
      <c r="G64" s="65">
        <f t="shared" si="17"/>
        <v>0.6000000000000032</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-1.2000000000000011</v>
      </c>
      <c r="E65" s="65">
        <f t="shared" si="18"/>
        <v>-5.6000000000000014</v>
      </c>
      <c r="F65" s="65">
        <f t="shared" si="18"/>
        <v>-6.3999999999999986</v>
      </c>
      <c r="G65" s="65">
        <f t="shared" si="18"/>
        <v>-0.6000000000000032</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K23" sqref="K2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60" t="s">
        <v>41</v>
      </c>
      <c r="B1" s="161"/>
      <c r="C1" s="168" t="str">
        <f>'DCWW Alaw'!C1:D1</f>
        <v xml:space="preserve"> PAN-031280</v>
      </c>
      <c r="D1" s="169"/>
      <c r="E1" s="106" t="s">
        <v>45</v>
      </c>
      <c r="F1" s="113">
        <f>'DCWW Alaw'!F1</f>
        <v>33.6</v>
      </c>
      <c r="G1" s="136" t="s">
        <v>43</v>
      </c>
      <c r="H1" s="137"/>
      <c r="I1" s="109">
        <v>5.7</v>
      </c>
      <c r="J1" s="160" t="s">
        <v>153</v>
      </c>
      <c r="K1" s="161"/>
      <c r="L1" s="109">
        <v>149</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40" t="s">
        <v>87</v>
      </c>
      <c r="B2" s="141"/>
      <c r="C2" s="170" t="str">
        <f>'DCWW Alaw'!C2:D2</f>
        <v>EPR/GP3792SK</v>
      </c>
      <c r="D2" s="171"/>
      <c r="E2" s="96" t="s">
        <v>109</v>
      </c>
      <c r="F2" s="110" t="s">
        <v>165</v>
      </c>
      <c r="G2" s="138" t="s">
        <v>110</v>
      </c>
      <c r="H2" s="139"/>
      <c r="I2" s="110"/>
      <c r="J2" s="140" t="s">
        <v>158</v>
      </c>
      <c r="K2" s="141"/>
      <c r="L2" s="110">
        <v>0.59399999999999997</v>
      </c>
      <c r="AB2" s="22" t="s">
        <v>56</v>
      </c>
      <c r="AC2" s="13"/>
      <c r="AD2" s="22" t="s">
        <v>70</v>
      </c>
      <c r="AE2" s="13"/>
      <c r="AF2" s="13"/>
      <c r="AG2" s="34" t="s">
        <v>76</v>
      </c>
      <c r="AH2" s="13"/>
      <c r="AI2" s="35" t="s">
        <v>126</v>
      </c>
      <c r="AJ2" s="36">
        <v>0</v>
      </c>
      <c r="AK2" s="37">
        <v>0</v>
      </c>
      <c r="AL2" s="7">
        <v>0</v>
      </c>
      <c r="AM2" s="9">
        <v>0</v>
      </c>
      <c r="AN2" s="9">
        <v>0</v>
      </c>
    </row>
    <row r="3" spans="1:41" ht="13" x14ac:dyDescent="0.25">
      <c r="A3" s="162" t="s">
        <v>42</v>
      </c>
      <c r="B3" s="163"/>
      <c r="C3" s="170" t="str">
        <f>'DCWW Alaw'!C3:D3</f>
        <v>Byproduct Recovery Ltd</v>
      </c>
      <c r="D3" s="171"/>
      <c r="E3" s="96" t="s">
        <v>108</v>
      </c>
      <c r="F3" s="111" t="s">
        <v>77</v>
      </c>
      <c r="G3" s="140" t="s">
        <v>159</v>
      </c>
      <c r="H3" s="141"/>
      <c r="I3" s="110"/>
      <c r="J3" s="162" t="s">
        <v>154</v>
      </c>
      <c r="K3" s="163"/>
      <c r="L3" s="110">
        <f>(L1/(L2*10000))*100</f>
        <v>2.5084175084175082</v>
      </c>
      <c r="AB3" s="22" t="s">
        <v>57</v>
      </c>
      <c r="AC3" s="13"/>
      <c r="AD3" s="22" t="s">
        <v>71</v>
      </c>
      <c r="AE3" s="13"/>
      <c r="AF3" s="13"/>
      <c r="AG3" s="34" t="s">
        <v>77</v>
      </c>
      <c r="AH3" s="13"/>
      <c r="AI3" s="38" t="s">
        <v>113</v>
      </c>
      <c r="AJ3" s="39">
        <v>1.7</v>
      </c>
      <c r="AK3" s="40">
        <v>6</v>
      </c>
      <c r="AL3" s="41">
        <v>1</v>
      </c>
      <c r="AM3" s="9">
        <v>6.2</v>
      </c>
      <c r="AN3" s="9" t="s">
        <v>112</v>
      </c>
    </row>
    <row r="4" spans="1:41" ht="25" x14ac:dyDescent="0.25">
      <c r="A4" s="140" t="s">
        <v>0</v>
      </c>
      <c r="B4" s="141"/>
      <c r="C4" s="172" t="str">
        <f>'DCWW Alaw'!C4:D4</f>
        <v>Plas Bach, Cerrigceinwen, Bodorgan, LL62 5NS</v>
      </c>
      <c r="D4" s="173"/>
      <c r="E4" s="99" t="s">
        <v>1</v>
      </c>
      <c r="F4" s="131" t="s">
        <v>173</v>
      </c>
      <c r="G4" s="162"/>
      <c r="H4" s="163"/>
      <c r="I4" s="115"/>
      <c r="J4" s="162"/>
      <c r="K4" s="163"/>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2" t="s">
        <v>47</v>
      </c>
      <c r="B5" s="143"/>
      <c r="C5" s="174" t="str">
        <f>'DCWW Alaw'!C5:D5</f>
        <v>Owen Clee</v>
      </c>
      <c r="D5" s="175"/>
      <c r="E5" s="107"/>
      <c r="F5" s="114"/>
      <c r="G5" s="166"/>
      <c r="H5" s="167"/>
      <c r="I5" s="114"/>
      <c r="J5" s="166"/>
      <c r="K5" s="16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2" t="s">
        <v>63</v>
      </c>
      <c r="B7" s="153"/>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40" t="s">
        <v>2</v>
      </c>
      <c r="B8" s="141"/>
      <c r="C8" s="49" t="str">
        <f>'DCWW Alaw'!C8</f>
        <v>SCJ1</v>
      </c>
      <c r="D8" s="49" t="str">
        <f>'DCWW Alaw'!D8</f>
        <v>SCJ2</v>
      </c>
      <c r="E8" s="49" t="str">
        <f>'DCWW Alaw'!E8</f>
        <v>SCJ3</v>
      </c>
      <c r="F8" s="49" t="str">
        <f>'DCWW Alaw'!F8</f>
        <v>SCJ4</v>
      </c>
      <c r="G8" s="49" t="str">
        <f>'DCWW Alaw'!G8</f>
        <v>SCJ5</v>
      </c>
      <c r="H8" s="49" t="str">
        <f>'DCWW Alaw'!H8</f>
        <v>SCJ6</v>
      </c>
      <c r="I8" s="49">
        <f>'DCWW Alaw'!I8</f>
        <v>0</v>
      </c>
      <c r="J8" s="49">
        <f>'DCWW Alaw'!J8</f>
        <v>0</v>
      </c>
      <c r="K8" s="49">
        <f>'DCWW Alaw'!K8</f>
        <v>0</v>
      </c>
      <c r="L8" s="49">
        <f>'DCWW Alaw'!L8</f>
        <v>0</v>
      </c>
      <c r="M8" s="49">
        <f>'DCWW Alaw'!M8</f>
        <v>0</v>
      </c>
      <c r="N8" s="49">
        <f>'DCWW Alaw'!N8</f>
        <v>0</v>
      </c>
      <c r="O8" s="49">
        <f>'DCWW Alaw'!O8</f>
        <v>0</v>
      </c>
      <c r="P8" s="49">
        <f>'DCWW Alaw'!P8</f>
        <v>0</v>
      </c>
      <c r="Q8" s="49">
        <f>'DCWW Alaw'!Q8</f>
        <v>0</v>
      </c>
      <c r="R8" s="49">
        <f>'DCWW Alaw'!R8</f>
        <v>0</v>
      </c>
      <c r="S8" s="49">
        <f>'DCWW Alaw'!S8</f>
        <v>0</v>
      </c>
      <c r="T8" s="49">
        <f>'DCWW Alaw'!T8</f>
        <v>0</v>
      </c>
      <c r="U8" s="49">
        <f>'DCWW Alaw'!U8</f>
        <v>0</v>
      </c>
      <c r="V8" s="102">
        <f>'DCWW Alaw'!V8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40" t="s">
        <v>3</v>
      </c>
      <c r="B9" s="141"/>
      <c r="C9" s="49" t="str">
        <f>'DCWW Alaw'!C9</f>
        <v>Moderate</v>
      </c>
      <c r="D9" s="49" t="str">
        <f>'DCWW Alaw'!D9</f>
        <v>Moderate</v>
      </c>
      <c r="E9" s="49" t="str">
        <f>'DCWW Alaw'!E9</f>
        <v>Moderate</v>
      </c>
      <c r="F9" s="49">
        <f>'DCWW Alaw'!F9</f>
        <v>1</v>
      </c>
      <c r="G9" s="49">
        <f>'DCWW Alaw'!G9</f>
        <v>1</v>
      </c>
      <c r="H9" s="49" t="str">
        <f>'DCWW Alaw'!H9</f>
        <v>Moderate</v>
      </c>
      <c r="I9" s="49">
        <f>'DCWW Alaw'!I9</f>
        <v>0</v>
      </c>
      <c r="J9" s="49">
        <f>'DCWW Alaw'!J9</f>
        <v>0</v>
      </c>
      <c r="K9" s="49">
        <f>'DCWW Alaw'!K9</f>
        <v>0</v>
      </c>
      <c r="L9" s="49">
        <f>'DCWW Alaw'!L9</f>
        <v>0</v>
      </c>
      <c r="M9" s="49">
        <f>'DCWW Alaw'!M9</f>
        <v>0</v>
      </c>
      <c r="N9" s="49">
        <f>'DCWW Alaw'!N9</f>
        <v>0</v>
      </c>
      <c r="O9" s="49">
        <f>'DCWW Alaw'!O9</f>
        <v>0</v>
      </c>
      <c r="P9" s="49">
        <f>'DCWW Alaw'!P9</f>
        <v>0</v>
      </c>
      <c r="Q9" s="49">
        <f>'DCWW Alaw'!Q9</f>
        <v>0</v>
      </c>
      <c r="R9" s="49">
        <f>'DCWW Alaw'!R9</f>
        <v>0</v>
      </c>
      <c r="S9" s="49">
        <f>'DCWW Alaw'!S9</f>
        <v>0</v>
      </c>
      <c r="T9" s="49">
        <f>'DCWW Alaw'!T9</f>
        <v>0</v>
      </c>
      <c r="U9" s="49">
        <f>'DCWW Alaw'!U9</f>
        <v>0</v>
      </c>
      <c r="V9" s="102">
        <f>'DCWW Alaw'!V9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40" t="s">
        <v>4</v>
      </c>
      <c r="B10" s="141"/>
      <c r="C10" s="49">
        <f>'DCWW Alaw'!C10</f>
        <v>6.4</v>
      </c>
      <c r="D10" s="49">
        <f>'DCWW Alaw'!D10</f>
        <v>5.8</v>
      </c>
      <c r="E10" s="49">
        <f>'DCWW Alaw'!E10</f>
        <v>6</v>
      </c>
      <c r="F10" s="49">
        <f>'DCWW Alaw'!F10</f>
        <v>6</v>
      </c>
      <c r="G10" s="49">
        <f>'DCWW Alaw'!G10</f>
        <v>5.9</v>
      </c>
      <c r="H10" s="49">
        <f>'DCWW Alaw'!H10</f>
        <v>6.1</v>
      </c>
      <c r="I10" s="49">
        <f>'DCWW Alaw'!I10</f>
        <v>0</v>
      </c>
      <c r="J10" s="49">
        <f>'DCWW Alaw'!J10</f>
        <v>0</v>
      </c>
      <c r="K10" s="49">
        <f>'DCWW Alaw'!K10</f>
        <v>0</v>
      </c>
      <c r="L10" s="49">
        <f>'DCWW Alaw'!L10</f>
        <v>0</v>
      </c>
      <c r="M10" s="49">
        <f>'DCWW Alaw'!M10</f>
        <v>0</v>
      </c>
      <c r="N10" s="49">
        <f>'DCWW Alaw'!N10</f>
        <v>0</v>
      </c>
      <c r="O10" s="49">
        <f>'DCWW Alaw'!O10</f>
        <v>0</v>
      </c>
      <c r="P10" s="49">
        <f>'DCWW Alaw'!P10</f>
        <v>0</v>
      </c>
      <c r="Q10" s="49">
        <f>'DCWW Alaw'!Q10</f>
        <v>0</v>
      </c>
      <c r="R10" s="49">
        <f>'DCWW Alaw'!R10</f>
        <v>0</v>
      </c>
      <c r="S10" s="49">
        <f>'DCWW Alaw'!S10</f>
        <v>0</v>
      </c>
      <c r="T10" s="49">
        <f>'DCWW Alaw'!T10</f>
        <v>0</v>
      </c>
      <c r="U10" s="49">
        <f>'DCWW Alaw'!U10</f>
        <v>0</v>
      </c>
      <c r="V10" s="102">
        <f>'DCWW Alaw'!V10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40" t="s">
        <v>5</v>
      </c>
      <c r="B11" s="141"/>
      <c r="C11" s="49">
        <f>'DCWW Alaw'!C11</f>
        <v>2</v>
      </c>
      <c r="D11" s="49">
        <f>'DCWW Alaw'!D11</f>
        <v>2</v>
      </c>
      <c r="E11" s="49">
        <f>'DCWW Alaw'!E11</f>
        <v>3</v>
      </c>
      <c r="F11" s="49">
        <f>'DCWW Alaw'!F11</f>
        <v>1</v>
      </c>
      <c r="G11" s="49">
        <f>'DCWW Alaw'!G11</f>
        <v>0</v>
      </c>
      <c r="H11" s="49">
        <f>'DCWW Alaw'!H11</f>
        <v>3</v>
      </c>
      <c r="I11" s="49">
        <f>'DCWW Alaw'!I11</f>
        <v>0</v>
      </c>
      <c r="J11" s="49">
        <f>'DCWW Alaw'!J11</f>
        <v>0</v>
      </c>
      <c r="K11" s="49">
        <f>'DCWW Alaw'!K11</f>
        <v>0</v>
      </c>
      <c r="L11" s="49">
        <f>'DCWW Alaw'!L11</f>
        <v>0</v>
      </c>
      <c r="M11" s="49">
        <f>'DCWW Alaw'!M11</f>
        <v>0</v>
      </c>
      <c r="N11" s="49">
        <f>'DCWW Alaw'!N11</f>
        <v>0</v>
      </c>
      <c r="O11" s="49">
        <f>'DCWW Alaw'!O11</f>
        <v>0</v>
      </c>
      <c r="P11" s="49">
        <f>'DCWW Alaw'!P11</f>
        <v>0</v>
      </c>
      <c r="Q11" s="49">
        <f>'DCWW Alaw'!Q11</f>
        <v>0</v>
      </c>
      <c r="R11" s="49">
        <f>'DCWW Alaw'!R11</f>
        <v>0</v>
      </c>
      <c r="S11" s="49">
        <f>'DCWW Alaw'!S11</f>
        <v>0</v>
      </c>
      <c r="T11" s="49">
        <f>'DCWW Alaw'!T11</f>
        <v>0</v>
      </c>
      <c r="U11" s="49">
        <f>'DCWW Alaw'!U11</f>
        <v>0</v>
      </c>
      <c r="V11" s="102">
        <f>'DCWW Alaw'!V11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40" t="s">
        <v>6</v>
      </c>
      <c r="B12" s="141"/>
      <c r="C12" s="49">
        <f>'DCWW Alaw'!C12</f>
        <v>3</v>
      </c>
      <c r="D12" s="49">
        <f>'DCWW Alaw'!D12</f>
        <v>4</v>
      </c>
      <c r="E12" s="49">
        <f>'DCWW Alaw'!E12</f>
        <v>4</v>
      </c>
      <c r="F12" s="49">
        <f>'DCWW Alaw'!F12</f>
        <v>1</v>
      </c>
      <c r="G12" s="49">
        <f>'DCWW Alaw'!G12</f>
        <v>1</v>
      </c>
      <c r="H12" s="49">
        <f>'DCWW Alaw'!H12</f>
        <v>2</v>
      </c>
      <c r="I12" s="49">
        <f>'DCWW Alaw'!I12</f>
        <v>0</v>
      </c>
      <c r="J12" s="49">
        <f>'DCWW Alaw'!J12</f>
        <v>0</v>
      </c>
      <c r="K12" s="49">
        <f>'DCWW Alaw'!K12</f>
        <v>0</v>
      </c>
      <c r="L12" s="49">
        <f>'DCWW Alaw'!L12</f>
        <v>0</v>
      </c>
      <c r="M12" s="49">
        <f>'DCWW Alaw'!M12</f>
        <v>0</v>
      </c>
      <c r="N12" s="49">
        <f>'DCWW Alaw'!N12</f>
        <v>0</v>
      </c>
      <c r="O12" s="49">
        <f>'DCWW Alaw'!O12</f>
        <v>0</v>
      </c>
      <c r="P12" s="49">
        <f>'DCWW Alaw'!P12</f>
        <v>0</v>
      </c>
      <c r="Q12" s="49">
        <f>'DCWW Alaw'!Q12</f>
        <v>0</v>
      </c>
      <c r="R12" s="49">
        <f>'DCWW Alaw'!R12</f>
        <v>0</v>
      </c>
      <c r="S12" s="49">
        <f>'DCWW Alaw'!S12</f>
        <v>0</v>
      </c>
      <c r="T12" s="49">
        <f>'DCWW Alaw'!T12</f>
        <v>0</v>
      </c>
      <c r="U12" s="49">
        <f>'DCWW Alaw'!U12</f>
        <v>0</v>
      </c>
      <c r="V12" s="102">
        <f>'DCWW Alaw'!V12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40" t="s">
        <v>7</v>
      </c>
      <c r="B13" s="141"/>
      <c r="C13" s="49">
        <f>'DCWW Alaw'!C13</f>
        <v>4</v>
      </c>
      <c r="D13" s="49">
        <f>'DCWW Alaw'!D13</f>
        <v>3</v>
      </c>
      <c r="E13" s="49">
        <f>'DCWW Alaw'!E13</f>
        <v>3</v>
      </c>
      <c r="F13" s="49">
        <f>'DCWW Alaw'!F13</f>
        <v>3</v>
      </c>
      <c r="G13" s="49">
        <f>'DCWW Alaw'!G13</f>
        <v>3</v>
      </c>
      <c r="H13" s="49">
        <f>'DCWW Alaw'!H13</f>
        <v>3</v>
      </c>
      <c r="I13" s="49">
        <f>'DCWW Alaw'!I13</f>
        <v>0</v>
      </c>
      <c r="J13" s="49">
        <f>'DCWW Alaw'!J13</f>
        <v>0</v>
      </c>
      <c r="K13" s="49">
        <f>'DCWW Alaw'!K13</f>
        <v>0</v>
      </c>
      <c r="L13" s="49">
        <f>'DCWW Alaw'!L13</f>
        <v>0</v>
      </c>
      <c r="M13" s="49">
        <f>'DCWW Alaw'!M13</f>
        <v>0</v>
      </c>
      <c r="N13" s="49">
        <f>'DCWW Alaw'!N13</f>
        <v>0</v>
      </c>
      <c r="O13" s="49">
        <f>'DCWW Alaw'!O13</f>
        <v>0</v>
      </c>
      <c r="P13" s="49">
        <f>'DCWW Alaw'!P13</f>
        <v>0</v>
      </c>
      <c r="Q13" s="49">
        <f>'DCWW Alaw'!Q13</f>
        <v>0</v>
      </c>
      <c r="R13" s="49">
        <f>'DCWW Alaw'!R13</f>
        <v>0</v>
      </c>
      <c r="S13" s="49">
        <f>'DCWW Alaw'!S13</f>
        <v>0</v>
      </c>
      <c r="T13" s="49">
        <f>'DCWW Alaw'!T13</f>
        <v>0</v>
      </c>
      <c r="U13" s="49">
        <f>'DCWW Alaw'!U13</f>
        <v>0</v>
      </c>
      <c r="V13" s="102">
        <f>'DCWW Alaw'!V13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6" t="s">
        <v>8</v>
      </c>
      <c r="B14" s="157"/>
      <c r="C14" s="83" t="str">
        <f>'DCWW Alaw'!C14</f>
        <v xml:space="preserve">Grass Silage (25% DM) </v>
      </c>
      <c r="D14" s="83" t="str">
        <f>'DCWW Alaw'!D14</f>
        <v xml:space="preserve">Grass Silage (25% DM) </v>
      </c>
      <c r="E14" s="83" t="str">
        <f>'DCWW Alaw'!E14</f>
        <v xml:space="preserve">Grass Silage (25% DM) </v>
      </c>
      <c r="F14" s="83" t="str">
        <f>'DCWW Alaw'!F14</f>
        <v>Spring wheat/barley</v>
      </c>
      <c r="G14" s="83" t="str">
        <f>'DCWW Alaw'!G14</f>
        <v>Spring wheat/barley</v>
      </c>
      <c r="H14" s="83" t="str">
        <f>'DCWW Alaw'!H14</f>
        <v xml:space="preserve">Grass Silage (25% DM) </v>
      </c>
      <c r="I14" s="83">
        <f>'DCWW Alaw'!I14</f>
        <v>0</v>
      </c>
      <c r="J14" s="83">
        <f>'DCWW Alaw'!J14</f>
        <v>0</v>
      </c>
      <c r="K14" s="83">
        <f>'DCWW Alaw'!K14</f>
        <v>0</v>
      </c>
      <c r="L14" s="83">
        <f>'DCWW Alaw'!L14</f>
        <v>0</v>
      </c>
      <c r="M14" s="83">
        <f>'DCWW Alaw'!M14</f>
        <v>0</v>
      </c>
      <c r="N14" s="83">
        <f>'DCWW Alaw'!N14</f>
        <v>0</v>
      </c>
      <c r="O14" s="83">
        <f>'DCWW Alaw'!O14</f>
        <v>0</v>
      </c>
      <c r="P14" s="83">
        <f>'DCWW Alaw'!P14</f>
        <v>0</v>
      </c>
      <c r="Q14" s="83">
        <f>'DCWW Alaw'!Q14</f>
        <v>0</v>
      </c>
      <c r="R14" s="83">
        <f>'DCWW Alaw'!R14</f>
        <v>0</v>
      </c>
      <c r="S14" s="83">
        <f>'DCWW Alaw'!S14</f>
        <v>0</v>
      </c>
      <c r="T14" s="83">
        <f>'DCWW Alaw'!T14</f>
        <v>0</v>
      </c>
      <c r="U14" s="83">
        <f>'DCWW Alaw'!U14</f>
        <v>0</v>
      </c>
      <c r="V14" s="103">
        <f>'DCWW Alaw'!V14</f>
        <v>0</v>
      </c>
      <c r="AD14" s="22" t="s">
        <v>138</v>
      </c>
      <c r="AE14" s="22">
        <v>6</v>
      </c>
      <c r="AI14" s="43" t="s">
        <v>119</v>
      </c>
      <c r="AJ14" s="44">
        <v>0.8</v>
      </c>
      <c r="AK14" s="45">
        <v>1.7</v>
      </c>
      <c r="AL14" s="9">
        <v>12</v>
      </c>
      <c r="AM14" s="9">
        <v>6.7</v>
      </c>
      <c r="AN14" s="9" t="s">
        <v>135</v>
      </c>
    </row>
    <row r="15" spans="1:41" ht="13" x14ac:dyDescent="0.25">
      <c r="A15" s="154" t="s">
        <v>9</v>
      </c>
      <c r="B15" s="155"/>
      <c r="C15" s="49">
        <f>'DCWW Alaw'!C15</f>
        <v>38</v>
      </c>
      <c r="D15" s="49">
        <f>'DCWW Alaw'!D15</f>
        <v>38</v>
      </c>
      <c r="E15" s="49">
        <f>'DCWW Alaw'!E15</f>
        <v>38</v>
      </c>
      <c r="F15" s="49">
        <f>'DCWW Alaw'!F15</f>
        <v>5.5</v>
      </c>
      <c r="G15" s="49">
        <f>'DCWW Alaw'!G15</f>
        <v>5.5</v>
      </c>
      <c r="H15" s="49">
        <f>'DCWW Alaw'!H15</f>
        <v>38</v>
      </c>
      <c r="I15" s="49">
        <f>'DCWW Alaw'!I15</f>
        <v>0</v>
      </c>
      <c r="J15" s="49">
        <f>'DCWW Alaw'!J15</f>
        <v>0</v>
      </c>
      <c r="K15" s="49">
        <f>'DCWW Alaw'!K15</f>
        <v>0</v>
      </c>
      <c r="L15" s="49">
        <f>'DCWW Alaw'!L15</f>
        <v>0</v>
      </c>
      <c r="M15" s="49">
        <f>'DCWW Alaw'!M15</f>
        <v>0</v>
      </c>
      <c r="N15" s="49">
        <f>'DCWW Alaw'!N15</f>
        <v>0</v>
      </c>
      <c r="O15" s="49">
        <f>'DCWW Alaw'!O15</f>
        <v>0</v>
      </c>
      <c r="P15" s="49">
        <f>'DCWW Alaw'!P15</f>
        <v>0</v>
      </c>
      <c r="Q15" s="49">
        <f>'DCWW Alaw'!Q15</f>
        <v>0</v>
      </c>
      <c r="R15" s="49">
        <f>'DCWW Alaw'!R15</f>
        <v>0</v>
      </c>
      <c r="S15" s="49">
        <f>'DCWW Alaw'!S15</f>
        <v>0</v>
      </c>
      <c r="T15" s="49">
        <f>'DCWW Alaw'!T15</f>
        <v>0</v>
      </c>
      <c r="U15" s="49">
        <f>'DCWW Alaw'!U15</f>
        <v>0</v>
      </c>
      <c r="V15" s="102">
        <f>'DCWW Alaw'!V15</f>
        <v>0</v>
      </c>
      <c r="AD15" s="22" t="s">
        <v>144</v>
      </c>
      <c r="AE15" s="22">
        <v>7</v>
      </c>
      <c r="AI15" s="43" t="s">
        <v>101</v>
      </c>
      <c r="AJ15" s="51">
        <v>1.8</v>
      </c>
      <c r="AK15" s="45">
        <v>5.4</v>
      </c>
      <c r="AL15" s="9">
        <v>13</v>
      </c>
      <c r="AM15" s="9">
        <v>6.7</v>
      </c>
      <c r="AN15" s="9" t="s">
        <v>135</v>
      </c>
    </row>
    <row r="16" spans="1:41" ht="13.5" thickBot="1" x14ac:dyDescent="0.3">
      <c r="A16" s="158" t="s">
        <v>44</v>
      </c>
      <c r="B16" s="159"/>
      <c r="C16" s="104" t="str">
        <f>'DCWW Alaw'!C16</f>
        <v>Medium/Clay</v>
      </c>
      <c r="D16" s="104" t="str">
        <f>'DCWW Alaw'!D16</f>
        <v>Medium/Clay</v>
      </c>
      <c r="E16" s="104" t="str">
        <f>'DCWW Alaw'!E16</f>
        <v>Medium/Clay</v>
      </c>
      <c r="F16" s="104" t="str">
        <f>'DCWW Alaw'!F16</f>
        <v>Medium/Clay</v>
      </c>
      <c r="G16" s="104" t="str">
        <f>'DCWW Alaw'!G16</f>
        <v>Medium/Clay</v>
      </c>
      <c r="H16" s="104" t="str">
        <f>'DCWW Alaw'!H16</f>
        <v>Medium/Clay</v>
      </c>
      <c r="I16" s="104">
        <f>'DCWW Alaw'!I16</f>
        <v>0</v>
      </c>
      <c r="J16" s="104">
        <f>'DCWW Alaw'!J16</f>
        <v>0</v>
      </c>
      <c r="K16" s="104">
        <f>'DCWW Alaw'!K16</f>
        <v>0</v>
      </c>
      <c r="L16" s="104">
        <f>'DCWW Alaw'!L16</f>
        <v>0</v>
      </c>
      <c r="M16" s="104">
        <f>'DCWW Alaw'!M16</f>
        <v>0</v>
      </c>
      <c r="N16" s="104">
        <f>'DCWW Alaw'!N16</f>
        <v>0</v>
      </c>
      <c r="O16" s="104">
        <f>'DCWW Alaw'!O16</f>
        <v>0</v>
      </c>
      <c r="P16" s="104">
        <f>'DCWW Alaw'!P16</f>
        <v>0</v>
      </c>
      <c r="Q16" s="104">
        <f>'DCWW Alaw'!Q16</f>
        <v>0</v>
      </c>
      <c r="R16" s="104">
        <f>'DCWW Alaw'!R16</f>
        <v>0</v>
      </c>
      <c r="S16" s="104">
        <f>'DCWW Alaw'!S16</f>
        <v>0</v>
      </c>
      <c r="T16" s="104">
        <f>'DCWW Alaw'!T16</f>
        <v>0</v>
      </c>
      <c r="U16" s="104">
        <f>'DCWW Alaw'!U16</f>
        <v>0</v>
      </c>
      <c r="V16" s="105">
        <f>'DCWW Alaw'!V16</f>
        <v>0</v>
      </c>
      <c r="AD16" s="42" t="s">
        <v>145</v>
      </c>
      <c r="AE16" s="22">
        <v>8</v>
      </c>
      <c r="AI16" s="43" t="s">
        <v>118</v>
      </c>
      <c r="AJ16" s="44">
        <v>8</v>
      </c>
      <c r="AK16" s="45">
        <v>5.5</v>
      </c>
      <c r="AL16" s="7">
        <v>14</v>
      </c>
      <c r="AM16" s="9">
        <v>6.7</v>
      </c>
      <c r="AN16" s="9" t="s">
        <v>135</v>
      </c>
    </row>
    <row r="17" spans="1:40" ht="13" x14ac:dyDescent="0.25">
      <c r="A17" s="152" t="s">
        <v>69</v>
      </c>
      <c r="B17" s="153"/>
      <c r="C17" s="20">
        <f>(VLOOKUP(C$14,$AI2:$AK26,2,FALSE))*C$15</f>
        <v>64.599999999999994</v>
      </c>
      <c r="D17" s="20">
        <f t="shared" ref="D17:V17" si="0">(VLOOKUP(D$14,$AI2:$AK26,2,FALSE))*D$15</f>
        <v>64.599999999999994</v>
      </c>
      <c r="E17" s="20">
        <f t="shared" si="0"/>
        <v>64.599999999999994</v>
      </c>
      <c r="F17" s="20">
        <f t="shared" si="0"/>
        <v>46.75</v>
      </c>
      <c r="G17" s="20">
        <f t="shared" si="0"/>
        <v>46.75</v>
      </c>
      <c r="H17" s="20">
        <f t="shared" si="0"/>
        <v>64.599999999999994</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0" t="s">
        <v>23</v>
      </c>
      <c r="B18" s="151"/>
      <c r="C18" s="12">
        <f>$D31</f>
        <v>22.398557160000003</v>
      </c>
      <c r="D18" s="12">
        <f>$D32</f>
        <v>22.398557160000003</v>
      </c>
      <c r="E18" s="12">
        <f>$D33</f>
        <v>22.398557160000003</v>
      </c>
      <c r="F18" s="12">
        <f>$D34</f>
        <v>22.398557160000003</v>
      </c>
      <c r="G18" s="12">
        <f>$D35</f>
        <v>22.398557160000003</v>
      </c>
      <c r="H18" s="12">
        <f>$D36</f>
        <v>22.398557160000003</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0" t="s">
        <v>90</v>
      </c>
      <c r="B19" s="151"/>
      <c r="C19" s="12">
        <f>C18-C17</f>
        <v>-42.201442839999991</v>
      </c>
      <c r="D19" s="12">
        <f t="shared" ref="D19:V19" si="1">D18-D17</f>
        <v>-42.201442839999991</v>
      </c>
      <c r="E19" s="12">
        <f t="shared" si="1"/>
        <v>-42.201442839999991</v>
      </c>
      <c r="F19" s="12">
        <f t="shared" si="1"/>
        <v>-24.351442839999997</v>
      </c>
      <c r="G19" s="12">
        <f t="shared" si="1"/>
        <v>-24.351442839999997</v>
      </c>
      <c r="H19" s="12">
        <f t="shared" si="1"/>
        <v>-42.201442839999991</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8" t="s">
        <v>91</v>
      </c>
      <c r="B20" s="149"/>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2" t="s">
        <v>88</v>
      </c>
      <c r="B21" s="153"/>
      <c r="C21" s="20">
        <f>(VLOOKUP(C$14,$AI2:$AK26,3,FALSE))*C$15</f>
        <v>228</v>
      </c>
      <c r="D21" s="20">
        <f t="shared" ref="D21:V21" si="2">(VLOOKUP(D$14,$AI2:$AK26,3,FALSE))*D$15</f>
        <v>228</v>
      </c>
      <c r="E21" s="20">
        <f t="shared" si="2"/>
        <v>228</v>
      </c>
      <c r="F21" s="20">
        <f t="shared" si="2"/>
        <v>66</v>
      </c>
      <c r="G21" s="20">
        <f t="shared" si="2"/>
        <v>66</v>
      </c>
      <c r="H21" s="20">
        <f t="shared" si="2"/>
        <v>228</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0" t="s">
        <v>89</v>
      </c>
      <c r="B22" s="151"/>
      <c r="C22" s="12">
        <f>$E31</f>
        <v>1.0425660000000001</v>
      </c>
      <c r="D22" s="12">
        <f>$E32</f>
        <v>1.0425660000000001</v>
      </c>
      <c r="E22" s="12">
        <f>$E33</f>
        <v>1.0425660000000001</v>
      </c>
      <c r="F22" s="12">
        <f>$E34</f>
        <v>1.0425660000000001</v>
      </c>
      <c r="G22" s="12">
        <f>$E35</f>
        <v>1.0425660000000001</v>
      </c>
      <c r="H22" s="12">
        <f>$E36</f>
        <v>1.0425660000000001</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0" t="s">
        <v>92</v>
      </c>
      <c r="B23" s="151"/>
      <c r="C23" s="12">
        <f>C22-C21</f>
        <v>-226.95743400000001</v>
      </c>
      <c r="D23" s="12">
        <f t="shared" ref="D23:V23" si="3">D22-D21</f>
        <v>-226.95743400000001</v>
      </c>
      <c r="E23" s="12">
        <f t="shared" si="3"/>
        <v>-226.95743400000001</v>
      </c>
      <c r="F23" s="12">
        <f t="shared" si="3"/>
        <v>-64.957434000000006</v>
      </c>
      <c r="G23" s="12">
        <f t="shared" si="3"/>
        <v>-64.957434000000006</v>
      </c>
      <c r="H23" s="12">
        <f t="shared" si="3"/>
        <v>-226.95743400000001</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8" t="s">
        <v>93</v>
      </c>
      <c r="B24" s="149"/>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4.12</v>
      </c>
      <c r="C28" s="11">
        <v>0.59399999999999997</v>
      </c>
      <c r="D28" s="11">
        <v>0.113</v>
      </c>
      <c r="E28" s="11">
        <v>0.01</v>
      </c>
      <c r="F28" s="11">
        <v>353</v>
      </c>
      <c r="G28" s="11">
        <v>860</v>
      </c>
      <c r="H28" s="11">
        <v>360</v>
      </c>
      <c r="I28" s="11">
        <v>56.6</v>
      </c>
      <c r="J28" s="11">
        <v>1.1599999999999999</v>
      </c>
      <c r="K28" s="15">
        <v>0.97</v>
      </c>
      <c r="L28" s="11">
        <v>32.299999999999997</v>
      </c>
      <c r="M28" s="11">
        <v>14.4</v>
      </c>
      <c r="N28" s="11">
        <v>3410</v>
      </c>
      <c r="O28" s="11">
        <v>448000</v>
      </c>
      <c r="P28" s="11"/>
      <c r="Q28" s="11">
        <v>4260</v>
      </c>
      <c r="R28" s="11"/>
      <c r="S28" s="11">
        <v>25.6</v>
      </c>
      <c r="T28" s="11"/>
      <c r="U28" s="97"/>
    </row>
    <row r="29" spans="1:40" s="7" customFormat="1" ht="28" x14ac:dyDescent="0.35">
      <c r="A29" s="16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SCJ1</v>
      </c>
      <c r="B31" s="11">
        <v>210</v>
      </c>
      <c r="C31" s="65">
        <f>IF(C$27="%w/w SAR",((C$28*10)*$B31),IF(C$27="%w/w DM",(((C$28*10)*($B$28/100))*$B31),IF(C$27="kg/t SAR",(C$28*$B31),IF(C$27="kg/t DM",((C$28*($B$28/100))*$B31),IF(C$27="mg/kg SAR",((C$28*0.001)*$B31),IF(C$27="mg/kg DM",(((C$28*0.001)*($B$28/100))*$B31),0))))))</f>
        <v>51.392879999999991</v>
      </c>
      <c r="D31" s="65">
        <f>(IF(D$27="%w/w SAR",((D$28*10)*$B31),IF(D$27="%w/w DM",(((D$28*10)*($B$28/100))*$B31),IF(D$27="kg/t SAR",(D$28*$B31),IF(D$27="kg/t DM",((D$28*($B$28/100))*$B31),IF(D$27="mg/kg SAR",((D$28*0.001)*$B31),IF(D$27="mg/kg DM",(((D$28*0.001)*($B$28/100))*$B31),"0")))))))*2.291</f>
        <v>22.398557160000003</v>
      </c>
      <c r="E31" s="65">
        <f>(IF(E$27="%w/w SAR",((E$28*10)*$B31),IF(E$27="%w/w DM",(((E$28*10)*($B$28/100))*$B31),IF(E$27="kg/t SAR",(E$28*$B31),IF(E$27="kg/t DM",((E$28*($B$28/100))*$B31),IF(E$27="mg/kg SAR",((E$28*0.001)*$B31),IF(E$27="mg/kg DM",(((E$28*0.001)*($B$28/100))*$B31),"0")))))))*1.205</f>
        <v>1.0425660000000001</v>
      </c>
      <c r="F31" s="65">
        <f>(IF(F$27="%w/w SAR",((F$28*10)*$B31),IF(F$27="%w/w DM",(((F$28*10)*($B$28/100))*$B31),IF(F$27="kg/t SAR",(F$28*$B31),IF(F$27="kg/t DM",((F$28*($B$28/100))*$B31),IF(F$27="mg/kg SAR",((F$28*0.001)*$B31),IF(F$27="mg/kg DM",(((F$28*0.001)*($B$28/100))*$B31),"0")))))))*1.658</f>
        <v>5.0637906479999995</v>
      </c>
      <c r="G31" s="65">
        <f t="shared" ref="G31:P46" si="5">IF(G$27="%w/w SAR",((G$28*10)*$B31),IF(G$27="%w/w DM",(((G$28*10)*($B$28/100))*$B31),IF(G$27="kg/t SAR",(G$28*$B31),IF(G$27="kg/t DM",((G$28*($B$28/100))*$B31),IF(G$27="mg/kg SAR",((G$28*0.001)*$B31),IF(G$27="mg/kg DM",(((G$28*0.001)*($B$28/100))*$B31),0))))))</f>
        <v>7.4407199999999998</v>
      </c>
      <c r="H31" s="65">
        <f t="shared" si="5"/>
        <v>3.1147200000000002</v>
      </c>
      <c r="I31" s="65">
        <f t="shared" si="5"/>
        <v>0.48970320000000006</v>
      </c>
      <c r="J31" s="65">
        <f t="shared" si="5"/>
        <v>1.003632E-2</v>
      </c>
      <c r="K31" s="65">
        <f t="shared" si="5"/>
        <v>8.3924399999999993E-3</v>
      </c>
      <c r="L31" s="65">
        <f t="shared" si="5"/>
        <v>0.27945959999999997</v>
      </c>
      <c r="M31" s="65">
        <f t="shared" si="5"/>
        <v>0.12458880000000001</v>
      </c>
      <c r="N31" s="65">
        <f t="shared" si="5"/>
        <v>29.503320000000002</v>
      </c>
      <c r="O31" s="65">
        <f t="shared" si="5"/>
        <v>3876.096</v>
      </c>
      <c r="P31" s="65">
        <f t="shared" si="5"/>
        <v>0</v>
      </c>
      <c r="Q31" s="65">
        <f>(IF(Q$27="%w/w SAR",((Q$28*10)*$B31),IF(Q$27="%w/w DM",(((Q$28*10)*($B$28/100))*$B31),IF(Q$27="kg/t SAR",(Q$28*$B31),IF(Q$27="kg/t DM",((Q$28*($B$28/100))*$B31),IF(Q$27="mg/kg SAR",((Q$28*0.001)*$B31),IF(Q$27="mg/kg DM",(((Q$28*0.001)*($B$28/100))*$B31),0)))))))*2.5</f>
        <v>92.143799999999999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0.22149120000000003</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SCJ2</v>
      </c>
      <c r="B32" s="11">
        <v>210</v>
      </c>
      <c r="C32" s="65">
        <f t="shared" ref="C32:C50" si="6">IF(C$27="%w/w SAR",((C$28*10)*$B32),IF(C$27="%w/w DM",(((C$28*10)*($B$28/100))*$B32),IF(C$27="kg/t SAR",(C$28*$B32),IF(C$27="kg/t DM",((C$28*($B$28/100))*$B32),IF(C$27="mg/kg SAR",((C$28*0.001)*$B32),IF(C$27="mg/kg DM",(((C$28*0.001)*($B$28/100))*$B32),0))))))</f>
        <v>51.392879999999991</v>
      </c>
      <c r="D32" s="65">
        <f t="shared" ref="D32:D50" si="7">(IF(D$27="%w/w SAR",((D$28*10)*$B32),IF(D$27="%w/w DM",(((D$28*10)*($B$28/100))*$B32),IF(D$27="kg/t SAR",(D$28*$B32),IF(D$27="kg/t DM",((D$28*($B$28/100))*$B32),IF(D$27="mg/kg SAR",((D$28*0.001)*$B32),IF(D$27="mg/kg DM",(((D$28*0.001)*($B$28/100))*$B32),"0")))))))*2.291</f>
        <v>22.398557160000003</v>
      </c>
      <c r="E32" s="65">
        <f t="shared" ref="E32:E50" si="8">(IF(E$27="%w/w SAR",((E$28*10)*$B32),IF(E$27="%w/w DM",(((E$28*10)*($B$28/100))*$B32),IF(E$27="kg/t SAR",(E$28*$B32),IF(E$27="kg/t DM",((E$28*($B$28/100))*$B32),IF(E$27="mg/kg SAR",((E$28*0.001)*$B32),IF(E$27="mg/kg DM",(((E$28*0.001)*($B$28/100))*$B32),"0")))))))*1.205</f>
        <v>1.0425660000000001</v>
      </c>
      <c r="F32" s="65">
        <f t="shared" ref="F32:F50" si="9">(IF(F$27="%w/w SAR",((F$28*10)*$B32),IF(F$27="%w/w DM",(((F$28*10)*($B$28/100))*$B32),IF(F$27="kg/t SAR",(F$28*$B32),IF(F$27="kg/t DM",((F$28*($B$28/100))*$B32),IF(F$27="mg/kg SAR",((F$28*0.001)*$B32),IF(F$27="mg/kg DM",(((F$28*0.001)*($B$28/100))*$B32),"0")))))))*1.658</f>
        <v>5.0637906479999995</v>
      </c>
      <c r="G32" s="65">
        <f t="shared" si="5"/>
        <v>7.4407199999999998</v>
      </c>
      <c r="H32" s="65">
        <f t="shared" si="5"/>
        <v>3.1147200000000002</v>
      </c>
      <c r="I32" s="65">
        <f t="shared" si="5"/>
        <v>0.48970320000000006</v>
      </c>
      <c r="J32" s="65">
        <f t="shared" si="5"/>
        <v>1.003632E-2</v>
      </c>
      <c r="K32" s="65">
        <f t="shared" si="5"/>
        <v>8.3924399999999993E-3</v>
      </c>
      <c r="L32" s="65">
        <f t="shared" si="5"/>
        <v>0.27945959999999997</v>
      </c>
      <c r="M32" s="65">
        <f t="shared" si="5"/>
        <v>0.12458880000000001</v>
      </c>
      <c r="N32" s="65">
        <f t="shared" si="5"/>
        <v>29.503320000000002</v>
      </c>
      <c r="O32" s="65">
        <f t="shared" si="5"/>
        <v>3876.096</v>
      </c>
      <c r="P32" s="65">
        <f t="shared" si="5"/>
        <v>0</v>
      </c>
      <c r="Q32" s="65">
        <f t="shared" ref="Q32:Q50" si="10">(IF(Q$27="%w/w SAR",((Q$28*10)*$B32),IF(Q$27="%w/w DM",(((Q$28*10)*($B$28/100))*$B32),IF(Q$27="kg/t SAR",(Q$28*$B32),IF(Q$27="kg/t DM",((Q$28*($B$28/100))*$B32),IF(Q$27="mg/kg SAR",((Q$28*0.001)*$B32),IF(Q$27="mg/kg DM",(((Q$28*0.001)*($B$28/100))*$B32),0)))))))*2.5</f>
        <v>92.143799999999999</v>
      </c>
      <c r="R32" s="65">
        <f t="shared" ref="R32:U50" si="11">IF(R$27="%w/w SAR",((R$28*10)*$B32),IF(R$27="%w/w DM",(((R$28*10)*($B$28/100))*$B32),IF(R$27="kg/t SAR",(R$28*$B32),IF(R$27="kg/t DM",((R$28*($B$28/100))*$B32),IF(R$27="mg/kg SAR",((R$28*0.001)*$B32),IF(R$27="mg/kg DM",(((R$28*0.001)*($B$28/100))*$B32),0))))))</f>
        <v>0</v>
      </c>
      <c r="S32" s="65">
        <f t="shared" si="11"/>
        <v>0.22149120000000003</v>
      </c>
      <c r="T32" s="65">
        <f t="shared" si="11"/>
        <v>0</v>
      </c>
      <c r="U32" s="126">
        <f t="shared" si="11"/>
        <v>0</v>
      </c>
    </row>
    <row r="33" spans="1:21" s="48" customFormat="1" ht="13" x14ac:dyDescent="0.35">
      <c r="A33" s="125" t="str">
        <f>E8</f>
        <v>SCJ3</v>
      </c>
      <c r="B33" s="11">
        <v>210</v>
      </c>
      <c r="C33" s="65">
        <f t="shared" si="6"/>
        <v>51.392879999999991</v>
      </c>
      <c r="D33" s="65">
        <f t="shared" si="7"/>
        <v>22.398557160000003</v>
      </c>
      <c r="E33" s="65">
        <f t="shared" si="8"/>
        <v>1.0425660000000001</v>
      </c>
      <c r="F33" s="65">
        <f t="shared" si="9"/>
        <v>5.0637906479999995</v>
      </c>
      <c r="G33" s="65">
        <f t="shared" si="5"/>
        <v>7.4407199999999998</v>
      </c>
      <c r="H33" s="65">
        <f t="shared" si="5"/>
        <v>3.1147200000000002</v>
      </c>
      <c r="I33" s="65">
        <f t="shared" si="5"/>
        <v>0.48970320000000006</v>
      </c>
      <c r="J33" s="65">
        <f t="shared" si="5"/>
        <v>1.003632E-2</v>
      </c>
      <c r="K33" s="65">
        <f t="shared" si="5"/>
        <v>8.3924399999999993E-3</v>
      </c>
      <c r="L33" s="65">
        <f t="shared" si="5"/>
        <v>0.27945959999999997</v>
      </c>
      <c r="M33" s="65">
        <f t="shared" si="5"/>
        <v>0.12458880000000001</v>
      </c>
      <c r="N33" s="65">
        <f t="shared" si="5"/>
        <v>29.503320000000002</v>
      </c>
      <c r="O33" s="65">
        <f t="shared" si="5"/>
        <v>3876.096</v>
      </c>
      <c r="P33" s="65">
        <f t="shared" si="5"/>
        <v>0</v>
      </c>
      <c r="Q33" s="65">
        <f t="shared" si="10"/>
        <v>92.143799999999999</v>
      </c>
      <c r="R33" s="65">
        <f t="shared" si="11"/>
        <v>0</v>
      </c>
      <c r="S33" s="65">
        <f t="shared" si="11"/>
        <v>0.22149120000000003</v>
      </c>
      <c r="T33" s="65">
        <f t="shared" si="11"/>
        <v>0</v>
      </c>
      <c r="U33" s="126">
        <f t="shared" si="11"/>
        <v>0</v>
      </c>
    </row>
    <row r="34" spans="1:21" s="48" customFormat="1" ht="13" x14ac:dyDescent="0.35">
      <c r="A34" s="125" t="str">
        <f>F8</f>
        <v>SCJ4</v>
      </c>
      <c r="B34" s="11">
        <v>210</v>
      </c>
      <c r="C34" s="65">
        <f t="shared" si="6"/>
        <v>51.392879999999991</v>
      </c>
      <c r="D34" s="65">
        <f t="shared" si="7"/>
        <v>22.398557160000003</v>
      </c>
      <c r="E34" s="65">
        <f t="shared" si="8"/>
        <v>1.0425660000000001</v>
      </c>
      <c r="F34" s="65">
        <f t="shared" si="9"/>
        <v>5.0637906479999995</v>
      </c>
      <c r="G34" s="65">
        <f t="shared" si="5"/>
        <v>7.4407199999999998</v>
      </c>
      <c r="H34" s="65">
        <f t="shared" si="5"/>
        <v>3.1147200000000002</v>
      </c>
      <c r="I34" s="65">
        <f t="shared" si="5"/>
        <v>0.48970320000000006</v>
      </c>
      <c r="J34" s="65">
        <f t="shared" si="5"/>
        <v>1.003632E-2</v>
      </c>
      <c r="K34" s="65">
        <f t="shared" si="5"/>
        <v>8.3924399999999993E-3</v>
      </c>
      <c r="L34" s="65">
        <f t="shared" si="5"/>
        <v>0.27945959999999997</v>
      </c>
      <c r="M34" s="65">
        <f t="shared" si="5"/>
        <v>0.12458880000000001</v>
      </c>
      <c r="N34" s="65">
        <f t="shared" si="5"/>
        <v>29.503320000000002</v>
      </c>
      <c r="O34" s="65">
        <f t="shared" si="5"/>
        <v>3876.096</v>
      </c>
      <c r="P34" s="65">
        <f t="shared" si="5"/>
        <v>0</v>
      </c>
      <c r="Q34" s="65">
        <f t="shared" si="10"/>
        <v>92.143799999999999</v>
      </c>
      <c r="R34" s="65">
        <f t="shared" si="11"/>
        <v>0</v>
      </c>
      <c r="S34" s="65">
        <f t="shared" si="11"/>
        <v>0.22149120000000003</v>
      </c>
      <c r="T34" s="65">
        <f t="shared" si="11"/>
        <v>0</v>
      </c>
      <c r="U34" s="126">
        <f t="shared" si="11"/>
        <v>0</v>
      </c>
    </row>
    <row r="35" spans="1:21" s="48" customFormat="1" ht="13" x14ac:dyDescent="0.35">
      <c r="A35" s="125" t="str">
        <f>G8</f>
        <v>SCJ5</v>
      </c>
      <c r="B35" s="11">
        <v>210</v>
      </c>
      <c r="C35" s="65">
        <f t="shared" si="6"/>
        <v>51.392879999999991</v>
      </c>
      <c r="D35" s="65">
        <f t="shared" si="7"/>
        <v>22.398557160000003</v>
      </c>
      <c r="E35" s="65">
        <f t="shared" si="8"/>
        <v>1.0425660000000001</v>
      </c>
      <c r="F35" s="65">
        <f t="shared" si="9"/>
        <v>5.0637906479999995</v>
      </c>
      <c r="G35" s="65">
        <f t="shared" si="5"/>
        <v>7.4407199999999998</v>
      </c>
      <c r="H35" s="65">
        <f t="shared" si="5"/>
        <v>3.1147200000000002</v>
      </c>
      <c r="I35" s="65">
        <f t="shared" si="5"/>
        <v>0.48970320000000006</v>
      </c>
      <c r="J35" s="65">
        <f t="shared" si="5"/>
        <v>1.003632E-2</v>
      </c>
      <c r="K35" s="65">
        <f t="shared" si="5"/>
        <v>8.3924399999999993E-3</v>
      </c>
      <c r="L35" s="65">
        <f t="shared" si="5"/>
        <v>0.27945959999999997</v>
      </c>
      <c r="M35" s="65">
        <f t="shared" si="5"/>
        <v>0.12458880000000001</v>
      </c>
      <c r="N35" s="65">
        <f t="shared" si="5"/>
        <v>29.503320000000002</v>
      </c>
      <c r="O35" s="65">
        <f t="shared" si="5"/>
        <v>3876.096</v>
      </c>
      <c r="P35" s="65">
        <f t="shared" si="5"/>
        <v>0</v>
      </c>
      <c r="Q35" s="65">
        <f t="shared" si="10"/>
        <v>92.143799999999999</v>
      </c>
      <c r="R35" s="65">
        <f t="shared" si="11"/>
        <v>0</v>
      </c>
      <c r="S35" s="65">
        <f t="shared" si="11"/>
        <v>0.22149120000000003</v>
      </c>
      <c r="T35" s="65">
        <f t="shared" si="11"/>
        <v>0</v>
      </c>
      <c r="U35" s="126">
        <f t="shared" si="11"/>
        <v>0</v>
      </c>
    </row>
    <row r="36" spans="1:21" s="48" customFormat="1" ht="13" x14ac:dyDescent="0.35">
      <c r="A36" s="125" t="str">
        <f>H8</f>
        <v>SCJ6</v>
      </c>
      <c r="B36" s="11">
        <v>210</v>
      </c>
      <c r="C36" s="65">
        <f t="shared" si="6"/>
        <v>51.392879999999991</v>
      </c>
      <c r="D36" s="65">
        <f t="shared" si="7"/>
        <v>22.398557160000003</v>
      </c>
      <c r="E36" s="65">
        <f t="shared" si="8"/>
        <v>1.0425660000000001</v>
      </c>
      <c r="F36" s="65">
        <f t="shared" si="9"/>
        <v>5.0637906479999995</v>
      </c>
      <c r="G36" s="65">
        <f t="shared" si="5"/>
        <v>7.4407199999999998</v>
      </c>
      <c r="H36" s="65">
        <f t="shared" si="5"/>
        <v>3.1147200000000002</v>
      </c>
      <c r="I36" s="65">
        <f t="shared" si="5"/>
        <v>0.48970320000000006</v>
      </c>
      <c r="J36" s="65">
        <f t="shared" si="5"/>
        <v>1.003632E-2</v>
      </c>
      <c r="K36" s="65">
        <f t="shared" si="5"/>
        <v>8.3924399999999993E-3</v>
      </c>
      <c r="L36" s="65">
        <f t="shared" si="5"/>
        <v>0.27945959999999997</v>
      </c>
      <c r="M36" s="65">
        <f t="shared" si="5"/>
        <v>0.12458880000000001</v>
      </c>
      <c r="N36" s="65">
        <f t="shared" si="5"/>
        <v>29.503320000000002</v>
      </c>
      <c r="O36" s="65">
        <f t="shared" si="5"/>
        <v>3876.096</v>
      </c>
      <c r="P36" s="65">
        <f t="shared" si="5"/>
        <v>0</v>
      </c>
      <c r="Q36" s="65">
        <f t="shared" si="10"/>
        <v>92.143799999999999</v>
      </c>
      <c r="R36" s="65">
        <f t="shared" si="11"/>
        <v>0</v>
      </c>
      <c r="S36" s="65">
        <f t="shared" si="11"/>
        <v>0.22149120000000003</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SCJ1</v>
      </c>
      <c r="C57" s="8" t="str">
        <f t="shared" ref="C57:U57" si="13">D8</f>
        <v>SCJ2</v>
      </c>
      <c r="D57" s="8" t="str">
        <f t="shared" si="13"/>
        <v>SCJ3</v>
      </c>
      <c r="E57" s="8" t="str">
        <f t="shared" si="13"/>
        <v>SCJ4</v>
      </c>
      <c r="F57" s="8" t="str">
        <f t="shared" si="13"/>
        <v>SCJ5</v>
      </c>
      <c r="G57" s="8" t="str">
        <f t="shared" si="13"/>
        <v>SCJ6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Arable</v>
      </c>
      <c r="F58" s="10" t="str">
        <f>G16&amp;" I "&amp;(VLOOKUP(G14,Table2458[],6,FALSE))</f>
        <v>Medium/Clay I Arable</v>
      </c>
      <c r="G58" s="10" t="str">
        <f>H16&amp;" I "&amp;(VLOOKUP(H14,Table2458[],6,FALSE))</f>
        <v>Medium/Clay I Grass</v>
      </c>
      <c r="H58" s="10" t="e">
        <f>I16&amp;" I "&amp;(VLOOKUP(I14,Table2458[],6,FALSE))</f>
        <v>#N/A</v>
      </c>
      <c r="I58" s="10" t="e">
        <f>J16&amp;" I "&amp;(VLOOKUP(J14,Table2458[],6,FALSE))</f>
        <v>#N/A</v>
      </c>
      <c r="J58" s="10" t="e">
        <f>K16&amp;" I "&amp;(VLOOKUP(K14,Table2458[],6,FALSE))</f>
        <v>#N/A</v>
      </c>
      <c r="K58" s="10" t="e">
        <f>L16&amp;" I "&amp;(VLOOKUP(L14,Table2458[],6,FALSE))</f>
        <v>#N/A</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6.7</v>
      </c>
      <c r="F59" s="64">
        <f>VLOOKUP(G$14,Table2458[],5,FALSE)</f>
        <v>6.7</v>
      </c>
      <c r="G59" s="64">
        <f>VLOOKUP(H$14,Table2458[],5,FALSE)</f>
        <v>6.2</v>
      </c>
      <c r="H59" s="64" t="e">
        <f>VLOOKUP(I$14,Table2458[],5,FALSE)</f>
        <v>#N/A</v>
      </c>
      <c r="I59" s="64" t="e">
        <f>VLOOKUP(J$14,Table2458[],5,FALSE)</f>
        <v>#N/A</v>
      </c>
      <c r="J59" s="64" t="e">
        <f>VLOOKUP(K$14,Table2458[],5,FALSE)</f>
        <v>#N/A</v>
      </c>
      <c r="K59" s="64" t="e">
        <f>VLOOKUP(L$14,Table2458[],5,FALSE)</f>
        <v>#N/A</v>
      </c>
      <c r="L59" s="64" t="e">
        <f>VLOOKUP(M$14,Table2458[],5,FALSE)</f>
        <v>#N/A</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6.4</v>
      </c>
      <c r="C60" s="64">
        <f t="shared" ref="C60:U60" si="14">D10</f>
        <v>5.8</v>
      </c>
      <c r="D60" s="64">
        <f t="shared" si="14"/>
        <v>6</v>
      </c>
      <c r="E60" s="64">
        <f t="shared" si="14"/>
        <v>6</v>
      </c>
      <c r="F60" s="64">
        <f t="shared" si="14"/>
        <v>5.9</v>
      </c>
      <c r="G60" s="64">
        <f t="shared" si="14"/>
        <v>6.1</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8</v>
      </c>
      <c r="G61" s="64">
        <f t="shared" si="15"/>
        <v>6</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210</v>
      </c>
      <c r="C62" s="65">
        <f>B32</f>
        <v>210</v>
      </c>
      <c r="D62" s="65">
        <f>B33</f>
        <v>210</v>
      </c>
      <c r="E62" s="65">
        <f>B34</f>
        <v>210</v>
      </c>
      <c r="F62" s="65">
        <f>B35</f>
        <v>210</v>
      </c>
      <c r="G62" s="65">
        <f>B36</f>
        <v>210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1.2000000000000011</v>
      </c>
      <c r="E64" s="65">
        <f t="shared" si="17"/>
        <v>5.6000000000000014</v>
      </c>
      <c r="F64" s="65">
        <f t="shared" si="17"/>
        <v>6.3999999999999986</v>
      </c>
      <c r="G64" s="65">
        <f t="shared" si="17"/>
        <v>0.6000000000000032</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-1.2000000000000011</v>
      </c>
      <c r="E65" s="65">
        <f t="shared" si="18"/>
        <v>-5.6000000000000014</v>
      </c>
      <c r="F65" s="65">
        <f t="shared" si="18"/>
        <v>-6.3999999999999986</v>
      </c>
      <c r="G65" s="65">
        <f t="shared" si="18"/>
        <v>-0.6000000000000032</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L26" sqref="L26"/>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60" t="s">
        <v>41</v>
      </c>
      <c r="B1" s="161"/>
      <c r="C1" s="168" t="str">
        <f>'DCWW Alaw'!C1:D1</f>
        <v xml:space="preserve"> PAN-031280</v>
      </c>
      <c r="D1" s="169"/>
      <c r="E1" s="106" t="s">
        <v>45</v>
      </c>
      <c r="F1" s="113">
        <f>'DCWW Alaw'!F1</f>
        <v>33.6</v>
      </c>
      <c r="G1" s="136" t="s">
        <v>43</v>
      </c>
      <c r="H1" s="137"/>
      <c r="I1" s="109">
        <v>7</v>
      </c>
      <c r="J1" s="160" t="s">
        <v>153</v>
      </c>
      <c r="K1" s="161"/>
      <c r="L1" s="109">
        <v>151.4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40" t="s">
        <v>87</v>
      </c>
      <c r="B2" s="141"/>
      <c r="C2" s="170" t="str">
        <f>'DCWW Alaw'!C2:D2</f>
        <v>EPR/GP3792SK</v>
      </c>
      <c r="D2" s="171"/>
      <c r="E2" s="96" t="s">
        <v>109</v>
      </c>
      <c r="F2" s="110" t="s">
        <v>165</v>
      </c>
      <c r="G2" s="138" t="s">
        <v>110</v>
      </c>
      <c r="H2" s="139"/>
      <c r="I2" s="110"/>
      <c r="J2" s="140" t="s">
        <v>158</v>
      </c>
      <c r="K2" s="141"/>
      <c r="L2" s="110">
        <v>1.06</v>
      </c>
      <c r="AB2" s="22" t="s">
        <v>56</v>
      </c>
      <c r="AC2" s="13"/>
      <c r="AD2" s="22" t="s">
        <v>70</v>
      </c>
      <c r="AE2" s="13"/>
      <c r="AF2" s="13"/>
      <c r="AG2" s="34" t="s">
        <v>76</v>
      </c>
      <c r="AH2" s="13"/>
      <c r="AI2" s="35" t="s">
        <v>126</v>
      </c>
      <c r="AJ2" s="36">
        <v>0</v>
      </c>
      <c r="AK2" s="37">
        <v>0</v>
      </c>
      <c r="AL2" s="7">
        <v>0</v>
      </c>
      <c r="AM2" s="9">
        <v>0</v>
      </c>
      <c r="AN2" s="9">
        <v>0</v>
      </c>
    </row>
    <row r="3" spans="1:41" ht="13" x14ac:dyDescent="0.25">
      <c r="A3" s="162" t="s">
        <v>42</v>
      </c>
      <c r="B3" s="163"/>
      <c r="C3" s="170" t="str">
        <f>'DCWW Alaw'!C3:D3</f>
        <v>Byproduct Recovery Ltd</v>
      </c>
      <c r="D3" s="171"/>
      <c r="E3" s="96" t="s">
        <v>108</v>
      </c>
      <c r="F3" s="111" t="s">
        <v>77</v>
      </c>
      <c r="G3" s="140" t="s">
        <v>159</v>
      </c>
      <c r="H3" s="141"/>
      <c r="I3" s="110"/>
      <c r="J3" s="162" t="s">
        <v>154</v>
      </c>
      <c r="K3" s="163"/>
      <c r="L3" s="110">
        <f>(L1/(L2*10000))*100</f>
        <v>1.4283018867924528</v>
      </c>
      <c r="AB3" s="22" t="s">
        <v>57</v>
      </c>
      <c r="AC3" s="13"/>
      <c r="AD3" s="22" t="s">
        <v>71</v>
      </c>
      <c r="AE3" s="13"/>
      <c r="AF3" s="13"/>
      <c r="AG3" s="34" t="s">
        <v>77</v>
      </c>
      <c r="AH3" s="13"/>
      <c r="AI3" s="38" t="s">
        <v>113</v>
      </c>
      <c r="AJ3" s="39">
        <v>1.7</v>
      </c>
      <c r="AK3" s="40">
        <v>6</v>
      </c>
      <c r="AL3" s="41">
        <v>1</v>
      </c>
      <c r="AM3" s="9">
        <v>6.2</v>
      </c>
      <c r="AN3" s="9" t="s">
        <v>112</v>
      </c>
    </row>
    <row r="4" spans="1:41" ht="25" x14ac:dyDescent="0.25">
      <c r="A4" s="140" t="s">
        <v>0</v>
      </c>
      <c r="B4" s="141"/>
      <c r="C4" s="172" t="str">
        <f>'DCWW Alaw'!C4:D4</f>
        <v>Plas Bach, Cerrigceinwen, Bodorgan, LL62 5NS</v>
      </c>
      <c r="D4" s="173"/>
      <c r="E4" s="99" t="s">
        <v>1</v>
      </c>
      <c r="F4" s="131" t="s">
        <v>174</v>
      </c>
      <c r="G4" s="162"/>
      <c r="H4" s="163"/>
      <c r="I4" s="115"/>
      <c r="J4" s="162"/>
      <c r="K4" s="163"/>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2" t="s">
        <v>47</v>
      </c>
      <c r="B5" s="143"/>
      <c r="C5" s="174" t="str">
        <f>'DCWW Alaw'!C5:D5</f>
        <v>Owen Clee</v>
      </c>
      <c r="D5" s="175"/>
      <c r="E5" s="107"/>
      <c r="F5" s="114"/>
      <c r="G5" s="166"/>
      <c r="H5" s="167"/>
      <c r="I5" s="114"/>
      <c r="J5" s="166"/>
      <c r="K5" s="16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2" t="s">
        <v>63</v>
      </c>
      <c r="B7" s="153"/>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40" t="s">
        <v>2</v>
      </c>
      <c r="B8" s="141"/>
      <c r="C8" s="49" t="str">
        <f>'DCWW Alaw'!C8</f>
        <v>SCJ1</v>
      </c>
      <c r="D8" s="49" t="str">
        <f>'DCWW Alaw'!D8</f>
        <v>SCJ2</v>
      </c>
      <c r="E8" s="49" t="str">
        <f>'DCWW Alaw'!E8</f>
        <v>SCJ3</v>
      </c>
      <c r="F8" s="49" t="str">
        <f>'DCWW Alaw'!F8</f>
        <v>SCJ4</v>
      </c>
      <c r="G8" s="49" t="str">
        <f>'DCWW Alaw'!G8</f>
        <v>SCJ5</v>
      </c>
      <c r="H8" s="49" t="str">
        <f>'DCWW Alaw'!H8</f>
        <v>SCJ6</v>
      </c>
      <c r="I8" s="49">
        <f>'DCWW Alaw'!I8</f>
        <v>0</v>
      </c>
      <c r="J8" s="49">
        <f>'DCWW Alaw'!J8</f>
        <v>0</v>
      </c>
      <c r="K8" s="49">
        <f>'DCWW Alaw'!K8</f>
        <v>0</v>
      </c>
      <c r="L8" s="49">
        <f>'DCWW Alaw'!L8</f>
        <v>0</v>
      </c>
      <c r="M8" s="49">
        <f>'DCWW Alaw'!M8</f>
        <v>0</v>
      </c>
      <c r="N8" s="49">
        <f>'DCWW Alaw'!N8</f>
        <v>0</v>
      </c>
      <c r="O8" s="49">
        <f>'DCWW Alaw'!O8</f>
        <v>0</v>
      </c>
      <c r="P8" s="49">
        <f>'DCWW Alaw'!P8</f>
        <v>0</v>
      </c>
      <c r="Q8" s="49">
        <f>'DCWW Alaw'!Q8</f>
        <v>0</v>
      </c>
      <c r="R8" s="49">
        <f>'DCWW Alaw'!R8</f>
        <v>0</v>
      </c>
      <c r="S8" s="49">
        <f>'DCWW Alaw'!S8</f>
        <v>0</v>
      </c>
      <c r="T8" s="49">
        <f>'DCWW Alaw'!T8</f>
        <v>0</v>
      </c>
      <c r="U8" s="49">
        <f>'DCWW Alaw'!U8</f>
        <v>0</v>
      </c>
      <c r="V8" s="102">
        <f>'DCWW Alaw'!V8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40" t="s">
        <v>3</v>
      </c>
      <c r="B9" s="141"/>
      <c r="C9" s="49" t="str">
        <f>'DCWW Alaw'!C9</f>
        <v>Moderate</v>
      </c>
      <c r="D9" s="49" t="str">
        <f>'DCWW Alaw'!D9</f>
        <v>Moderate</v>
      </c>
      <c r="E9" s="49" t="str">
        <f>'DCWW Alaw'!E9</f>
        <v>Moderate</v>
      </c>
      <c r="F9" s="49">
        <f>'DCWW Alaw'!F9</f>
        <v>1</v>
      </c>
      <c r="G9" s="49">
        <f>'DCWW Alaw'!G9</f>
        <v>1</v>
      </c>
      <c r="H9" s="49" t="str">
        <f>'DCWW Alaw'!H9</f>
        <v>Moderate</v>
      </c>
      <c r="I9" s="49">
        <f>'DCWW Alaw'!I9</f>
        <v>0</v>
      </c>
      <c r="J9" s="49">
        <f>'DCWW Alaw'!J9</f>
        <v>0</v>
      </c>
      <c r="K9" s="49">
        <f>'DCWW Alaw'!K9</f>
        <v>0</v>
      </c>
      <c r="L9" s="49">
        <f>'DCWW Alaw'!L9</f>
        <v>0</v>
      </c>
      <c r="M9" s="49">
        <f>'DCWW Alaw'!M9</f>
        <v>0</v>
      </c>
      <c r="N9" s="49">
        <f>'DCWW Alaw'!N9</f>
        <v>0</v>
      </c>
      <c r="O9" s="49">
        <f>'DCWW Alaw'!O9</f>
        <v>0</v>
      </c>
      <c r="P9" s="49">
        <f>'DCWW Alaw'!P9</f>
        <v>0</v>
      </c>
      <c r="Q9" s="49">
        <f>'DCWW Alaw'!Q9</f>
        <v>0</v>
      </c>
      <c r="R9" s="49">
        <f>'DCWW Alaw'!R9</f>
        <v>0</v>
      </c>
      <c r="S9" s="49">
        <f>'DCWW Alaw'!S9</f>
        <v>0</v>
      </c>
      <c r="T9" s="49">
        <f>'DCWW Alaw'!T9</f>
        <v>0</v>
      </c>
      <c r="U9" s="49">
        <f>'DCWW Alaw'!U9</f>
        <v>0</v>
      </c>
      <c r="V9" s="102">
        <f>'DCWW Alaw'!V9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40" t="s">
        <v>4</v>
      </c>
      <c r="B10" s="141"/>
      <c r="C10" s="49">
        <f>'DCWW Alaw'!C10</f>
        <v>6.4</v>
      </c>
      <c r="D10" s="49">
        <f>'DCWW Alaw'!D10</f>
        <v>5.8</v>
      </c>
      <c r="E10" s="49">
        <f>'DCWW Alaw'!E10</f>
        <v>6</v>
      </c>
      <c r="F10" s="49">
        <f>'DCWW Alaw'!F10</f>
        <v>6</v>
      </c>
      <c r="G10" s="49">
        <f>'DCWW Alaw'!G10</f>
        <v>5.9</v>
      </c>
      <c r="H10" s="49">
        <f>'DCWW Alaw'!H10</f>
        <v>6.1</v>
      </c>
      <c r="I10" s="49">
        <f>'DCWW Alaw'!I10</f>
        <v>0</v>
      </c>
      <c r="J10" s="49">
        <f>'DCWW Alaw'!J10</f>
        <v>0</v>
      </c>
      <c r="K10" s="49">
        <f>'DCWW Alaw'!K10</f>
        <v>0</v>
      </c>
      <c r="L10" s="49">
        <f>'DCWW Alaw'!L10</f>
        <v>0</v>
      </c>
      <c r="M10" s="49">
        <f>'DCWW Alaw'!M10</f>
        <v>0</v>
      </c>
      <c r="N10" s="49">
        <f>'DCWW Alaw'!N10</f>
        <v>0</v>
      </c>
      <c r="O10" s="49">
        <f>'DCWW Alaw'!O10</f>
        <v>0</v>
      </c>
      <c r="P10" s="49">
        <f>'DCWW Alaw'!P10</f>
        <v>0</v>
      </c>
      <c r="Q10" s="49">
        <f>'DCWW Alaw'!Q10</f>
        <v>0</v>
      </c>
      <c r="R10" s="49">
        <f>'DCWW Alaw'!R10</f>
        <v>0</v>
      </c>
      <c r="S10" s="49">
        <f>'DCWW Alaw'!S10</f>
        <v>0</v>
      </c>
      <c r="T10" s="49">
        <f>'DCWW Alaw'!T10</f>
        <v>0</v>
      </c>
      <c r="U10" s="49">
        <f>'DCWW Alaw'!U10</f>
        <v>0</v>
      </c>
      <c r="V10" s="102">
        <f>'DCWW Alaw'!V10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40" t="s">
        <v>5</v>
      </c>
      <c r="B11" s="141"/>
      <c r="C11" s="49">
        <f>'DCWW Alaw'!C11</f>
        <v>2</v>
      </c>
      <c r="D11" s="49">
        <f>'DCWW Alaw'!D11</f>
        <v>2</v>
      </c>
      <c r="E11" s="49">
        <f>'DCWW Alaw'!E11</f>
        <v>3</v>
      </c>
      <c r="F11" s="49">
        <f>'DCWW Alaw'!F11</f>
        <v>1</v>
      </c>
      <c r="G11" s="49">
        <f>'DCWW Alaw'!G11</f>
        <v>0</v>
      </c>
      <c r="H11" s="49">
        <f>'DCWW Alaw'!H11</f>
        <v>3</v>
      </c>
      <c r="I11" s="49">
        <f>'DCWW Alaw'!I11</f>
        <v>0</v>
      </c>
      <c r="J11" s="49">
        <f>'DCWW Alaw'!J11</f>
        <v>0</v>
      </c>
      <c r="K11" s="49">
        <f>'DCWW Alaw'!K11</f>
        <v>0</v>
      </c>
      <c r="L11" s="49">
        <f>'DCWW Alaw'!L11</f>
        <v>0</v>
      </c>
      <c r="M11" s="49">
        <f>'DCWW Alaw'!M11</f>
        <v>0</v>
      </c>
      <c r="N11" s="49">
        <f>'DCWW Alaw'!N11</f>
        <v>0</v>
      </c>
      <c r="O11" s="49">
        <f>'DCWW Alaw'!O11</f>
        <v>0</v>
      </c>
      <c r="P11" s="49">
        <f>'DCWW Alaw'!P11</f>
        <v>0</v>
      </c>
      <c r="Q11" s="49">
        <f>'DCWW Alaw'!Q11</f>
        <v>0</v>
      </c>
      <c r="R11" s="49">
        <f>'DCWW Alaw'!R11</f>
        <v>0</v>
      </c>
      <c r="S11" s="49">
        <f>'DCWW Alaw'!S11</f>
        <v>0</v>
      </c>
      <c r="T11" s="49">
        <f>'DCWW Alaw'!T11</f>
        <v>0</v>
      </c>
      <c r="U11" s="49">
        <f>'DCWW Alaw'!U11</f>
        <v>0</v>
      </c>
      <c r="V11" s="102">
        <f>'DCWW Alaw'!V11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40" t="s">
        <v>6</v>
      </c>
      <c r="B12" s="141"/>
      <c r="C12" s="49">
        <f>'DCWW Alaw'!C12</f>
        <v>3</v>
      </c>
      <c r="D12" s="49">
        <f>'DCWW Alaw'!D12</f>
        <v>4</v>
      </c>
      <c r="E12" s="49">
        <f>'DCWW Alaw'!E12</f>
        <v>4</v>
      </c>
      <c r="F12" s="49">
        <f>'DCWW Alaw'!F12</f>
        <v>1</v>
      </c>
      <c r="G12" s="49">
        <f>'DCWW Alaw'!G12</f>
        <v>1</v>
      </c>
      <c r="H12" s="49">
        <f>'DCWW Alaw'!H12</f>
        <v>2</v>
      </c>
      <c r="I12" s="49">
        <f>'DCWW Alaw'!I12</f>
        <v>0</v>
      </c>
      <c r="J12" s="49">
        <f>'DCWW Alaw'!J12</f>
        <v>0</v>
      </c>
      <c r="K12" s="49">
        <f>'DCWW Alaw'!K12</f>
        <v>0</v>
      </c>
      <c r="L12" s="49">
        <f>'DCWW Alaw'!L12</f>
        <v>0</v>
      </c>
      <c r="M12" s="49">
        <f>'DCWW Alaw'!M12</f>
        <v>0</v>
      </c>
      <c r="N12" s="49">
        <f>'DCWW Alaw'!N12</f>
        <v>0</v>
      </c>
      <c r="O12" s="49">
        <f>'DCWW Alaw'!O12</f>
        <v>0</v>
      </c>
      <c r="P12" s="49">
        <f>'DCWW Alaw'!P12</f>
        <v>0</v>
      </c>
      <c r="Q12" s="49">
        <f>'DCWW Alaw'!Q12</f>
        <v>0</v>
      </c>
      <c r="R12" s="49">
        <f>'DCWW Alaw'!R12</f>
        <v>0</v>
      </c>
      <c r="S12" s="49">
        <f>'DCWW Alaw'!S12</f>
        <v>0</v>
      </c>
      <c r="T12" s="49">
        <f>'DCWW Alaw'!T12</f>
        <v>0</v>
      </c>
      <c r="U12" s="49">
        <f>'DCWW Alaw'!U12</f>
        <v>0</v>
      </c>
      <c r="V12" s="102">
        <f>'DCWW Alaw'!V12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40" t="s">
        <v>7</v>
      </c>
      <c r="B13" s="141"/>
      <c r="C13" s="49">
        <f>'DCWW Alaw'!C13</f>
        <v>4</v>
      </c>
      <c r="D13" s="49">
        <f>'DCWW Alaw'!D13</f>
        <v>3</v>
      </c>
      <c r="E13" s="49">
        <f>'DCWW Alaw'!E13</f>
        <v>3</v>
      </c>
      <c r="F13" s="49">
        <f>'DCWW Alaw'!F13</f>
        <v>3</v>
      </c>
      <c r="G13" s="49">
        <f>'DCWW Alaw'!G13</f>
        <v>3</v>
      </c>
      <c r="H13" s="49">
        <f>'DCWW Alaw'!H13</f>
        <v>3</v>
      </c>
      <c r="I13" s="49">
        <f>'DCWW Alaw'!I13</f>
        <v>0</v>
      </c>
      <c r="J13" s="49">
        <f>'DCWW Alaw'!J13</f>
        <v>0</v>
      </c>
      <c r="K13" s="49">
        <f>'DCWW Alaw'!K13</f>
        <v>0</v>
      </c>
      <c r="L13" s="49">
        <f>'DCWW Alaw'!L13</f>
        <v>0</v>
      </c>
      <c r="M13" s="49">
        <f>'DCWW Alaw'!M13</f>
        <v>0</v>
      </c>
      <c r="N13" s="49">
        <f>'DCWW Alaw'!N13</f>
        <v>0</v>
      </c>
      <c r="O13" s="49">
        <f>'DCWW Alaw'!O13</f>
        <v>0</v>
      </c>
      <c r="P13" s="49">
        <f>'DCWW Alaw'!P13</f>
        <v>0</v>
      </c>
      <c r="Q13" s="49">
        <f>'DCWW Alaw'!Q13</f>
        <v>0</v>
      </c>
      <c r="R13" s="49">
        <f>'DCWW Alaw'!R13</f>
        <v>0</v>
      </c>
      <c r="S13" s="49">
        <f>'DCWW Alaw'!S13</f>
        <v>0</v>
      </c>
      <c r="T13" s="49">
        <f>'DCWW Alaw'!T13</f>
        <v>0</v>
      </c>
      <c r="U13" s="49">
        <f>'DCWW Alaw'!U13</f>
        <v>0</v>
      </c>
      <c r="V13" s="102">
        <f>'DCWW Alaw'!V13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6" t="s">
        <v>8</v>
      </c>
      <c r="B14" s="157"/>
      <c r="C14" s="83" t="str">
        <f>'DCWW Alaw'!C14</f>
        <v xml:space="preserve">Grass Silage (25% DM) </v>
      </c>
      <c r="D14" s="83" t="str">
        <f>'DCWW Alaw'!D14</f>
        <v xml:space="preserve">Grass Silage (25% DM) </v>
      </c>
      <c r="E14" s="83" t="str">
        <f>'DCWW Alaw'!E14</f>
        <v xml:space="preserve">Grass Silage (25% DM) </v>
      </c>
      <c r="F14" s="83" t="str">
        <f>'DCWW Alaw'!F14</f>
        <v>Spring wheat/barley</v>
      </c>
      <c r="G14" s="83" t="str">
        <f>'DCWW Alaw'!G14</f>
        <v>Spring wheat/barley</v>
      </c>
      <c r="H14" s="83" t="str">
        <f>'DCWW Alaw'!H14</f>
        <v xml:space="preserve">Grass Silage (25% DM) </v>
      </c>
      <c r="I14" s="83">
        <f>'DCWW Alaw'!I14</f>
        <v>0</v>
      </c>
      <c r="J14" s="83">
        <f>'DCWW Alaw'!J14</f>
        <v>0</v>
      </c>
      <c r="K14" s="83">
        <f>'DCWW Alaw'!K14</f>
        <v>0</v>
      </c>
      <c r="L14" s="83">
        <f>'DCWW Alaw'!L14</f>
        <v>0</v>
      </c>
      <c r="M14" s="83">
        <f>'DCWW Alaw'!M14</f>
        <v>0</v>
      </c>
      <c r="N14" s="83">
        <f>'DCWW Alaw'!N14</f>
        <v>0</v>
      </c>
      <c r="O14" s="83">
        <f>'DCWW Alaw'!O14</f>
        <v>0</v>
      </c>
      <c r="P14" s="83">
        <f>'DCWW Alaw'!P14</f>
        <v>0</v>
      </c>
      <c r="Q14" s="83">
        <f>'DCWW Alaw'!Q14</f>
        <v>0</v>
      </c>
      <c r="R14" s="83">
        <f>'DCWW Alaw'!R14</f>
        <v>0</v>
      </c>
      <c r="S14" s="83">
        <f>'DCWW Alaw'!S14</f>
        <v>0</v>
      </c>
      <c r="T14" s="83">
        <f>'DCWW Alaw'!T14</f>
        <v>0</v>
      </c>
      <c r="U14" s="83">
        <f>'DCWW Alaw'!U14</f>
        <v>0</v>
      </c>
      <c r="V14" s="103">
        <f>'DCWW Alaw'!V14</f>
        <v>0</v>
      </c>
      <c r="AD14" s="22" t="s">
        <v>138</v>
      </c>
      <c r="AE14" s="22">
        <v>6</v>
      </c>
      <c r="AI14" s="43" t="s">
        <v>119</v>
      </c>
      <c r="AJ14" s="44">
        <v>0.8</v>
      </c>
      <c r="AK14" s="45">
        <v>1.7</v>
      </c>
      <c r="AL14" s="9">
        <v>12</v>
      </c>
      <c r="AM14" s="9">
        <v>6.7</v>
      </c>
      <c r="AN14" s="9" t="s">
        <v>135</v>
      </c>
    </row>
    <row r="15" spans="1:41" ht="13" x14ac:dyDescent="0.25">
      <c r="A15" s="154" t="s">
        <v>9</v>
      </c>
      <c r="B15" s="155"/>
      <c r="C15" s="49">
        <f>'DCWW Alaw'!C15</f>
        <v>38</v>
      </c>
      <c r="D15" s="49">
        <f>'DCWW Alaw'!D15</f>
        <v>38</v>
      </c>
      <c r="E15" s="49">
        <f>'DCWW Alaw'!E15</f>
        <v>38</v>
      </c>
      <c r="F15" s="49">
        <f>'DCWW Alaw'!F15</f>
        <v>5.5</v>
      </c>
      <c r="G15" s="49">
        <f>'DCWW Alaw'!G15</f>
        <v>5.5</v>
      </c>
      <c r="H15" s="49">
        <f>'DCWW Alaw'!H15</f>
        <v>38</v>
      </c>
      <c r="I15" s="49">
        <f>'DCWW Alaw'!I15</f>
        <v>0</v>
      </c>
      <c r="J15" s="49">
        <f>'DCWW Alaw'!J15</f>
        <v>0</v>
      </c>
      <c r="K15" s="49">
        <f>'DCWW Alaw'!K15</f>
        <v>0</v>
      </c>
      <c r="L15" s="49">
        <f>'DCWW Alaw'!L15</f>
        <v>0</v>
      </c>
      <c r="M15" s="49">
        <f>'DCWW Alaw'!M15</f>
        <v>0</v>
      </c>
      <c r="N15" s="49">
        <f>'DCWW Alaw'!N15</f>
        <v>0</v>
      </c>
      <c r="O15" s="49">
        <f>'DCWW Alaw'!O15</f>
        <v>0</v>
      </c>
      <c r="P15" s="49">
        <f>'DCWW Alaw'!P15</f>
        <v>0</v>
      </c>
      <c r="Q15" s="49">
        <f>'DCWW Alaw'!Q15</f>
        <v>0</v>
      </c>
      <c r="R15" s="49">
        <f>'DCWW Alaw'!R15</f>
        <v>0</v>
      </c>
      <c r="S15" s="49">
        <f>'DCWW Alaw'!S15</f>
        <v>0</v>
      </c>
      <c r="T15" s="49">
        <f>'DCWW Alaw'!T15</f>
        <v>0</v>
      </c>
      <c r="U15" s="49">
        <f>'DCWW Alaw'!U15</f>
        <v>0</v>
      </c>
      <c r="V15" s="102">
        <f>'DCWW Alaw'!V15</f>
        <v>0</v>
      </c>
      <c r="AD15" s="22" t="s">
        <v>144</v>
      </c>
      <c r="AE15" s="22">
        <v>7</v>
      </c>
      <c r="AI15" s="43" t="s">
        <v>101</v>
      </c>
      <c r="AJ15" s="51">
        <v>1.8</v>
      </c>
      <c r="AK15" s="45">
        <v>5.4</v>
      </c>
      <c r="AL15" s="9">
        <v>13</v>
      </c>
      <c r="AM15" s="9">
        <v>6.7</v>
      </c>
      <c r="AN15" s="9" t="s">
        <v>135</v>
      </c>
    </row>
    <row r="16" spans="1:41" ht="13.5" thickBot="1" x14ac:dyDescent="0.3">
      <c r="A16" s="158" t="s">
        <v>44</v>
      </c>
      <c r="B16" s="159"/>
      <c r="C16" s="104" t="str">
        <f>'DCWW Alaw'!C16</f>
        <v>Medium/Clay</v>
      </c>
      <c r="D16" s="104" t="str">
        <f>'DCWW Alaw'!D16</f>
        <v>Medium/Clay</v>
      </c>
      <c r="E16" s="104" t="str">
        <f>'DCWW Alaw'!E16</f>
        <v>Medium/Clay</v>
      </c>
      <c r="F16" s="104" t="str">
        <f>'DCWW Alaw'!F16</f>
        <v>Medium/Clay</v>
      </c>
      <c r="G16" s="104" t="str">
        <f>'DCWW Alaw'!G16</f>
        <v>Medium/Clay</v>
      </c>
      <c r="H16" s="104" t="str">
        <f>'DCWW Alaw'!H16</f>
        <v>Medium/Clay</v>
      </c>
      <c r="I16" s="104">
        <f>'DCWW Alaw'!I16</f>
        <v>0</v>
      </c>
      <c r="J16" s="104">
        <f>'DCWW Alaw'!J16</f>
        <v>0</v>
      </c>
      <c r="K16" s="104">
        <f>'DCWW Alaw'!K16</f>
        <v>0</v>
      </c>
      <c r="L16" s="104">
        <f>'DCWW Alaw'!L16</f>
        <v>0</v>
      </c>
      <c r="M16" s="104">
        <f>'DCWW Alaw'!M16</f>
        <v>0</v>
      </c>
      <c r="N16" s="104">
        <f>'DCWW Alaw'!N16</f>
        <v>0</v>
      </c>
      <c r="O16" s="104">
        <f>'DCWW Alaw'!O16</f>
        <v>0</v>
      </c>
      <c r="P16" s="104">
        <f>'DCWW Alaw'!P16</f>
        <v>0</v>
      </c>
      <c r="Q16" s="104">
        <f>'DCWW Alaw'!Q16</f>
        <v>0</v>
      </c>
      <c r="R16" s="104">
        <f>'DCWW Alaw'!R16</f>
        <v>0</v>
      </c>
      <c r="S16" s="104">
        <f>'DCWW Alaw'!S16</f>
        <v>0</v>
      </c>
      <c r="T16" s="104">
        <f>'DCWW Alaw'!T16</f>
        <v>0</v>
      </c>
      <c r="U16" s="104">
        <f>'DCWW Alaw'!U16</f>
        <v>0</v>
      </c>
      <c r="V16" s="105">
        <f>'DCWW Alaw'!V16</f>
        <v>0</v>
      </c>
      <c r="AD16" s="42" t="s">
        <v>145</v>
      </c>
      <c r="AE16" s="22">
        <v>8</v>
      </c>
      <c r="AI16" s="43" t="s">
        <v>118</v>
      </c>
      <c r="AJ16" s="44">
        <v>8</v>
      </c>
      <c r="AK16" s="45">
        <v>5.5</v>
      </c>
      <c r="AL16" s="7">
        <v>14</v>
      </c>
      <c r="AM16" s="9">
        <v>6.7</v>
      </c>
      <c r="AN16" s="9" t="s">
        <v>135</v>
      </c>
    </row>
    <row r="17" spans="1:40" ht="13" x14ac:dyDescent="0.25">
      <c r="A17" s="152" t="s">
        <v>69</v>
      </c>
      <c r="B17" s="153"/>
      <c r="C17" s="20">
        <f>(VLOOKUP(C$14,$AI2:$AK26,2,FALSE))*C$15</f>
        <v>64.599999999999994</v>
      </c>
      <c r="D17" s="20">
        <f t="shared" ref="D17:V17" si="0">(VLOOKUP(D$14,$AI2:$AK26,2,FALSE))*D$15</f>
        <v>64.599999999999994</v>
      </c>
      <c r="E17" s="20">
        <f t="shared" si="0"/>
        <v>64.599999999999994</v>
      </c>
      <c r="F17" s="20">
        <f t="shared" si="0"/>
        <v>46.75</v>
      </c>
      <c r="G17" s="20">
        <f t="shared" si="0"/>
        <v>46.75</v>
      </c>
      <c r="H17" s="20">
        <f t="shared" si="0"/>
        <v>64.599999999999994</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0" t="s">
        <v>23</v>
      </c>
      <c r="B18" s="151"/>
      <c r="C18" s="12">
        <f>$D31</f>
        <v>65.182963831999984</v>
      </c>
      <c r="D18" s="12">
        <f>$D32</f>
        <v>0</v>
      </c>
      <c r="E18" s="12">
        <f>$D33</f>
        <v>32.591481915999992</v>
      </c>
      <c r="F18" s="12">
        <f>$D34</f>
        <v>83.141535499999989</v>
      </c>
      <c r="G18" s="12">
        <f>$D35</f>
        <v>0</v>
      </c>
      <c r="H18" s="12">
        <f>$D36</f>
        <v>32.591481915999992</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0" t="s">
        <v>90</v>
      </c>
      <c r="B19" s="151"/>
      <c r="C19" s="12">
        <f>C18-C17</f>
        <v>0.58296383199999013</v>
      </c>
      <c r="D19" s="12">
        <f t="shared" ref="D19:V19" si="1">D18-D17</f>
        <v>-64.599999999999994</v>
      </c>
      <c r="E19" s="12">
        <f t="shared" si="1"/>
        <v>-32.008518084000002</v>
      </c>
      <c r="F19" s="12">
        <f t="shared" si="1"/>
        <v>36.391535499999989</v>
      </c>
      <c r="G19" s="12">
        <f t="shared" si="1"/>
        <v>-46.75</v>
      </c>
      <c r="H19" s="12">
        <f t="shared" si="1"/>
        <v>-32.008518084000002</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8" t="s">
        <v>91</v>
      </c>
      <c r="B20" s="149"/>
      <c r="C20" s="18" t="str">
        <f>IF($B31="","",IF(C$19&gt;=0,"INCREASE","DECREASE"))</f>
        <v>INCREASE</v>
      </c>
      <c r="D20" s="18" t="str">
        <f>IF($B32="","",IF(D$19&gt;=0,"INCREASE","DECREASE"))</f>
        <v>DECREASE</v>
      </c>
      <c r="E20" s="18" t="str">
        <f>IF($B33="","",IF(E$19&gt;=0,"INCREASE","DECREASE"))</f>
        <v>DECREASE</v>
      </c>
      <c r="F20" s="18" t="str">
        <f>IF($B34="","",IF(F$19&gt;=0,"INCREASE","DECREASE"))</f>
        <v>INCREASE</v>
      </c>
      <c r="G20" s="18" t="str">
        <f>IF($B35="","",IF(G$19&gt;=0,"INCREASE","DECREASE"))</f>
        <v>DECREASE</v>
      </c>
      <c r="H20" s="18" t="str">
        <f>IF($B36="","",IF(H$19&gt;=0,"INCREASE","DECREASE"))</f>
        <v>DECREASE</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2" t="s">
        <v>88</v>
      </c>
      <c r="B21" s="153"/>
      <c r="C21" s="20">
        <f>(VLOOKUP(C$14,$AI2:$AK26,3,FALSE))*C$15</f>
        <v>228</v>
      </c>
      <c r="D21" s="20">
        <f t="shared" ref="D21:V21" si="2">(VLOOKUP(D$14,$AI2:$AK26,3,FALSE))*D$15</f>
        <v>228</v>
      </c>
      <c r="E21" s="20">
        <f t="shared" si="2"/>
        <v>228</v>
      </c>
      <c r="F21" s="20">
        <f t="shared" si="2"/>
        <v>66</v>
      </c>
      <c r="G21" s="20">
        <f t="shared" si="2"/>
        <v>66</v>
      </c>
      <c r="H21" s="20">
        <f t="shared" si="2"/>
        <v>228</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0" t="s">
        <v>89</v>
      </c>
      <c r="B22" s="151"/>
      <c r="C22" s="12">
        <f>$E31</f>
        <v>4.0913933760000001</v>
      </c>
      <c r="D22" s="12">
        <f>$E32</f>
        <v>0</v>
      </c>
      <c r="E22" s="12">
        <f>$E33</f>
        <v>2.045696688</v>
      </c>
      <c r="F22" s="12">
        <f>$E34</f>
        <v>5.2186140000000005</v>
      </c>
      <c r="G22" s="12">
        <f>$E35</f>
        <v>0</v>
      </c>
      <c r="H22" s="12">
        <f>$E36</f>
        <v>2.045696688</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0" t="s">
        <v>92</v>
      </c>
      <c r="B23" s="151"/>
      <c r="C23" s="12">
        <f>C22-C21</f>
        <v>-223.90860662399999</v>
      </c>
      <c r="D23" s="12">
        <f t="shared" ref="D23:V23" si="3">D22-D21</f>
        <v>-228</v>
      </c>
      <c r="E23" s="12">
        <f t="shared" si="3"/>
        <v>-225.95430331200001</v>
      </c>
      <c r="F23" s="12">
        <f t="shared" si="3"/>
        <v>-60.781385999999998</v>
      </c>
      <c r="G23" s="12">
        <f t="shared" si="3"/>
        <v>-66</v>
      </c>
      <c r="H23" s="12">
        <f t="shared" si="3"/>
        <v>-225.95430331200001</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8" t="s">
        <v>93</v>
      </c>
      <c r="B24" s="149"/>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4.01</v>
      </c>
      <c r="C28" s="11">
        <v>1.06</v>
      </c>
      <c r="D28" s="11">
        <v>0.36199999999999999</v>
      </c>
      <c r="E28" s="11">
        <v>4.3200000000000002E-2</v>
      </c>
      <c r="F28" s="11">
        <v>587</v>
      </c>
      <c r="G28" s="11">
        <v>88.2</v>
      </c>
      <c r="H28" s="11">
        <v>125</v>
      </c>
      <c r="I28" s="11">
        <v>30.8</v>
      </c>
      <c r="J28" s="11">
        <v>0.61</v>
      </c>
      <c r="K28" s="15">
        <v>0.5</v>
      </c>
      <c r="L28" s="11">
        <v>25.3</v>
      </c>
      <c r="M28" s="11">
        <v>21.4</v>
      </c>
      <c r="N28" s="11">
        <v>922000</v>
      </c>
      <c r="O28" s="11">
        <v>4290</v>
      </c>
      <c r="P28" s="11"/>
      <c r="Q28" s="11">
        <v>6070</v>
      </c>
      <c r="R28" s="11"/>
      <c r="S28" s="11">
        <v>21.2</v>
      </c>
      <c r="T28" s="11"/>
      <c r="U28" s="97"/>
    </row>
    <row r="29" spans="1:40" s="7" customFormat="1" ht="28" x14ac:dyDescent="0.35">
      <c r="A29" s="16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SCJ1</v>
      </c>
      <c r="B31" s="11">
        <v>196</v>
      </c>
      <c r="C31" s="65">
        <f>IF(C$27="%w/w SAR",((C$28*10)*$B31),IF(C$27="%w/w DM",(((C$28*10)*($B$28/100))*$B31),IF(C$27="kg/t SAR",(C$28*$B31),IF(C$27="kg/t DM",((C$28*($B$28/100))*$B31),IF(C$27="mg/kg SAR",((C$28*0.001)*$B31),IF(C$27="mg/kg DM",(((C$28*0.001)*($B$28/100))*$B31),0))))))</f>
        <v>83.311760000000007</v>
      </c>
      <c r="D31" s="65">
        <f>(IF(D$27="%w/w SAR",((D$28*10)*$B31),IF(D$27="%w/w DM",(((D$28*10)*($B$28/100))*$B31),IF(D$27="kg/t SAR",(D$28*$B31),IF(D$27="kg/t DM",((D$28*($B$28/100))*$B31),IF(D$27="mg/kg SAR",((D$28*0.001)*$B31),IF(D$27="mg/kg DM",(((D$28*0.001)*($B$28/100))*$B31),"0")))))))*2.291</f>
        <v>65.182963831999984</v>
      </c>
      <c r="E31" s="65">
        <f>(IF(E$27="%w/w SAR",((E$28*10)*$B31),IF(E$27="%w/w DM",(((E$28*10)*($B$28/100))*$B31),IF(E$27="kg/t SAR",(E$28*$B31),IF(E$27="kg/t DM",((E$28*($B$28/100))*$B31),IF(E$27="mg/kg SAR",((E$28*0.001)*$B31),IF(E$27="mg/kg DM",(((E$28*0.001)*($B$28/100))*$B31),"0")))))))*1.205</f>
        <v>4.0913933760000001</v>
      </c>
      <c r="F31" s="65">
        <f>(IF(F$27="%w/w SAR",((F$28*10)*$B31),IF(F$27="%w/w DM",(((F$28*10)*($B$28/100))*$B31),IF(F$27="kg/t SAR",(F$28*$B31),IF(F$27="kg/t DM",((F$28*($B$28/100))*$B31),IF(F$27="mg/kg SAR",((F$28*0.001)*$B31),IF(F$27="mg/kg DM",(((F$28*0.001)*($B$28/100))*$B31),"0")))))))*1.658</f>
        <v>7.6493242615999986</v>
      </c>
      <c r="G31" s="65">
        <f t="shared" ref="G31:P46" si="5">IF(G$27="%w/w SAR",((G$28*10)*$B31),IF(G$27="%w/w DM",(((G$28*10)*($B$28/100))*$B31),IF(G$27="kg/t SAR",(G$28*$B31),IF(G$27="kg/t DM",((G$28*($B$28/100))*$B31),IF(G$27="mg/kg SAR",((G$28*0.001)*$B31),IF(G$27="mg/kg DM",(((G$28*0.001)*($B$28/100))*$B31),0))))))</f>
        <v>0.6932167199999999</v>
      </c>
      <c r="H31" s="65">
        <f t="shared" si="5"/>
        <v>0.98244999999999993</v>
      </c>
      <c r="I31" s="65">
        <f t="shared" si="5"/>
        <v>0.24207567999999999</v>
      </c>
      <c r="J31" s="65">
        <f t="shared" si="5"/>
        <v>4.7943559999999996E-3</v>
      </c>
      <c r="K31" s="65">
        <f t="shared" si="5"/>
        <v>3.9297999999999998E-3</v>
      </c>
      <c r="L31" s="65">
        <f t="shared" si="5"/>
        <v>0.19884787999999998</v>
      </c>
      <c r="M31" s="65">
        <f t="shared" si="5"/>
        <v>0.16819543999999997</v>
      </c>
      <c r="N31" s="65">
        <f t="shared" si="5"/>
        <v>7246.551199999999</v>
      </c>
      <c r="O31" s="65">
        <f t="shared" si="5"/>
        <v>33.717683999999998</v>
      </c>
      <c r="P31" s="65">
        <f t="shared" si="5"/>
        <v>0</v>
      </c>
      <c r="Q31" s="65">
        <f>(IF(Q$27="%w/w SAR",((Q$28*10)*$B31),IF(Q$27="%w/w DM",(((Q$28*10)*($B$28/100))*$B31),IF(Q$27="kg/t SAR",(Q$28*$B31),IF(Q$27="kg/t DM",((Q$28*($B$28/100))*$B31),IF(Q$27="mg/kg SAR",((Q$28*0.001)*$B31),IF(Q$27="mg/kg DM",(((Q$28*0.001)*($B$28/100))*$B31),0)))))))*2.5</f>
        <v>119.26943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0.16662351999999997</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SCJ2</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SCJ3</v>
      </c>
      <c r="B33" s="11">
        <v>98</v>
      </c>
      <c r="C33" s="65">
        <f t="shared" si="6"/>
        <v>41.655880000000003</v>
      </c>
      <c r="D33" s="65">
        <f t="shared" si="7"/>
        <v>32.591481915999992</v>
      </c>
      <c r="E33" s="65">
        <f t="shared" si="8"/>
        <v>2.045696688</v>
      </c>
      <c r="F33" s="65">
        <f t="shared" si="9"/>
        <v>3.8246621307999993</v>
      </c>
      <c r="G33" s="65">
        <f t="shared" si="5"/>
        <v>0.34660835999999995</v>
      </c>
      <c r="H33" s="65">
        <f t="shared" si="5"/>
        <v>0.49122499999999997</v>
      </c>
      <c r="I33" s="65">
        <f t="shared" si="5"/>
        <v>0.12103783999999999</v>
      </c>
      <c r="J33" s="65">
        <f t="shared" si="5"/>
        <v>2.3971779999999998E-3</v>
      </c>
      <c r="K33" s="65">
        <f t="shared" si="5"/>
        <v>1.9648999999999999E-3</v>
      </c>
      <c r="L33" s="65">
        <f t="shared" si="5"/>
        <v>9.9423939999999988E-2</v>
      </c>
      <c r="M33" s="65">
        <f t="shared" si="5"/>
        <v>8.4097719999999987E-2</v>
      </c>
      <c r="N33" s="65">
        <f t="shared" si="5"/>
        <v>3623.2755999999995</v>
      </c>
      <c r="O33" s="65">
        <f t="shared" si="5"/>
        <v>16.858841999999999</v>
      </c>
      <c r="P33" s="65">
        <f t="shared" si="5"/>
        <v>0</v>
      </c>
      <c r="Q33" s="65">
        <f t="shared" si="10"/>
        <v>59.634715</v>
      </c>
      <c r="R33" s="65">
        <f t="shared" si="11"/>
        <v>0</v>
      </c>
      <c r="S33" s="65">
        <f t="shared" si="11"/>
        <v>8.3311759999999985E-2</v>
      </c>
      <c r="T33" s="65">
        <f t="shared" si="11"/>
        <v>0</v>
      </c>
      <c r="U33" s="126">
        <f t="shared" si="11"/>
        <v>0</v>
      </c>
    </row>
    <row r="34" spans="1:21" s="48" customFormat="1" ht="13" x14ac:dyDescent="0.35">
      <c r="A34" s="125" t="str">
        <f>F8</f>
        <v>SCJ4</v>
      </c>
      <c r="B34" s="11">
        <v>250</v>
      </c>
      <c r="C34" s="65">
        <f t="shared" si="6"/>
        <v>106.26500000000001</v>
      </c>
      <c r="D34" s="65">
        <f t="shared" si="7"/>
        <v>83.141535499999989</v>
      </c>
      <c r="E34" s="65">
        <f t="shared" si="8"/>
        <v>5.2186140000000005</v>
      </c>
      <c r="F34" s="65">
        <f t="shared" si="9"/>
        <v>9.756791149999998</v>
      </c>
      <c r="G34" s="65">
        <f t="shared" si="5"/>
        <v>0.88420499999999991</v>
      </c>
      <c r="H34" s="65">
        <f t="shared" si="5"/>
        <v>1.2531249999999998</v>
      </c>
      <c r="I34" s="65">
        <f t="shared" si="5"/>
        <v>0.30876999999999999</v>
      </c>
      <c r="J34" s="65">
        <f t="shared" si="5"/>
        <v>6.11525E-3</v>
      </c>
      <c r="K34" s="65">
        <f t="shared" si="5"/>
        <v>5.0124999999999996E-3</v>
      </c>
      <c r="L34" s="65">
        <f t="shared" si="5"/>
        <v>0.25363249999999993</v>
      </c>
      <c r="M34" s="65">
        <f t="shared" si="5"/>
        <v>0.21453499999999998</v>
      </c>
      <c r="N34" s="65">
        <f t="shared" si="5"/>
        <v>9243.0499999999993</v>
      </c>
      <c r="O34" s="65">
        <f t="shared" si="5"/>
        <v>43.007249999999999</v>
      </c>
      <c r="P34" s="65">
        <f t="shared" si="5"/>
        <v>0</v>
      </c>
      <c r="Q34" s="65">
        <f t="shared" si="10"/>
        <v>152.12937499999998</v>
      </c>
      <c r="R34" s="65">
        <f t="shared" si="11"/>
        <v>0</v>
      </c>
      <c r="S34" s="65">
        <f t="shared" si="11"/>
        <v>0.21252999999999997</v>
      </c>
      <c r="T34" s="65">
        <f t="shared" si="11"/>
        <v>0</v>
      </c>
      <c r="U34" s="126">
        <f t="shared" si="11"/>
        <v>0</v>
      </c>
    </row>
    <row r="35" spans="1:21" s="48" customFormat="1" ht="13" x14ac:dyDescent="0.35">
      <c r="A35" s="125" t="str">
        <f>G8</f>
        <v>SCJ5</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SCJ6</v>
      </c>
      <c r="B36" s="11">
        <v>98</v>
      </c>
      <c r="C36" s="65">
        <f t="shared" si="6"/>
        <v>41.655880000000003</v>
      </c>
      <c r="D36" s="65">
        <f t="shared" si="7"/>
        <v>32.591481915999992</v>
      </c>
      <c r="E36" s="65">
        <f t="shared" si="8"/>
        <v>2.045696688</v>
      </c>
      <c r="F36" s="65">
        <f t="shared" si="9"/>
        <v>3.8246621307999993</v>
      </c>
      <c r="G36" s="65">
        <f t="shared" si="5"/>
        <v>0.34660835999999995</v>
      </c>
      <c r="H36" s="65">
        <f t="shared" si="5"/>
        <v>0.49122499999999997</v>
      </c>
      <c r="I36" s="65">
        <f t="shared" si="5"/>
        <v>0.12103783999999999</v>
      </c>
      <c r="J36" s="65">
        <f t="shared" si="5"/>
        <v>2.3971779999999998E-3</v>
      </c>
      <c r="K36" s="65">
        <f t="shared" si="5"/>
        <v>1.9648999999999999E-3</v>
      </c>
      <c r="L36" s="65">
        <f t="shared" si="5"/>
        <v>9.9423939999999988E-2</v>
      </c>
      <c r="M36" s="65">
        <f t="shared" si="5"/>
        <v>8.4097719999999987E-2</v>
      </c>
      <c r="N36" s="65">
        <f t="shared" si="5"/>
        <v>3623.2755999999995</v>
      </c>
      <c r="O36" s="65">
        <f t="shared" si="5"/>
        <v>16.858841999999999</v>
      </c>
      <c r="P36" s="65">
        <f t="shared" si="5"/>
        <v>0</v>
      </c>
      <c r="Q36" s="65">
        <f t="shared" si="10"/>
        <v>59.634715</v>
      </c>
      <c r="R36" s="65">
        <f t="shared" si="11"/>
        <v>0</v>
      </c>
      <c r="S36" s="65">
        <f t="shared" si="11"/>
        <v>8.3311759999999985E-2</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SCJ1</v>
      </c>
      <c r="C57" s="8" t="str">
        <f t="shared" ref="C57:U57" si="13">D8</f>
        <v>SCJ2</v>
      </c>
      <c r="D57" s="8" t="str">
        <f t="shared" si="13"/>
        <v>SCJ3</v>
      </c>
      <c r="E57" s="8" t="str">
        <f t="shared" si="13"/>
        <v>SCJ4</v>
      </c>
      <c r="F57" s="8" t="str">
        <f t="shared" si="13"/>
        <v>SCJ5</v>
      </c>
      <c r="G57" s="8" t="str">
        <f t="shared" si="13"/>
        <v>SCJ6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Arable</v>
      </c>
      <c r="F58" s="10" t="str">
        <f>G16&amp;" I "&amp;(VLOOKUP(G14,Table24581113[],6,FALSE))</f>
        <v>Medium/Clay I Arable</v>
      </c>
      <c r="G58" s="10" t="str">
        <f>H16&amp;" I "&amp;(VLOOKUP(H14,Table24581113[],6,FALSE))</f>
        <v>Medium/Clay I Grass</v>
      </c>
      <c r="H58" s="10" t="e">
        <f>I16&amp;" I "&amp;(VLOOKUP(I14,Table24581113[],6,FALSE))</f>
        <v>#N/A</v>
      </c>
      <c r="I58" s="10" t="e">
        <f>J16&amp;" I "&amp;(VLOOKUP(J14,Table24581113[],6,FALSE))</f>
        <v>#N/A</v>
      </c>
      <c r="J58" s="10" t="e">
        <f>K16&amp;" I "&amp;(VLOOKUP(K14,Table24581113[],6,FALSE))</f>
        <v>#N/A</v>
      </c>
      <c r="K58" s="10" t="e">
        <f>L16&amp;" I "&amp;(VLOOKUP(L14,Table24581113[],6,FALSE))</f>
        <v>#N/A</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6.7</v>
      </c>
      <c r="F59" s="64">
        <f>VLOOKUP(G$14,Table24581113[],5,FALSE)</f>
        <v>6.7</v>
      </c>
      <c r="G59" s="64">
        <f>VLOOKUP(H$14,Table24581113[],5,FALSE)</f>
        <v>6.2</v>
      </c>
      <c r="H59" s="64" t="e">
        <f>VLOOKUP(I$14,Table24581113[],5,FALSE)</f>
        <v>#N/A</v>
      </c>
      <c r="I59" s="64" t="e">
        <f>VLOOKUP(J$14,Table24581113[],5,FALSE)</f>
        <v>#N/A</v>
      </c>
      <c r="J59" s="64" t="e">
        <f>VLOOKUP(K$14,Table24581113[],5,FALSE)</f>
        <v>#N/A</v>
      </c>
      <c r="K59" s="64" t="e">
        <f>VLOOKUP(L$14,Table24581113[],5,FALSE)</f>
        <v>#N/A</v>
      </c>
      <c r="L59" s="64" t="e">
        <f>VLOOKUP(M$14,Table24581113[],5,FALSE)</f>
        <v>#N/A</v>
      </c>
      <c r="M59" s="64" t="e">
        <f>VLOOKUP(N$14,Table24581113[],5,FALSE)</f>
        <v>#N/A</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6.4</v>
      </c>
      <c r="C60" s="64">
        <f t="shared" ref="C60:U60" si="14">D10</f>
        <v>5.8</v>
      </c>
      <c r="D60" s="64">
        <f t="shared" si="14"/>
        <v>6</v>
      </c>
      <c r="E60" s="64">
        <f t="shared" si="14"/>
        <v>6</v>
      </c>
      <c r="F60" s="64">
        <f t="shared" si="14"/>
        <v>5.9</v>
      </c>
      <c r="G60" s="64">
        <f t="shared" si="14"/>
        <v>6.1</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8</v>
      </c>
      <c r="G61" s="64">
        <f t="shared" si="15"/>
        <v>6</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196</v>
      </c>
      <c r="C62" s="65">
        <f>B32</f>
        <v>0</v>
      </c>
      <c r="D62" s="65">
        <f>B33</f>
        <v>98</v>
      </c>
      <c r="E62" s="65">
        <f>B34</f>
        <v>250</v>
      </c>
      <c r="F62" s="65">
        <f>B35</f>
        <v>0</v>
      </c>
      <c r="G62" s="65">
        <f>B36</f>
        <v>98</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1.2000000000000011</v>
      </c>
      <c r="E64" s="65">
        <f t="shared" si="17"/>
        <v>5.6000000000000014</v>
      </c>
      <c r="F64" s="65">
        <f t="shared" si="17"/>
        <v>6.3999999999999986</v>
      </c>
      <c r="G64" s="65">
        <f t="shared" si="17"/>
        <v>0.6000000000000032</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-1.2000000000000011</v>
      </c>
      <c r="E65" s="65">
        <f t="shared" si="18"/>
        <v>-5.6000000000000014</v>
      </c>
      <c r="F65" s="65">
        <f t="shared" si="18"/>
        <v>-6.3999999999999986</v>
      </c>
      <c r="G65" s="65">
        <f t="shared" si="18"/>
        <v>-0.6000000000000032</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J13" sqref="J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60" t="s">
        <v>41</v>
      </c>
      <c r="B1" s="161"/>
      <c r="C1" s="168" t="str">
        <f>'DCWW Alaw'!C1:D1</f>
        <v xml:space="preserve"> PAN-031280</v>
      </c>
      <c r="D1" s="169"/>
      <c r="E1" s="106" t="s">
        <v>45</v>
      </c>
      <c r="F1" s="113">
        <f>'DCWW Alaw'!F1</f>
        <v>33.6</v>
      </c>
      <c r="G1" s="136" t="s">
        <v>43</v>
      </c>
      <c r="H1" s="137"/>
      <c r="I1" s="109">
        <v>5.7</v>
      </c>
      <c r="J1" s="160" t="s">
        <v>153</v>
      </c>
      <c r="K1" s="161"/>
      <c r="L1" s="109">
        <v>139.1</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40" t="s">
        <v>87</v>
      </c>
      <c r="B2" s="141"/>
      <c r="C2" s="170" t="str">
        <f>'DCWW Alaw'!C2:D2</f>
        <v>EPR/GP3792SK</v>
      </c>
      <c r="D2" s="171"/>
      <c r="E2" s="96" t="s">
        <v>109</v>
      </c>
      <c r="F2" s="110" t="s">
        <v>165</v>
      </c>
      <c r="G2" s="138" t="s">
        <v>110</v>
      </c>
      <c r="H2" s="139"/>
      <c r="I2" s="110"/>
      <c r="J2" s="140" t="s">
        <v>158</v>
      </c>
      <c r="K2" s="141"/>
      <c r="L2" s="110">
        <v>0.57699999999999996</v>
      </c>
      <c r="AB2" s="22" t="s">
        <v>56</v>
      </c>
      <c r="AC2" s="13"/>
      <c r="AD2" s="22" t="s">
        <v>70</v>
      </c>
      <c r="AE2" s="13"/>
      <c r="AF2" s="13"/>
      <c r="AG2" s="34" t="s">
        <v>76</v>
      </c>
      <c r="AH2" s="13"/>
      <c r="AI2" s="35" t="s">
        <v>126</v>
      </c>
      <c r="AJ2" s="36">
        <v>0</v>
      </c>
      <c r="AK2" s="37">
        <v>0</v>
      </c>
      <c r="AL2" s="7">
        <v>0</v>
      </c>
      <c r="AM2" s="9">
        <v>0</v>
      </c>
      <c r="AN2" s="9">
        <v>0</v>
      </c>
    </row>
    <row r="3" spans="1:41" ht="13" x14ac:dyDescent="0.25">
      <c r="A3" s="162" t="s">
        <v>42</v>
      </c>
      <c r="B3" s="163"/>
      <c r="C3" s="170" t="str">
        <f>'DCWW Alaw'!C3:D3</f>
        <v>Byproduct Recovery Ltd</v>
      </c>
      <c r="D3" s="171"/>
      <c r="E3" s="96" t="s">
        <v>108</v>
      </c>
      <c r="F3" s="111" t="s">
        <v>77</v>
      </c>
      <c r="G3" s="140" t="s">
        <v>159</v>
      </c>
      <c r="H3" s="141"/>
      <c r="I3" s="110"/>
      <c r="J3" s="162" t="s">
        <v>154</v>
      </c>
      <c r="K3" s="163"/>
      <c r="L3" s="110">
        <f>(L1/(L2*10000))*100</f>
        <v>2.4107452339688038</v>
      </c>
      <c r="AB3" s="22" t="s">
        <v>57</v>
      </c>
      <c r="AC3" s="13"/>
      <c r="AD3" s="22" t="s">
        <v>71</v>
      </c>
      <c r="AE3" s="13"/>
      <c r="AF3" s="13"/>
      <c r="AG3" s="34" t="s">
        <v>77</v>
      </c>
      <c r="AH3" s="13"/>
      <c r="AI3" s="38" t="s">
        <v>113</v>
      </c>
      <c r="AJ3" s="39">
        <v>1.7</v>
      </c>
      <c r="AK3" s="40">
        <v>6</v>
      </c>
      <c r="AL3" s="41">
        <v>1</v>
      </c>
      <c r="AM3" s="9">
        <v>6.2</v>
      </c>
      <c r="AN3" s="9" t="s">
        <v>112</v>
      </c>
    </row>
    <row r="4" spans="1:41" ht="13" x14ac:dyDescent="0.25">
      <c r="A4" s="140" t="s">
        <v>0</v>
      </c>
      <c r="B4" s="141"/>
      <c r="C4" s="172" t="str">
        <f>'DCWW Alaw'!C4:D4</f>
        <v>Plas Bach, Cerrigceinwen, Bodorgan, LL62 5NS</v>
      </c>
      <c r="D4" s="173"/>
      <c r="E4" s="99" t="s">
        <v>1</v>
      </c>
      <c r="F4" s="110" t="s">
        <v>175</v>
      </c>
      <c r="G4" s="162"/>
      <c r="H4" s="163"/>
      <c r="I4" s="115"/>
      <c r="J4" s="162"/>
      <c r="K4" s="163"/>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2" t="s">
        <v>47</v>
      </c>
      <c r="B5" s="143"/>
      <c r="C5" s="174" t="str">
        <f>'DCWW Alaw'!C5:D5</f>
        <v>Owen Clee</v>
      </c>
      <c r="D5" s="175"/>
      <c r="E5" s="107"/>
      <c r="F5" s="114"/>
      <c r="G5" s="166"/>
      <c r="H5" s="167"/>
      <c r="I5" s="114"/>
      <c r="J5" s="166"/>
      <c r="K5" s="16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2" t="s">
        <v>63</v>
      </c>
      <c r="B7" s="153"/>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40" t="s">
        <v>2</v>
      </c>
      <c r="B8" s="141"/>
      <c r="C8" s="49" t="str">
        <f>'DCWW Alaw'!C8</f>
        <v>SCJ1</v>
      </c>
      <c r="D8" s="49" t="str">
        <f>'DCWW Alaw'!D8</f>
        <v>SCJ2</v>
      </c>
      <c r="E8" s="49" t="str">
        <f>'DCWW Alaw'!E8</f>
        <v>SCJ3</v>
      </c>
      <c r="F8" s="49" t="str">
        <f>'DCWW Alaw'!F8</f>
        <v>SCJ4</v>
      </c>
      <c r="G8" s="49" t="str">
        <f>'DCWW Alaw'!G8</f>
        <v>SCJ5</v>
      </c>
      <c r="H8" s="49" t="str">
        <f>'DCWW Alaw'!H8</f>
        <v>SCJ6</v>
      </c>
      <c r="I8" s="49">
        <f>'DCWW Alaw'!I8</f>
        <v>0</v>
      </c>
      <c r="J8" s="49">
        <f>'DCWW Alaw'!J8</f>
        <v>0</v>
      </c>
      <c r="K8" s="49">
        <f>'DCWW Alaw'!K8</f>
        <v>0</v>
      </c>
      <c r="L8" s="49">
        <f>'DCWW Alaw'!L8</f>
        <v>0</v>
      </c>
      <c r="M8" s="49">
        <f>'DCWW Alaw'!M8</f>
        <v>0</v>
      </c>
      <c r="N8" s="49">
        <f>'DCWW Alaw'!N8</f>
        <v>0</v>
      </c>
      <c r="O8" s="49">
        <f>'DCWW Alaw'!O8</f>
        <v>0</v>
      </c>
      <c r="P8" s="49">
        <f>'DCWW Alaw'!P8</f>
        <v>0</v>
      </c>
      <c r="Q8" s="49">
        <f>'DCWW Alaw'!Q8</f>
        <v>0</v>
      </c>
      <c r="R8" s="49">
        <f>'DCWW Alaw'!R8</f>
        <v>0</v>
      </c>
      <c r="S8" s="49">
        <f>'DCWW Alaw'!S8</f>
        <v>0</v>
      </c>
      <c r="T8" s="49">
        <f>'DCWW Alaw'!T8</f>
        <v>0</v>
      </c>
      <c r="U8" s="49">
        <f>'DCWW Alaw'!U8</f>
        <v>0</v>
      </c>
      <c r="V8" s="102">
        <f>'DCWW Alaw'!V8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40" t="s">
        <v>3</v>
      </c>
      <c r="B9" s="141"/>
      <c r="C9" s="49" t="str">
        <f>'DCWW Alaw'!C9</f>
        <v>Moderate</v>
      </c>
      <c r="D9" s="49" t="str">
        <f>'DCWW Alaw'!D9</f>
        <v>Moderate</v>
      </c>
      <c r="E9" s="49" t="str">
        <f>'DCWW Alaw'!E9</f>
        <v>Moderate</v>
      </c>
      <c r="F9" s="49">
        <f>'DCWW Alaw'!F9</f>
        <v>1</v>
      </c>
      <c r="G9" s="49">
        <f>'DCWW Alaw'!G9</f>
        <v>1</v>
      </c>
      <c r="H9" s="49" t="str">
        <f>'DCWW Alaw'!H9</f>
        <v>Moderate</v>
      </c>
      <c r="I9" s="49">
        <f>'DCWW Alaw'!I9</f>
        <v>0</v>
      </c>
      <c r="J9" s="49">
        <f>'DCWW Alaw'!J9</f>
        <v>0</v>
      </c>
      <c r="K9" s="49">
        <f>'DCWW Alaw'!K9</f>
        <v>0</v>
      </c>
      <c r="L9" s="49">
        <f>'DCWW Alaw'!L9</f>
        <v>0</v>
      </c>
      <c r="M9" s="49">
        <f>'DCWW Alaw'!M9</f>
        <v>0</v>
      </c>
      <c r="N9" s="49">
        <f>'DCWW Alaw'!N9</f>
        <v>0</v>
      </c>
      <c r="O9" s="49">
        <f>'DCWW Alaw'!O9</f>
        <v>0</v>
      </c>
      <c r="P9" s="49">
        <f>'DCWW Alaw'!P9</f>
        <v>0</v>
      </c>
      <c r="Q9" s="49">
        <f>'DCWW Alaw'!Q9</f>
        <v>0</v>
      </c>
      <c r="R9" s="49">
        <f>'DCWW Alaw'!R9</f>
        <v>0</v>
      </c>
      <c r="S9" s="49">
        <f>'DCWW Alaw'!S9</f>
        <v>0</v>
      </c>
      <c r="T9" s="49">
        <f>'DCWW Alaw'!T9</f>
        <v>0</v>
      </c>
      <c r="U9" s="49">
        <f>'DCWW Alaw'!U9</f>
        <v>0</v>
      </c>
      <c r="V9" s="102">
        <f>'DCWW Alaw'!V9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40" t="s">
        <v>4</v>
      </c>
      <c r="B10" s="141"/>
      <c r="C10" s="49">
        <f>'DCWW Alaw'!C10</f>
        <v>6.4</v>
      </c>
      <c r="D10" s="49">
        <f>'DCWW Alaw'!D10</f>
        <v>5.8</v>
      </c>
      <c r="E10" s="49">
        <f>'DCWW Alaw'!E10</f>
        <v>6</v>
      </c>
      <c r="F10" s="49">
        <f>'DCWW Alaw'!F10</f>
        <v>6</v>
      </c>
      <c r="G10" s="49">
        <f>'DCWW Alaw'!G10</f>
        <v>5.9</v>
      </c>
      <c r="H10" s="49">
        <f>'DCWW Alaw'!H10</f>
        <v>6.1</v>
      </c>
      <c r="I10" s="49">
        <f>'DCWW Alaw'!I10</f>
        <v>0</v>
      </c>
      <c r="J10" s="49">
        <f>'DCWW Alaw'!J10</f>
        <v>0</v>
      </c>
      <c r="K10" s="49">
        <f>'DCWW Alaw'!K10</f>
        <v>0</v>
      </c>
      <c r="L10" s="49">
        <f>'DCWW Alaw'!L10</f>
        <v>0</v>
      </c>
      <c r="M10" s="49">
        <f>'DCWW Alaw'!M10</f>
        <v>0</v>
      </c>
      <c r="N10" s="49">
        <f>'DCWW Alaw'!N10</f>
        <v>0</v>
      </c>
      <c r="O10" s="49">
        <f>'DCWW Alaw'!O10</f>
        <v>0</v>
      </c>
      <c r="P10" s="49">
        <f>'DCWW Alaw'!P10</f>
        <v>0</v>
      </c>
      <c r="Q10" s="49">
        <f>'DCWW Alaw'!Q10</f>
        <v>0</v>
      </c>
      <c r="R10" s="49">
        <f>'DCWW Alaw'!R10</f>
        <v>0</v>
      </c>
      <c r="S10" s="49">
        <f>'DCWW Alaw'!S10</f>
        <v>0</v>
      </c>
      <c r="T10" s="49">
        <f>'DCWW Alaw'!T10</f>
        <v>0</v>
      </c>
      <c r="U10" s="49">
        <f>'DCWW Alaw'!U10</f>
        <v>0</v>
      </c>
      <c r="V10" s="102">
        <f>'DCWW Alaw'!V10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40" t="s">
        <v>5</v>
      </c>
      <c r="B11" s="141"/>
      <c r="C11" s="49">
        <f>'DCWW Alaw'!C11</f>
        <v>2</v>
      </c>
      <c r="D11" s="49">
        <f>'DCWW Alaw'!D11</f>
        <v>2</v>
      </c>
      <c r="E11" s="49">
        <f>'DCWW Alaw'!E11</f>
        <v>3</v>
      </c>
      <c r="F11" s="49">
        <f>'DCWW Alaw'!F11</f>
        <v>1</v>
      </c>
      <c r="G11" s="49">
        <f>'DCWW Alaw'!G11</f>
        <v>0</v>
      </c>
      <c r="H11" s="49">
        <f>'DCWW Alaw'!H11</f>
        <v>3</v>
      </c>
      <c r="I11" s="49">
        <f>'DCWW Alaw'!I11</f>
        <v>0</v>
      </c>
      <c r="J11" s="49">
        <f>'DCWW Alaw'!J11</f>
        <v>0</v>
      </c>
      <c r="K11" s="49">
        <f>'DCWW Alaw'!K11</f>
        <v>0</v>
      </c>
      <c r="L11" s="49">
        <f>'DCWW Alaw'!L11</f>
        <v>0</v>
      </c>
      <c r="M11" s="49">
        <f>'DCWW Alaw'!M11</f>
        <v>0</v>
      </c>
      <c r="N11" s="49">
        <f>'DCWW Alaw'!N11</f>
        <v>0</v>
      </c>
      <c r="O11" s="49">
        <f>'DCWW Alaw'!O11</f>
        <v>0</v>
      </c>
      <c r="P11" s="49">
        <f>'DCWW Alaw'!P11</f>
        <v>0</v>
      </c>
      <c r="Q11" s="49">
        <f>'DCWW Alaw'!Q11</f>
        <v>0</v>
      </c>
      <c r="R11" s="49">
        <f>'DCWW Alaw'!R11</f>
        <v>0</v>
      </c>
      <c r="S11" s="49">
        <f>'DCWW Alaw'!S11</f>
        <v>0</v>
      </c>
      <c r="T11" s="49">
        <f>'DCWW Alaw'!T11</f>
        <v>0</v>
      </c>
      <c r="U11" s="49">
        <f>'DCWW Alaw'!U11</f>
        <v>0</v>
      </c>
      <c r="V11" s="102">
        <f>'DCWW Alaw'!V11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40" t="s">
        <v>6</v>
      </c>
      <c r="B12" s="141"/>
      <c r="C12" s="49">
        <f>'DCWW Alaw'!C12</f>
        <v>3</v>
      </c>
      <c r="D12" s="49">
        <f>'DCWW Alaw'!D12</f>
        <v>4</v>
      </c>
      <c r="E12" s="49">
        <f>'DCWW Alaw'!E12</f>
        <v>4</v>
      </c>
      <c r="F12" s="49">
        <f>'DCWW Alaw'!F12</f>
        <v>1</v>
      </c>
      <c r="G12" s="49">
        <f>'DCWW Alaw'!G12</f>
        <v>1</v>
      </c>
      <c r="H12" s="49">
        <f>'DCWW Alaw'!H12</f>
        <v>2</v>
      </c>
      <c r="I12" s="49">
        <f>'DCWW Alaw'!I12</f>
        <v>0</v>
      </c>
      <c r="J12" s="49">
        <f>'DCWW Alaw'!J12</f>
        <v>0</v>
      </c>
      <c r="K12" s="49">
        <f>'DCWW Alaw'!K12</f>
        <v>0</v>
      </c>
      <c r="L12" s="49">
        <f>'DCWW Alaw'!L12</f>
        <v>0</v>
      </c>
      <c r="M12" s="49">
        <f>'DCWW Alaw'!M12</f>
        <v>0</v>
      </c>
      <c r="N12" s="49">
        <f>'DCWW Alaw'!N12</f>
        <v>0</v>
      </c>
      <c r="O12" s="49">
        <f>'DCWW Alaw'!O12</f>
        <v>0</v>
      </c>
      <c r="P12" s="49">
        <f>'DCWW Alaw'!P12</f>
        <v>0</v>
      </c>
      <c r="Q12" s="49">
        <f>'DCWW Alaw'!Q12</f>
        <v>0</v>
      </c>
      <c r="R12" s="49">
        <f>'DCWW Alaw'!R12</f>
        <v>0</v>
      </c>
      <c r="S12" s="49">
        <f>'DCWW Alaw'!S12</f>
        <v>0</v>
      </c>
      <c r="T12" s="49">
        <f>'DCWW Alaw'!T12</f>
        <v>0</v>
      </c>
      <c r="U12" s="49">
        <f>'DCWW Alaw'!U12</f>
        <v>0</v>
      </c>
      <c r="V12" s="102">
        <f>'DCWW Alaw'!V12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40" t="s">
        <v>7</v>
      </c>
      <c r="B13" s="141"/>
      <c r="C13" s="49">
        <f>'DCWW Alaw'!C13</f>
        <v>4</v>
      </c>
      <c r="D13" s="49">
        <f>'DCWW Alaw'!D13</f>
        <v>3</v>
      </c>
      <c r="E13" s="49">
        <f>'DCWW Alaw'!E13</f>
        <v>3</v>
      </c>
      <c r="F13" s="49">
        <f>'DCWW Alaw'!F13</f>
        <v>3</v>
      </c>
      <c r="G13" s="49">
        <f>'DCWW Alaw'!G13</f>
        <v>3</v>
      </c>
      <c r="H13" s="49">
        <f>'DCWW Alaw'!H13</f>
        <v>3</v>
      </c>
      <c r="I13" s="49">
        <f>'DCWW Alaw'!I13</f>
        <v>0</v>
      </c>
      <c r="J13" s="49">
        <f>'DCWW Alaw'!J13</f>
        <v>0</v>
      </c>
      <c r="K13" s="49">
        <f>'DCWW Alaw'!K13</f>
        <v>0</v>
      </c>
      <c r="L13" s="49">
        <f>'DCWW Alaw'!L13</f>
        <v>0</v>
      </c>
      <c r="M13" s="49">
        <f>'DCWW Alaw'!M13</f>
        <v>0</v>
      </c>
      <c r="N13" s="49">
        <f>'DCWW Alaw'!N13</f>
        <v>0</v>
      </c>
      <c r="O13" s="49">
        <f>'DCWW Alaw'!O13</f>
        <v>0</v>
      </c>
      <c r="P13" s="49">
        <f>'DCWW Alaw'!P13</f>
        <v>0</v>
      </c>
      <c r="Q13" s="49">
        <f>'DCWW Alaw'!Q13</f>
        <v>0</v>
      </c>
      <c r="R13" s="49">
        <f>'DCWW Alaw'!R13</f>
        <v>0</v>
      </c>
      <c r="S13" s="49">
        <f>'DCWW Alaw'!S13</f>
        <v>0</v>
      </c>
      <c r="T13" s="49">
        <f>'DCWW Alaw'!T13</f>
        <v>0</v>
      </c>
      <c r="U13" s="49">
        <f>'DCWW Alaw'!U13</f>
        <v>0</v>
      </c>
      <c r="V13" s="102">
        <f>'DCWW Alaw'!V13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6" t="s">
        <v>8</v>
      </c>
      <c r="B14" s="157"/>
      <c r="C14" s="83" t="str">
        <f>'DCWW Alaw'!C14</f>
        <v xml:space="preserve">Grass Silage (25% DM) </v>
      </c>
      <c r="D14" s="83" t="str">
        <f>'DCWW Alaw'!D14</f>
        <v xml:space="preserve">Grass Silage (25% DM) </v>
      </c>
      <c r="E14" s="83" t="str">
        <f>'DCWW Alaw'!E14</f>
        <v xml:space="preserve">Grass Silage (25% DM) </v>
      </c>
      <c r="F14" s="83" t="str">
        <f>'DCWW Alaw'!F14</f>
        <v>Spring wheat/barley</v>
      </c>
      <c r="G14" s="83" t="str">
        <f>'DCWW Alaw'!G14</f>
        <v>Spring wheat/barley</v>
      </c>
      <c r="H14" s="83" t="str">
        <f>'DCWW Alaw'!H14</f>
        <v xml:space="preserve">Grass Silage (25% DM) </v>
      </c>
      <c r="I14" s="83">
        <f>'DCWW Alaw'!I14</f>
        <v>0</v>
      </c>
      <c r="J14" s="83">
        <f>'DCWW Alaw'!J14</f>
        <v>0</v>
      </c>
      <c r="K14" s="83">
        <f>'DCWW Alaw'!K14</f>
        <v>0</v>
      </c>
      <c r="L14" s="83">
        <f>'DCWW Alaw'!L14</f>
        <v>0</v>
      </c>
      <c r="M14" s="83">
        <f>'DCWW Alaw'!M14</f>
        <v>0</v>
      </c>
      <c r="N14" s="83">
        <f>'DCWW Alaw'!N14</f>
        <v>0</v>
      </c>
      <c r="O14" s="83">
        <f>'DCWW Alaw'!O14</f>
        <v>0</v>
      </c>
      <c r="P14" s="83">
        <f>'DCWW Alaw'!P14</f>
        <v>0</v>
      </c>
      <c r="Q14" s="83">
        <f>'DCWW Alaw'!Q14</f>
        <v>0</v>
      </c>
      <c r="R14" s="83">
        <f>'DCWW Alaw'!R14</f>
        <v>0</v>
      </c>
      <c r="S14" s="83">
        <f>'DCWW Alaw'!S14</f>
        <v>0</v>
      </c>
      <c r="T14" s="83">
        <f>'DCWW Alaw'!T14</f>
        <v>0</v>
      </c>
      <c r="U14" s="83">
        <f>'DCWW Alaw'!U14</f>
        <v>0</v>
      </c>
      <c r="V14" s="103">
        <f>'DCWW Alaw'!V14</f>
        <v>0</v>
      </c>
      <c r="AD14" s="22" t="s">
        <v>138</v>
      </c>
      <c r="AE14" s="22">
        <v>6</v>
      </c>
      <c r="AI14" s="43" t="s">
        <v>119</v>
      </c>
      <c r="AJ14" s="44">
        <v>0.8</v>
      </c>
      <c r="AK14" s="45">
        <v>1.7</v>
      </c>
      <c r="AL14" s="9">
        <v>12</v>
      </c>
      <c r="AM14" s="9">
        <v>6.7</v>
      </c>
      <c r="AN14" s="9" t="s">
        <v>135</v>
      </c>
    </row>
    <row r="15" spans="1:41" ht="13" x14ac:dyDescent="0.25">
      <c r="A15" s="154" t="s">
        <v>9</v>
      </c>
      <c r="B15" s="155"/>
      <c r="C15" s="49">
        <f>'DCWW Alaw'!C15</f>
        <v>38</v>
      </c>
      <c r="D15" s="49">
        <f>'DCWW Alaw'!D15</f>
        <v>38</v>
      </c>
      <c r="E15" s="49">
        <f>'DCWW Alaw'!E15</f>
        <v>38</v>
      </c>
      <c r="F15" s="49">
        <f>'DCWW Alaw'!F15</f>
        <v>5.5</v>
      </c>
      <c r="G15" s="49">
        <f>'DCWW Alaw'!G15</f>
        <v>5.5</v>
      </c>
      <c r="H15" s="49">
        <f>'DCWW Alaw'!H15</f>
        <v>38</v>
      </c>
      <c r="I15" s="49">
        <f>'DCWW Alaw'!I15</f>
        <v>0</v>
      </c>
      <c r="J15" s="49">
        <f>'DCWW Alaw'!J15</f>
        <v>0</v>
      </c>
      <c r="K15" s="49">
        <f>'DCWW Alaw'!K15</f>
        <v>0</v>
      </c>
      <c r="L15" s="49">
        <f>'DCWW Alaw'!L15</f>
        <v>0</v>
      </c>
      <c r="M15" s="49">
        <f>'DCWW Alaw'!M15</f>
        <v>0</v>
      </c>
      <c r="N15" s="49">
        <f>'DCWW Alaw'!N15</f>
        <v>0</v>
      </c>
      <c r="O15" s="49">
        <f>'DCWW Alaw'!O15</f>
        <v>0</v>
      </c>
      <c r="P15" s="49">
        <f>'DCWW Alaw'!P15</f>
        <v>0</v>
      </c>
      <c r="Q15" s="49">
        <f>'DCWW Alaw'!Q15</f>
        <v>0</v>
      </c>
      <c r="R15" s="49">
        <f>'DCWW Alaw'!R15</f>
        <v>0</v>
      </c>
      <c r="S15" s="49">
        <f>'DCWW Alaw'!S15</f>
        <v>0</v>
      </c>
      <c r="T15" s="49">
        <f>'DCWW Alaw'!T15</f>
        <v>0</v>
      </c>
      <c r="U15" s="49">
        <f>'DCWW Alaw'!U15</f>
        <v>0</v>
      </c>
      <c r="V15" s="102">
        <f>'DCWW Alaw'!V15</f>
        <v>0</v>
      </c>
      <c r="AD15" s="22" t="s">
        <v>144</v>
      </c>
      <c r="AE15" s="22">
        <v>7</v>
      </c>
      <c r="AI15" s="43" t="s">
        <v>101</v>
      </c>
      <c r="AJ15" s="51">
        <v>1.8</v>
      </c>
      <c r="AK15" s="45">
        <v>5.4</v>
      </c>
      <c r="AL15" s="9">
        <v>13</v>
      </c>
      <c r="AM15" s="9">
        <v>6.7</v>
      </c>
      <c r="AN15" s="9" t="s">
        <v>135</v>
      </c>
    </row>
    <row r="16" spans="1:41" ht="13.5" thickBot="1" x14ac:dyDescent="0.3">
      <c r="A16" s="158" t="s">
        <v>44</v>
      </c>
      <c r="B16" s="159"/>
      <c r="C16" s="104" t="str">
        <f>'DCWW Alaw'!C16</f>
        <v>Medium/Clay</v>
      </c>
      <c r="D16" s="104" t="str">
        <f>'DCWW Alaw'!D16</f>
        <v>Medium/Clay</v>
      </c>
      <c r="E16" s="104" t="str">
        <f>'DCWW Alaw'!E16</f>
        <v>Medium/Clay</v>
      </c>
      <c r="F16" s="104" t="str">
        <f>'DCWW Alaw'!F16</f>
        <v>Medium/Clay</v>
      </c>
      <c r="G16" s="104" t="str">
        <f>'DCWW Alaw'!G16</f>
        <v>Medium/Clay</v>
      </c>
      <c r="H16" s="104" t="str">
        <f>'DCWW Alaw'!H16</f>
        <v>Medium/Clay</v>
      </c>
      <c r="I16" s="104">
        <f>'DCWW Alaw'!I16</f>
        <v>0</v>
      </c>
      <c r="J16" s="104">
        <f>'DCWW Alaw'!J16</f>
        <v>0</v>
      </c>
      <c r="K16" s="104">
        <f>'DCWW Alaw'!K16</f>
        <v>0</v>
      </c>
      <c r="L16" s="104">
        <f>'DCWW Alaw'!L16</f>
        <v>0</v>
      </c>
      <c r="M16" s="104">
        <f>'DCWW Alaw'!M16</f>
        <v>0</v>
      </c>
      <c r="N16" s="104">
        <f>'DCWW Alaw'!N16</f>
        <v>0</v>
      </c>
      <c r="O16" s="104">
        <f>'DCWW Alaw'!O16</f>
        <v>0</v>
      </c>
      <c r="P16" s="104">
        <f>'DCWW Alaw'!P16</f>
        <v>0</v>
      </c>
      <c r="Q16" s="104">
        <f>'DCWW Alaw'!Q16</f>
        <v>0</v>
      </c>
      <c r="R16" s="104">
        <f>'DCWW Alaw'!R16</f>
        <v>0</v>
      </c>
      <c r="S16" s="104">
        <f>'DCWW Alaw'!S16</f>
        <v>0</v>
      </c>
      <c r="T16" s="104">
        <f>'DCWW Alaw'!T16</f>
        <v>0</v>
      </c>
      <c r="U16" s="104">
        <f>'DCWW Alaw'!U16</f>
        <v>0</v>
      </c>
      <c r="V16" s="105">
        <f>'DCWW Alaw'!V16</f>
        <v>0</v>
      </c>
      <c r="AD16" s="42" t="s">
        <v>145</v>
      </c>
      <c r="AE16" s="22">
        <v>8</v>
      </c>
      <c r="AI16" s="43" t="s">
        <v>118</v>
      </c>
      <c r="AJ16" s="44">
        <v>8</v>
      </c>
      <c r="AK16" s="45">
        <v>5.5</v>
      </c>
      <c r="AL16" s="7">
        <v>14</v>
      </c>
      <c r="AM16" s="9">
        <v>6.7</v>
      </c>
      <c r="AN16" s="9" t="s">
        <v>135</v>
      </c>
    </row>
    <row r="17" spans="1:40" ht="13" x14ac:dyDescent="0.25">
      <c r="A17" s="152" t="s">
        <v>69</v>
      </c>
      <c r="B17" s="153"/>
      <c r="C17" s="20">
        <f>(VLOOKUP(C$14,$AI2:$AK26,2,FALSE))*C$15</f>
        <v>64.599999999999994</v>
      </c>
      <c r="D17" s="20">
        <f t="shared" ref="D17:V17" si="0">(VLOOKUP(D$14,$AI2:$AK26,2,FALSE))*D$15</f>
        <v>64.599999999999994</v>
      </c>
      <c r="E17" s="20">
        <f t="shared" si="0"/>
        <v>64.599999999999994</v>
      </c>
      <c r="F17" s="20">
        <f t="shared" si="0"/>
        <v>46.75</v>
      </c>
      <c r="G17" s="20">
        <f t="shared" si="0"/>
        <v>46.75</v>
      </c>
      <c r="H17" s="20">
        <f t="shared" si="0"/>
        <v>64.599999999999994</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0" t="s">
        <v>23</v>
      </c>
      <c r="B18" s="151"/>
      <c r="C18" s="12">
        <f>$D31</f>
        <v>64.995523375999994</v>
      </c>
      <c r="D18" s="12">
        <f>$D32</f>
        <v>64.995523375999994</v>
      </c>
      <c r="E18" s="12">
        <f>$D33</f>
        <v>32.497761687999997</v>
      </c>
      <c r="F18" s="12">
        <f>$D34</f>
        <v>145.07929324999995</v>
      </c>
      <c r="G18" s="12">
        <f>$D35</f>
        <v>145.07929324999995</v>
      </c>
      <c r="H18" s="12">
        <f>$D36</f>
        <v>32.497761687999997</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0" t="s">
        <v>90</v>
      </c>
      <c r="B19" s="151"/>
      <c r="C19" s="12">
        <f>C18-C17</f>
        <v>0.39552337599999987</v>
      </c>
      <c r="D19" s="12">
        <f t="shared" ref="D19:V19" si="1">D18-D17</f>
        <v>0.39552337599999987</v>
      </c>
      <c r="E19" s="12">
        <f t="shared" si="1"/>
        <v>-32.102238311999997</v>
      </c>
      <c r="F19" s="12">
        <f t="shared" si="1"/>
        <v>98.329293249999949</v>
      </c>
      <c r="G19" s="12">
        <f t="shared" si="1"/>
        <v>98.329293249999949</v>
      </c>
      <c r="H19" s="12">
        <f t="shared" si="1"/>
        <v>-32.102238311999997</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8" t="s">
        <v>91</v>
      </c>
      <c r="B20" s="149"/>
      <c r="C20" s="18" t="str">
        <f>IF($B31="","",IF(C$19&gt;=0,"INCREASE","DECREASE"))</f>
        <v>INCREASE</v>
      </c>
      <c r="D20" s="18" t="str">
        <f>IF($B32="","",IF(D$19&gt;=0,"INCREASE","DECREASE"))</f>
        <v>INCREASE</v>
      </c>
      <c r="E20" s="18" t="str">
        <f>IF($B33="","",IF(E$19&gt;=0,"INCREASE","DECREASE"))</f>
        <v>DECREASE</v>
      </c>
      <c r="F20" s="18" t="str">
        <f>IF($B34="","",IF(F$19&gt;=0,"INCREASE","DECREASE"))</f>
        <v>INCREASE</v>
      </c>
      <c r="G20" s="18" t="str">
        <f>IF($B35="","",IF(G$19&gt;=0,"INCREASE","DECREASE"))</f>
        <v>INCREASE</v>
      </c>
      <c r="H20" s="18" t="str">
        <f>IF($B36="","",IF(H$19&gt;=0,"INCREASE","DECREASE"))</f>
        <v>DECREASE</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2" t="s">
        <v>88</v>
      </c>
      <c r="B21" s="153"/>
      <c r="C21" s="20">
        <f>(VLOOKUP(C$14,$AI2:$AK26,3,FALSE))*C$15</f>
        <v>228</v>
      </c>
      <c r="D21" s="20">
        <f t="shared" ref="D21:V21" si="2">(VLOOKUP(D$14,$AI2:$AK26,3,FALSE))*D$15</f>
        <v>228</v>
      </c>
      <c r="E21" s="20">
        <f t="shared" si="2"/>
        <v>228</v>
      </c>
      <c r="F21" s="20">
        <f t="shared" si="2"/>
        <v>66</v>
      </c>
      <c r="G21" s="20">
        <f t="shared" si="2"/>
        <v>66</v>
      </c>
      <c r="H21" s="20">
        <f t="shared" si="2"/>
        <v>228</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0" t="s">
        <v>89</v>
      </c>
      <c r="B22" s="151"/>
      <c r="C22" s="12">
        <f>$E31</f>
        <v>2.3580481120000001</v>
      </c>
      <c r="D22" s="12">
        <f>$E32</f>
        <v>2.3580481120000001</v>
      </c>
      <c r="E22" s="12">
        <f>$E33</f>
        <v>1.179024056</v>
      </c>
      <c r="F22" s="12">
        <f>$E34</f>
        <v>5.2635002500000008</v>
      </c>
      <c r="G22" s="12">
        <f>$E35</f>
        <v>5.2635002500000008</v>
      </c>
      <c r="H22" s="12">
        <f>$E36</f>
        <v>1.179024056</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0" t="s">
        <v>92</v>
      </c>
      <c r="B23" s="151"/>
      <c r="C23" s="12">
        <f>C22-C21</f>
        <v>-225.64195188799999</v>
      </c>
      <c r="D23" s="12">
        <f t="shared" ref="D23:V23" si="3">D22-D21</f>
        <v>-225.64195188799999</v>
      </c>
      <c r="E23" s="12">
        <f t="shared" si="3"/>
        <v>-226.820975944</v>
      </c>
      <c r="F23" s="12">
        <f t="shared" si="3"/>
        <v>-60.73649975</v>
      </c>
      <c r="G23" s="12">
        <f t="shared" si="3"/>
        <v>-60.73649975</v>
      </c>
      <c r="H23" s="12">
        <f t="shared" si="3"/>
        <v>-226.820975944</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8" t="s">
        <v>93</v>
      </c>
      <c r="B24" s="149"/>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4.3899999999999997</v>
      </c>
      <c r="C28" s="11">
        <v>0.57699999999999996</v>
      </c>
      <c r="D28" s="11">
        <v>0.57699999999999996</v>
      </c>
      <c r="E28" s="11">
        <v>3.9800000000000002E-2</v>
      </c>
      <c r="F28" s="11">
        <v>174</v>
      </c>
      <c r="G28" s="11">
        <v>35.700000000000003</v>
      </c>
      <c r="H28" s="11">
        <v>185</v>
      </c>
      <c r="I28" s="11">
        <v>28.4</v>
      </c>
      <c r="J28" s="11">
        <v>0.5</v>
      </c>
      <c r="K28" s="15">
        <v>0.46</v>
      </c>
      <c r="L28" s="11">
        <v>23.3</v>
      </c>
      <c r="M28" s="11">
        <v>19.7</v>
      </c>
      <c r="N28" s="11">
        <v>5170</v>
      </c>
      <c r="O28" s="11">
        <v>2070000</v>
      </c>
      <c r="P28" s="11"/>
      <c r="Q28" s="11">
        <v>7960</v>
      </c>
      <c r="R28" s="11"/>
      <c r="S28" s="11">
        <v>8.6</v>
      </c>
      <c r="T28" s="11"/>
      <c r="U28" s="97"/>
    </row>
    <row r="29" spans="1:40" s="7" customFormat="1" ht="28" x14ac:dyDescent="0.35">
      <c r="A29" s="16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SCJ1</v>
      </c>
      <c r="B31" s="11">
        <v>112</v>
      </c>
      <c r="C31" s="65">
        <f>IF(C$27="%w/w SAR",((C$28*10)*$B31),IF(C$27="%w/w DM",(((C$28*10)*($B$28/100))*$B31),IF(C$27="kg/t SAR",(C$28*$B31),IF(C$27="kg/t DM",((C$28*($B$28/100))*$B31),IF(C$27="mg/kg SAR",((C$28*0.001)*$B31),IF(C$27="mg/kg DM",(((C$28*0.001)*($B$28/100))*$B31),0))))))</f>
        <v>28.369935999999996</v>
      </c>
      <c r="D31" s="65">
        <f>(IF(D$27="%w/w SAR",((D$28*10)*$B31),IF(D$27="%w/w DM",(((D$28*10)*($B$28/100))*$B31),IF(D$27="kg/t SAR",(D$28*$B31),IF(D$27="kg/t DM",((D$28*($B$28/100))*$B31),IF(D$27="mg/kg SAR",((D$28*0.001)*$B31),IF(D$27="mg/kg DM",(((D$28*0.001)*($B$28/100))*$B31),"0")))))))*2.291</f>
        <v>64.995523375999994</v>
      </c>
      <c r="E31" s="65">
        <f>(IF(E$27="%w/w SAR",((E$28*10)*$B31),IF(E$27="%w/w DM",(((E$28*10)*($B$28/100))*$B31),IF(E$27="kg/t SAR",(E$28*$B31),IF(E$27="kg/t DM",((E$28*($B$28/100))*$B31),IF(E$27="mg/kg SAR",((E$28*0.001)*$B31),IF(E$27="mg/kg DM",(((E$28*0.001)*($B$28/100))*$B31),"0")))))))*1.205</f>
        <v>2.3580481120000001</v>
      </c>
      <c r="F31" s="65">
        <f>(IF(F$27="%w/w SAR",((F$28*10)*$B31),IF(F$27="%w/w DM",(((F$28*10)*($B$28/100))*$B31),IF(F$27="kg/t SAR",(F$28*$B31),IF(F$27="kg/t DM",((F$28*($B$28/100))*$B31),IF(F$27="mg/kg SAR",((F$28*0.001)*$B31),IF(F$27="mg/kg DM",(((F$28*0.001)*($B$28/100))*$B31),"0")))))))*1.658</f>
        <v>1.4184574655999997</v>
      </c>
      <c r="G31" s="65">
        <f t="shared" ref="G31:P46" si="5">IF(G$27="%w/w SAR",((G$28*10)*$B31),IF(G$27="%w/w DM",(((G$28*10)*($B$28/100))*$B31),IF(G$27="kg/t SAR",(G$28*$B31),IF(G$27="kg/t DM",((G$28*($B$28/100))*$B31),IF(G$27="mg/kg SAR",((G$28*0.001)*$B31),IF(G$27="mg/kg DM",(((G$28*0.001)*($B$28/100))*$B31),0))))))</f>
        <v>0.17552976000000001</v>
      </c>
      <c r="H31" s="65">
        <f t="shared" si="5"/>
        <v>0.90960799999999986</v>
      </c>
      <c r="I31" s="65">
        <f t="shared" si="5"/>
        <v>0.13963711999999998</v>
      </c>
      <c r="J31" s="65">
        <f t="shared" si="5"/>
        <v>2.4583999999999999E-3</v>
      </c>
      <c r="K31" s="65">
        <f t="shared" si="5"/>
        <v>2.2617279999999997E-3</v>
      </c>
      <c r="L31" s="65">
        <f t="shared" si="5"/>
        <v>0.11456143999999999</v>
      </c>
      <c r="M31" s="65">
        <f t="shared" si="5"/>
        <v>9.6860959999999982E-2</v>
      </c>
      <c r="N31" s="65">
        <f t="shared" si="5"/>
        <v>25.419855999999996</v>
      </c>
      <c r="O31" s="65">
        <f t="shared" si="5"/>
        <v>10177.775999999998</v>
      </c>
      <c r="P31" s="65">
        <f t="shared" si="5"/>
        <v>0</v>
      </c>
      <c r="Q31" s="65">
        <f>(IF(Q$27="%w/w SAR",((Q$28*10)*$B31),IF(Q$27="%w/w DM",(((Q$28*10)*($B$28/100))*$B31),IF(Q$27="kg/t SAR",(Q$28*$B31),IF(Q$27="kg/t DM",((Q$28*($B$28/100))*$B31),IF(Q$27="mg/kg SAR",((Q$28*0.001)*$B31),IF(Q$27="mg/kg DM",(((Q$28*0.001)*($B$28/100))*$B31),0)))))))*2.5</f>
        <v>97.844319999999982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4.2284479999999992E-2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SCJ2</v>
      </c>
      <c r="B32" s="11">
        <v>112</v>
      </c>
      <c r="C32" s="65">
        <f t="shared" ref="C32:C50" si="6">IF(C$27="%w/w SAR",((C$28*10)*$B32),IF(C$27="%w/w DM",(((C$28*10)*($B$28/100))*$B32),IF(C$27="kg/t SAR",(C$28*$B32),IF(C$27="kg/t DM",((C$28*($B$28/100))*$B32),IF(C$27="mg/kg SAR",((C$28*0.001)*$B32),IF(C$27="mg/kg DM",(((C$28*0.001)*($B$28/100))*$B32),0))))))</f>
        <v>28.369935999999996</v>
      </c>
      <c r="D32" s="65">
        <f t="shared" ref="D32:D50" si="7">(IF(D$27="%w/w SAR",((D$28*10)*$B32),IF(D$27="%w/w DM",(((D$28*10)*($B$28/100))*$B32),IF(D$27="kg/t SAR",(D$28*$B32),IF(D$27="kg/t DM",((D$28*($B$28/100))*$B32),IF(D$27="mg/kg SAR",((D$28*0.001)*$B32),IF(D$27="mg/kg DM",(((D$28*0.001)*($B$28/100))*$B32),"0")))))))*2.291</f>
        <v>64.995523375999994</v>
      </c>
      <c r="E32" s="65">
        <f t="shared" ref="E32:E50" si="8">(IF(E$27="%w/w SAR",((E$28*10)*$B32),IF(E$27="%w/w DM",(((E$28*10)*($B$28/100))*$B32),IF(E$27="kg/t SAR",(E$28*$B32),IF(E$27="kg/t DM",((E$28*($B$28/100))*$B32),IF(E$27="mg/kg SAR",((E$28*0.001)*$B32),IF(E$27="mg/kg DM",(((E$28*0.001)*($B$28/100))*$B32),"0")))))))*1.205</f>
        <v>2.3580481120000001</v>
      </c>
      <c r="F32" s="65">
        <f t="shared" ref="F32:F50" si="9">(IF(F$27="%w/w SAR",((F$28*10)*$B32),IF(F$27="%w/w DM",(((F$28*10)*($B$28/100))*$B32),IF(F$27="kg/t SAR",(F$28*$B32),IF(F$27="kg/t DM",((F$28*($B$28/100))*$B32),IF(F$27="mg/kg SAR",((F$28*0.001)*$B32),IF(F$27="mg/kg DM",(((F$28*0.001)*($B$28/100))*$B32),"0")))))))*1.658</f>
        <v>1.4184574655999997</v>
      </c>
      <c r="G32" s="65">
        <f t="shared" si="5"/>
        <v>0.17552976000000001</v>
      </c>
      <c r="H32" s="65">
        <f t="shared" si="5"/>
        <v>0.90960799999999986</v>
      </c>
      <c r="I32" s="65">
        <f t="shared" si="5"/>
        <v>0.13963711999999998</v>
      </c>
      <c r="J32" s="65">
        <f t="shared" si="5"/>
        <v>2.4583999999999999E-3</v>
      </c>
      <c r="K32" s="65">
        <f t="shared" si="5"/>
        <v>2.2617279999999997E-3</v>
      </c>
      <c r="L32" s="65">
        <f t="shared" si="5"/>
        <v>0.11456143999999999</v>
      </c>
      <c r="M32" s="65">
        <f t="shared" si="5"/>
        <v>9.6860959999999982E-2</v>
      </c>
      <c r="N32" s="65">
        <f t="shared" si="5"/>
        <v>25.419855999999996</v>
      </c>
      <c r="O32" s="65">
        <f t="shared" si="5"/>
        <v>10177.775999999998</v>
      </c>
      <c r="P32" s="65">
        <f t="shared" si="5"/>
        <v>0</v>
      </c>
      <c r="Q32" s="65">
        <f t="shared" ref="Q32:Q50" si="10">(IF(Q$27="%w/w SAR",((Q$28*10)*$B32),IF(Q$27="%w/w DM",(((Q$28*10)*($B$28/100))*$B32),IF(Q$27="kg/t SAR",(Q$28*$B32),IF(Q$27="kg/t DM",((Q$28*($B$28/100))*$B32),IF(Q$27="mg/kg SAR",((Q$28*0.001)*$B32),IF(Q$27="mg/kg DM",(((Q$28*0.001)*($B$28/100))*$B32),0)))))))*2.5</f>
        <v>97.844319999999982</v>
      </c>
      <c r="R32" s="65">
        <f t="shared" ref="R32:U50" si="11">IF(R$27="%w/w SAR",((R$28*10)*$B32),IF(R$27="%w/w DM",(((R$28*10)*($B$28/100))*$B32),IF(R$27="kg/t SAR",(R$28*$B32),IF(R$27="kg/t DM",((R$28*($B$28/100))*$B32),IF(R$27="mg/kg SAR",((R$28*0.001)*$B32),IF(R$27="mg/kg DM",(((R$28*0.001)*($B$28/100))*$B32),0))))))</f>
        <v>0</v>
      </c>
      <c r="S32" s="65">
        <f t="shared" si="11"/>
        <v>4.2284479999999992E-2</v>
      </c>
      <c r="T32" s="65">
        <f t="shared" si="11"/>
        <v>0</v>
      </c>
      <c r="U32" s="126">
        <f t="shared" si="11"/>
        <v>0</v>
      </c>
    </row>
    <row r="33" spans="1:21" s="48" customFormat="1" ht="13" x14ac:dyDescent="0.35">
      <c r="A33" s="125" t="str">
        <f>E8</f>
        <v>SCJ3</v>
      </c>
      <c r="B33" s="11">
        <v>56</v>
      </c>
      <c r="C33" s="65">
        <f t="shared" si="6"/>
        <v>14.184967999999998</v>
      </c>
      <c r="D33" s="65">
        <f t="shared" si="7"/>
        <v>32.497761687999997</v>
      </c>
      <c r="E33" s="65">
        <f t="shared" si="8"/>
        <v>1.179024056</v>
      </c>
      <c r="F33" s="65">
        <f t="shared" si="9"/>
        <v>0.70922873279999987</v>
      </c>
      <c r="G33" s="65">
        <f t="shared" si="5"/>
        <v>8.7764880000000003E-2</v>
      </c>
      <c r="H33" s="65">
        <f t="shared" si="5"/>
        <v>0.45480399999999993</v>
      </c>
      <c r="I33" s="65">
        <f t="shared" si="5"/>
        <v>6.9818559999999988E-2</v>
      </c>
      <c r="J33" s="65">
        <f t="shared" si="5"/>
        <v>1.2292E-3</v>
      </c>
      <c r="K33" s="65">
        <f t="shared" si="5"/>
        <v>1.1308639999999999E-3</v>
      </c>
      <c r="L33" s="65">
        <f t="shared" si="5"/>
        <v>5.7280719999999993E-2</v>
      </c>
      <c r="M33" s="65">
        <f t="shared" si="5"/>
        <v>4.8430479999999991E-2</v>
      </c>
      <c r="N33" s="65">
        <f t="shared" si="5"/>
        <v>12.709927999999998</v>
      </c>
      <c r="O33" s="65">
        <f t="shared" si="5"/>
        <v>5088.887999999999</v>
      </c>
      <c r="P33" s="65">
        <f t="shared" si="5"/>
        <v>0</v>
      </c>
      <c r="Q33" s="65">
        <f t="shared" si="10"/>
        <v>48.922159999999991</v>
      </c>
      <c r="R33" s="65">
        <f t="shared" si="11"/>
        <v>0</v>
      </c>
      <c r="S33" s="65">
        <f t="shared" si="11"/>
        <v>2.1142239999999996E-2</v>
      </c>
      <c r="T33" s="65">
        <f t="shared" si="11"/>
        <v>0</v>
      </c>
      <c r="U33" s="126">
        <f t="shared" si="11"/>
        <v>0</v>
      </c>
    </row>
    <row r="34" spans="1:21" s="48" customFormat="1" ht="13" x14ac:dyDescent="0.35">
      <c r="A34" s="125" t="str">
        <f>F8</f>
        <v>SCJ4</v>
      </c>
      <c r="B34" s="11">
        <v>250</v>
      </c>
      <c r="C34" s="65">
        <f t="shared" si="6"/>
        <v>63.325749999999985</v>
      </c>
      <c r="D34" s="65">
        <f t="shared" si="7"/>
        <v>145.07929324999995</v>
      </c>
      <c r="E34" s="65">
        <f t="shared" si="8"/>
        <v>5.2635002500000008</v>
      </c>
      <c r="F34" s="65">
        <f t="shared" si="9"/>
        <v>3.1661996999999995</v>
      </c>
      <c r="G34" s="65">
        <f t="shared" si="5"/>
        <v>0.39180749999999998</v>
      </c>
      <c r="H34" s="65">
        <f t="shared" si="5"/>
        <v>2.0303749999999998</v>
      </c>
      <c r="I34" s="65">
        <f t="shared" si="5"/>
        <v>0.31168999999999991</v>
      </c>
      <c r="J34" s="65">
        <f t="shared" si="5"/>
        <v>5.4874999999999993E-3</v>
      </c>
      <c r="K34" s="65">
        <f t="shared" si="5"/>
        <v>5.0484999999999992E-3</v>
      </c>
      <c r="L34" s="65">
        <f t="shared" si="5"/>
        <v>0.25571749999999999</v>
      </c>
      <c r="M34" s="65">
        <f t="shared" si="5"/>
        <v>0.21620749999999994</v>
      </c>
      <c r="N34" s="65">
        <f t="shared" si="5"/>
        <v>56.740749999999991</v>
      </c>
      <c r="O34" s="65">
        <f t="shared" si="5"/>
        <v>22718.249999999996</v>
      </c>
      <c r="P34" s="65">
        <f t="shared" si="5"/>
        <v>0</v>
      </c>
      <c r="Q34" s="65">
        <f t="shared" si="10"/>
        <v>218.40249999999997</v>
      </c>
      <c r="R34" s="65">
        <f t="shared" si="11"/>
        <v>0</v>
      </c>
      <c r="S34" s="65">
        <f t="shared" si="11"/>
        <v>9.4384999999999983E-2</v>
      </c>
      <c r="T34" s="65">
        <f t="shared" si="11"/>
        <v>0</v>
      </c>
      <c r="U34" s="126">
        <f t="shared" si="11"/>
        <v>0</v>
      </c>
    </row>
    <row r="35" spans="1:21" s="48" customFormat="1" ht="13" x14ac:dyDescent="0.35">
      <c r="A35" s="125" t="str">
        <f>G8</f>
        <v>SCJ5</v>
      </c>
      <c r="B35" s="11">
        <v>250</v>
      </c>
      <c r="C35" s="65">
        <f t="shared" si="6"/>
        <v>63.325749999999985</v>
      </c>
      <c r="D35" s="65">
        <f t="shared" si="7"/>
        <v>145.07929324999995</v>
      </c>
      <c r="E35" s="65">
        <f t="shared" si="8"/>
        <v>5.2635002500000008</v>
      </c>
      <c r="F35" s="65">
        <f t="shared" si="9"/>
        <v>3.1661996999999995</v>
      </c>
      <c r="G35" s="65">
        <f t="shared" si="5"/>
        <v>0.39180749999999998</v>
      </c>
      <c r="H35" s="65">
        <f t="shared" si="5"/>
        <v>2.0303749999999998</v>
      </c>
      <c r="I35" s="65">
        <f t="shared" si="5"/>
        <v>0.31168999999999991</v>
      </c>
      <c r="J35" s="65">
        <f t="shared" si="5"/>
        <v>5.4874999999999993E-3</v>
      </c>
      <c r="K35" s="65">
        <f t="shared" si="5"/>
        <v>5.0484999999999992E-3</v>
      </c>
      <c r="L35" s="65">
        <f t="shared" si="5"/>
        <v>0.25571749999999999</v>
      </c>
      <c r="M35" s="65">
        <f t="shared" si="5"/>
        <v>0.21620749999999994</v>
      </c>
      <c r="N35" s="65">
        <f t="shared" si="5"/>
        <v>56.740749999999991</v>
      </c>
      <c r="O35" s="65">
        <f t="shared" si="5"/>
        <v>22718.249999999996</v>
      </c>
      <c r="P35" s="65">
        <f t="shared" si="5"/>
        <v>0</v>
      </c>
      <c r="Q35" s="65">
        <f t="shared" si="10"/>
        <v>218.40249999999997</v>
      </c>
      <c r="R35" s="65">
        <f t="shared" si="11"/>
        <v>0</v>
      </c>
      <c r="S35" s="65">
        <f t="shared" si="11"/>
        <v>9.4384999999999983E-2</v>
      </c>
      <c r="T35" s="65">
        <f t="shared" si="11"/>
        <v>0</v>
      </c>
      <c r="U35" s="126">
        <f t="shared" si="11"/>
        <v>0</v>
      </c>
    </row>
    <row r="36" spans="1:21" s="48" customFormat="1" ht="13" x14ac:dyDescent="0.35">
      <c r="A36" s="125" t="str">
        <f>H8</f>
        <v>SCJ6</v>
      </c>
      <c r="B36" s="11">
        <v>56</v>
      </c>
      <c r="C36" s="65">
        <f t="shared" si="6"/>
        <v>14.184967999999998</v>
      </c>
      <c r="D36" s="65">
        <f t="shared" si="7"/>
        <v>32.497761687999997</v>
      </c>
      <c r="E36" s="65">
        <f t="shared" si="8"/>
        <v>1.179024056</v>
      </c>
      <c r="F36" s="65">
        <f t="shared" si="9"/>
        <v>0.70922873279999987</v>
      </c>
      <c r="G36" s="65">
        <f t="shared" si="5"/>
        <v>8.7764880000000003E-2</v>
      </c>
      <c r="H36" s="65">
        <f t="shared" si="5"/>
        <v>0.45480399999999993</v>
      </c>
      <c r="I36" s="65">
        <f t="shared" si="5"/>
        <v>6.9818559999999988E-2</v>
      </c>
      <c r="J36" s="65">
        <f t="shared" si="5"/>
        <v>1.2292E-3</v>
      </c>
      <c r="K36" s="65">
        <f t="shared" si="5"/>
        <v>1.1308639999999999E-3</v>
      </c>
      <c r="L36" s="65">
        <f t="shared" si="5"/>
        <v>5.7280719999999993E-2</v>
      </c>
      <c r="M36" s="65">
        <f t="shared" si="5"/>
        <v>4.8430479999999991E-2</v>
      </c>
      <c r="N36" s="65">
        <f t="shared" si="5"/>
        <v>12.709927999999998</v>
      </c>
      <c r="O36" s="65">
        <f t="shared" si="5"/>
        <v>5088.887999999999</v>
      </c>
      <c r="P36" s="65">
        <f t="shared" si="5"/>
        <v>0</v>
      </c>
      <c r="Q36" s="65">
        <f t="shared" si="10"/>
        <v>48.922159999999991</v>
      </c>
      <c r="R36" s="65">
        <f t="shared" si="11"/>
        <v>0</v>
      </c>
      <c r="S36" s="65">
        <f t="shared" si="11"/>
        <v>2.1142239999999996E-2</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SCJ1</v>
      </c>
      <c r="C57" s="8" t="str">
        <f t="shared" ref="C57:U57" si="13">D8</f>
        <v>SCJ2</v>
      </c>
      <c r="D57" s="8" t="str">
        <f t="shared" si="13"/>
        <v>SCJ3</v>
      </c>
      <c r="E57" s="8" t="str">
        <f t="shared" si="13"/>
        <v>SCJ4</v>
      </c>
      <c r="F57" s="8" t="str">
        <f t="shared" si="13"/>
        <v>SCJ5</v>
      </c>
      <c r="G57" s="8" t="str">
        <f t="shared" si="13"/>
        <v>SCJ6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Arable</v>
      </c>
      <c r="F58" s="10" t="str">
        <f>G16&amp;" I "&amp;(VLOOKUP(G14,Table24567[],6,FALSE))</f>
        <v>Medium/Clay I Arable</v>
      </c>
      <c r="G58" s="10" t="str">
        <f>H16&amp;" I "&amp;(VLOOKUP(H14,Table24567[],6,FALSE))</f>
        <v>Medium/Clay I Grass</v>
      </c>
      <c r="H58" s="10" t="e">
        <f>I16&amp;" I "&amp;(VLOOKUP(I14,Table24567[],6,FALSE))</f>
        <v>#N/A</v>
      </c>
      <c r="I58" s="10" t="e">
        <f>J16&amp;" I "&amp;(VLOOKUP(J14,Table24567[],6,FALSE))</f>
        <v>#N/A</v>
      </c>
      <c r="J58" s="10" t="e">
        <f>K16&amp;" I "&amp;(VLOOKUP(K14,Table24567[],6,FALSE))</f>
        <v>#N/A</v>
      </c>
      <c r="K58" s="10" t="e">
        <f>L16&amp;" I "&amp;(VLOOKUP(L14,Table24567[],6,FALSE))</f>
        <v>#N/A</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6.7</v>
      </c>
      <c r="F59" s="64">
        <f>VLOOKUP(G$14,Table24567[],5,FALSE)</f>
        <v>6.7</v>
      </c>
      <c r="G59" s="64">
        <f>VLOOKUP(H$14,Table24567[],5,FALSE)</f>
        <v>6.2</v>
      </c>
      <c r="H59" s="64" t="e">
        <f>VLOOKUP(I$14,Table24567[],5,FALSE)</f>
        <v>#N/A</v>
      </c>
      <c r="I59" s="64" t="e">
        <f>VLOOKUP(J$14,Table24567[],5,FALSE)</f>
        <v>#N/A</v>
      </c>
      <c r="J59" s="64" t="e">
        <f>VLOOKUP(K$14,Table24567[],5,FALSE)</f>
        <v>#N/A</v>
      </c>
      <c r="K59" s="64" t="e">
        <f>VLOOKUP(L$14,Table24567[],5,FALSE)</f>
        <v>#N/A</v>
      </c>
      <c r="L59" s="64" t="e">
        <f>VLOOKUP(M$14,Table24567[],5,FALSE)</f>
        <v>#N/A</v>
      </c>
      <c r="M59" s="64" t="e">
        <f>VLOOKUP(N$14,Table24567[],5,FALSE)</f>
        <v>#N/A</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6.4</v>
      </c>
      <c r="C60" s="64">
        <f t="shared" ref="C60:U60" si="14">D10</f>
        <v>5.8</v>
      </c>
      <c r="D60" s="64">
        <f t="shared" si="14"/>
        <v>6</v>
      </c>
      <c r="E60" s="64">
        <f t="shared" si="14"/>
        <v>6</v>
      </c>
      <c r="F60" s="64">
        <f t="shared" si="14"/>
        <v>5.9</v>
      </c>
      <c r="G60" s="64">
        <f t="shared" si="14"/>
        <v>6.1</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8</v>
      </c>
      <c r="G61" s="64">
        <f t="shared" si="15"/>
        <v>6</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112</v>
      </c>
      <c r="C62" s="65">
        <f>B32</f>
        <v>112</v>
      </c>
      <c r="D62" s="65">
        <f>B33</f>
        <v>56</v>
      </c>
      <c r="E62" s="65">
        <f>B34</f>
        <v>250</v>
      </c>
      <c r="F62" s="65">
        <f>B35</f>
        <v>250</v>
      </c>
      <c r="G62" s="65">
        <f>B36</f>
        <v>56</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1.2000000000000011</v>
      </c>
      <c r="E64" s="65">
        <f t="shared" si="17"/>
        <v>5.6000000000000014</v>
      </c>
      <c r="F64" s="65">
        <f t="shared" si="17"/>
        <v>6.3999999999999986</v>
      </c>
      <c r="G64" s="65">
        <f t="shared" si="17"/>
        <v>0.6000000000000032</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-1.2000000000000011</v>
      </c>
      <c r="E65" s="65">
        <f t="shared" si="18"/>
        <v>-5.6000000000000014</v>
      </c>
      <c r="F65" s="65">
        <f t="shared" si="18"/>
        <v>-6.3999999999999986</v>
      </c>
      <c r="G65" s="65">
        <f t="shared" si="18"/>
        <v>-0.6000000000000032</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6" t="s">
        <v>84</v>
      </c>
      <c r="B1" s="29" t="str">
        <f>'DCWW Alaw'!B29</f>
        <v>Application Rate</v>
      </c>
      <c r="C1" s="29" t="str">
        <f>'DCWW Alaw'!C29</f>
        <v>Nitrogen Addition</v>
      </c>
      <c r="D1" s="29" t="str">
        <f>'DCWW Alaw'!D29</f>
        <v>Phosphate Addition</v>
      </c>
      <c r="E1" s="29" t="str">
        <f>'DCWW Alaw'!E29</f>
        <v>Potash  Addition</v>
      </c>
      <c r="F1" s="29" t="str">
        <f>'DCWW Alaw'!F29</f>
        <v>Mg Oxide Addition</v>
      </c>
      <c r="G1" s="29" t="str">
        <f>'DCWW Alaw'!G29</f>
        <v>Copper Addition</v>
      </c>
      <c r="H1" s="29" t="str">
        <f>'DCWW Alaw'!H29</f>
        <v>Zinc Addition</v>
      </c>
      <c r="I1" s="29" t="str">
        <f>'DCWW Alaw'!I29</f>
        <v>Lead Addition</v>
      </c>
      <c r="J1" s="29" t="str">
        <f>'DCWW Alaw'!J29</f>
        <v>Cadmium Addition</v>
      </c>
      <c r="K1" s="29" t="str">
        <f>'DCWW Alaw'!K29</f>
        <v>Mercury Addition</v>
      </c>
      <c r="L1" s="29" t="str">
        <f>'DCWW Alaw'!L29</f>
        <v>Nickel Addition</v>
      </c>
      <c r="M1" s="29" t="str">
        <f>'DCWW Alaw'!M29</f>
        <v>Chromium Addition</v>
      </c>
      <c r="N1" s="29" t="str">
        <f>'DCWW Alaw'!N29</f>
        <v>Aluminium Addition</v>
      </c>
      <c r="O1" s="29" t="str">
        <f>'DCWW Alaw'!O29</f>
        <v>Iron Addition</v>
      </c>
      <c r="P1" s="29" t="str">
        <f>'DCWW Alaw'!P29</f>
        <v xml:space="preserve">Sodium Addition                 </v>
      </c>
      <c r="Q1" s="29" t="str">
        <f>'DCWW Alaw'!Q29</f>
        <v>SO3  Addition                             kg/ha</v>
      </c>
      <c r="R1" s="29" t="str">
        <f>'DCWW Alaw'!R29</f>
        <v xml:space="preserve">Selenium Addition </v>
      </c>
      <c r="S1" s="29" t="str">
        <f>'DCWW Alaw'!S29</f>
        <v xml:space="preserve">Arsenic  Addition  </v>
      </c>
      <c r="T1" s="29" t="str">
        <f>'DCWW Alaw'!T29</f>
        <v xml:space="preserve">Molybdenum Addition  </v>
      </c>
      <c r="U1" s="29" t="str">
        <f>'DCWW Alaw'!U29</f>
        <v xml:space="preserve">Fluoride Addition </v>
      </c>
    </row>
    <row r="2" spans="1:21" ht="25" x14ac:dyDescent="0.25">
      <c r="A2" s="176"/>
      <c r="B2" s="29" t="str">
        <f>'DCWW Alaw'!B30</f>
        <v>tonnes/ha</v>
      </c>
      <c r="C2" s="29" t="str">
        <f>'DCWW Alaw'!C30</f>
        <v>kg/ha</v>
      </c>
      <c r="D2" s="29" t="str">
        <f>'DCWW Alaw'!D30</f>
        <v>P2O5 
kg/ha</v>
      </c>
      <c r="E2" s="29" t="str">
        <f>'DCWW Alaw'!E30</f>
        <v>K2O 
kg/ha</v>
      </c>
      <c r="F2" s="29" t="str">
        <f>'DCWW Alaw'!F30</f>
        <v>MgO 
kg/ha</v>
      </c>
      <c r="G2" s="29" t="str">
        <f>'DCWW Alaw'!G30</f>
        <v>kg/ha</v>
      </c>
      <c r="H2" s="29" t="str">
        <f>'DCWW Alaw'!H30</f>
        <v>kg/ha</v>
      </c>
      <c r="I2" s="29" t="str">
        <f>'DCWW Alaw'!I30</f>
        <v>kg/ha</v>
      </c>
      <c r="J2" s="29" t="str">
        <f>'DCWW Alaw'!J30</f>
        <v>kg/ha</v>
      </c>
      <c r="K2" s="29" t="str">
        <f>'DCWW Alaw'!K30</f>
        <v>kg/ha</v>
      </c>
      <c r="L2" s="29" t="str">
        <f>'DCWW Alaw'!L30</f>
        <v>kg/ha</v>
      </c>
      <c r="M2" s="29" t="str">
        <f>'DCWW Alaw'!M30</f>
        <v>kg/ha</v>
      </c>
      <c r="N2" s="29" t="str">
        <f>'DCWW Alaw'!N30</f>
        <v>kg/ha</v>
      </c>
      <c r="O2" s="29" t="str">
        <f>'DCWW Alaw'!O30</f>
        <v>kg/ha</v>
      </c>
      <c r="P2" s="29" t="str">
        <f>'DCWW Alaw'!P30</f>
        <v>kg/ha</v>
      </c>
      <c r="Q2" s="29" t="str">
        <f>'DCWW Alaw'!Q30</f>
        <v>kg/ha</v>
      </c>
      <c r="R2" s="29" t="str">
        <f>'DCWW Alaw'!R30</f>
        <v>kg/ha</v>
      </c>
      <c r="S2" s="29" t="str">
        <f>'DCWW Alaw'!S30</f>
        <v>kg/ha</v>
      </c>
      <c r="T2" s="29" t="str">
        <f>'DCWW Alaw'!T30</f>
        <v>kg/ha</v>
      </c>
      <c r="U2" s="29" t="str">
        <f>'DCWW Alaw'!U30</f>
        <v>kg/ha</v>
      </c>
    </row>
    <row r="3" spans="1:21" x14ac:dyDescent="0.25">
      <c r="A3" s="27">
        <v>1</v>
      </c>
      <c r="B3" s="24">
        <f>'DCWW Alaw'!B31</f>
        <v>49</v>
      </c>
      <c r="C3" s="24">
        <f>'DCWW Alaw'!C31</f>
        <v>98.842799999999997</v>
      </c>
      <c r="D3" s="24">
        <f>'DCWW Alaw'!D31</f>
        <v>65.173085039999989</v>
      </c>
      <c r="E3" s="24">
        <f>'DCWW Alaw'!E31</f>
        <v>4.0089193199999995</v>
      </c>
      <c r="F3" s="24">
        <f>'DCWW Alaw'!F31</f>
        <v>8.6337498239999988</v>
      </c>
      <c r="G3" s="24">
        <f>'DCWW Alaw'!G31</f>
        <v>0.41305039999999993</v>
      </c>
      <c r="H3" s="24">
        <f>'DCWW Alaw'!H31</f>
        <v>0.68868519999999989</v>
      </c>
      <c r="I3" s="24">
        <f>'DCWW Alaw'!I31</f>
        <v>0.15268399999999996</v>
      </c>
      <c r="J3" s="24">
        <f>'DCWW Alaw'!J31</f>
        <v>2.7322399999999999E-3</v>
      </c>
      <c r="K3" s="24">
        <f>'DCWW Alaw'!K31</f>
        <v>2.4911599999999996E-3</v>
      </c>
      <c r="L3" s="24">
        <f>'DCWW Alaw'!L31</f>
        <v>0.19447119999999998</v>
      </c>
      <c r="M3" s="24">
        <f>'DCWW Alaw'!M31</f>
        <v>0.10607519999999998</v>
      </c>
      <c r="N3" s="24">
        <f>'DCWW Alaw'!N31</f>
        <v>1317.9039999999998</v>
      </c>
      <c r="O3" s="24">
        <f>'DCWW Alaw'!O31</f>
        <v>143.04079999999999</v>
      </c>
      <c r="P3" s="24">
        <f>'DCWW Alaw'!P31</f>
        <v>0</v>
      </c>
      <c r="Q3" s="24">
        <f>'DCWW Alaw'!Q31</f>
        <v>106.47699999999999</v>
      </c>
      <c r="R3" s="24">
        <f>'DCWW Alaw'!R31</f>
        <v>0</v>
      </c>
      <c r="S3" s="24">
        <f>'DCWW Alaw'!S31</f>
        <v>0.17759559999999999</v>
      </c>
      <c r="T3" s="24">
        <f>'DCWW Alaw'!T31</f>
        <v>0</v>
      </c>
      <c r="U3" s="24">
        <f>'DCWW Alaw'!U31</f>
        <v>0</v>
      </c>
    </row>
    <row r="4" spans="1:21" x14ac:dyDescent="0.25">
      <c r="A4" s="27">
        <v>2</v>
      </c>
      <c r="B4" s="24">
        <f>'DCWW Bryn Cowlyd'!B31</f>
        <v>250</v>
      </c>
      <c r="C4" s="24">
        <f>'DCWW Bryn Cowlyd'!C31</f>
        <v>38.678000000000004</v>
      </c>
      <c r="D4" s="24">
        <f>'DCWW Bryn Cowlyd'!D31</f>
        <v>4.016867575</v>
      </c>
      <c r="E4" s="24">
        <f>'DCWW Bryn Cowlyd'!E31</f>
        <v>1.4038250000000001</v>
      </c>
      <c r="F4" s="24">
        <f>'DCWW Bryn Cowlyd'!F31</f>
        <v>3.5637466499999997</v>
      </c>
      <c r="G4" s="24">
        <f>'DCWW Bryn Cowlyd'!G31</f>
        <v>2.9008500000000007E-2</v>
      </c>
      <c r="H4" s="24">
        <f>'DCWW Bryn Cowlyd'!H31</f>
        <v>0.97860000000000003</v>
      </c>
      <c r="I4" s="24">
        <f>'DCWW Bryn Cowlyd'!I31</f>
        <v>7.5725000000000015E-2</v>
      </c>
      <c r="J4" s="24">
        <f>'DCWW Bryn Cowlyd'!J31</f>
        <v>4.25225E-3</v>
      </c>
      <c r="K4" s="24">
        <f>'DCWW Bryn Cowlyd'!K31</f>
        <v>1.0019E-2</v>
      </c>
      <c r="L4" s="24">
        <f>'DCWW Bryn Cowlyd'!L31</f>
        <v>0.21669000000000005</v>
      </c>
      <c r="M4" s="24">
        <f>'DCWW Bryn Cowlyd'!M31</f>
        <v>1.7009E-2</v>
      </c>
      <c r="N4" s="24">
        <f>'DCWW Bryn Cowlyd'!N31</f>
        <v>21.669</v>
      </c>
      <c r="O4" s="24">
        <f>'DCWW Bryn Cowlyd'!O31</f>
        <v>267.95000000000005</v>
      </c>
      <c r="P4" s="24">
        <f>'DCWW Bryn Cowlyd'!P31</f>
        <v>0</v>
      </c>
      <c r="Q4" s="24">
        <f>'DCWW Bryn Cowlyd'!Q31</f>
        <v>60.871249999999996</v>
      </c>
      <c r="R4" s="24">
        <f>'DCWW Bryn Cowlyd'!R31</f>
        <v>0</v>
      </c>
      <c r="S4" s="24">
        <f>'DCWW Bryn Cowlyd'!S31</f>
        <v>7.6307500000000014E-2</v>
      </c>
      <c r="T4" s="24">
        <f>'DCWW Bryn Cowlyd'!T31</f>
        <v>0</v>
      </c>
      <c r="U4" s="24">
        <f>'DCWW Bryn Cowlyd'!U31</f>
        <v>0</v>
      </c>
    </row>
    <row r="5" spans="1:21" x14ac:dyDescent="0.25">
      <c r="A5" s="27">
        <v>3</v>
      </c>
      <c r="B5" s="24">
        <f>'DCWW Cefni'!B31</f>
        <v>242</v>
      </c>
      <c r="C5" s="24">
        <f>'DCWW Cefni'!C31</f>
        <v>74.903840000000002</v>
      </c>
      <c r="D5" s="24">
        <f>'DCWW Cefni'!D31</f>
        <v>65.242163271999999</v>
      </c>
      <c r="E5" s="24">
        <f>'DCWW Cefni'!E31</f>
        <v>5.1175222120000008</v>
      </c>
      <c r="F5" s="24">
        <f>'DCWW Cefni'!F31</f>
        <v>7.9083615599999995</v>
      </c>
      <c r="G5" s="24">
        <f>'DCWW Cefni'!G31</f>
        <v>0.38087895999999999</v>
      </c>
      <c r="H5" s="24">
        <f>'DCWW Cefni'!H31</f>
        <v>0.59993736000000009</v>
      </c>
      <c r="I5" s="24">
        <f>'DCWW Cefni'!I31</f>
        <v>0.30244191999999998</v>
      </c>
      <c r="J5" s="24">
        <f>'DCWW Cefni'!J31</f>
        <v>5.3704640000000001E-3</v>
      </c>
      <c r="K5" s="24">
        <f>'DCWW Cefni'!K31</f>
        <v>4.8758159999999998E-3</v>
      </c>
      <c r="L5" s="24">
        <f>'DCWW Cefni'!L31</f>
        <v>0.24873728000000003</v>
      </c>
      <c r="M5" s="24">
        <f>'DCWW Cefni'!M31</f>
        <v>0.20987208000000002</v>
      </c>
      <c r="N5" s="24">
        <f>'DCWW Cefni'!N31</f>
        <v>5031.2768000000005</v>
      </c>
      <c r="O5" s="24">
        <f>'DCWW Cefni'!O31</f>
        <v>35.826647999999999</v>
      </c>
      <c r="P5" s="24">
        <f>'DCWW Cefni'!P31</f>
        <v>0</v>
      </c>
      <c r="Q5" s="24">
        <f>'DCWW Cefni'!Q31</f>
        <v>268.52320000000003</v>
      </c>
      <c r="R5" s="24">
        <f>'DCWW Cefni'!R31</f>
        <v>0</v>
      </c>
      <c r="S5" s="24">
        <f>'DCWW Cefni'!S31</f>
        <v>0.12366200000000001</v>
      </c>
      <c r="T5" s="24">
        <f>'DCWW Cefni'!T31</f>
        <v>0</v>
      </c>
      <c r="U5" s="24">
        <f>'DCWW Cefni'!U31</f>
        <v>0</v>
      </c>
    </row>
    <row r="6" spans="1:21" x14ac:dyDescent="0.25">
      <c r="A6" s="27">
        <v>4</v>
      </c>
      <c r="B6" s="24">
        <f>'DCWW Cwellyn'!B31</f>
        <v>239</v>
      </c>
      <c r="C6" s="24">
        <f>'DCWW Cwellyn'!C31</f>
        <v>120.15485999999999</v>
      </c>
      <c r="D6" s="24">
        <f>'DCWW Cwellyn'!D31</f>
        <v>63.294474204000011</v>
      </c>
      <c r="E6" s="24">
        <f>'DCWW Cwellyn'!E31</f>
        <v>4.9641122160000002</v>
      </c>
      <c r="F6" s="24">
        <f>'DCWW Cwellyn'!F31</f>
        <v>7.9822224755999986</v>
      </c>
      <c r="G6" s="24">
        <f>'DCWW Cwellyn'!G31</f>
        <v>0.62284356000000007</v>
      </c>
      <c r="H6" s="24">
        <f>'DCWW Cwellyn'!H31</f>
        <v>1.8472788</v>
      </c>
      <c r="I6" s="24">
        <f>'DCWW Cwellyn'!I31</f>
        <v>0.29343942000000006</v>
      </c>
      <c r="J6" s="24">
        <f>'DCWW Cwellyn'!J31</f>
        <v>7.1112060000000001E-3</v>
      </c>
      <c r="K6" s="24">
        <f>'DCWW Cwellyn'!K31</f>
        <v>4.7408040000000004E-3</v>
      </c>
      <c r="L6" s="24">
        <f>'DCWW Cwellyn'!L31</f>
        <v>0</v>
      </c>
      <c r="M6" s="24">
        <f>'DCWW Cwellyn'!M31</f>
        <v>0.20352761999999999</v>
      </c>
      <c r="N6" s="24">
        <f>'DCWW Cwellyn'!N31</f>
        <v>6931.3823999999995</v>
      </c>
      <c r="O6" s="24">
        <f>'DCWW Cwellyn'!O31</f>
        <v>59.587002000000005</v>
      </c>
      <c r="P6" s="24">
        <f>'DCWW Cwellyn'!P31</f>
        <v>0</v>
      </c>
      <c r="Q6" s="24">
        <f>'DCWW Cwellyn'!Q31</f>
        <v>155.09785500000001</v>
      </c>
      <c r="R6" s="24">
        <f>'DCWW Cwellyn'!R31</f>
        <v>0</v>
      </c>
      <c r="S6" s="24">
        <f>'DCWW Cwellyn'!S31</f>
        <v>0.23213592</v>
      </c>
      <c r="T6" s="24">
        <f>'DCWW Cwellyn'!T31</f>
        <v>0</v>
      </c>
      <c r="U6" s="24">
        <f>'DCWW Cwellyn'!U31</f>
        <v>0</v>
      </c>
    </row>
    <row r="7" spans="1:21" x14ac:dyDescent="0.25">
      <c r="A7" s="27">
        <v>5</v>
      </c>
      <c r="B7" s="24">
        <f>'DCWW Dolbenmaen'!B31</f>
        <v>244</v>
      </c>
      <c r="C7" s="24">
        <f>'DCWW Dolbenmaen'!C31</f>
        <v>90.182400000000015</v>
      </c>
      <c r="D7" s="24">
        <f>'DCWW Dolbenmaen'!D31</f>
        <v>65.118375959999995</v>
      </c>
      <c r="E7" s="24">
        <f>'DCWW Dolbenmaen'!E31</f>
        <v>5.0938964999999996</v>
      </c>
      <c r="F7" s="24">
        <f>'DCWW Dolbenmaen'!F31</f>
        <v>4.2854193359999995</v>
      </c>
      <c r="G7" s="24">
        <f>'DCWW Dolbenmaen'!G31</f>
        <v>0.37924920000000006</v>
      </c>
      <c r="H7" s="24">
        <f>'DCWW Dolbenmaen'!H31</f>
        <v>2.5685880000000001</v>
      </c>
      <c r="I7" s="24">
        <f>'DCWW Dolbenmaen'!I31</f>
        <v>0.30114480000000005</v>
      </c>
      <c r="J7" s="24">
        <f>'DCWW Dolbenmaen'!J31</f>
        <v>1.8197519999999998E-2</v>
      </c>
      <c r="K7" s="24">
        <f>'DCWW Dolbenmaen'!K31</f>
        <v>4.8311999999999999E-3</v>
      </c>
      <c r="L7" s="24">
        <f>'DCWW Dolbenmaen'!L31</f>
        <v>0.24800159999999999</v>
      </c>
      <c r="M7" s="24">
        <f>'DCWW Dolbenmaen'!M31</f>
        <v>0.20935200000000004</v>
      </c>
      <c r="N7" s="24">
        <f>'DCWW Dolbenmaen'!N31</f>
        <v>9823.44</v>
      </c>
      <c r="O7" s="24">
        <f>'DCWW Dolbenmaen'!O31</f>
        <v>46.701600000000006</v>
      </c>
      <c r="P7" s="24">
        <f>'DCWW Dolbenmaen'!P31</f>
        <v>0</v>
      </c>
      <c r="Q7" s="24">
        <f>'DCWW Dolbenmaen'!Q31</f>
        <v>7.7299199999999999</v>
      </c>
      <c r="R7" s="24">
        <f>'DCWW Dolbenmaen'!R31</f>
        <v>0</v>
      </c>
      <c r="S7" s="24">
        <f>'DCWW Dolbenmaen'!S31</f>
        <v>0.17150760000000001</v>
      </c>
      <c r="T7" s="24">
        <f>'DCWW Dolbenmaen'!T31</f>
        <v>0</v>
      </c>
      <c r="U7" s="24">
        <f>'DCWW Dolbenmaen'!U31</f>
        <v>0</v>
      </c>
    </row>
    <row r="8" spans="1:21" x14ac:dyDescent="0.25">
      <c r="A8" s="27">
        <v>6</v>
      </c>
      <c r="B8" s="24">
        <f>'DCWW Garreglwyd'!B31</f>
        <v>244</v>
      </c>
      <c r="C8" s="24">
        <f>'DCWW Garreglwyd'!C31</f>
        <v>116.06738400000002</v>
      </c>
      <c r="D8" s="24">
        <f>'DCWW Garreglwyd'!D31</f>
        <v>65.262598991999994</v>
      </c>
      <c r="E8" s="24">
        <f>'DCWW Garreglwyd'!E31</f>
        <v>5.1306784020000009</v>
      </c>
      <c r="F8" s="24">
        <f>'DCWW Garreglwyd'!F31</f>
        <v>9.7224768503999996</v>
      </c>
      <c r="G8" s="24">
        <f>'DCWW Garreglwyd'!G31</f>
        <v>0.53639495999999998</v>
      </c>
      <c r="H8" s="24">
        <f>'DCWW Garreglwyd'!H31</f>
        <v>5.0154444000000007</v>
      </c>
      <c r="I8" s="24">
        <f>'DCWW Garreglwyd'!I31</f>
        <v>0.47578535999999993</v>
      </c>
      <c r="J8" s="24">
        <f>'DCWW Garreglwyd'!J31</f>
        <v>4.0456908000000007E-2</v>
      </c>
      <c r="K8" s="24">
        <f>'DCWW Garreglwyd'!K31</f>
        <v>4.8487680000000007E-3</v>
      </c>
      <c r="L8" s="24">
        <f>'DCWW Garreglwyd'!L31</f>
        <v>0.46972440000000004</v>
      </c>
      <c r="M8" s="24">
        <f>'DCWW Garreglwyd'!M31</f>
        <v>0.24546888</v>
      </c>
      <c r="N8" s="24">
        <f>'DCWW Garreglwyd'!N31</f>
        <v>57.730643999999998</v>
      </c>
      <c r="O8" s="24">
        <f>'DCWW Garreglwyd'!O31</f>
        <v>5803.3692000000001</v>
      </c>
      <c r="P8" s="24">
        <f>'DCWW Garreglwyd'!P31</f>
        <v>0</v>
      </c>
      <c r="Q8" s="24">
        <f>'DCWW Garreglwyd'!Q31</f>
        <v>79.5501</v>
      </c>
      <c r="R8" s="24">
        <f>'DCWW Garreglwyd'!R31</f>
        <v>0</v>
      </c>
      <c r="S8" s="24">
        <f>'DCWW Garreglwyd'!S31</f>
        <v>0.26668224000000001</v>
      </c>
      <c r="T8" s="24">
        <f>'DCWW Garreglwyd'!T31</f>
        <v>0</v>
      </c>
      <c r="U8" s="24">
        <f>'DCWW Garreglwyd'!U31</f>
        <v>0</v>
      </c>
    </row>
    <row r="9" spans="1:21" x14ac:dyDescent="0.25">
      <c r="A9" s="27">
        <v>7</v>
      </c>
      <c r="B9" s="24">
        <f>'DCWW Llyn Conwy'!B31</f>
        <v>210</v>
      </c>
      <c r="C9" s="24">
        <f>'DCWW Llyn Conwy'!C31</f>
        <v>51.392879999999991</v>
      </c>
      <c r="D9" s="24">
        <f>'DCWW Llyn Conwy'!D31</f>
        <v>22.398557160000003</v>
      </c>
      <c r="E9" s="24">
        <f>'DCWW Llyn Conwy'!E31</f>
        <v>1.0425660000000001</v>
      </c>
      <c r="F9" s="24">
        <f>'DCWW Llyn Conwy'!F31</f>
        <v>5.0637906479999995</v>
      </c>
      <c r="G9" s="24">
        <f>'DCWW Llyn Conwy'!G31</f>
        <v>7.4407199999999998</v>
      </c>
      <c r="H9" s="24">
        <f>'DCWW Llyn Conwy'!H31</f>
        <v>3.1147200000000002</v>
      </c>
      <c r="I9" s="24">
        <f>'DCWW Llyn Conwy'!I31</f>
        <v>0.48970320000000006</v>
      </c>
      <c r="J9" s="24">
        <f>'DCWW Llyn Conwy'!J31</f>
        <v>1.003632E-2</v>
      </c>
      <c r="K9" s="24">
        <f>'DCWW Llyn Conwy'!K31</f>
        <v>8.3924399999999993E-3</v>
      </c>
      <c r="L9" s="24">
        <f>'DCWW Llyn Conwy'!L31</f>
        <v>0.27945959999999997</v>
      </c>
      <c r="M9" s="24">
        <f>'DCWW Llyn Conwy'!M31</f>
        <v>0.12458880000000001</v>
      </c>
      <c r="N9" s="24">
        <f>'DCWW Llyn Conwy'!N31</f>
        <v>29.503320000000002</v>
      </c>
      <c r="O9" s="24">
        <f>'DCWW Llyn Conwy'!O31</f>
        <v>3876.096</v>
      </c>
      <c r="P9" s="24">
        <f>'DCWW Llyn Conwy'!P31</f>
        <v>0</v>
      </c>
      <c r="Q9" s="24">
        <f>'DCWW Llyn Conwy'!Q31</f>
        <v>92.143799999999999</v>
      </c>
      <c r="R9" s="24">
        <f>'DCWW Llyn Conwy'!R31</f>
        <v>0</v>
      </c>
      <c r="S9" s="24">
        <f>'DCWW Llyn Conwy'!S31</f>
        <v>0.22149120000000003</v>
      </c>
      <c r="T9" s="24">
        <f>'DCWW Llyn Conwy'!T31</f>
        <v>0</v>
      </c>
      <c r="U9" s="24">
        <f>'DCWW Llyn Conwy'!U31</f>
        <v>0</v>
      </c>
    </row>
    <row r="10" spans="1:21" x14ac:dyDescent="0.25">
      <c r="A10" s="27">
        <v>8</v>
      </c>
      <c r="B10" s="24">
        <f>'DCWW Mynydd Llandegai '!B31</f>
        <v>196</v>
      </c>
      <c r="C10" s="24">
        <f>'DCWW Mynydd Llandegai '!C31</f>
        <v>83.311760000000007</v>
      </c>
      <c r="D10" s="24">
        <f>'DCWW Mynydd Llandegai '!D31</f>
        <v>65.182963831999984</v>
      </c>
      <c r="E10" s="24">
        <f>'DCWW Mynydd Llandegai '!E31</f>
        <v>4.0913933760000001</v>
      </c>
      <c r="F10" s="24">
        <f>'DCWW Mynydd Llandegai '!F31</f>
        <v>7.6493242615999986</v>
      </c>
      <c r="G10" s="24">
        <f>'DCWW Mynydd Llandegai '!G31</f>
        <v>0.6932167199999999</v>
      </c>
      <c r="H10" s="24">
        <f>'DCWW Mynydd Llandegai '!H31</f>
        <v>0.98244999999999993</v>
      </c>
      <c r="I10" s="24">
        <f>'DCWW Mynydd Llandegai '!I31</f>
        <v>0.24207567999999999</v>
      </c>
      <c r="J10" s="24">
        <f>'DCWW Mynydd Llandegai '!J31</f>
        <v>4.7943559999999996E-3</v>
      </c>
      <c r="K10" s="24">
        <f>'DCWW Mynydd Llandegai '!K31</f>
        <v>3.9297999999999998E-3</v>
      </c>
      <c r="L10" s="24">
        <f>'DCWW Mynydd Llandegai '!L31</f>
        <v>0.19884787999999998</v>
      </c>
      <c r="M10" s="24">
        <f>'DCWW Mynydd Llandegai '!M31</f>
        <v>0.16819543999999997</v>
      </c>
      <c r="N10" s="24">
        <f>'DCWW Mynydd Llandegai '!N31</f>
        <v>7246.551199999999</v>
      </c>
      <c r="O10" s="24">
        <f>'DCWW Mynydd Llandegai '!O31</f>
        <v>33.717683999999998</v>
      </c>
      <c r="P10" s="24">
        <f>'DCWW Mynydd Llandegai '!P31</f>
        <v>0</v>
      </c>
      <c r="Q10" s="24">
        <f>'DCWW Mynydd Llandegai '!Q31</f>
        <v>119.26943</v>
      </c>
      <c r="R10" s="24">
        <f>'DCWW Mynydd Llandegai '!R31</f>
        <v>0</v>
      </c>
      <c r="S10" s="24">
        <f>'DCWW Mynydd Llandegai '!S31</f>
        <v>0.16662351999999997</v>
      </c>
      <c r="T10" s="24">
        <f>'DCWW Mynydd Llandegai '!T31</f>
        <v>0</v>
      </c>
      <c r="U10" s="24">
        <f>'DCWW Mynydd Llandegai '!U31</f>
        <v>0</v>
      </c>
    </row>
    <row r="11" spans="1:21" x14ac:dyDescent="0.25">
      <c r="A11" s="27">
        <v>9</v>
      </c>
      <c r="B11" s="24">
        <f>'DCWW Rhiwgoch'!B31</f>
        <v>112</v>
      </c>
      <c r="C11" s="24">
        <f>'DCWW Rhiwgoch'!C31</f>
        <v>28.369935999999996</v>
      </c>
      <c r="D11" s="24">
        <f>'DCWW Rhiwgoch'!D31</f>
        <v>64.995523375999994</v>
      </c>
      <c r="E11" s="24">
        <f>'DCWW Rhiwgoch'!E31</f>
        <v>2.3580481120000001</v>
      </c>
      <c r="F11" s="24">
        <f>'DCWW Rhiwgoch'!F31</f>
        <v>1.4184574655999997</v>
      </c>
      <c r="G11" s="24">
        <f>'DCWW Rhiwgoch'!G31</f>
        <v>0.17552976000000001</v>
      </c>
      <c r="H11" s="24">
        <f>'DCWW Rhiwgoch'!H31</f>
        <v>0.90960799999999986</v>
      </c>
      <c r="I11" s="24">
        <f>'DCWW Rhiwgoch'!I31</f>
        <v>0.13963711999999998</v>
      </c>
      <c r="J11" s="24">
        <f>'DCWW Rhiwgoch'!J31</f>
        <v>2.4583999999999999E-3</v>
      </c>
      <c r="K11" s="24">
        <f>'DCWW Rhiwgoch'!K31</f>
        <v>2.2617279999999997E-3</v>
      </c>
      <c r="L11" s="24">
        <f>'DCWW Rhiwgoch'!L31</f>
        <v>0.11456143999999999</v>
      </c>
      <c r="M11" s="24">
        <f>'DCWW Rhiwgoch'!M31</f>
        <v>9.6860959999999982E-2</v>
      </c>
      <c r="N11" s="24">
        <f>'DCWW Rhiwgoch'!N31</f>
        <v>25.419855999999996</v>
      </c>
      <c r="O11" s="24">
        <f>'DCWW Rhiwgoch'!O31</f>
        <v>10177.775999999998</v>
      </c>
      <c r="P11" s="24">
        <f>'DCWW Rhiwgoch'!P31</f>
        <v>0</v>
      </c>
      <c r="Q11" s="24">
        <f>'DCWW Rhiwgoch'!Q31</f>
        <v>97.844319999999982</v>
      </c>
      <c r="R11" s="24">
        <f>'DCWW Rhiwgoch'!R31</f>
        <v>0</v>
      </c>
      <c r="S11" s="24">
        <f>'DCWW Rhiwgoch'!S31</f>
        <v>4.2284479999999992E-2</v>
      </c>
      <c r="T11" s="24">
        <f>'DCWW Rhiwgoch'!T31</f>
        <v>0</v>
      </c>
      <c r="U11" s="24">
        <f>'DCWW Rhiwgoch'!U31</f>
        <v>0</v>
      </c>
    </row>
    <row r="12" spans="1:21" x14ac:dyDescent="0.25">
      <c r="A12" s="27">
        <v>10</v>
      </c>
      <c r="B12" s="24">
        <f>'DCWW Clifor'!B31</f>
        <v>245</v>
      </c>
      <c r="C12" s="24">
        <f>'DCWW Clifor'!C31</f>
        <v>52.993499999999997</v>
      </c>
      <c r="D12" s="24">
        <f>'DCWW Clifor'!D31</f>
        <v>65.213498279999996</v>
      </c>
      <c r="E12" s="24">
        <f>'DCWW Clifor'!E31</f>
        <v>5.1085734000000018</v>
      </c>
      <c r="F12" s="24">
        <f>'DCWW Clifor'!F31</f>
        <v>10.543586759999998</v>
      </c>
      <c r="G12" s="24">
        <f>'DCWW Clifor'!G31</f>
        <v>0.38003909999999996</v>
      </c>
      <c r="H12" s="24">
        <f>'DCWW Clifor'!H31</f>
        <v>0.60059300000000004</v>
      </c>
      <c r="I12" s="24">
        <f>'DCWW Clifor'!I31</f>
        <v>0.30181060000000004</v>
      </c>
      <c r="J12" s="24">
        <f>'DCWW Clifor'!J31</f>
        <v>5.3498200000000008E-3</v>
      </c>
      <c r="K12" s="24">
        <f>'DCWW Clifor'!K31</f>
        <v>4.89559E-3</v>
      </c>
      <c r="L12" s="24">
        <f>'DCWW Clifor'!L31</f>
        <v>0.24831239999999999</v>
      </c>
      <c r="M12" s="24">
        <f>'DCWW Clifor'!M31</f>
        <v>0.20945050000000001</v>
      </c>
      <c r="N12" s="24">
        <f>'DCWW Clifor'!N31</f>
        <v>5248.88</v>
      </c>
      <c r="O12" s="24">
        <f>'DCWW Clifor'!O31</f>
        <v>17.714970000000001</v>
      </c>
      <c r="P12" s="24">
        <f>'DCWW Clifor'!P31</f>
        <v>0</v>
      </c>
      <c r="Q12" s="24">
        <f>'DCWW Clifor'!Q31</f>
        <v>174.1215</v>
      </c>
      <c r="R12" s="24">
        <f>'DCWW Clifor'!R31</f>
        <v>0</v>
      </c>
      <c r="S12" s="24">
        <f>'DCWW Clifor'!S31</f>
        <v>7.3181499999999997E-2</v>
      </c>
      <c r="T12" s="24">
        <f>'DCWW Clifor'!T31</f>
        <v>0</v>
      </c>
      <c r="U12" s="24">
        <f>'DCWW Clifor'!U31</f>
        <v>0</v>
      </c>
    </row>
    <row r="13" spans="1:21" s="69" customFormat="1" ht="15.5" x14ac:dyDescent="0.35">
      <c r="A13" s="67" t="s">
        <v>85</v>
      </c>
      <c r="B13" s="68">
        <f>SUM(B3:B12)</f>
        <v>2031</v>
      </c>
      <c r="C13" s="68">
        <f t="shared" ref="C13:U13" si="0">SUM(C3:C12)</f>
        <v>754.89736000000016</v>
      </c>
      <c r="D13" s="68">
        <f t="shared" si="0"/>
        <v>545.89810769099995</v>
      </c>
      <c r="E13" s="68">
        <f t="shared" si="0"/>
        <v>38.319534538000006</v>
      </c>
      <c r="F13" s="68">
        <f t="shared" si="0"/>
        <v>66.771135831199999</v>
      </c>
      <c r="G13" s="68">
        <f t="shared" si="0"/>
        <v>11.050931159999999</v>
      </c>
      <c r="H13" s="68">
        <f t="shared" si="0"/>
        <v>17.305904760000001</v>
      </c>
      <c r="I13" s="68">
        <f t="shared" si="0"/>
        <v>2.7744471000000006</v>
      </c>
      <c r="J13" s="68">
        <f t="shared" si="0"/>
        <v>0.10075948400000001</v>
      </c>
      <c r="K13" s="68">
        <f t="shared" si="0"/>
        <v>5.1286305999999997E-2</v>
      </c>
      <c r="L13" s="68">
        <f t="shared" si="0"/>
        <v>2.2188058000000002</v>
      </c>
      <c r="M13" s="68">
        <f t="shared" si="0"/>
        <v>1.59040048</v>
      </c>
      <c r="N13" s="68">
        <f t="shared" si="0"/>
        <v>35733.75722</v>
      </c>
      <c r="O13" s="68">
        <f t="shared" si="0"/>
        <v>20461.779903999999</v>
      </c>
      <c r="P13" s="68">
        <f t="shared" si="0"/>
        <v>0</v>
      </c>
      <c r="Q13" s="68">
        <f t="shared" si="0"/>
        <v>1161.628375</v>
      </c>
      <c r="R13" s="68">
        <f t="shared" si="0"/>
        <v>0</v>
      </c>
      <c r="S13" s="68">
        <f t="shared" si="0"/>
        <v>1.5514715599999997</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7" t="s">
        <v>84</v>
      </c>
      <c r="B1" s="25" t="s">
        <v>152</v>
      </c>
      <c r="C1" s="26" t="str">
        <f>'DCWW Alaw'!B29</f>
        <v>Application Rate</v>
      </c>
      <c r="D1" s="26" t="str">
        <f>'DCWW Alaw'!C29</f>
        <v>Nitrogen Addition</v>
      </c>
      <c r="E1" s="26" t="str">
        <f>'DCWW Alaw'!D29</f>
        <v>Phosphate Addition</v>
      </c>
      <c r="F1" s="26" t="str">
        <f>'DCWW Alaw'!E29</f>
        <v>Potash  Addition</v>
      </c>
      <c r="G1" s="26" t="str">
        <f>'DCWW Alaw'!F29</f>
        <v>Mg Oxide Addition</v>
      </c>
      <c r="H1" s="26" t="str">
        <f>'DCWW Alaw'!G29</f>
        <v>Copper Addition</v>
      </c>
      <c r="I1" s="26" t="str">
        <f>'DCWW Alaw'!H29</f>
        <v>Zinc Addition</v>
      </c>
      <c r="J1" s="26" t="str">
        <f>'DCWW Alaw'!I29</f>
        <v>Lead Addition</v>
      </c>
      <c r="K1" s="26" t="str">
        <f>'DCWW Alaw'!J29</f>
        <v>Cadmium Addition</v>
      </c>
      <c r="L1" s="26" t="str">
        <f>'DCWW Alaw'!K29</f>
        <v>Mercury Addition</v>
      </c>
      <c r="M1" s="26" t="str">
        <f>'DCWW Alaw'!L29</f>
        <v>Nickel Addition</v>
      </c>
      <c r="N1" s="26" t="str">
        <f>'DCWW Alaw'!M29</f>
        <v>Chromium Addition</v>
      </c>
      <c r="O1" s="26" t="str">
        <f>'DCWW Alaw'!N29</f>
        <v>Aluminium Addition</v>
      </c>
      <c r="P1" s="26" t="str">
        <f>'DCWW Alaw'!O29</f>
        <v>Iron Addition</v>
      </c>
      <c r="Q1" s="26" t="str">
        <f>'DCWW Alaw'!P29</f>
        <v xml:space="preserve">Sodium Addition                 </v>
      </c>
      <c r="R1" s="26" t="str">
        <f>'DCWW Alaw'!Q29</f>
        <v>SO3  Addition                             kg/ha</v>
      </c>
      <c r="S1" s="26" t="str">
        <f>'DCWW Alaw'!R29</f>
        <v xml:space="preserve">Selenium Addition </v>
      </c>
      <c r="T1" s="26" t="str">
        <f>'DCWW Alaw'!S29</f>
        <v xml:space="preserve">Arsenic  Addition  </v>
      </c>
      <c r="U1" s="26" t="str">
        <f>'DCWW Alaw'!T29</f>
        <v xml:space="preserve">Molybdenum Addition  </v>
      </c>
      <c r="V1" s="26" t="str">
        <f>'DCWW Alaw'!U29</f>
        <v xml:space="preserve">Fluoride Addition </v>
      </c>
    </row>
    <row r="2" spans="1:22" s="70" customFormat="1" ht="25" x14ac:dyDescent="0.35">
      <c r="A2" s="177"/>
      <c r="B2" s="23" t="s">
        <v>46</v>
      </c>
      <c r="C2" s="26" t="str">
        <f>'DCWW Alaw'!B30</f>
        <v>tonnes/ha</v>
      </c>
      <c r="D2" s="26" t="str">
        <f>'DCWW Alaw'!C30</f>
        <v>kg/ha</v>
      </c>
      <c r="E2" s="26" t="str">
        <f>'DCWW Alaw'!D30</f>
        <v>P2O5 
kg/ha</v>
      </c>
      <c r="F2" s="26" t="str">
        <f>'DCWW Alaw'!E30</f>
        <v>K2O 
kg/ha</v>
      </c>
      <c r="G2" s="26" t="str">
        <f>'DCWW Alaw'!F30</f>
        <v>MgO 
kg/ha</v>
      </c>
      <c r="H2" s="26" t="str">
        <f>'DCWW Alaw'!G30</f>
        <v>kg/ha</v>
      </c>
      <c r="I2" s="26" t="str">
        <f>'DCWW Alaw'!H30</f>
        <v>kg/ha</v>
      </c>
      <c r="J2" s="26" t="str">
        <f>'DCWW Alaw'!I30</f>
        <v>kg/ha</v>
      </c>
      <c r="K2" s="26" t="str">
        <f>'DCWW Alaw'!J30</f>
        <v>kg/ha</v>
      </c>
      <c r="L2" s="26" t="str">
        <f>'DCWW Alaw'!K30</f>
        <v>kg/ha</v>
      </c>
      <c r="M2" s="26" t="str">
        <f>'DCWW Alaw'!L30</f>
        <v>kg/ha</v>
      </c>
      <c r="N2" s="26" t="str">
        <f>'DCWW Alaw'!M30</f>
        <v>kg/ha</v>
      </c>
      <c r="O2" s="26" t="str">
        <f>'DCWW Alaw'!N30</f>
        <v>kg/ha</v>
      </c>
      <c r="P2" s="26" t="str">
        <f>'DCWW Alaw'!O30</f>
        <v>kg/ha</v>
      </c>
      <c r="Q2" s="26" t="str">
        <f>'DCWW Alaw'!P30</f>
        <v>kg/ha</v>
      </c>
      <c r="R2" s="26" t="str">
        <f>'DCWW Alaw'!Q30</f>
        <v>kg/ha</v>
      </c>
      <c r="S2" s="26" t="str">
        <f>'DCWW Alaw'!R30</f>
        <v>kg/ha</v>
      </c>
      <c r="T2" s="26" t="str">
        <f>'DCWW Alaw'!S30</f>
        <v>kg/ha</v>
      </c>
      <c r="U2" s="26" t="str">
        <f>'DCWW Alaw'!T30</f>
        <v>kg/ha</v>
      </c>
      <c r="V2" s="26" t="str">
        <f>'DCWW Alaw'!U30</f>
        <v>kg/ha</v>
      </c>
    </row>
    <row r="3" spans="1:22" x14ac:dyDescent="0.25">
      <c r="A3" s="27">
        <v>1</v>
      </c>
      <c r="B3" s="78"/>
      <c r="C3" s="24">
        <f>'DCWW Alaw'!B31</f>
        <v>49</v>
      </c>
      <c r="D3" s="24">
        <f>'DCWW Alaw'!C31</f>
        <v>98.842799999999997</v>
      </c>
      <c r="E3" s="24">
        <f>'DCWW Alaw'!D31</f>
        <v>65.173085039999989</v>
      </c>
      <c r="F3" s="24">
        <f>'DCWW Alaw'!E31</f>
        <v>4.0089193199999995</v>
      </c>
      <c r="G3" s="24">
        <f>'DCWW Alaw'!F31</f>
        <v>8.6337498239999988</v>
      </c>
      <c r="H3" s="24">
        <f>'DCWW Alaw'!G31</f>
        <v>0.41305039999999993</v>
      </c>
      <c r="I3" s="24">
        <f>'DCWW Alaw'!H31</f>
        <v>0.68868519999999989</v>
      </c>
      <c r="J3" s="24">
        <f>'DCWW Alaw'!I31</f>
        <v>0.15268399999999996</v>
      </c>
      <c r="K3" s="24">
        <f>'DCWW Alaw'!J31</f>
        <v>2.7322399999999999E-3</v>
      </c>
      <c r="L3" s="24">
        <f>'DCWW Alaw'!K31</f>
        <v>2.4911599999999996E-3</v>
      </c>
      <c r="M3" s="24">
        <f>'DCWW Alaw'!L31</f>
        <v>0.19447119999999998</v>
      </c>
      <c r="N3" s="24">
        <f>'DCWW Alaw'!M31</f>
        <v>0.10607519999999998</v>
      </c>
      <c r="O3" s="24">
        <f>'DCWW Alaw'!N31</f>
        <v>1317.9039999999998</v>
      </c>
      <c r="P3" s="24">
        <f>'DCWW Alaw'!O31</f>
        <v>143.04079999999999</v>
      </c>
      <c r="Q3" s="24">
        <f>'DCWW Alaw'!P31</f>
        <v>0</v>
      </c>
      <c r="R3" s="24">
        <f>'DCWW Alaw'!Q31</f>
        <v>106.47699999999999</v>
      </c>
      <c r="S3" s="24">
        <f>'DCWW Alaw'!R31</f>
        <v>0</v>
      </c>
      <c r="T3" s="24">
        <f>'DCWW Alaw'!S31</f>
        <v>0.17759559999999999</v>
      </c>
      <c r="U3" s="24">
        <f>'DCWW Alaw'!T31</f>
        <v>0</v>
      </c>
      <c r="V3" s="24">
        <f>'DCWW Alaw'!U31</f>
        <v>0</v>
      </c>
    </row>
    <row r="4" spans="1:22" x14ac:dyDescent="0.25">
      <c r="A4" s="27">
        <v>2</v>
      </c>
      <c r="B4" s="78"/>
      <c r="C4" s="24">
        <f>'DCWW Bryn Cowlyd'!B31</f>
        <v>250</v>
      </c>
      <c r="D4" s="24">
        <f>'DCWW Bryn Cowlyd'!C31</f>
        <v>38.678000000000004</v>
      </c>
      <c r="E4" s="24">
        <f>'DCWW Bryn Cowlyd'!D31</f>
        <v>4.016867575</v>
      </c>
      <c r="F4" s="24">
        <f>'DCWW Bryn Cowlyd'!E31</f>
        <v>1.4038250000000001</v>
      </c>
      <c r="G4" s="24">
        <f>'DCWW Bryn Cowlyd'!F31</f>
        <v>3.5637466499999997</v>
      </c>
      <c r="H4" s="24">
        <f>'DCWW Bryn Cowlyd'!G31</f>
        <v>2.9008500000000007E-2</v>
      </c>
      <c r="I4" s="24">
        <f>'DCWW Bryn Cowlyd'!H31</f>
        <v>0.97860000000000003</v>
      </c>
      <c r="J4" s="24">
        <f>'DCWW Bryn Cowlyd'!I31</f>
        <v>7.5725000000000015E-2</v>
      </c>
      <c r="K4" s="24">
        <f>'DCWW Bryn Cowlyd'!J31</f>
        <v>4.25225E-3</v>
      </c>
      <c r="L4" s="24">
        <f>'DCWW Bryn Cowlyd'!K31</f>
        <v>1.0019E-2</v>
      </c>
      <c r="M4" s="24">
        <f>'DCWW Bryn Cowlyd'!L31</f>
        <v>0.21669000000000005</v>
      </c>
      <c r="N4" s="24">
        <f>'DCWW Bryn Cowlyd'!M31</f>
        <v>1.7009E-2</v>
      </c>
      <c r="O4" s="24">
        <f>'DCWW Bryn Cowlyd'!N31</f>
        <v>21.669</v>
      </c>
      <c r="P4" s="24">
        <f>'DCWW Bryn Cowlyd'!O31</f>
        <v>267.95000000000005</v>
      </c>
      <c r="Q4" s="24">
        <f>'DCWW Bryn Cowlyd'!P31</f>
        <v>0</v>
      </c>
      <c r="R4" s="24">
        <f>'DCWW Bryn Cowlyd'!Q31</f>
        <v>60.871249999999996</v>
      </c>
      <c r="S4" s="24">
        <f>'DCWW Bryn Cowlyd'!R31</f>
        <v>0</v>
      </c>
      <c r="T4" s="24">
        <f>'DCWW Bryn Cowlyd'!S31</f>
        <v>7.6307500000000014E-2</v>
      </c>
      <c r="U4" s="24">
        <f>'DCWW Bryn Cowlyd'!T31</f>
        <v>0</v>
      </c>
      <c r="V4" s="24">
        <f>'DCWW Bryn Cowlyd'!U31</f>
        <v>0</v>
      </c>
    </row>
    <row r="5" spans="1:22" x14ac:dyDescent="0.25">
      <c r="A5" s="27">
        <v>3</v>
      </c>
      <c r="B5" s="78"/>
      <c r="C5" s="24">
        <f>'DCWW Cefni'!B31</f>
        <v>242</v>
      </c>
      <c r="D5" s="24">
        <f>'DCWW Cefni'!C31</f>
        <v>74.903840000000002</v>
      </c>
      <c r="E5" s="24">
        <f>'DCWW Cefni'!D31</f>
        <v>65.242163271999999</v>
      </c>
      <c r="F5" s="24">
        <f>'DCWW Cefni'!E31</f>
        <v>5.1175222120000008</v>
      </c>
      <c r="G5" s="24">
        <f>'DCWW Cefni'!F31</f>
        <v>7.9083615599999995</v>
      </c>
      <c r="H5" s="24">
        <f>'DCWW Cefni'!G31</f>
        <v>0.38087895999999999</v>
      </c>
      <c r="I5" s="24">
        <f>'DCWW Cefni'!H31</f>
        <v>0.59993736000000009</v>
      </c>
      <c r="J5" s="24">
        <f>'DCWW Cefni'!I31</f>
        <v>0.30244191999999998</v>
      </c>
      <c r="K5" s="24">
        <f>'DCWW Cefni'!J31</f>
        <v>5.3704640000000001E-3</v>
      </c>
      <c r="L5" s="24">
        <f>'DCWW Cefni'!K31</f>
        <v>4.8758159999999998E-3</v>
      </c>
      <c r="M5" s="24">
        <f>'DCWW Cefni'!L31</f>
        <v>0.24873728000000003</v>
      </c>
      <c r="N5" s="24">
        <f>'DCWW Cefni'!M31</f>
        <v>0.20987208000000002</v>
      </c>
      <c r="O5" s="24">
        <f>'DCWW Cefni'!N31</f>
        <v>5031.2768000000005</v>
      </c>
      <c r="P5" s="24">
        <f>'DCWW Cefni'!O31</f>
        <v>35.826647999999999</v>
      </c>
      <c r="Q5" s="24">
        <f>'DCWW Cefni'!P31</f>
        <v>0</v>
      </c>
      <c r="R5" s="24">
        <f>'DCWW Cefni'!Q31</f>
        <v>268.52320000000003</v>
      </c>
      <c r="S5" s="24">
        <f>'DCWW Cefni'!R31</f>
        <v>0</v>
      </c>
      <c r="T5" s="24">
        <f>'DCWW Cefni'!S31</f>
        <v>0.12366200000000001</v>
      </c>
      <c r="U5" s="24">
        <f>'DCWW Cefni'!T31</f>
        <v>0</v>
      </c>
      <c r="V5" s="24">
        <f>'DCWW Cefni'!U31</f>
        <v>0</v>
      </c>
    </row>
    <row r="6" spans="1:22" x14ac:dyDescent="0.25">
      <c r="A6" s="27">
        <v>4</v>
      </c>
      <c r="B6" s="78"/>
      <c r="C6" s="24">
        <f>'DCWW Cwellyn'!B31</f>
        <v>239</v>
      </c>
      <c r="D6" s="24">
        <f>'DCWW Cwellyn'!C31</f>
        <v>120.15485999999999</v>
      </c>
      <c r="E6" s="24">
        <f>'DCWW Cwellyn'!D31</f>
        <v>63.294474204000011</v>
      </c>
      <c r="F6" s="24">
        <f>'DCWW Cwellyn'!E31</f>
        <v>4.9641122160000002</v>
      </c>
      <c r="G6" s="24">
        <f>'DCWW Cwellyn'!F31</f>
        <v>7.9822224755999986</v>
      </c>
      <c r="H6" s="24">
        <f>'DCWW Cwellyn'!G31</f>
        <v>0.62284356000000007</v>
      </c>
      <c r="I6" s="24">
        <f>'DCWW Cwellyn'!H31</f>
        <v>1.8472788</v>
      </c>
      <c r="J6" s="24">
        <f>'DCWW Cwellyn'!I31</f>
        <v>0.29343942000000006</v>
      </c>
      <c r="K6" s="24">
        <f>'DCWW Cwellyn'!J31</f>
        <v>7.1112060000000001E-3</v>
      </c>
      <c r="L6" s="24">
        <f>'DCWW Cwellyn'!K31</f>
        <v>4.7408040000000004E-3</v>
      </c>
      <c r="M6" s="24">
        <f>'DCWW Cwellyn'!L31</f>
        <v>0</v>
      </c>
      <c r="N6" s="24">
        <f>'DCWW Cwellyn'!M31</f>
        <v>0.20352761999999999</v>
      </c>
      <c r="O6" s="24">
        <f>'DCWW Cwellyn'!N31</f>
        <v>6931.3823999999995</v>
      </c>
      <c r="P6" s="24">
        <f>'DCWW Cwellyn'!O31</f>
        <v>59.587002000000005</v>
      </c>
      <c r="Q6" s="24">
        <f>'DCWW Cwellyn'!P31</f>
        <v>0</v>
      </c>
      <c r="R6" s="24">
        <f>'DCWW Cwellyn'!Q31</f>
        <v>155.09785500000001</v>
      </c>
      <c r="S6" s="24">
        <f>'DCWW Cwellyn'!R31</f>
        <v>0</v>
      </c>
      <c r="T6" s="24">
        <f>'DCWW Cwellyn'!S31</f>
        <v>0.23213592</v>
      </c>
      <c r="U6" s="24">
        <f>'DCWW Cwellyn'!T31</f>
        <v>0</v>
      </c>
      <c r="V6" s="24">
        <f>'DCWW Cwellyn'!U31</f>
        <v>0</v>
      </c>
    </row>
    <row r="7" spans="1:22" x14ac:dyDescent="0.25">
      <c r="A7" s="27">
        <v>5</v>
      </c>
      <c r="B7" s="78"/>
      <c r="C7" s="24">
        <f>'DCWW Dolbenmaen'!B31</f>
        <v>244</v>
      </c>
      <c r="D7" s="24">
        <f>'DCWW Dolbenmaen'!C31</f>
        <v>90.182400000000015</v>
      </c>
      <c r="E7" s="24">
        <f>'DCWW Dolbenmaen'!D31</f>
        <v>65.118375959999995</v>
      </c>
      <c r="F7" s="24">
        <f>'DCWW Dolbenmaen'!E31</f>
        <v>5.0938964999999996</v>
      </c>
      <c r="G7" s="24">
        <f>'DCWW Dolbenmaen'!F31</f>
        <v>4.2854193359999995</v>
      </c>
      <c r="H7" s="24">
        <f>'DCWW Dolbenmaen'!G31</f>
        <v>0.37924920000000006</v>
      </c>
      <c r="I7" s="24">
        <f>'DCWW Dolbenmaen'!H31</f>
        <v>2.5685880000000001</v>
      </c>
      <c r="J7" s="24">
        <f>'DCWW Dolbenmaen'!I31</f>
        <v>0.30114480000000005</v>
      </c>
      <c r="K7" s="24">
        <f>'DCWW Dolbenmaen'!J31</f>
        <v>1.8197519999999998E-2</v>
      </c>
      <c r="L7" s="24">
        <f>'DCWW Dolbenmaen'!K31</f>
        <v>4.8311999999999999E-3</v>
      </c>
      <c r="M7" s="24">
        <f>'DCWW Dolbenmaen'!L31</f>
        <v>0.24800159999999999</v>
      </c>
      <c r="N7" s="24">
        <f>'DCWW Dolbenmaen'!M31</f>
        <v>0.20935200000000004</v>
      </c>
      <c r="O7" s="24">
        <f>'DCWW Dolbenmaen'!N31</f>
        <v>9823.44</v>
      </c>
      <c r="P7" s="24">
        <f>'DCWW Dolbenmaen'!O31</f>
        <v>46.701600000000006</v>
      </c>
      <c r="Q7" s="24">
        <f>'DCWW Dolbenmaen'!P31</f>
        <v>0</v>
      </c>
      <c r="R7" s="24">
        <f>'DCWW Dolbenmaen'!Q31</f>
        <v>7.7299199999999999</v>
      </c>
      <c r="S7" s="24">
        <f>'DCWW Dolbenmaen'!R31</f>
        <v>0</v>
      </c>
      <c r="T7" s="24">
        <f>'DCWW Dolbenmaen'!S31</f>
        <v>0.17150760000000001</v>
      </c>
      <c r="U7" s="24">
        <f>'DCWW Dolbenmaen'!T31</f>
        <v>0</v>
      </c>
      <c r="V7" s="24">
        <f>'DCWW Dolbenmaen'!U31</f>
        <v>0</v>
      </c>
    </row>
    <row r="8" spans="1:22" x14ac:dyDescent="0.25">
      <c r="A8" s="27">
        <v>6</v>
      </c>
      <c r="B8" s="78"/>
      <c r="C8" s="24">
        <f>'DCWW Garreglwyd'!B31</f>
        <v>244</v>
      </c>
      <c r="D8" s="24">
        <f>'DCWW Garreglwyd'!C31</f>
        <v>116.06738400000002</v>
      </c>
      <c r="E8" s="24">
        <f>'DCWW Garreglwyd'!D31</f>
        <v>65.262598991999994</v>
      </c>
      <c r="F8" s="24">
        <f>'DCWW Garreglwyd'!E31</f>
        <v>5.1306784020000009</v>
      </c>
      <c r="G8" s="24">
        <f>'DCWW Garreglwyd'!F31</f>
        <v>9.7224768503999996</v>
      </c>
      <c r="H8" s="24">
        <f>'DCWW Garreglwyd'!G31</f>
        <v>0.53639495999999998</v>
      </c>
      <c r="I8" s="24">
        <f>'DCWW Garreglwyd'!H31</f>
        <v>5.0154444000000007</v>
      </c>
      <c r="J8" s="24">
        <f>'DCWW Garreglwyd'!I31</f>
        <v>0.47578535999999993</v>
      </c>
      <c r="K8" s="24">
        <f>'DCWW Garreglwyd'!J31</f>
        <v>4.0456908000000007E-2</v>
      </c>
      <c r="L8" s="24">
        <f>'DCWW Garreglwyd'!K31</f>
        <v>4.8487680000000007E-3</v>
      </c>
      <c r="M8" s="24">
        <f>'DCWW Garreglwyd'!L31</f>
        <v>0.46972440000000004</v>
      </c>
      <c r="N8" s="24">
        <f>'DCWW Garreglwyd'!M31</f>
        <v>0.24546888</v>
      </c>
      <c r="O8" s="24">
        <f>'DCWW Garreglwyd'!N31</f>
        <v>57.730643999999998</v>
      </c>
      <c r="P8" s="24">
        <f>'DCWW Garreglwyd'!O31</f>
        <v>5803.3692000000001</v>
      </c>
      <c r="Q8" s="24">
        <f>'DCWW Garreglwyd'!P31</f>
        <v>0</v>
      </c>
      <c r="R8" s="24">
        <f>'DCWW Garreglwyd'!Q31</f>
        <v>79.5501</v>
      </c>
      <c r="S8" s="24">
        <f>'DCWW Garreglwyd'!R31</f>
        <v>0</v>
      </c>
      <c r="T8" s="24">
        <f>'DCWW Garreglwyd'!S31</f>
        <v>0.26668224000000001</v>
      </c>
      <c r="U8" s="24">
        <f>'DCWW Garreglwyd'!T31</f>
        <v>0</v>
      </c>
      <c r="V8" s="24">
        <f>'DCWW Garreglwyd'!U31</f>
        <v>0</v>
      </c>
    </row>
    <row r="9" spans="1:22" x14ac:dyDescent="0.25">
      <c r="A9" s="27">
        <v>7</v>
      </c>
      <c r="B9" s="78"/>
      <c r="C9" s="24">
        <f>'DCWW Llyn Conwy'!B31</f>
        <v>210</v>
      </c>
      <c r="D9" s="24">
        <f>'DCWW Llyn Conwy'!C31</f>
        <v>51.392879999999991</v>
      </c>
      <c r="E9" s="24">
        <f>'DCWW Llyn Conwy'!D31</f>
        <v>22.398557160000003</v>
      </c>
      <c r="F9" s="24">
        <f>'DCWW Llyn Conwy'!E31</f>
        <v>1.0425660000000001</v>
      </c>
      <c r="G9" s="24">
        <f>'DCWW Llyn Conwy'!F31</f>
        <v>5.0637906479999995</v>
      </c>
      <c r="H9" s="24">
        <f>'DCWW Llyn Conwy'!G31</f>
        <v>7.4407199999999998</v>
      </c>
      <c r="I9" s="24">
        <f>'DCWW Llyn Conwy'!H31</f>
        <v>3.1147200000000002</v>
      </c>
      <c r="J9" s="24">
        <f>'DCWW Llyn Conwy'!I31</f>
        <v>0.48970320000000006</v>
      </c>
      <c r="K9" s="24">
        <f>'DCWW Llyn Conwy'!J31</f>
        <v>1.003632E-2</v>
      </c>
      <c r="L9" s="24">
        <f>'DCWW Llyn Conwy'!K31</f>
        <v>8.3924399999999993E-3</v>
      </c>
      <c r="M9" s="24">
        <f>'DCWW Llyn Conwy'!L31</f>
        <v>0.27945959999999997</v>
      </c>
      <c r="N9" s="24">
        <f>'DCWW Llyn Conwy'!M31</f>
        <v>0.12458880000000001</v>
      </c>
      <c r="O9" s="24">
        <f>'DCWW Llyn Conwy'!N31</f>
        <v>29.503320000000002</v>
      </c>
      <c r="P9" s="24">
        <f>'DCWW Llyn Conwy'!O31</f>
        <v>3876.096</v>
      </c>
      <c r="Q9" s="24">
        <f>'DCWW Llyn Conwy'!P31</f>
        <v>0</v>
      </c>
      <c r="R9" s="24">
        <f>'DCWW Llyn Conwy'!Q31</f>
        <v>92.143799999999999</v>
      </c>
      <c r="S9" s="24">
        <f>'DCWW Llyn Conwy'!R31</f>
        <v>0</v>
      </c>
      <c r="T9" s="24">
        <f>'DCWW Llyn Conwy'!S31</f>
        <v>0.22149120000000003</v>
      </c>
      <c r="U9" s="24">
        <f>'DCWW Llyn Conwy'!T31</f>
        <v>0</v>
      </c>
      <c r="V9" s="24">
        <f>'DCWW Llyn Conwy'!U31</f>
        <v>0</v>
      </c>
    </row>
    <row r="10" spans="1:22" x14ac:dyDescent="0.25">
      <c r="A10" s="27">
        <v>8</v>
      </c>
      <c r="B10" s="78"/>
      <c r="C10" s="24">
        <f>'DCWW Mynydd Llandegai '!B31</f>
        <v>196</v>
      </c>
      <c r="D10" s="24">
        <f>'DCWW Mynydd Llandegai '!C31</f>
        <v>83.311760000000007</v>
      </c>
      <c r="E10" s="24">
        <f>'DCWW Mynydd Llandegai '!D31</f>
        <v>65.182963831999984</v>
      </c>
      <c r="F10" s="24">
        <f>'DCWW Mynydd Llandegai '!E31</f>
        <v>4.0913933760000001</v>
      </c>
      <c r="G10" s="24">
        <f>'DCWW Mynydd Llandegai '!F31</f>
        <v>7.6493242615999986</v>
      </c>
      <c r="H10" s="24">
        <f>'DCWW Mynydd Llandegai '!G31</f>
        <v>0.6932167199999999</v>
      </c>
      <c r="I10" s="24">
        <f>'DCWW Mynydd Llandegai '!H31</f>
        <v>0.98244999999999993</v>
      </c>
      <c r="J10" s="24">
        <f>'DCWW Mynydd Llandegai '!I31</f>
        <v>0.24207567999999999</v>
      </c>
      <c r="K10" s="24">
        <f>'DCWW Mynydd Llandegai '!J31</f>
        <v>4.7943559999999996E-3</v>
      </c>
      <c r="L10" s="24">
        <f>'DCWW Mynydd Llandegai '!K31</f>
        <v>3.9297999999999998E-3</v>
      </c>
      <c r="M10" s="24">
        <f>'DCWW Mynydd Llandegai '!L31</f>
        <v>0.19884787999999998</v>
      </c>
      <c r="N10" s="24">
        <f>'DCWW Mynydd Llandegai '!M31</f>
        <v>0.16819543999999997</v>
      </c>
      <c r="O10" s="24">
        <f>'DCWW Mynydd Llandegai '!N31</f>
        <v>7246.551199999999</v>
      </c>
      <c r="P10" s="24">
        <f>'DCWW Mynydd Llandegai '!O31</f>
        <v>33.717683999999998</v>
      </c>
      <c r="Q10" s="24">
        <f>'DCWW Mynydd Llandegai '!P31</f>
        <v>0</v>
      </c>
      <c r="R10" s="24">
        <f>'DCWW Mynydd Llandegai '!Q31</f>
        <v>119.26943</v>
      </c>
      <c r="S10" s="24">
        <f>'DCWW Mynydd Llandegai '!R31</f>
        <v>0</v>
      </c>
      <c r="T10" s="24">
        <f>'DCWW Mynydd Llandegai '!S31</f>
        <v>0.16662351999999997</v>
      </c>
      <c r="U10" s="24">
        <f>'DCWW Mynydd Llandegai '!T31</f>
        <v>0</v>
      </c>
      <c r="V10" s="24">
        <f>'DCWW Mynydd Llandegai '!U31</f>
        <v>0</v>
      </c>
    </row>
    <row r="11" spans="1:22" x14ac:dyDescent="0.25">
      <c r="A11" s="27">
        <v>9</v>
      </c>
      <c r="B11" s="78"/>
      <c r="C11" s="24">
        <f>'DCWW Rhiwgoch'!B31</f>
        <v>112</v>
      </c>
      <c r="D11" s="24">
        <f>'DCWW Rhiwgoch'!C31</f>
        <v>28.369935999999996</v>
      </c>
      <c r="E11" s="24">
        <f>'DCWW Rhiwgoch'!D31</f>
        <v>64.995523375999994</v>
      </c>
      <c r="F11" s="24">
        <f>'DCWW Rhiwgoch'!E31</f>
        <v>2.3580481120000001</v>
      </c>
      <c r="G11" s="24">
        <f>'DCWW Rhiwgoch'!F31</f>
        <v>1.4184574655999997</v>
      </c>
      <c r="H11" s="24">
        <f>'DCWW Rhiwgoch'!G31</f>
        <v>0.17552976000000001</v>
      </c>
      <c r="I11" s="24">
        <f>'DCWW Rhiwgoch'!H31</f>
        <v>0.90960799999999986</v>
      </c>
      <c r="J11" s="24">
        <f>'DCWW Rhiwgoch'!I31</f>
        <v>0.13963711999999998</v>
      </c>
      <c r="K11" s="24">
        <f>'DCWW Rhiwgoch'!J31</f>
        <v>2.4583999999999999E-3</v>
      </c>
      <c r="L11" s="24">
        <f>'DCWW Rhiwgoch'!K31</f>
        <v>2.2617279999999997E-3</v>
      </c>
      <c r="M11" s="24">
        <f>'DCWW Rhiwgoch'!L31</f>
        <v>0.11456143999999999</v>
      </c>
      <c r="N11" s="24">
        <f>'DCWW Rhiwgoch'!M31</f>
        <v>9.6860959999999982E-2</v>
      </c>
      <c r="O11" s="24">
        <f>'DCWW Rhiwgoch'!N31</f>
        <v>25.419855999999996</v>
      </c>
      <c r="P11" s="24">
        <f>'DCWW Rhiwgoch'!O31</f>
        <v>10177.775999999998</v>
      </c>
      <c r="Q11" s="24">
        <f>'DCWW Rhiwgoch'!P31</f>
        <v>0</v>
      </c>
      <c r="R11" s="24">
        <f>'DCWW Rhiwgoch'!Q31</f>
        <v>97.844319999999982</v>
      </c>
      <c r="S11" s="24">
        <f>'DCWW Rhiwgoch'!R31</f>
        <v>0</v>
      </c>
      <c r="T11" s="24">
        <f>'DCWW Rhiwgoch'!S31</f>
        <v>4.2284479999999992E-2</v>
      </c>
      <c r="U11" s="24">
        <f>'DCWW Rhiwgoch'!T31</f>
        <v>0</v>
      </c>
      <c r="V11" s="24">
        <f>'DCWW Rhiwgoch'!U31</f>
        <v>0</v>
      </c>
    </row>
    <row r="12" spans="1:22" x14ac:dyDescent="0.25">
      <c r="A12" s="27">
        <v>10</v>
      </c>
      <c r="B12" s="78"/>
      <c r="C12" s="24">
        <f>'DCWW Clifor'!B31</f>
        <v>245</v>
      </c>
      <c r="D12" s="24">
        <f>'DCWW Clifor'!C31</f>
        <v>52.993499999999997</v>
      </c>
      <c r="E12" s="24">
        <f>'DCWW Clifor'!D31</f>
        <v>65.213498279999996</v>
      </c>
      <c r="F12" s="24">
        <f>'DCWW Clifor'!E31</f>
        <v>5.1085734000000018</v>
      </c>
      <c r="G12" s="24">
        <f>'DCWW Clifor'!F31</f>
        <v>10.543586759999998</v>
      </c>
      <c r="H12" s="24">
        <f>'DCWW Clifor'!G31</f>
        <v>0.38003909999999996</v>
      </c>
      <c r="I12" s="24">
        <f>'DCWW Clifor'!H31</f>
        <v>0.60059300000000004</v>
      </c>
      <c r="J12" s="24">
        <f>'DCWW Clifor'!I31</f>
        <v>0.30181060000000004</v>
      </c>
      <c r="K12" s="24">
        <f>'DCWW Clifor'!J31</f>
        <v>5.3498200000000008E-3</v>
      </c>
      <c r="L12" s="24">
        <f>'DCWW Clifor'!K31</f>
        <v>4.89559E-3</v>
      </c>
      <c r="M12" s="24">
        <f>'DCWW Clifor'!L31</f>
        <v>0.24831239999999999</v>
      </c>
      <c r="N12" s="24">
        <f>'DCWW Clifor'!M31</f>
        <v>0.20945050000000001</v>
      </c>
      <c r="O12" s="24">
        <f>'DCWW Clifor'!N31</f>
        <v>5248.88</v>
      </c>
      <c r="P12" s="24">
        <f>'DCWW Clifor'!O31</f>
        <v>17.714970000000001</v>
      </c>
      <c r="Q12" s="24">
        <f>'DCWW Clifor'!P31</f>
        <v>0</v>
      </c>
      <c r="R12" s="24">
        <f>'DCWW Clifor'!Q31</f>
        <v>174.1215</v>
      </c>
      <c r="S12" s="24">
        <f>'DCWW Clifor'!R31</f>
        <v>0</v>
      </c>
      <c r="T12" s="24">
        <f>'DCWW Clifor'!S31</f>
        <v>7.3181499999999997E-2</v>
      </c>
      <c r="U12" s="24">
        <f>'DCWW Clifor'!T31</f>
        <v>0</v>
      </c>
      <c r="V12" s="24">
        <f>'DCWW Clifor'!U31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6" t="s">
        <v>84</v>
      </c>
      <c r="B15" s="26" t="s">
        <v>152</v>
      </c>
      <c r="C15" s="26">
        <f>'DCWW Alaw'!B43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6"/>
      <c r="B16" s="23" t="s">
        <v>46</v>
      </c>
      <c r="C16" s="26">
        <f>'DCWW Alaw'!B44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49</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250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242</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239</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244</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244</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210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196</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112</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245</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8" t="s">
        <v>85</v>
      </c>
      <c r="B27" s="178"/>
      <c r="C27" s="178"/>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REGU-415-1633240</_dlc_DocId>
    <_dlc_DocIdUrl xmlns="9be56660-2c31-41ef-bc00-23e72f632f2a">
      <Url>https://cyfoethnaturiolcymru.sharepoint.com/teams/Regulatory/Permitting/_layouts/15/DocIdRedir.aspx?ID=REGU-415-1633240</Url>
      <Description>REGU-415-1633240</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2026-01-19T00:00:00+00:00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3" ma:contentTypeDescription="Permitting &amp; Compliance Excel Document" ma:contentTypeScope="" ma:versionID="4e8d2c7b4b8a0eb4a4ee585224ea17f8">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7af58acacc79e0cc56e84632f09585fe"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B88BFD-E29A-4849-A8E6-116EB74B98EA}">
  <ds:schemaRefs>
    <ds:schemaRef ds:uri="http://purl.org/dc/elements/1.1/"/>
    <ds:schemaRef ds:uri="9be56660-2c31-41ef-bc00-23e72f632f2a"/>
    <ds:schemaRef ds:uri="http://schemas.microsoft.com/office/2006/documentManagement/types"/>
    <ds:schemaRef ds:uri="http://www.w3.org/XML/1998/namespace"/>
    <ds:schemaRef ds:uri="http://purl.org/dc/dcmitype/"/>
    <ds:schemaRef ds:uri="http://schemas.openxmlformats.org/package/2006/metadata/core-properties"/>
    <ds:schemaRef ds:uri="http://schemas.microsoft.com/office/infopath/2007/PartnerControl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2CED9DC3-F494-4B2A-80E1-2AE519385F8D}"/>
</file>

<file path=customXml/itemProps5.xml><?xml version="1.0" encoding="utf-8"?>
<ds:datastoreItem xmlns:ds="http://schemas.openxmlformats.org/officeDocument/2006/customXml" ds:itemID="{3976D57D-F336-48C9-B4E0-84A9D972A65B}"/>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DCWW Alaw</vt:lpstr>
      <vt:lpstr>DCWW Bryn Cowlyd</vt:lpstr>
      <vt:lpstr>DCWW Cefni</vt:lpstr>
      <vt:lpstr>DCWW Clifor</vt:lpstr>
      <vt:lpstr>DCWW Cwellyn</vt:lpstr>
      <vt:lpstr>DCWW Dolbenmaen</vt:lpstr>
      <vt:lpstr>DCWW Garreglwyd</vt:lpstr>
      <vt:lpstr>DCWW Llyn Conwy</vt:lpstr>
      <vt:lpstr>DCWW Mynydd Llandegai </vt:lpstr>
      <vt:lpstr>DCWW Rhiwgoch</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2026-01-19T15:26:00Z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b7e6aeda-ed18-4c9f-8d84-15aca589d799</vt:lpwstr>
  </property>
  <property fmtid="{D5CDD505-2E9C-101B-9397-08002B2CF9AE}" pid="4" name="MediaServiceImageTags">
    <vt:lpwstr/>
  </property>
</Properties>
</file>