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1460D/"/>
    </mc:Choice>
  </mc:AlternateContent>
  <xr:revisionPtr revIDLastSave="0" documentId="13_ncr:1_{B2274FF4-EB7E-4877-8749-BDE299176AFF}" xr6:coauthVersionLast="47" xr6:coauthVersionMax="47" xr10:uidLastSave="{00000000-0000-0000-0000-000000000000}"/>
  <bookViews>
    <workbookView xWindow="-28920" yWindow="3960" windowWidth="29040" windowHeight="15720" tabRatio="870" activeTab="5" xr2:uid="{00000000-000D-0000-FFFF-FFFF00000000}"/>
  </bookViews>
  <sheets>
    <sheet name="DCWW Elan Valley" sheetId="1" r:id="rId1"/>
    <sheet name="DCWW Llyswen" sheetId="21" r:id="rId2"/>
    <sheet name="DCWW talybont" sheetId="27" r:id="rId3"/>
    <sheet name="DCWW Court Farm" sheetId="28" r:id="rId4"/>
    <sheet name="Biogen Digestate" sheetId="30" r:id="rId5"/>
    <sheet name="DCWW Organic Energy Digestate" sheetId="26" r:id="rId6"/>
    <sheet name="Additions" sheetId="20" r:id="rId7"/>
    <sheet name="Ratios" sheetId="1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6" l="1"/>
  <c r="L3" i="30"/>
  <c r="L3" i="28"/>
  <c r="L3" i="27"/>
  <c r="L3" i="21"/>
  <c r="L3" i="1"/>
  <c r="G65" i="1" l="1"/>
  <c r="H65" i="1"/>
  <c r="I65" i="1"/>
  <c r="J65" i="1"/>
  <c r="K65" i="1"/>
  <c r="L65" i="1"/>
  <c r="N65" i="1"/>
  <c r="P65" i="1"/>
  <c r="Q65" i="1"/>
  <c r="R65" i="1"/>
  <c r="S65" i="1"/>
  <c r="T65" i="1"/>
  <c r="U65" i="1"/>
  <c r="G65" i="21"/>
  <c r="H65" i="21"/>
  <c r="I65" i="21"/>
  <c r="J65" i="21"/>
  <c r="K65" i="21"/>
  <c r="L65" i="21"/>
  <c r="N65" i="21"/>
  <c r="P65" i="21"/>
  <c r="Q65" i="21"/>
  <c r="R65" i="21"/>
  <c r="S65" i="21"/>
  <c r="T65" i="21"/>
  <c r="U65" i="21"/>
  <c r="G65" i="27"/>
  <c r="H65" i="27"/>
  <c r="I65" i="27"/>
  <c r="J65" i="27"/>
  <c r="K65" i="27"/>
  <c r="L65" i="27"/>
  <c r="N65" i="27"/>
  <c r="P65" i="27"/>
  <c r="Q65" i="27"/>
  <c r="R65" i="27"/>
  <c r="S65" i="27"/>
  <c r="T65" i="27"/>
  <c r="U65" i="27"/>
  <c r="H65" i="30"/>
  <c r="I65" i="30"/>
  <c r="J65" i="30"/>
  <c r="K65" i="30"/>
  <c r="L65" i="30"/>
  <c r="N65" i="30"/>
  <c r="P65" i="30"/>
  <c r="Q65" i="30"/>
  <c r="R65" i="30"/>
  <c r="S65" i="30"/>
  <c r="T65" i="30"/>
  <c r="U65" i="30"/>
  <c r="H65" i="26"/>
  <c r="I65" i="26"/>
  <c r="J65" i="26"/>
  <c r="K65" i="26"/>
  <c r="L65" i="26"/>
  <c r="N65" i="26"/>
  <c r="P65" i="26"/>
  <c r="Q65" i="26"/>
  <c r="R65" i="26"/>
  <c r="S65" i="26"/>
  <c r="T65" i="26"/>
  <c r="U65" i="26"/>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S22" i="30"/>
  <c r="Q22" i="30"/>
  <c r="K22" i="30"/>
  <c r="I22" i="30"/>
  <c r="V20" i="30"/>
  <c r="U20" i="30"/>
  <c r="T20" i="30"/>
  <c r="S20" i="30"/>
  <c r="R20" i="30"/>
  <c r="Q20" i="30"/>
  <c r="P20" i="30"/>
  <c r="O20" i="30"/>
  <c r="N20" i="30"/>
  <c r="M20" i="30"/>
  <c r="L20" i="30"/>
  <c r="K20" i="30"/>
  <c r="J20" i="30"/>
  <c r="I20" i="30"/>
  <c r="H20" i="30"/>
  <c r="V18" i="30"/>
  <c r="T18" i="30"/>
  <c r="Q18" i="30"/>
  <c r="N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I20" i="28"/>
  <c r="H20" i="28"/>
  <c r="V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I20" i="27"/>
  <c r="H20" i="27"/>
  <c r="U18" i="27"/>
  <c r="R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M20" i="26"/>
  <c r="L20" i="26"/>
  <c r="K20" i="26"/>
  <c r="J20" i="26"/>
  <c r="I20" i="26"/>
  <c r="O18" i="26"/>
  <c r="L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U63" i="28" l="1"/>
  <c r="U65" i="28" s="1"/>
  <c r="N63" i="28"/>
  <c r="N65" i="28" s="1"/>
  <c r="F63" i="28"/>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G12" i="19"/>
  <c r="G26" i="19" s="1"/>
  <c r="O12" i="19"/>
  <c r="O26" i="19" s="1"/>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H59" i="30"/>
  <c r="I17" i="30"/>
  <c r="I19" i="30" s="1"/>
  <c r="I21" i="30"/>
  <c r="Q17" i="30"/>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G21" i="26"/>
  <c r="G17" i="26"/>
  <c r="O17" i="26"/>
  <c r="O21" i="26"/>
  <c r="E59" i="27"/>
  <c r="F17" i="27"/>
  <c r="F19" i="27" s="1"/>
  <c r="F20" i="27" s="1"/>
  <c r="M59" i="27"/>
  <c r="N17" i="27"/>
  <c r="N19" i="27" s="1"/>
  <c r="U59" i="27"/>
  <c r="V17" i="27"/>
  <c r="E59" i="28"/>
  <c r="F17" i="28"/>
  <c r="F21" i="28"/>
  <c r="F23" i="28" s="1"/>
  <c r="F24" i="28" s="1"/>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H21" i="26"/>
  <c r="H23" i="26" s="1"/>
  <c r="H24" i="26" s="1"/>
  <c r="H17" i="26"/>
  <c r="P21" i="26"/>
  <c r="P17" i="26"/>
  <c r="F59" i="28"/>
  <c r="G17" i="28"/>
  <c r="G19" i="28" s="1"/>
  <c r="G20" i="28" s="1"/>
  <c r="G21" i="28"/>
  <c r="G23" i="28" s="1"/>
  <c r="G24" i="28" s="1"/>
  <c r="N59" i="28"/>
  <c r="O17" i="28"/>
  <c r="O19" i="28" s="1"/>
  <c r="O21" i="28"/>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H59" i="26"/>
  <c r="I17" i="26"/>
  <c r="I21" i="26"/>
  <c r="I23" i="26" s="1"/>
  <c r="I24" i="26" s="1"/>
  <c r="P59" i="26"/>
  <c r="Q17" i="26"/>
  <c r="Q19" i="26" s="1"/>
  <c r="Q21" i="26"/>
  <c r="E63" i="26"/>
  <c r="H17" i="27"/>
  <c r="P17" i="27"/>
  <c r="P19" i="27" s="1"/>
  <c r="H21" i="28"/>
  <c r="H23" i="28" s="1"/>
  <c r="H24" i="28" s="1"/>
  <c r="H17" i="28"/>
  <c r="P21" i="28"/>
  <c r="P17" i="28"/>
  <c r="P19" i="28" s="1"/>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H17" i="30"/>
  <c r="H19"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6"/>
  <c r="C21" i="26"/>
  <c r="C23" i="26" s="1"/>
  <c r="C24" i="26" s="1"/>
  <c r="C17" i="26"/>
  <c r="B59" i="21"/>
  <c r="C21" i="21"/>
  <c r="C23" i="21" s="1"/>
  <c r="C24" i="21" s="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3" i="26"/>
  <c r="G24" i="26" s="1"/>
  <c r="P23" i="26"/>
  <c r="P24" i="26" s="1"/>
  <c r="G21" i="27"/>
  <c r="G23" i="27" s="1"/>
  <c r="G24" i="27" s="1"/>
  <c r="O21" i="27"/>
  <c r="O23" i="27" s="1"/>
  <c r="O24" i="27" s="1"/>
  <c r="D58" i="30"/>
  <c r="D61" i="30" s="1"/>
  <c r="D64" i="30" s="1"/>
  <c r="D65" i="30" s="1"/>
  <c r="L58" i="30"/>
  <c r="L61" i="30" s="1"/>
  <c r="L64" i="30" s="1"/>
  <c r="H21" i="27"/>
  <c r="H23" i="27" s="1"/>
  <c r="H24" i="27" s="1"/>
  <c r="P21" i="27"/>
  <c r="J58" i="26"/>
  <c r="J61" i="26" s="1"/>
  <c r="J58" i="27"/>
  <c r="J61" i="27" s="1"/>
  <c r="J64" i="27" s="1"/>
  <c r="R58" i="27"/>
  <c r="R61" i="27" s="1"/>
  <c r="R64" i="27" s="1"/>
  <c r="R58" i="28"/>
  <c r="R61" i="28" s="1"/>
  <c r="R64" i="28" s="1"/>
  <c r="D19" i="27"/>
  <c r="D20" i="27" s="1"/>
  <c r="L21" i="27"/>
  <c r="L23" i="27" s="1"/>
  <c r="L24" i="27" s="1"/>
  <c r="T21" i="27"/>
  <c r="P58" i="21"/>
  <c r="P61" i="21" s="1"/>
  <c r="H58" i="21"/>
  <c r="H61" i="21" s="1"/>
  <c r="R58" i="26"/>
  <c r="R61" i="26" s="1"/>
  <c r="R57" i="21"/>
  <c r="I23" i="30"/>
  <c r="I24" i="30" s="1"/>
  <c r="Q23" i="30"/>
  <c r="Q24" i="30" s="1"/>
  <c r="E23" i="30"/>
  <c r="E24" i="30" s="1"/>
  <c r="U23" i="30"/>
  <c r="U24" i="30" s="1"/>
  <c r="J58" i="28"/>
  <c r="J61" i="28" s="1"/>
  <c r="J64" i="28" s="1"/>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E64" i="27" s="1"/>
  <c r="M58" i="27"/>
  <c r="M61" i="27" s="1"/>
  <c r="U58" i="27"/>
  <c r="U61" i="27" s="1"/>
  <c r="F58" i="30"/>
  <c r="F61" i="30" s="1"/>
  <c r="N58" i="30"/>
  <c r="N61" i="30" s="1"/>
  <c r="G59" i="21"/>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N59" i="26"/>
  <c r="H58" i="27"/>
  <c r="H61" i="27" s="1"/>
  <c r="P58" i="27"/>
  <c r="P61" i="27" s="1"/>
  <c r="F57" i="27"/>
  <c r="E58" i="28"/>
  <c r="E61" i="28" s="1"/>
  <c r="M58" i="28"/>
  <c r="M61" i="28" s="1"/>
  <c r="U58" i="28"/>
  <c r="U61" i="28" s="1"/>
  <c r="I58" i="30"/>
  <c r="I61" i="30" s="1"/>
  <c r="I64" i="30" s="1"/>
  <c r="Q58" i="30"/>
  <c r="Q61" i="30" s="1"/>
  <c r="Q64" i="30" s="1"/>
  <c r="P59" i="30"/>
  <c r="P58" i="26"/>
  <c r="P61" i="26" s="1"/>
  <c r="F59" i="26"/>
  <c r="O58" i="27"/>
  <c r="O61" i="27" s="1"/>
  <c r="A38" i="21"/>
  <c r="I58" i="27"/>
  <c r="I61" i="27" s="1"/>
  <c r="I64" i="27" s="1"/>
  <c r="Q58" i="27"/>
  <c r="Q61" i="27" s="1"/>
  <c r="Q64" i="27" s="1"/>
  <c r="H57" i="27"/>
  <c r="F59" i="27"/>
  <c r="O23" i="28"/>
  <c r="O24" i="28" s="1"/>
  <c r="F58" i="28"/>
  <c r="F61" i="28" s="1"/>
  <c r="N58" i="28"/>
  <c r="N61" i="28" s="1"/>
  <c r="F57" i="30"/>
  <c r="N58" i="26"/>
  <c r="N61" i="26" s="1"/>
  <c r="H58" i="26"/>
  <c r="H61" i="26" s="1"/>
  <c r="L58" i="28"/>
  <c r="L61" i="28" s="1"/>
  <c r="P19" i="21"/>
  <c r="C58" i="26"/>
  <c r="C61" i="26" s="1"/>
  <c r="C64" i="26" s="1"/>
  <c r="K58" i="26"/>
  <c r="K61" i="26" s="1"/>
  <c r="S58" i="26"/>
  <c r="S61" i="26" s="1"/>
  <c r="S64" i="26" s="1"/>
  <c r="P23" i="27"/>
  <c r="P24" i="27" s="1"/>
  <c r="N57" i="27"/>
  <c r="H59" i="27"/>
  <c r="G58" i="28"/>
  <c r="G61" i="28" s="1"/>
  <c r="O58" i="28"/>
  <c r="O61" i="28" s="1"/>
  <c r="F57" i="28"/>
  <c r="C58" i="30"/>
  <c r="C61" i="30" s="1"/>
  <c r="C64" i="30" s="1"/>
  <c r="K58" i="30"/>
  <c r="K61" i="30" s="1"/>
  <c r="K64" i="30" s="1"/>
  <c r="S58" i="30"/>
  <c r="S61" i="30" s="1"/>
  <c r="H57" i="30"/>
  <c r="D58" i="28"/>
  <c r="D61" i="28" s="1"/>
  <c r="D64" i="28" s="1"/>
  <c r="P58" i="30"/>
  <c r="P61" i="30" s="1"/>
  <c r="Q58" i="21"/>
  <c r="Q61" i="21" s="1"/>
  <c r="Q64" i="21" s="1"/>
  <c r="I58" i="21"/>
  <c r="I61" i="21"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I57" i="30"/>
  <c r="M19" i="21"/>
  <c r="G57" i="21"/>
  <c r="E58" i="26"/>
  <c r="E61" i="26" s="1"/>
  <c r="M58" i="26"/>
  <c r="M61" i="26" s="1"/>
  <c r="M64" i="26" s="1"/>
  <c r="U58" i="26"/>
  <c r="U61" i="26" s="1"/>
  <c r="N57" i="26"/>
  <c r="P59" i="27"/>
  <c r="I58" i="28"/>
  <c r="I61" i="28" s="1"/>
  <c r="I64" i="28" s="1"/>
  <c r="Q58" i="28"/>
  <c r="Q61" i="28" s="1"/>
  <c r="Q64" i="28" s="1"/>
  <c r="P23" i="28"/>
  <c r="P24" i="28" s="1"/>
  <c r="E58" i="30"/>
  <c r="E61" i="30" s="1"/>
  <c r="E64" i="30" s="1"/>
  <c r="M58" i="30"/>
  <c r="M61" i="30" s="1"/>
  <c r="U58" i="30"/>
  <c r="U61" i="30" s="1"/>
  <c r="U64" i="30" s="1"/>
  <c r="U66" i="30" s="1"/>
  <c r="N57" i="30"/>
  <c r="F59" i="30"/>
  <c r="B58" i="30"/>
  <c r="B61" i="30" s="1"/>
  <c r="B58" i="26"/>
  <c r="B61" i="26" s="1"/>
  <c r="B58" i="27"/>
  <c r="B61" i="27" s="1"/>
  <c r="B58" i="28"/>
  <c r="B61" i="28" s="1"/>
  <c r="D5" i="20"/>
  <c r="D6" i="20"/>
  <c r="D4" i="20"/>
  <c r="E8" i="20"/>
  <c r="D8"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O59" i="30"/>
  <c r="G63" i="30"/>
  <c r="G65" i="30" s="1"/>
  <c r="O63" i="30"/>
  <c r="P63" i="30"/>
  <c r="I63" i="30"/>
  <c r="Q63" i="30"/>
  <c r="T19" i="30"/>
  <c r="E19" i="30"/>
  <c r="E20" i="30" s="1"/>
  <c r="N19" i="30"/>
  <c r="V19" i="30"/>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G65" i="28" s="1"/>
  <c r="O63" i="28"/>
  <c r="D19" i="28"/>
  <c r="D20" i="28" s="1"/>
  <c r="L19" i="28"/>
  <c r="L23" i="28"/>
  <c r="L24" i="28" s="1"/>
  <c r="T23" i="28"/>
  <c r="T24" i="28" s="1"/>
  <c r="H59" i="28"/>
  <c r="P59" i="28"/>
  <c r="H63" i="28"/>
  <c r="H65" i="28" s="1"/>
  <c r="P63" i="28"/>
  <c r="P65" i="28" s="1"/>
  <c r="M19" i="28"/>
  <c r="U19" i="28"/>
  <c r="M23" i="28"/>
  <c r="M24" i="28" s="1"/>
  <c r="I57" i="28"/>
  <c r="Q57" i="28"/>
  <c r="I63" i="28"/>
  <c r="I65" i="28" s="1"/>
  <c r="Q63" i="28"/>
  <c r="Q65" i="28" s="1"/>
  <c r="R19" i="28"/>
  <c r="F19" i="28"/>
  <c r="F20" i="28" s="1"/>
  <c r="V19" i="28"/>
  <c r="N23" i="28"/>
  <c r="N24" i="28" s="1"/>
  <c r="V23" i="28"/>
  <c r="V24" i="28" s="1"/>
  <c r="B63" i="28"/>
  <c r="J63" i="28"/>
  <c r="J65" i="28" s="1"/>
  <c r="R63" i="28"/>
  <c r="R65" i="28" s="1"/>
  <c r="A32" i="28"/>
  <c r="A34" i="28"/>
  <c r="A40" i="28"/>
  <c r="A42" i="28"/>
  <c r="A48" i="28"/>
  <c r="A50" i="28"/>
  <c r="C63" i="28"/>
  <c r="K63" i="28"/>
  <c r="K65" i="28" s="1"/>
  <c r="S63" i="28"/>
  <c r="S65" i="28" s="1"/>
  <c r="H19" i="28"/>
  <c r="D63" i="28"/>
  <c r="L63" i="28"/>
  <c r="L65" i="28" s="1"/>
  <c r="T63" i="28"/>
  <c r="T65" i="28" s="1"/>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G65" i="26" s="1"/>
  <c r="O63" i="26"/>
  <c r="L19" i="26"/>
  <c r="T19" i="26"/>
  <c r="L23" i="26"/>
  <c r="L24" i="26" s="1"/>
  <c r="T23" i="26"/>
  <c r="T24" i="26" s="1"/>
  <c r="H63" i="26"/>
  <c r="P63" i="26"/>
  <c r="M19" i="26"/>
  <c r="E23" i="26"/>
  <c r="E24" i="26" s="1"/>
  <c r="M23" i="26"/>
  <c r="M24" i="26" s="1"/>
  <c r="I57" i="26"/>
  <c r="Q57" i="26"/>
  <c r="I59" i="26"/>
  <c r="I64" i="26" s="1"/>
  <c r="Q59" i="26"/>
  <c r="Q64" i="26" s="1"/>
  <c r="I63" i="26"/>
  <c r="Q63" i="26"/>
  <c r="N19" i="26"/>
  <c r="V23" i="26"/>
  <c r="V24" i="26" s="1"/>
  <c r="B63" i="26"/>
  <c r="J63" i="26"/>
  <c r="R63" i="26"/>
  <c r="G19" i="26"/>
  <c r="G20" i="26" s="1"/>
  <c r="O19" i="26"/>
  <c r="A32" i="26"/>
  <c r="A34" i="26"/>
  <c r="A40" i="26"/>
  <c r="A42" i="26"/>
  <c r="A48" i="26"/>
  <c r="A50" i="26"/>
  <c r="C63" i="26"/>
  <c r="K63" i="26"/>
  <c r="S63" i="26"/>
  <c r="H19" i="26"/>
  <c r="H20" i="26" s="1"/>
  <c r="P19" i="26"/>
  <c r="D63" i="26"/>
  <c r="L63" i="26"/>
  <c r="I19" i="26"/>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6" l="1"/>
  <c r="E65" i="30"/>
  <c r="C65" i="30"/>
  <c r="D65" i="28"/>
  <c r="E65" i="27"/>
  <c r="D65" i="27"/>
  <c r="C65" i="27"/>
  <c r="C65" i="21"/>
  <c r="D65" i="21"/>
  <c r="F64" i="26"/>
  <c r="F66" i="26"/>
  <c r="F65" i="26"/>
  <c r="M66" i="26"/>
  <c r="M65" i="26"/>
  <c r="B64" i="30"/>
  <c r="B65" i="30" s="1"/>
  <c r="O64" i="21"/>
  <c r="O65" i="21" s="1"/>
  <c r="T64" i="26"/>
  <c r="T66" i="26" s="1"/>
  <c r="E64" i="26"/>
  <c r="M64" i="28"/>
  <c r="M65" i="28" s="1"/>
  <c r="S64" i="28"/>
  <c r="P64" i="27"/>
  <c r="G64" i="21"/>
  <c r="G66" i="21" s="1"/>
  <c r="S64" i="21"/>
  <c r="S66" i="21" s="1"/>
  <c r="E64" i="21"/>
  <c r="F64" i="21"/>
  <c r="N64" i="28"/>
  <c r="N66" i="28" s="1"/>
  <c r="J64" i="21"/>
  <c r="J66" i="21" s="1"/>
  <c r="F64" i="28"/>
  <c r="D64" i="26"/>
  <c r="D65" i="26" s="1"/>
  <c r="S64" i="30"/>
  <c r="S66" i="30" s="1"/>
  <c r="F64" i="30"/>
  <c r="R64" i="26"/>
  <c r="H64" i="21"/>
  <c r="H64" i="28"/>
  <c r="H66" i="28" s="1"/>
  <c r="G64" i="28"/>
  <c r="G66" i="28" s="1"/>
  <c r="P64" i="26"/>
  <c r="E64" i="28"/>
  <c r="J64" i="26"/>
  <c r="M64" i="27"/>
  <c r="H64" i="27"/>
  <c r="H66" i="27" s="1"/>
  <c r="M64" i="30"/>
  <c r="K64" i="26"/>
  <c r="K66" i="26" s="1"/>
  <c r="C64" i="28"/>
  <c r="L64" i="27"/>
  <c r="L66" i="27" s="1"/>
  <c r="M64" i="21"/>
  <c r="M65" i="21" s="1"/>
  <c r="P64" i="28"/>
  <c r="P66" i="28" s="1"/>
  <c r="I64" i="21"/>
  <c r="I66" i="21" s="1"/>
  <c r="U64" i="28"/>
  <c r="U66" i="28" s="1"/>
  <c r="U64" i="27"/>
  <c r="U66" i="27" s="1"/>
  <c r="S66" i="27"/>
  <c r="D66" i="30"/>
  <c r="Q66" i="30"/>
  <c r="B64" i="28"/>
  <c r="B64" i="27"/>
  <c r="B64" i="26"/>
  <c r="B64" i="21"/>
  <c r="O64" i="27"/>
  <c r="O64" i="28"/>
  <c r="N64" i="27"/>
  <c r="N66" i="27" s="1"/>
  <c r="N64" i="30"/>
  <c r="N66" i="30" s="1"/>
  <c r="L66" i="30"/>
  <c r="J66" i="28"/>
  <c r="G64" i="26"/>
  <c r="G66" i="26" s="1"/>
  <c r="O64" i="26"/>
  <c r="P64" i="30"/>
  <c r="P66" i="30" s="1"/>
  <c r="Q66" i="21"/>
  <c r="P66" i="21"/>
  <c r="K66" i="27"/>
  <c r="R66" i="27"/>
  <c r="C66" i="27"/>
  <c r="J66" i="27"/>
  <c r="G64" i="27"/>
  <c r="G66" i="27" s="1"/>
  <c r="G66" i="30"/>
  <c r="J66" i="30"/>
  <c r="F64" i="27"/>
  <c r="T66" i="27"/>
  <c r="J66" i="26"/>
  <c r="T66" i="21"/>
  <c r="H66" i="30"/>
  <c r="E66" i="30"/>
  <c r="L66" i="21"/>
  <c r="S66" i="26"/>
  <c r="L66" i="28"/>
  <c r="L66" i="26"/>
  <c r="T66" i="30"/>
  <c r="R66" i="28"/>
  <c r="N64" i="26"/>
  <c r="N66" i="26" s="1"/>
  <c r="S64" i="1"/>
  <c r="R66" i="26"/>
  <c r="D66" i="27"/>
  <c r="R66" i="30"/>
  <c r="R64" i="1"/>
  <c r="Q64" i="1"/>
  <c r="U64" i="1"/>
  <c r="P64" i="1"/>
  <c r="E66" i="27"/>
  <c r="O64" i="30"/>
  <c r="K66" i="30"/>
  <c r="C66" i="30"/>
  <c r="I66" i="30"/>
  <c r="T66" i="28"/>
  <c r="D66" i="28"/>
  <c r="Q66" i="28"/>
  <c r="I66" i="28"/>
  <c r="S66" i="28"/>
  <c r="K66" i="28"/>
  <c r="Q66" i="27"/>
  <c r="I66" i="27"/>
  <c r="P66" i="27"/>
  <c r="Q66" i="26"/>
  <c r="P66" i="26"/>
  <c r="C66" i="26"/>
  <c r="I66" i="26"/>
  <c r="H66" i="26"/>
  <c r="H66" i="21"/>
  <c r="M66" i="21"/>
  <c r="K66" i="21"/>
  <c r="C66" i="21"/>
  <c r="D66" i="21"/>
  <c r="R66" i="21"/>
  <c r="N64" i="1"/>
  <c r="M64" i="1"/>
  <c r="M65" i="1" s="1"/>
  <c r="T64" i="1"/>
  <c r="L64" i="1"/>
  <c r="J64" i="1"/>
  <c r="K64" i="1"/>
  <c r="O64" i="1"/>
  <c r="O65" i="1" s="1"/>
  <c r="C64" i="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F65" i="1" l="1"/>
  <c r="D65" i="1"/>
  <c r="C65" i="1"/>
  <c r="B65" i="1"/>
  <c r="F66" i="28"/>
  <c r="F65" i="28"/>
  <c r="F66" i="30"/>
  <c r="F65" i="30"/>
  <c r="F66" i="21"/>
  <c r="F65" i="21"/>
  <c r="F66" i="27"/>
  <c r="F65" i="27"/>
  <c r="M66" i="28"/>
  <c r="E66" i="28"/>
  <c r="E65" i="28"/>
  <c r="E66" i="26"/>
  <c r="E65" i="26"/>
  <c r="E66" i="21"/>
  <c r="E65" i="21"/>
  <c r="D66" i="26"/>
  <c r="M66" i="27"/>
  <c r="M65" i="27"/>
  <c r="M66" i="30"/>
  <c r="M65" i="30"/>
  <c r="B66" i="30"/>
  <c r="O66" i="21"/>
  <c r="C66" i="28"/>
  <c r="C65" i="28"/>
  <c r="O66" i="28"/>
  <c r="O65" i="28"/>
  <c r="O66" i="27"/>
  <c r="O65" i="27"/>
  <c r="O66" i="26"/>
  <c r="O65" i="26"/>
  <c r="O66" i="30"/>
  <c r="O65" i="30"/>
  <c r="B66" i="26"/>
  <c r="B65" i="26"/>
  <c r="B66" i="28"/>
  <c r="B65" i="28"/>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<sst xmlns="http://schemas.openxmlformats.org/spreadsheetml/2006/main" count="1348" uniqueCount="175">
  <si>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</si>
  <si>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</si>
  <si>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</si>
  <si>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</si>
  <si>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</si>
  <si>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</si>
  <si>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</si>
  <si>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</si>
  <si>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</si>
  <si>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</si>
  <si>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</si>
  <si>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</si>
  <si>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</si>
  <si>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</si>
  <si>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</si>
  <si>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</si>
  <si>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</si>
  <si>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</si>
  <si>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</si>
  <si>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</si>
  <si>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</si>
  <si>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</si>
  <si>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</si>
  <si>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</si>
  <si>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</si>
  <si>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</si>
  <si>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</si>
  <si>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</si>
  <si>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</si>
  <si>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</si>
  <si>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</si>
  <si>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</si>
  <si>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</si>
  <si>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</si>
  <si>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</si>
  <si>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</si>
  <si>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</si>
  <si>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</si>
  <si>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</si>
  <si>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</si>
  <si>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</si>
  <si>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</si>
  <si>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</si>
  <si>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</si>
  <si>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</si>
  <si>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</si>
  <si>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</si>
  <si>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</si>
  <si>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</si>
  <si>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</si>
  <si>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</si>
  <si>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</si>
  <si>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</si>
  <si>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</si>
  <si>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</si>
  <si>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</si>
  <si>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</si>
  <si>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</si>
  <si>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</si>
  <si>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</si>
  <si>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</si>
  <si>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</si>
  <si>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</si>
  <si>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</si>
  <si>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</si>
  <si>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</si>
  <si>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</si>
  <si>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</si>
  <si>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</si>
  <si>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</si>
  <si>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</si>
  <si>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</si>
  <si>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</si>
  <si>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</si>
  <si>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</si>
  <si>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</si>
  <si>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</si>
  <si>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</si>
  <si>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</si>
  <si>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</si>
  <si>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</si>
  <si>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</si>
  <si>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</si>
  <si>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</si>
  <si>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</si>
  <si>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</si>
  <si>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</si>
  <si>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</si>
  <si>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</si>
  <si>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</si>
  <si>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</si>
  <si>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</si>
  <si>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</si>
  <si>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</si>
  <si>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</si>
  <si>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</si>
  <si>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</si>
  <si>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</si>
  <si>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</si>
  <si>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</si>
  <si>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</si>
  <si>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</si>
  <si>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</si>
  <si>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</si>
  <si>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</si>
  <si>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</si>
  <si>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</si>
  <si>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</si>
  <si>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</si>
  <si>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</si>
  <si>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</si>
  <si>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</si>
  <si>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</si>
  <si>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</si>
  <si>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</si>
  <si>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</si>
  <si>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</si>
  <si>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</si>
  <si>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</si>
  <si>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</si>
  <si>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</si>
  <si>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</si>
  <si>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</si>
  <si>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</si>
  <si>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</si>
  <si>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</si>
  <si>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</si>
  <si>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</si>
  <si>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</si>
  <si>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</si>
  <si>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</si>
  <si>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</si>
  <si>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</si>
  <si>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</si>
  <si>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</si>
  <si>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</si>
  <si>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</si>
  <si>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</si>
  <si>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</si>
  <si>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</si>
  <si>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</si>
  <si>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</si>
  <si>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</si>
  <si>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</si>
  <si>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</si>
  <si>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</si>
  <si>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</si>
  <si>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</si>
  <si>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</si>
  <si>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</si>
  <si>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</si>
  <si>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</si>
  <si>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</si>
  <si>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</si>
  <si>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</si>
  <si>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</si>
  <si>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</si>
  <si>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</si>
  <si>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</si>
  <si>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</si>
  <si>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PAN-031460</t>
  </si>
  <si>
    <t>EPR/GP3792SK</t>
  </si>
  <si>
    <t>Byproduct Recovery Ltd</t>
  </si>
  <si>
    <t>Rosedew Farm, Llantwit Major, 
South Glamorgan, CF61 1PZ</t>
  </si>
  <si>
    <t xml:space="preserve">Owen Clee </t>
  </si>
  <si>
    <t>19 09 02</t>
  </si>
  <si>
    <t>DCWW Elan Valley</t>
  </si>
  <si>
    <t>19 06 06</t>
  </si>
  <si>
    <t>DCWW Llyswen</t>
  </si>
  <si>
    <t>DCWW talybont</t>
  </si>
  <si>
    <t>Biogen Digestate</t>
  </si>
  <si>
    <t>DCWW Organic Energy Digestate</t>
  </si>
  <si>
    <t>4A</t>
  </si>
  <si>
    <t>4B</t>
  </si>
  <si>
    <t xml:space="preserve">DCWW Court Farm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</si>
</sst>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11" xfId="0" applyFont="1" applyFill="1" applyBorder="1" applyAlignment="1" applyProtection="1">
      <alignment horizontal="left" vertical="top" wrapText="1"/>
      <protection locked="0"/>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40" dataDxfId="238" headerRowBorderDxfId="239" tableBorderDxfId="237" totalsRowBorderDxfId="236">
  <autoFilter ref="AI1:AN26" xr:uid="{F8B5EC87-3095-445A-A980-2CFAA0A7B9A2}"/>
  <sortState xmlns:xlrd2="http://schemas.microsoft.com/office/spreadsheetml/2017/richdata2" ref="AI2:AL25">
    <sortCondition ref="AL1:AL25"/>
  </sortState>
  <tableColumns count="6">
    <tableColumn id="1" xr3:uid="{360F44E4-7249-415F-8D5E-41D249F9A162}" name="Crop" dataDxfId="235"/>
    <tableColumn id="2" xr3:uid="{55E07717-B4EC-4E8A-B9A9-34F3CF85E32D}" name="P Offtake" dataDxfId="234"/>
    <tableColumn id="3" xr3:uid="{7B25FA52-8104-4FE3-AED4-B53CBFDF89B2}" name="K Offtake" dataDxfId="233"/>
    <tableColumn id="4" xr3:uid="{0DBAE461-2D09-43C8-9342-3980D552AE4D}" name="Order" dataDxfId="232"/>
    <tableColumn id="5" xr3:uid="{52CACE7B-0CBA-46FC-9F24-02CBD6100239}" name="Lime pH requirement" dataDxfId="231"/>
    <tableColumn id="6" xr3:uid="{F1432630-9B16-4266-8147-CE754A715307}" name="Column1" dataDxfId="2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9" dataDxfId="227" headerRowBorderDxfId="228" tableBorderDxfId="226" totalsRowBorderDxfId="225">
  <autoFilter ref="AI1:AN26" xr:uid="{F8B5EC87-3095-445A-A980-2CFAA0A7B9A2}"/>
  <sortState xmlns:xlrd2="http://schemas.microsoft.com/office/spreadsheetml/2017/richdata2" ref="AI2:AL25">
    <sortCondition ref="AL1:AL25"/>
  </sortState>
  <tableColumns count="6">
    <tableColumn id="1" xr3:uid="{7E96A84B-948F-445F-BD6E-30CC8E6E6DD1}" name="Crop" dataDxfId="224"/>
    <tableColumn id="2" xr3:uid="{12657DDB-F680-47DE-ABB1-8675D5F91E41}" name="P Offtake" dataDxfId="223"/>
    <tableColumn id="3" xr3:uid="{DEB99109-D325-4F98-8A71-E70C03433437}" name="K Offtake" dataDxfId="222"/>
    <tableColumn id="4" xr3:uid="{E96A561F-7E7F-4FB3-97AA-0B35D8C8E93A}" name="Order" dataDxfId="221"/>
    <tableColumn id="5" xr3:uid="{181DD475-0A71-4C52-AF1A-8BFF46F5A827}" name="Lime pH requirement" dataDxfId="220"/>
    <tableColumn id="6" xr3:uid="{AC3FA7E8-D76B-43A3-B715-04446DFF63C6}" name="Column1" dataDxfId="21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18" dataDxfId="216" headerRowBorderDxfId="217" tableBorderDxfId="215" totalsRowBorderDxfId="214">
  <autoFilter ref="AI1:AN26" xr:uid="{F8B5EC87-3095-445A-A980-2CFAA0A7B9A2}"/>
  <sortState xmlns:xlrd2="http://schemas.microsoft.com/office/spreadsheetml/2017/richdata2" ref="AI2:AL25">
    <sortCondition ref="AL1:AL25"/>
  </sortState>
  <tableColumns count="6">
    <tableColumn id="1" xr3:uid="{06008BA1-A1E9-4286-B67A-352533C06A26}" name="Crop" dataDxfId="213"/>
    <tableColumn id="2" xr3:uid="{2AEB5EEB-C9D1-41DC-913E-953A33D1A4AF}" name="P Offtake" dataDxfId="212"/>
    <tableColumn id="3" xr3:uid="{8FA16A0B-1017-4CEE-862E-0A8CBD8EB3D3}" name="K Offtake" dataDxfId="211"/>
    <tableColumn id="4" xr3:uid="{E7A3B8CD-4036-47F4-B818-C3F22E80C749}" name="Order" dataDxfId="210"/>
    <tableColumn id="5" xr3:uid="{8F3EBD84-7904-4559-9B5C-63088B792C98}" name="Lime pH requirement" dataDxfId="209"/>
    <tableColumn id="6" xr3:uid="{A21DD95A-C955-4510-9114-E3F1CB645370}" name="Column1" dataDxfId="20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07" dataDxfId="205" headerRowBorderDxfId="206" tableBorderDxfId="204" totalsRowBorderDxfId="203">
  <autoFilter ref="AI1:AN26" xr:uid="{F8B5EC87-3095-445A-A980-2CFAA0A7B9A2}"/>
  <sortState xmlns:xlrd2="http://schemas.microsoft.com/office/spreadsheetml/2017/richdata2" ref="AI2:AL25">
    <sortCondition ref="AL1:AL25"/>
  </sortState>
  <tableColumns count="6">
    <tableColumn id="1" xr3:uid="{11579FCC-3D9F-49AD-888D-5D79B801F6AE}" name="Crop" dataDxfId="202"/>
    <tableColumn id="2" xr3:uid="{05C08116-56D5-4CC6-A649-B06AF891B931}" name="P Offtake" dataDxfId="201"/>
    <tableColumn id="3" xr3:uid="{59CDE959-192B-4757-9203-A0F691CF0F96}" name="K Offtake" dataDxfId="200"/>
    <tableColumn id="4" xr3:uid="{9FB8E4F7-B91F-4CE0-AF39-D4895D0ECF2F}" name="Order" dataDxfId="199"/>
    <tableColumn id="5" xr3:uid="{688FF2A4-D7C6-4425-A915-A9ADD700A9EE}" name="Lime pH requirement" dataDxfId="198"/>
    <tableColumn id="6" xr3:uid="{05FC5CFF-3D81-4B5F-87C7-2364076F2714}" name="Column1" dataDxfId="19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96" dataDxfId="194" headerRowBorderDxfId="195" tableBorderDxfId="193" totalsRowBorderDxfId="192">
  <autoFilter ref="AI1:AN26" xr:uid="{F8B5EC87-3095-445A-A980-2CFAA0A7B9A2}"/>
  <sortState xmlns:xlrd2="http://schemas.microsoft.com/office/spreadsheetml/2017/richdata2" ref="AI2:AL25">
    <sortCondition ref="AL1:AL25"/>
  </sortState>
  <tableColumns count="6">
    <tableColumn id="1" xr3:uid="{973D7FFB-D248-4199-9B2E-B3C6CC09D382}" name="Crop" dataDxfId="191"/>
    <tableColumn id="2" xr3:uid="{7F2A3986-EC86-4CF9-BD10-791170BA6682}" name="P Offtake" dataDxfId="190"/>
    <tableColumn id="3" xr3:uid="{D6129C35-9DC6-42E5-AE3F-EA3A083168E6}" name="K Offtake" dataDxfId="189"/>
    <tableColumn id="4" xr3:uid="{C1CC42B5-564A-4DE7-B817-B7D686FE9A11}" name="Order" dataDxfId="188"/>
    <tableColumn id="5" xr3:uid="{620F3ABD-564C-411A-8DEA-CE1A34F9FC36}" name="Lime pH requirement" dataDxfId="187"/>
    <tableColumn id="6" xr3:uid="{76C9BC4F-4FF3-4AFB-8E7B-16DC0CC3E97C}" name="Column1" dataDxfId="1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5" dataDxfId="183" headerRowBorderDxfId="184" tableBorderDxfId="182" totalsRowBorderDxfId="181">
  <autoFilter ref="AI1:AN26" xr:uid="{F8B5EC87-3095-445A-A980-2CFAA0A7B9A2}"/>
  <sortState xmlns:xlrd2="http://schemas.microsoft.com/office/spreadsheetml/2017/richdata2" ref="AI2:AL25">
    <sortCondition ref="AL1:AL25"/>
  </sortState>
  <tableColumns count="6">
    <tableColumn id="1" xr3:uid="{D13A12FC-EAE6-4280-A219-C2622262E5F4}" name="Crop" dataDxfId="180"/>
    <tableColumn id="2" xr3:uid="{FD06C4A3-4B75-490D-88CF-232C7DC3EFC6}" name="P Offtake" dataDxfId="179"/>
    <tableColumn id="3" xr3:uid="{B043BEFF-10D4-4840-989B-BB13A502ECDF}" name="K Offtake" dataDxfId="178"/>
    <tableColumn id="4" xr3:uid="{48481FDC-5D20-466C-B554-D45886EA366A}" name="Order" dataDxfId="177"/>
    <tableColumn id="5" xr3:uid="{9E0852D2-9D0D-44AB-98B7-FBA51F331ACF}" name="Lime pH requirement" dataDxfId="176"/>
    <tableColumn id="6" xr3:uid="{29F9C4A5-6854-4F37-8BD1-0DD9B6024A55}" name="Column1" dataDxfId="17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I18" sqref="I1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1" t="s">
        <v>41</v>
      </c>
      <c r="B1" s="132"/>
      <c r="C1" s="161" t="s">
        <v>160</v>
      </c>
      <c r="D1" s="162"/>
      <c r="E1" s="106" t="s">
        <v>45</v>
      </c>
      <c r="F1" s="109">
        <v>48.7</v>
      </c>
      <c r="G1" s="163" t="s">
        <v>43</v>
      </c>
      <c r="H1" s="164"/>
      <c r="I1" s="109">
        <v>7</v>
      </c>
      <c r="J1" s="131" t="s">
        <v>153</v>
      </c>
      <c r="K1" s="132"/>
      <c r="L1" s="109">
        <v>442</v>
      </c>
      <c r="AB1" s="13"/>
      <c r="AC1" s="13"/>
      <c r="AD1" s="22" t="s">
        <v>126</v>
      </c>
      <c r="AE1" s="13"/>
      <c r="AF1" s="13"/>
      <c r="AG1" s="13"/>
      <c r="AH1" s="13"/>
      <c r="AI1" s="30" t="s">
        <v>79</v>
      </c>
      <c r="AJ1" s="31" t="s">
        <v>94</v>
      </c>
      <c r="AK1" s="32" t="s">
        <v>95</v>
      </c>
      <c r="AL1" s="33" t="s">
        <v>125</v>
      </c>
      <c r="AM1" s="33" t="s">
        <v>131</v>
      </c>
      <c r="AN1" s="33" t="s">
        <v>111</v>
      </c>
    </row>
    <row r="2" spans="1:40" ht="13" x14ac:dyDescent="0.3">
      <c r="A2" s="133" t="s">
        <v>87</v>
      </c>
      <c r="B2" s="134"/>
      <c r="C2" s="155" t="s">
        <v>161</v>
      </c>
      <c r="D2" s="156"/>
      <c r="E2" s="96" t="s">
        <v>109</v>
      </c>
      <c r="F2" s="110" t="s">
        <v>165</v>
      </c>
      <c r="G2" s="165" t="s">
        <v>110</v>
      </c>
      <c r="H2" s="166"/>
      <c r="I2" s="110"/>
      <c r="J2" s="133" t="s">
        <v>158</v>
      </c>
      <c r="K2" s="134"/>
      <c r="L2" s="110">
        <v>0.86699999999999999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35" t="s">
        <v>42</v>
      </c>
      <c r="B3" s="136"/>
      <c r="C3" s="155" t="s">
        <v>162</v>
      </c>
      <c r="D3" s="156"/>
      <c r="E3" s="96" t="s">
        <v>108</v>
      </c>
      <c r="F3" s="111" t="s">
        <v>78</v>
      </c>
      <c r="G3" s="133" t="s">
        <v>159</v>
      </c>
      <c r="H3" s="134"/>
      <c r="I3" s="110"/>
      <c r="J3" s="135" t="s">
        <v>154</v>
      </c>
      <c r="K3" s="136"/>
      <c r="L3" s="110">
        <f>(L1/(L2*10000))*100</f>
        <v>5.0980392156862742</v>
      </c>
      <c r="AB3" s="22" t="s">
        <v>57</v>
      </c>
      <c r="AC3" s="13"/>
      <c r="AD3" s="22" t="s">
        <v>71</v>
      </c>
      <c r="AE3" s="13"/>
      <c r="AF3" s="13"/>
      <c r="AG3" s="34" t="s">
        <v>77</v>
      </c>
      <c r="AH3" s="13"/>
      <c r="AI3" s="38" t="s">
        <v>113</v>
      </c>
      <c r="AJ3" s="39">
        <v>1.7</v>
      </c>
      <c r="AK3" s="40">
        <v>6</v>
      </c>
      <c r="AL3" s="41">
        <v>1</v>
      </c>
      <c r="AM3" s="9">
        <v>6.2</v>
      </c>
      <c r="AN3" s="9" t="s">
        <v>112</v>
      </c>
    </row>
    <row r="4" spans="1:40" ht="13" x14ac:dyDescent="0.25">
      <c r="A4" s="133" t="s">
        <v>0</v>
      </c>
      <c r="B4" s="134"/>
      <c r="C4" s="157" t="s">
        <v>163</v>
      </c>
      <c r="D4" s="158"/>
      <c r="E4" s="99" t="s">
        <v>1</v>
      </c>
      <c r="F4" s="110" t="s">
        <v>166</v>
      </c>
      <c r="G4" s="133"/>
      <c r="H4" s="134"/>
      <c r="I4" s="110"/>
      <c r="J4" s="135"/>
      <c r="K4" s="136"/>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7" t="s">
        <v>47</v>
      </c>
      <c r="B5" s="148"/>
      <c r="C5" s="159" t="s">
        <v>164</v>
      </c>
      <c r="D5" s="160"/>
      <c r="E5" s="112"/>
      <c r="F5" s="108"/>
      <c r="G5" s="147"/>
      <c r="H5" s="148"/>
      <c r="I5" s="108"/>
      <c r="J5" s="137"/>
      <c r="K5" s="138"/>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3" t="s">
        <v>2</v>
      </c>
      <c r="B8" s="134"/>
      <c r="C8" s="11">
        <v>1</v>
      </c>
      <c r="D8" s="11">
        <v>2</v>
      </c>
      <c r="E8" s="11">
        <v>3</v>
      </c>
      <c r="F8" s="11" t="s">
        <v>172</v>
      </c>
      <c r="G8" s="11" t="s">
        <v>173</v>
      </c>
      <c r="H8" s="11"/>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3" t="s">
        <v>3</v>
      </c>
      <c r="B9" s="134"/>
      <c r="C9" s="11">
        <v>1</v>
      </c>
      <c r="D9" s="11">
        <v>1</v>
      </c>
      <c r="E9" s="11">
        <v>1</v>
      </c>
      <c r="F9" s="11">
        <v>1</v>
      </c>
      <c r="G9" s="11">
        <v>1</v>
      </c>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3" t="s">
        <v>4</v>
      </c>
      <c r="B10" s="134"/>
      <c r="C10" s="11">
        <v>6.5</v>
      </c>
      <c r="D10" s="11">
        <v>7.2</v>
      </c>
      <c r="E10" s="11">
        <v>7.3</v>
      </c>
      <c r="F10" s="11">
        <v>7.1</v>
      </c>
      <c r="G10" s="11">
        <v>7.1</v>
      </c>
      <c r="H10" s="11"/>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3" t="s">
        <v>5</v>
      </c>
      <c r="B11" s="134"/>
      <c r="C11" s="11">
        <v>3</v>
      </c>
      <c r="D11" s="11">
        <v>3</v>
      </c>
      <c r="E11" s="11">
        <v>3</v>
      </c>
      <c r="F11" s="11">
        <v>3</v>
      </c>
      <c r="G11" s="11">
        <v>3</v>
      </c>
      <c r="H11" s="11"/>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3" t="s">
        <v>6</v>
      </c>
      <c r="B12" s="134"/>
      <c r="C12" s="11">
        <v>2</v>
      </c>
      <c r="D12" s="11">
        <v>2</v>
      </c>
      <c r="E12" s="11">
        <v>2</v>
      </c>
      <c r="F12" s="11">
        <v>2</v>
      </c>
      <c r="G12" s="11">
        <v>2</v>
      </c>
      <c r="H12" s="11"/>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3" t="s">
        <v>7</v>
      </c>
      <c r="B13" s="134"/>
      <c r="C13" s="11">
        <v>3</v>
      </c>
      <c r="D13" s="11">
        <v>3</v>
      </c>
      <c r="E13" s="11">
        <v>3</v>
      </c>
      <c r="F13" s="11">
        <v>3</v>
      </c>
      <c r="G13" s="11">
        <v>3</v>
      </c>
      <c r="H13" s="11"/>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1" t="s">
        <v>8</v>
      </c>
      <c r="B14" s="152"/>
      <c r="C14" s="82" t="s">
        <v>105</v>
      </c>
      <c r="D14" s="82" t="s">
        <v>103</v>
      </c>
      <c r="E14" s="82" t="s">
        <v>105</v>
      </c>
      <c r="F14" s="82" t="s">
        <v>103</v>
      </c>
      <c r="G14" s="82" t="s">
        <v>103</v>
      </c>
      <c r="H14" s="82"/>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9" t="s">
        <v>9</v>
      </c>
      <c r="B15" s="150"/>
      <c r="C15" s="11">
        <v>40</v>
      </c>
      <c r="D15" s="11">
        <v>85</v>
      </c>
      <c r="E15" s="11">
        <v>40</v>
      </c>
      <c r="F15" s="11">
        <v>85</v>
      </c>
      <c r="G15" s="11">
        <v>85</v>
      </c>
      <c r="H15" s="11"/>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3" t="s">
        <v>44</v>
      </c>
      <c r="B16" s="154"/>
      <c r="C16" s="100" t="s">
        <v>72</v>
      </c>
      <c r="D16" s="100" t="s">
        <v>72</v>
      </c>
      <c r="E16" s="100" t="s">
        <v>72</v>
      </c>
      <c r="F16" s="100" t="s">
        <v>72</v>
      </c>
      <c r="G16" s="100" t="s">
        <v>72</v>
      </c>
      <c r="H16" s="100"/>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28.144934999999997</v>
      </c>
      <c r="D18" s="12">
        <f>$D32</f>
        <v>30.021263999999992</v>
      </c>
      <c r="E18" s="12">
        <f>$D33</f>
        <v>28.144934999999997</v>
      </c>
      <c r="F18" s="12">
        <f>$D34</f>
        <v>30.021263999999992</v>
      </c>
      <c r="G18" s="12">
        <f>$D35</f>
        <v>30.021263999999992</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-27.855065000000003</v>
      </c>
      <c r="D19" s="12">
        <f t="shared" ref="D19:V19" si="1">D18-D17</f>
        <v>-29.478736000000001</v>
      </c>
      <c r="E19" s="12">
        <f t="shared" si="1"/>
        <v>-27.855065000000003</v>
      </c>
      <c r="F19" s="12">
        <f t="shared" si="1"/>
        <v>-29.478736000000001</v>
      </c>
      <c r="G19" s="12">
        <f t="shared" si="1"/>
        <v>-29.478736000000001</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(VLOOKUP(D$14,$AI2:$AK26,3,FALSE))*D$15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1.5860812499999999</v>
      </c>
      <c r="D22" s="12">
        <f>$E32</f>
        <v>1.6918200000000001</v>
      </c>
      <c r="E22" s="12">
        <f>$E33</f>
        <v>1.5860812499999999</v>
      </c>
      <c r="F22" s="12">
        <f>$E34</f>
        <v>1.6918200000000001</v>
      </c>
      <c r="G22" s="12">
        <f>$E35</f>
        <v>1.6918200000000001</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-174.41391874999999</v>
      </c>
      <c r="D23" s="12">
        <f t="shared" ref="D23:V23" si="3">D22-D21</f>
        <v>-338.30817999999999</v>
      </c>
      <c r="E23" s="12">
        <f t="shared" si="3"/>
        <v>-174.41391874999999</v>
      </c>
      <c r="F23" s="12">
        <f t="shared" si="3"/>
        <v>-338.30817999999999</v>
      </c>
      <c r="G23" s="12">
        <f t="shared" si="3"/>
        <v>-338.30817999999999</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v>
      </c>
      <c r="C28" s="11">
        <v>0.86699999999999999</v>
      </c>
      <c r="D28" s="11">
        <v>0.36399999999999999</v>
      </c>
      <c r="E28" s="11">
        <v>3.9E-2</v>
      </c>
      <c r="F28" s="11">
        <v>719</v>
      </c>
      <c r="G28" s="11">
        <v>35</v>
      </c>
      <c r="H28" s="11">
        <v>320</v>
      </c>
      <c r="I28" s="11">
        <v>62.9</v>
      </c>
      <c r="J28" s="11">
        <v>0.49</v>
      </c>
      <c r="K28" s="15">
        <v>0.45</v>
      </c>
      <c r="L28" s="11">
        <v>22.9</v>
      </c>
      <c r="M28" s="11">
        <v>33.4</v>
      </c>
      <c r="N28" s="11">
        <v>4790</v>
      </c>
      <c r="O28" s="11">
        <v>404000</v>
      </c>
      <c r="P28" s="11"/>
      <c r="Q28" s="11">
        <v>3860</v>
      </c>
      <c r="R28" s="11"/>
      <c r="S28" s="11">
        <v>45.6</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75</v>
      </c>
      <c r="C31" s="65">
        <f>IF(C$27="%w/w SAR",((C$28*10)*$B31),IF(C$27="%w/w DM",(((C$28*10)*($B$28/100))*$B31),IF(C$27="kg/t SAR",(C$28*$B31),IF(C$27="kg/t DM",((C$28*($B$28/100))*$B31),IF(C$27="mg/kg SAR",((C$28*0.001)*$B31),IF(C$27="mg/kg DM",(((C$28*0.001)*($B$28/100))*$B31),0))))))</f>
        <v>29.26125</v>
      </c>
      <c r="D31" s="65">
        <f>(IF(D$27="%w/w SAR",((D$28*10)*$B31),IF(D$27="%w/w DM",(((D$28*10)*($B$28/100))*$B31),IF(D$27="kg/t SAR",(D$28*$B31),IF(D$27="kg/t DM",((D$28*($B$28/100))*$B31),IF(D$27="mg/kg SAR",((D$28*0.001)*$B31),IF(D$27="mg/kg DM",(((D$28*0.001)*($B$28/100))*$B31),"0")))))))*2.291</f>
        <v>28.144934999999997</v>
      </c>
      <c r="E31" s="65">
        <f>(IF(E$27="%w/w SAR",((E$28*10)*$B31),IF(E$27="%w/w DM",(((E$28*10)*($B$28/100))*$B31),IF(E$27="kg/t SAR",(E$28*$B31),IF(E$27="kg/t DM",((E$28*($B$28/100))*$B31),IF(E$27="mg/kg SAR",((E$28*0.001)*$B31),IF(E$27="mg/kg DM",(((E$28*0.001)*($B$28/100))*$B31),"0")))))))*1.205</f>
        <v>1.5860812499999999</v>
      </c>
      <c r="F31" s="65">
        <f>(IF(F$27="%w/w SAR",((F$28*10)*$B31),IF(F$27="%w/w DM",(((F$28*10)*($B$28/100))*$B31),IF(F$27="kg/t SAR",(F$28*$B31),IF(F$27="kg/t DM",((F$28*($B$28/100))*$B31),IF(F$27="mg/kg SAR",((F$28*0.001)*$B31),IF(F$27="mg/kg DM",(((F$28*0.001)*($B$28/100))*$B31),"0")))))))*1.658</f>
        <v>4.0233442499999992</v>
      </c>
      <c r="G31" s="65">
        <f t="shared" ref="G31:P31" si="5">IF(G$27="%w/w SAR",((G$28*10)*$B31),IF(G$27="%w/w DM",(((G$28*10)*($B$28/100))*$B31),IF(G$27="kg/t SAR",(G$28*$B31),IF(G$27="kg/t DM",((G$28*($B$28/100))*$B31),IF(G$27="mg/kg SAR",((G$28*0.001)*$B31),IF(G$27="mg/kg DM",(((G$28*0.001)*($B$28/100))*$B31),0))))))</f>
        <v>0.11812500000000001</v>
      </c>
      <c r="H31" s="65">
        <f t="shared" si="5"/>
        <v>1.08</v>
      </c>
      <c r="I31" s="65">
        <f t="shared" si="5"/>
        <v>0.21228749999999996</v>
      </c>
      <c r="J31" s="65">
        <f t="shared" si="5"/>
        <v>1.6537499999999998E-3</v>
      </c>
      <c r="K31" s="65">
        <f t="shared" si="5"/>
        <v>1.5187500000000001E-3</v>
      </c>
      <c r="L31" s="65">
        <f t="shared" si="5"/>
        <v>7.7287499999999995E-2</v>
      </c>
      <c r="M31" s="65">
        <f t="shared" si="5"/>
        <v>0.11272500000000001</v>
      </c>
      <c r="N31" s="65">
        <f t="shared" si="5"/>
        <v>16.166249999999998</v>
      </c>
      <c r="O31" s="65">
        <f t="shared" si="5"/>
        <v>1363.5</v>
      </c>
      <c r="P31" s="65">
        <f t="shared" si="5"/>
        <v>0</v>
      </c>
      <c r="Q31" s="65">
        <f>(IF(Q$27="%w/w SAR",((Q$28*10)*$B31),IF(Q$27="%w/w DM",(((Q$28*10)*($B$28/100))*$B31),IF(Q$27="kg/t SAR",(Q$28*$B31),IF(Q$27="kg/t DM",((Q$28*($B$28/100))*$B31),IF(Q$27="mg/kg SAR",((Q$28*0.001)*$B31),IF(Q$27="mg/kg DM",(((Q$28*0.001)*($B$28/100))*$B31),0)))))))*2.5</f>
        <v>32.568750000000001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0.15390000000000001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80</v>
      </c>
      <c r="C32" s="65">
        <f t="shared" ref="C32:C50" si="6">IF(C$27="%w/w SAR",((C$28*10)*$B32),IF(C$27="%w/w DM",(((C$28*10)*($B$28/100))*$B32),IF(C$27="kg/t SAR",(C$28*$B32),IF(C$27="kg/t DM",((C$28*($B$28/100))*$B32),IF(C$27="mg/kg SAR",((C$28*0.001)*$B32),IF(C$27="mg/kg DM",(((C$28*0.001)*($B$28/100))*$B32),0))))))</f>
        <v>31.212</v>
      </c>
      <c r="D32" s="65">
        <f t="shared" ref="D32:D50" si="7">(IF(D$27="%w/w SAR",((D$28*10)*$B32),IF(D$27="%w/w DM",(((D$28*10)*($B$28/100))*$B32),IF(D$27="kg/t SAR",(D$28*$B32),IF(D$27="kg/t DM",((D$28*($B$28/100))*$B32),IF(D$27="mg/kg SAR",((D$28*0.001)*$B32),IF(D$27="mg/kg DM",(((D$28*0.001)*($B$28/100))*$B32),"0")))))))*2.291</f>
        <v>30.021263999999992</v>
      </c>
      <c r="E32" s="65">
        <f t="shared" ref="E32:E50" si="8">(IF(E$27="%w/w SAR",((E$28*10)*$B32),IF(E$27="%w/w DM",(((E$28*10)*($B$28/100))*$B32),IF(E$27="kg/t SAR",(E$28*$B32),IF(E$27="kg/t DM",((E$28*($B$28/100))*$B32),IF(E$27="mg/kg SAR",((E$28*0.001)*$B32),IF(E$27="mg/kg DM",(((E$28*0.001)*($B$28/100))*$B32),"0")))))))*1.205</f>
        <v>1.6918200000000001</v>
      </c>
      <c r="F32" s="65">
        <f t="shared" ref="F32:F50" si="9">(IF(F$27="%w/w SAR",((F$28*10)*$B32),IF(F$27="%w/w DM",(((F$28*10)*($B$28/100))*$B32),IF(F$27="kg/t SAR",(F$28*$B32),IF(F$27="kg/t DM",((F$28*($B$28/100))*$B32),IF(F$27="mg/kg SAR",((F$28*0.001)*$B32),IF(F$27="mg/kg DM",(((F$28*0.001)*($B$28/100))*$B32),"0")))))))*1.658</f>
        <v>4.2915671999999994</v>
      </c>
      <c r="G32" s="65">
        <f t="shared" ref="G32:P50" si="10">IF(G$27="%w/w SAR",((G$28*10)*$B32),IF(G$27="%w/w DM",(((G$28*10)*($B$28/100))*$B32),IF(G$27="kg/t SAR",(G$28*$B32),IF(G$27="kg/t DM",((G$28*($B$28/100))*$B32),IF(G$27="mg/kg SAR",((G$28*0.001)*$B32),IF(G$27="mg/kg DM",(((G$28*0.001)*($B$28/100))*$B32),0))))))</f>
        <v>0.126</v>
      </c>
      <c r="H32" s="65">
        <f t="shared" si="10"/>
        <v>1.1519999999999999</v>
      </c>
      <c r="I32" s="65">
        <f t="shared" si="10"/>
        <v>0.22643999999999997</v>
      </c>
      <c r="J32" s="65">
        <f t="shared" si="10"/>
        <v>1.7639999999999997E-3</v>
      </c>
      <c r="K32" s="65">
        <f t="shared" si="10"/>
        <v>1.6200000000000001E-3</v>
      </c>
      <c r="L32" s="65">
        <f t="shared" si="10"/>
        <v>8.2439999999999999E-2</v>
      </c>
      <c r="M32" s="65">
        <f t="shared" si="10"/>
        <v>0.12024</v>
      </c>
      <c r="N32" s="65">
        <f t="shared" si="10"/>
        <v>17.244</v>
      </c>
      <c r="O32" s="65">
        <f t="shared" si="10"/>
        <v>1454.4</v>
      </c>
      <c r="P32" s="65">
        <f t="shared" si="10"/>
        <v>0</v>
      </c>
      <c r="Q32" s="65">
        <f t="shared" ref="Q32:Q50" si="11">(IF(Q$27="%w/w SAR",((Q$28*10)*$B32),IF(Q$27="%w/w DM",(((Q$28*10)*($B$28/100))*$B32),IF(Q$27="kg/t SAR",(Q$28*$B32),IF(Q$27="kg/t DM",((Q$28*($B$28/100))*$B32),IF(Q$27="mg/kg SAR",((Q$28*0.001)*$B32),IF(Q$27="mg/kg DM",(((Q$28*0.001)*($B$28/100))*$B32),0)))))))*2.5</f>
        <v>34.739999999999995</v>
      </c>
      <c r="R32" s="65">
        <f t="shared" ref="R32:U50" si="12">IF(R$27="%w/w SAR",((R$28*10)*$B32),IF(R$27="%w/w DM",(((R$28*10)*($B$28/100))*$B32),IF(R$27="kg/t SAR",(R$28*$B32),IF(R$27="kg/t DM",((R$28*($B$28/100))*$B32),IF(R$27="mg/kg SAR",((R$28*0.001)*$B32),IF(R$27="mg/kg DM",(((R$28*0.001)*($B$28/100))*$B32),0))))))</f>
        <v>0</v>
      </c>
      <c r="S32" s="65">
        <f t="shared" si="12"/>
        <v>0.16416</v>
      </c>
      <c r="T32" s="65">
        <f t="shared" si="12"/>
        <v>0</v>
      </c>
      <c r="U32" s="126">
        <f t="shared" si="12"/>
        <v>0</v>
      </c>
    </row>
    <row r="33" spans="1:21" s="48" customFormat="1" ht="13" x14ac:dyDescent="0.35">
      <c r="A33" s="125">
        <f>E8</f>
        <v>3</v>
      </c>
      <c r="B33" s="11">
        <v>75</v>
      </c>
      <c r="C33" s="65">
        <f t="shared" si="6"/>
        <v>29.26125</v>
      </c>
      <c r="D33" s="65">
        <f t="shared" si="7"/>
        <v>28.144934999999997</v>
      </c>
      <c r="E33" s="65">
        <f t="shared" si="8"/>
        <v>1.5860812499999999</v>
      </c>
      <c r="F33" s="65">
        <f t="shared" si="9"/>
        <v>4.0233442499999992</v>
      </c>
      <c r="G33" s="65">
        <f t="shared" si="10"/>
        <v>0.11812500000000001</v>
      </c>
      <c r="H33" s="65">
        <f t="shared" si="10"/>
        <v>1.08</v>
      </c>
      <c r="I33" s="65">
        <f t="shared" si="10"/>
        <v>0.21228749999999996</v>
      </c>
      <c r="J33" s="65">
        <f t="shared" si="10"/>
        <v>1.6537499999999998E-3</v>
      </c>
      <c r="K33" s="65">
        <f t="shared" si="10"/>
        <v>1.5187500000000001E-3</v>
      </c>
      <c r="L33" s="65">
        <f t="shared" si="10"/>
        <v>7.7287499999999995E-2</v>
      </c>
      <c r="M33" s="65">
        <f t="shared" si="10"/>
        <v>0.11272500000000001</v>
      </c>
      <c r="N33" s="65">
        <f t="shared" si="10"/>
        <v>16.166249999999998</v>
      </c>
      <c r="O33" s="65">
        <f t="shared" si="10"/>
        <v>1363.5</v>
      </c>
      <c r="P33" s="65">
        <f t="shared" si="10"/>
        <v>0</v>
      </c>
      <c r="Q33" s="65">
        <f t="shared" si="11"/>
        <v>32.568750000000001</v>
      </c>
      <c r="R33" s="65">
        <f t="shared" si="12"/>
        <v>0</v>
      </c>
      <c r="S33" s="65">
        <f t="shared" si="12"/>
        <v>0.15390000000000001</v>
      </c>
      <c r="T33" s="65">
        <f t="shared" si="12"/>
        <v>0</v>
      </c>
      <c r="U33" s="126">
        <f t="shared" si="12"/>
        <v>0</v>
      </c>
    </row>
    <row r="34" spans="1:21" s="48" customFormat="1" ht="13" x14ac:dyDescent="0.35">
      <c r="A34" s="125" t="str">
        <f>F8</f>
        <v>4A</v>
      </c>
      <c r="B34" s="11">
        <v>80</v>
      </c>
      <c r="C34" s="65">
        <f t="shared" si="6"/>
        <v>31.212</v>
      </c>
      <c r="D34" s="65">
        <f t="shared" si="7"/>
        <v>30.021263999999992</v>
      </c>
      <c r="E34" s="65">
        <f t="shared" si="8"/>
        <v>1.6918200000000001</v>
      </c>
      <c r="F34" s="65">
        <f t="shared" si="9"/>
        <v>4.2915671999999994</v>
      </c>
      <c r="G34" s="65">
        <f t="shared" si="10"/>
        <v>0.126</v>
      </c>
      <c r="H34" s="65">
        <f t="shared" si="10"/>
        <v>1.1519999999999999</v>
      </c>
      <c r="I34" s="65">
        <f t="shared" si="10"/>
        <v>0.22643999999999997</v>
      </c>
      <c r="J34" s="65">
        <f t="shared" si="10"/>
        <v>1.7639999999999997E-3</v>
      </c>
      <c r="K34" s="65">
        <f t="shared" si="10"/>
        <v>1.6200000000000001E-3</v>
      </c>
      <c r="L34" s="65">
        <f t="shared" si="10"/>
        <v>8.2439999999999999E-2</v>
      </c>
      <c r="M34" s="65">
        <f t="shared" si="10"/>
        <v>0.12024</v>
      </c>
      <c r="N34" s="65">
        <f t="shared" si="10"/>
        <v>17.244</v>
      </c>
      <c r="O34" s="65">
        <f t="shared" si="10"/>
        <v>1454.4</v>
      </c>
      <c r="P34" s="65">
        <f t="shared" si="10"/>
        <v>0</v>
      </c>
      <c r="Q34" s="65">
        <f t="shared" si="11"/>
        <v>34.739999999999995</v>
      </c>
      <c r="R34" s="65">
        <f t="shared" si="12"/>
        <v>0</v>
      </c>
      <c r="S34" s="65">
        <f t="shared" si="12"/>
        <v>0.16416</v>
      </c>
      <c r="T34" s="65">
        <f t="shared" si="12"/>
        <v>0</v>
      </c>
      <c r="U34" s="126">
        <f t="shared" si="12"/>
        <v>0</v>
      </c>
    </row>
    <row r="35" spans="1:21" s="48" customFormat="1" ht="13" x14ac:dyDescent="0.35">
      <c r="A35" s="125" t="str">
        <f>G8</f>
        <v>4B</v>
      </c>
      <c r="B35" s="11">
        <v>80</v>
      </c>
      <c r="C35" s="65">
        <f t="shared" si="6"/>
        <v>31.212</v>
      </c>
      <c r="D35" s="65">
        <f t="shared" si="7"/>
        <v>30.021263999999992</v>
      </c>
      <c r="E35" s="65">
        <f t="shared" si="8"/>
        <v>1.6918200000000001</v>
      </c>
      <c r="F35" s="65">
        <f t="shared" si="9"/>
        <v>4.2915671999999994</v>
      </c>
      <c r="G35" s="65">
        <f t="shared" si="10"/>
        <v>0.126</v>
      </c>
      <c r="H35" s="65">
        <f t="shared" si="10"/>
        <v>1.1519999999999999</v>
      </c>
      <c r="I35" s="65">
        <f t="shared" si="10"/>
        <v>0.22643999999999997</v>
      </c>
      <c r="J35" s="65">
        <f t="shared" si="10"/>
        <v>1.7639999999999997E-3</v>
      </c>
      <c r="K35" s="65">
        <f t="shared" si="10"/>
        <v>1.6200000000000001E-3</v>
      </c>
      <c r="L35" s="65">
        <f t="shared" si="10"/>
        <v>8.2439999999999999E-2</v>
      </c>
      <c r="M35" s="65">
        <f t="shared" si="10"/>
        <v>0.12024</v>
      </c>
      <c r="N35" s="65">
        <f t="shared" si="10"/>
        <v>17.244</v>
      </c>
      <c r="O35" s="65">
        <f t="shared" si="10"/>
        <v>1454.4</v>
      </c>
      <c r="P35" s="65">
        <f t="shared" si="10"/>
        <v>0</v>
      </c>
      <c r="Q35" s="65">
        <f t="shared" si="11"/>
        <v>34.739999999999995</v>
      </c>
      <c r="R35" s="65">
        <f t="shared" si="12"/>
        <v>0</v>
      </c>
      <c r="S35" s="65">
        <f t="shared" si="12"/>
        <v>0.16416</v>
      </c>
      <c r="T35" s="65">
        <f t="shared" si="12"/>
        <v>0</v>
      </c>
      <c r="U35" s="126">
        <f t="shared" si="12"/>
        <v>0</v>
      </c>
    </row>
    <row r="36" spans="1:21" s="48" customFormat="1" ht="13" x14ac:dyDescent="0.35">
      <c r="A36" s="125">
        <f>H8</f>
        <v>0</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6.7</v>
      </c>
      <c r="F59" s="64">
        <f>VLOOKUP(G$14,Table24[],5,FALSE)</f>
        <v>6.7</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75</v>
      </c>
      <c r="C62" s="65">
        <f>B32</f>
        <v>80</v>
      </c>
      <c r="D62" s="65">
        <f>B33</f>
        <v>75</v>
      </c>
      <c r="E62" s="65">
        <f>B34</f>
        <v>80</v>
      </c>
      <c r="F62" s="65">
        <f>B35</f>
        <v>80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-1.6000000000000014</v>
      </c>
      <c r="C65" s="65">
        <f t="shared" ref="C65:U65" si="18">C63-C64</f>
        <v>4</v>
      </c>
      <c r="D65" s="65">
        <f t="shared" si="18"/>
        <v>4.7999999999999972</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174" priority="48" operator="greaterThan">
      <formula>$B$51</formula>
    </cfRule>
  </conditionalFormatting>
  <conditionalFormatting sqref="B66:U66">
    <cfRule type="cellIs" dxfId="173" priority="10" operator="equal">
      <formula>"UNDER"</formula>
    </cfRule>
    <cfRule type="cellIs" dxfId="172" priority="11" operator="equal">
      <formula>"OVER"</formula>
    </cfRule>
  </conditionalFormatting>
  <conditionalFormatting sqref="C31:C50">
    <cfRule type="cellIs" dxfId="171" priority="47" operator="greaterThan">
      <formula>$C$51</formula>
    </cfRule>
  </conditionalFormatting>
  <conditionalFormatting sqref="C11:V13">
    <cfRule type="cellIs" dxfId="170" priority="1" operator="greaterThan">
      <formula>2</formula>
    </cfRule>
  </conditionalFormatting>
  <conditionalFormatting sqref="C13:V13">
    <cfRule type="cellIs" dxfId="169" priority="2" operator="greaterThan">
      <formula>3</formula>
    </cfRule>
  </conditionalFormatting>
  <conditionalFormatting sqref="C17:V19">
    <cfRule type="cellIs" dxfId="168" priority="40" operator="equal">
      <formula>0</formula>
    </cfRule>
  </conditionalFormatting>
  <conditionalFormatting sqref="C20:V21">
    <cfRule type="cellIs" dxfId="167" priority="49" operator="equal">
      <formula>"DECREASE"</formula>
    </cfRule>
    <cfRule type="cellIs" dxfId="166" priority="50" operator="equal">
      <formula>"INCREASE"</formula>
    </cfRule>
  </conditionalFormatting>
  <conditionalFormatting sqref="C21:V21">
    <cfRule type="cellIs" dxfId="165" priority="14" operator="equal">
      <formula>0</formula>
    </cfRule>
  </conditionalFormatting>
  <conditionalFormatting sqref="C22:V23">
    <cfRule type="cellIs" dxfId="164" priority="21" operator="equal">
      <formula>0</formula>
    </cfRule>
  </conditionalFormatting>
  <conditionalFormatting sqref="C24:V24">
    <cfRule type="cellIs" dxfId="163" priority="22" operator="equal">
      <formula>"DECREASE"</formula>
    </cfRule>
    <cfRule type="cellIs" dxfId="162" priority="23" operator="equal">
      <formula>"INCREASE"</formula>
    </cfRule>
  </conditionalFormatting>
  <conditionalFormatting sqref="G31:G50">
    <cfRule type="cellIs" dxfId="161" priority="37" operator="greaterThan">
      <formula>$G$51</formula>
    </cfRule>
  </conditionalFormatting>
  <conditionalFormatting sqref="H31:H50">
    <cfRule type="cellIs" dxfId="160" priority="36" operator="greaterThan">
      <formula>$H$51</formula>
    </cfRule>
  </conditionalFormatting>
  <conditionalFormatting sqref="I1">
    <cfRule type="cellIs" dxfId="159" priority="17" operator="between">
      <formula>0.1</formula>
      <formula>5</formula>
    </cfRule>
  </conditionalFormatting>
  <conditionalFormatting sqref="I2">
    <cfRule type="cellIs" dxfId="158" priority="16" operator="greaterThan">
      <formula>5000.1</formula>
    </cfRule>
  </conditionalFormatting>
  <conditionalFormatting sqref="I3">
    <cfRule type="cellIs" dxfId="157" priority="15" operator="greaterThan">
      <formula>40000.01</formula>
    </cfRule>
  </conditionalFormatting>
  <conditionalFormatting sqref="I31:I50">
    <cfRule type="cellIs" dxfId="156" priority="35" operator="greaterThan">
      <formula>$I$51</formula>
    </cfRule>
  </conditionalFormatting>
  <conditionalFormatting sqref="J31:J50">
    <cfRule type="cellIs" dxfId="155" priority="9" operator="greaterThan">
      <formula>$J$51</formula>
    </cfRule>
  </conditionalFormatting>
  <conditionalFormatting sqref="K31:K50">
    <cfRule type="cellIs" dxfId="154" priority="33"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2" operator="greaterThan">
      <formula>$L$51</formula>
    </cfRule>
  </conditionalFormatting>
  <conditionalFormatting sqref="M31:M50">
    <cfRule type="cellIs" dxfId="150" priority="31" operator="greaterThan">
      <formula>$M$51</formula>
    </cfRule>
  </conditionalFormatting>
  <conditionalFormatting sqref="P31:P50">
    <cfRule type="cellIs" dxfId="149" priority="30" operator="greaterThan">
      <formula>$P$51</formula>
    </cfRule>
  </conditionalFormatting>
  <conditionalFormatting sqref="R31:R50">
    <cfRule type="cellIs" dxfId="148" priority="29" operator="greaterThan">
      <formula>$R$51</formula>
    </cfRule>
  </conditionalFormatting>
  <conditionalFormatting sqref="S31:S50">
    <cfRule type="cellIs" dxfId="147" priority="28" operator="greaterThan">
      <formula>$S$51</formula>
    </cfRule>
  </conditionalFormatting>
  <conditionalFormatting sqref="T31:T50">
    <cfRule type="cellIs" dxfId="146" priority="27" operator="greaterThan">
      <formula>$T$51</formula>
    </cfRule>
  </conditionalFormatting>
  <conditionalFormatting sqref="U31:U50">
    <cfRule type="cellIs" dxfId="145"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S28" sqref="S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Elan Valley'!C1:D1</f>
        <v>PAN-031460</v>
      </c>
      <c r="D1" s="174"/>
      <c r="E1" s="106" t="s">
        <v>45</v>
      </c>
      <c r="F1" s="113">
        <f>'DCWW Elan Valley'!F1</f>
        <v>48.7</v>
      </c>
      <c r="G1" s="163" t="s">
        <v>43</v>
      </c>
      <c r="H1" s="164"/>
      <c r="I1" s="109">
        <v>7.3</v>
      </c>
      <c r="J1" s="131" t="s">
        <v>153</v>
      </c>
      <c r="K1" s="132"/>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Elan Valley'!C2:D2</f>
        <v>EPR/GP3792SK</v>
      </c>
      <c r="D2" s="170"/>
      <c r="E2" s="96" t="s">
        <v>109</v>
      </c>
      <c r="F2" s="110" t="s">
        <v>165</v>
      </c>
      <c r="G2" s="165" t="s">
        <v>110</v>
      </c>
      <c r="H2" s="166"/>
      <c r="I2" s="110"/>
      <c r="J2" s="133" t="s">
        <v>158</v>
      </c>
      <c r="K2" s="134"/>
      <c r="L2" s="110">
        <v>0.90300000000000002</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Elan Valley'!C3:D3</f>
        <v>Byproduct Recovery Ltd</v>
      </c>
      <c r="D3" s="170"/>
      <c r="E3" s="96" t="s">
        <v>108</v>
      </c>
      <c r="F3" s="111" t="s">
        <v>78</v>
      </c>
      <c r="G3" s="133" t="s">
        <v>159</v>
      </c>
      <c r="H3" s="134"/>
      <c r="I3" s="110"/>
      <c r="J3" s="135" t="s">
        <v>154</v>
      </c>
      <c r="K3" s="136"/>
      <c r="L3" s="110">
        <f>(L1/(L2*10000))*100</f>
        <v>6.6445182724252497E-2</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Elan Valley'!C4:D4</f>
        <v>Rosedew Farm, Llantwit Major, 
South Glamorgan, CF61 1PZ</v>
      </c>
      <c r="D4" s="172"/>
      <c r="E4" s="99" t="s">
        <v>1</v>
      </c>
      <c r="F4" s="110" t="s">
        <v>168</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Elan Valley'!C5:D5</f>
        <v xml:space="preserve">Owen Clee </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'DCWW Elan Valley'!C8</f>
        <v>1</v>
      </c>
      <c r="D8" s="49">
        <f>'DCWW Elan Valley'!D8</f>
        <v>2</v>
      </c>
      <c r="E8" s="49">
        <f>'DCWW Elan Valley'!E8</f>
        <v>3</v>
      </c>
      <c r="F8" s="49" t="str">
        <f>'DCWW Elan Valley'!F8</f>
        <v>4A</v>
      </c>
      <c r="G8" s="49" t="str">
        <f>'DCWW Elan Valley'!G8</f>
        <v>4B</v>
      </c>
      <c r="H8" s="49">
        <f>'DCWW Elan Valley'!H8</f>
        <v>0</v>
      </c>
      <c r="I8" s="49">
        <f>'DCWW Elan Valley'!I8</f>
        <v>0</v>
      </c>
      <c r="J8" s="49">
        <f>'DCWW Elan Valley'!J8</f>
        <v>0</v>
      </c>
      <c r="K8" s="49">
        <f>'DCWW Elan Valley'!K8</f>
        <v>0</v>
      </c>
      <c r="L8" s="49">
        <f>'DCWW Elan Valley'!L8</f>
        <v>0</v>
      </c>
      <c r="M8" s="49">
        <f>'DCWW Elan Valley'!M8</f>
        <v>0</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Elan Valley'!C9</f>
        <v>1</v>
      </c>
      <c r="D9" s="49">
        <f>'DCWW Elan Valley'!D9</f>
        <v>1</v>
      </c>
      <c r="E9" s="49">
        <f>'DCWW Elan Valley'!E9</f>
        <v>1</v>
      </c>
      <c r="F9" s="49">
        <f>'DCWW Elan Valley'!F9</f>
        <v>1</v>
      </c>
      <c r="G9" s="49">
        <f>'DCWW Elan Valley'!G9</f>
        <v>1</v>
      </c>
      <c r="H9" s="49">
        <f>'DCWW Elan Valley'!H9</f>
        <v>0</v>
      </c>
      <c r="I9" s="49">
        <f>'DCWW Elan Valley'!I9</f>
        <v>0</v>
      </c>
      <c r="J9" s="49">
        <f>'DCWW Elan Valley'!J9</f>
        <v>0</v>
      </c>
      <c r="K9" s="49">
        <f>'DCWW Elan Valley'!K9</f>
        <v>0</v>
      </c>
      <c r="L9" s="49">
        <f>'DCWW Elan Valley'!L9</f>
        <v>0</v>
      </c>
      <c r="M9" s="49">
        <f>'DCWW Elan Valley'!M9</f>
        <v>0</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Elan Valley'!C10</f>
        <v>6.5</v>
      </c>
      <c r="D10" s="49">
        <f>'DCWW Elan Valley'!D10</f>
        <v>7.2</v>
      </c>
      <c r="E10" s="49">
        <f>'DCWW Elan Valley'!E10</f>
        <v>7.3</v>
      </c>
      <c r="F10" s="49">
        <f>'DCWW Elan Valley'!F10</f>
        <v>7.1</v>
      </c>
      <c r="G10" s="49">
        <f>'DCWW Elan Valley'!G10</f>
        <v>7.1</v>
      </c>
      <c r="H10" s="49">
        <f>'DCWW Elan Valley'!H10</f>
        <v>0</v>
      </c>
      <c r="I10" s="49">
        <f>'DCWW Elan Valley'!I10</f>
        <v>0</v>
      </c>
      <c r="J10" s="49">
        <f>'DCWW Elan Valley'!J10</f>
        <v>0</v>
      </c>
      <c r="K10" s="49">
        <f>'DCWW Elan Valley'!K10</f>
        <v>0</v>
      </c>
      <c r="L10" s="49">
        <f>'DCWW Elan Valley'!L10</f>
        <v>0</v>
      </c>
      <c r="M10" s="49">
        <f>'DCWW Elan Valley'!M10</f>
        <v>0</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Elan Valley'!C11</f>
        <v>3</v>
      </c>
      <c r="D11" s="49">
        <f>'DCWW Elan Valley'!D11</f>
        <v>3</v>
      </c>
      <c r="E11" s="49">
        <f>'DCWW Elan Valley'!E11</f>
        <v>3</v>
      </c>
      <c r="F11" s="49">
        <f>'DCWW Elan Valley'!F11</f>
        <v>3</v>
      </c>
      <c r="G11" s="49">
        <f>'DCWW Elan Valley'!G11</f>
        <v>3</v>
      </c>
      <c r="H11" s="49">
        <f>'DCWW Elan Valley'!H11</f>
        <v>0</v>
      </c>
      <c r="I11" s="49">
        <f>'DCWW Elan Valley'!I11</f>
        <v>0</v>
      </c>
      <c r="J11" s="49">
        <f>'DCWW Elan Valley'!J11</f>
        <v>0</v>
      </c>
      <c r="K11" s="49">
        <f>'DCWW Elan Valley'!K11</f>
        <v>0</v>
      </c>
      <c r="L11" s="49">
        <f>'DCWW Elan Valley'!L11</f>
        <v>0</v>
      </c>
      <c r="M11" s="49">
        <f>'DCWW Elan Valley'!M11</f>
        <v>0</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Elan Valley'!C12</f>
        <v>2</v>
      </c>
      <c r="D12" s="49">
        <f>'DCWW Elan Valley'!D12</f>
        <v>2</v>
      </c>
      <c r="E12" s="49">
        <f>'DCWW Elan Valley'!E12</f>
        <v>2</v>
      </c>
      <c r="F12" s="49">
        <f>'DCWW Elan Valley'!F12</f>
        <v>2</v>
      </c>
      <c r="G12" s="49">
        <f>'DCWW Elan Valley'!G12</f>
        <v>2</v>
      </c>
      <c r="H12" s="49">
        <f>'DCWW Elan Valley'!H12</f>
        <v>0</v>
      </c>
      <c r="I12" s="49">
        <f>'DCWW Elan Valley'!I12</f>
        <v>0</v>
      </c>
      <c r="J12" s="49">
        <f>'DCWW Elan Valley'!J12</f>
        <v>0</v>
      </c>
      <c r="K12" s="49">
        <f>'DCWW Elan Valley'!K12</f>
        <v>0</v>
      </c>
      <c r="L12" s="49">
        <f>'DCWW Elan Valley'!L12</f>
        <v>0</v>
      </c>
      <c r="M12" s="49">
        <f>'DCWW Elan Valley'!M12</f>
        <v>0</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Elan Valley'!C13</f>
        <v>3</v>
      </c>
      <c r="D13" s="49">
        <f>'DCWW Elan Valley'!D13</f>
        <v>3</v>
      </c>
      <c r="E13" s="49">
        <f>'DCWW Elan Valley'!E13</f>
        <v>3</v>
      </c>
      <c r="F13" s="49">
        <f>'DCWW Elan Valley'!F13</f>
        <v>3</v>
      </c>
      <c r="G13" s="49">
        <f>'DCWW Elan Valley'!G13</f>
        <v>3</v>
      </c>
      <c r="H13" s="49">
        <f>'DCWW Elan Valley'!H13</f>
        <v>0</v>
      </c>
      <c r="I13" s="49">
        <f>'DCWW Elan Valley'!I13</f>
        <v>0</v>
      </c>
      <c r="J13" s="49">
        <f>'DCWW Elan Valley'!J13</f>
        <v>0</v>
      </c>
      <c r="K13" s="49">
        <f>'DCWW Elan Valley'!K13</f>
        <v>0</v>
      </c>
      <c r="L13" s="49">
        <f>'DCWW Elan Valley'!L13</f>
        <v>0</v>
      </c>
      <c r="M13" s="49">
        <f>'DCWW Elan Valley'!M13</f>
        <v>0</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Elan Valley'!C14</f>
        <v>Maize- Silage (30% DM)</v>
      </c>
      <c r="D14" s="83" t="str">
        <f>'DCWW Elan Valley'!D14</f>
        <v>Fodder beet (roots only)</v>
      </c>
      <c r="E14" s="83" t="str">
        <f>'DCWW Elan Valley'!E14</f>
        <v>Maize- Silage (30% DM)</v>
      </c>
      <c r="F14" s="83" t="str">
        <f>'DCWW Elan Valley'!F14</f>
        <v>Fodder beet (roots only)</v>
      </c>
      <c r="G14" s="83" t="str">
        <f>'DCWW Elan Valley'!G14</f>
        <v>Fodder beet (roots only)</v>
      </c>
      <c r="H14" s="83">
        <f>'DCWW Elan Valley'!H14</f>
        <v>0</v>
      </c>
      <c r="I14" s="83">
        <f>'DCWW Elan Valley'!I14</f>
        <v>0</v>
      </c>
      <c r="J14" s="83">
        <f>'DCWW Elan Valley'!J14</f>
        <v>0</v>
      </c>
      <c r="K14" s="83">
        <f>'DCWW Elan Valley'!K14</f>
        <v>0</v>
      </c>
      <c r="L14" s="83">
        <f>'DCWW Elan Valley'!L14</f>
        <v>0</v>
      </c>
      <c r="M14" s="83">
        <f>'DCWW Elan Valley'!M14</f>
        <v>0</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9" t="s">
        <v>9</v>
      </c>
      <c r="B15" s="150"/>
      <c r="C15" s="49">
        <f>'DCWW Elan Valley'!C15</f>
        <v>40</v>
      </c>
      <c r="D15" s="49">
        <f>'DCWW Elan Valley'!D15</f>
        <v>85</v>
      </c>
      <c r="E15" s="49">
        <f>'DCWW Elan Valley'!E15</f>
        <v>40</v>
      </c>
      <c r="F15" s="49">
        <f>'DCWW Elan Valley'!F15</f>
        <v>85</v>
      </c>
      <c r="G15" s="49">
        <f>'DCWW Elan Valley'!G15</f>
        <v>85</v>
      </c>
      <c r="H15" s="49">
        <f>'DCWW Elan Valley'!H15</f>
        <v>0</v>
      </c>
      <c r="I15" s="49">
        <f>'DCWW Elan Valley'!I15</f>
        <v>0</v>
      </c>
      <c r="J15" s="49">
        <f>'DCWW Elan Valley'!J15</f>
        <v>0</v>
      </c>
      <c r="K15" s="49">
        <f>'DCWW Elan Valley'!K15</f>
        <v>0</v>
      </c>
      <c r="L15" s="49">
        <f>'DCWW Elan Valley'!L15</f>
        <v>0</v>
      </c>
      <c r="M15" s="49">
        <f>'DCWW Elan Valley'!M15</f>
        <v>0</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f>'DCWW Elan Valley'!H16</f>
        <v>0</v>
      </c>
      <c r="I16" s="104">
        <f>'DCWW Elan Valley'!I16</f>
        <v>0</v>
      </c>
      <c r="J16" s="104">
        <f>'DCWW Elan Valley'!J16</f>
        <v>0</v>
      </c>
      <c r="K16" s="104">
        <f>'DCWW Elan Valley'!K16</f>
        <v>0</v>
      </c>
      <c r="L16" s="104">
        <f>'DCWW Elan Valley'!L16</f>
        <v>0</v>
      </c>
      <c r="M16" s="104">
        <f>'DCWW Elan Valley'!M16</f>
        <v>0</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22.927984350000003</v>
      </c>
      <c r="D18" s="12">
        <f>$D32</f>
        <v>22.927984350000003</v>
      </c>
      <c r="E18" s="12">
        <f>$D33</f>
        <v>22.927984350000003</v>
      </c>
      <c r="F18" s="12">
        <f>$D34</f>
        <v>22.927984350000003</v>
      </c>
      <c r="G18" s="12">
        <f>$D35</f>
        <v>22.927984350000003</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-33.072015649999997</v>
      </c>
      <c r="D19" s="12">
        <f t="shared" ref="D19:V19" si="1">D18-D17</f>
        <v>-36.57201564999999</v>
      </c>
      <c r="E19" s="12">
        <f t="shared" si="1"/>
        <v>-33.072015649999997</v>
      </c>
      <c r="F19" s="12">
        <f t="shared" si="1"/>
        <v>-36.57201564999999</v>
      </c>
      <c r="G19" s="12">
        <f t="shared" si="1"/>
        <v>-36.57201564999999</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(VLOOKUP(D$14,$AI2:$AK26,3,FALSE))*D$15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11.465153250000002</v>
      </c>
      <c r="D22" s="12">
        <f>$E32</f>
        <v>11.465153250000002</v>
      </c>
      <c r="E22" s="12">
        <f>$E33</f>
        <v>11.465153250000002</v>
      </c>
      <c r="F22" s="12">
        <f>$E34</f>
        <v>11.465153250000002</v>
      </c>
      <c r="G22" s="12">
        <f>$E35</f>
        <v>11.465153250000002</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-164.53484674999999</v>
      </c>
      <c r="D23" s="12">
        <f t="shared" ref="D23:V23" si="3">D22-D21</f>
        <v>-328.53484674999999</v>
      </c>
      <c r="E23" s="12">
        <f t="shared" si="3"/>
        <v>-164.53484674999999</v>
      </c>
      <c r="F23" s="12">
        <f t="shared" si="3"/>
        <v>-328.53484674999999</v>
      </c>
      <c r="G23" s="12">
        <f t="shared" si="3"/>
        <v>-328.53484674999999</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4.1100000000000003</v>
      </c>
      <c r="C28" s="11">
        <v>0.90300000000000002</v>
      </c>
      <c r="D28" s="11">
        <v>9.74E-2</v>
      </c>
      <c r="E28" s="11">
        <v>9.2600000000000002E-2</v>
      </c>
      <c r="F28" s="11">
        <v>2990</v>
      </c>
      <c r="G28" s="11">
        <v>38.4</v>
      </c>
      <c r="H28" s="11">
        <v>154</v>
      </c>
      <c r="I28" s="11">
        <v>9.5</v>
      </c>
      <c r="J28" s="11">
        <v>0.23</v>
      </c>
      <c r="K28" s="15">
        <v>0.98</v>
      </c>
      <c r="L28" s="11">
        <v>16.899999999999999</v>
      </c>
      <c r="M28" s="11">
        <v>11.7</v>
      </c>
      <c r="N28" s="11">
        <v>124000</v>
      </c>
      <c r="O28" s="11">
        <v>22900</v>
      </c>
      <c r="P28" s="11"/>
      <c r="Q28" s="11">
        <v>4660</v>
      </c>
      <c r="R28" s="11"/>
      <c r="S28" s="11">
        <v>16.899999999999999</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92.783250000000024</v>
      </c>
      <c r="D31" s="65">
        <f>(IF(D$27="%w/w SAR",((D$28*10)*$B31),IF(D$27="%w/w DM",(((D$28*10)*($B$28/100))*$B31),IF(D$27="kg/t SAR",(D$28*$B31),IF(D$27="kg/t DM",((D$28*($B$28/100))*$B31),IF(D$27="mg/kg SAR",((D$28*0.001)*$B31),IF(D$27="mg/kg DM",(((D$28*0.001)*($B$28/100))*$B31),"0")))))))*2.291</f>
        <v>22.927984350000003</v>
      </c>
      <c r="E31" s="65">
        <f>(IF(E$27="%w/w SAR",((E$28*10)*$B31),IF(E$27="%w/w DM",(((E$28*10)*($B$28/100))*$B31),IF(E$27="kg/t SAR",(E$28*$B31),IF(E$27="kg/t DM",((E$28*($B$28/100))*$B31),IF(E$27="mg/kg SAR",((E$28*0.001)*$B31),IF(E$27="mg/kg DM",(((E$28*0.001)*($B$28/100))*$B31),"0")))))))*1.205</f>
        <v>11.465153250000002</v>
      </c>
      <c r="F31" s="65">
        <f>(IF(F$27="%w/w SAR",((F$28*10)*$B31),IF(F$27="%w/w DM",(((F$28*10)*($B$28/100))*$B31),IF(F$27="kg/t SAR",(F$28*$B31),IF(F$27="kg/t DM",((F$28*($B$28/100))*$B31),IF(F$27="mg/kg SAR",((F$28*0.001)*$B31),IF(F$27="mg/kg DM",(((F$28*0.001)*($B$28/100))*$B31),"0")))))))*1.658</f>
        <v>50.93749050000001</v>
      </c>
      <c r="G31" s="65">
        <f t="shared" ref="G31:P46" si="5">IF(G$27="%w/w SAR",((G$28*10)*$B31),IF(G$27="%w/w DM",(((G$28*10)*($B$28/100))*$B31),IF(G$27="kg/t SAR",(G$28*$B31),IF(G$27="kg/t DM",((G$28*($B$28/100))*$B31),IF(G$27="mg/kg SAR",((G$28*0.001)*$B31),IF(G$27="mg/kg DM",(((G$28*0.001)*($B$28/100))*$B31),0))))))</f>
        <v>0.39456000000000002</v>
      </c>
      <c r="H31" s="65">
        <f t="shared" si="5"/>
        <v>1.5823500000000001</v>
      </c>
      <c r="I31" s="65">
        <f t="shared" si="5"/>
        <v>9.7612500000000005E-2</v>
      </c>
      <c r="J31" s="65">
        <f t="shared" si="5"/>
        <v>2.3632500000000003E-3</v>
      </c>
      <c r="K31" s="65">
        <f t="shared" si="5"/>
        <v>1.00695E-2</v>
      </c>
      <c r="L31" s="65">
        <f t="shared" si="5"/>
        <v>0.17364750000000001</v>
      </c>
      <c r="M31" s="65">
        <f t="shared" si="5"/>
        <v>0.12021750000000002</v>
      </c>
      <c r="N31" s="65">
        <f t="shared" si="5"/>
        <v>1274.1000000000001</v>
      </c>
      <c r="O31" s="65">
        <f t="shared" si="5"/>
        <v>235.29750000000004</v>
      </c>
      <c r="P31" s="65">
        <f t="shared" si="5"/>
        <v>0</v>
      </c>
      <c r="Q31" s="65">
        <f>(IF(Q$27="%w/w SAR",((Q$28*10)*$B31),IF(Q$27="%w/w DM",(((Q$28*10)*($B$28/100))*$B31),IF(Q$27="kg/t SAR",(Q$28*$B31),IF(Q$27="kg/t DM",((Q$28*($B$28/100))*$B31),IF(Q$27="mg/kg SAR",((Q$28*0.001)*$B31),IF(Q$27="mg/kg DM",(((Q$28*0.001)*($B$28/100))*$B31),0)))))))*2.5</f>
        <v>119.70375000000003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0.17364750000000001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92.783250000000024</v>
      </c>
      <c r="D32" s="65">
        <f t="shared" ref="D32:D50" si="7">(IF(D$27="%w/w SAR",((D$28*10)*$B32),IF(D$27="%w/w DM",(((D$28*10)*($B$28/100))*$B32),IF(D$27="kg/t SAR",(D$28*$B32),IF(D$27="kg/t DM",((D$28*($B$28/100))*$B32),IF(D$27="mg/kg SAR",((D$28*0.001)*$B32),IF(D$27="mg/kg DM",(((D$28*0.001)*($B$28/100))*$B32),"0")))))))*2.291</f>
        <v>22.927984350000003</v>
      </c>
      <c r="E32" s="65">
        <f t="shared" ref="E32:E50" si="8">(IF(E$27="%w/w SAR",((E$28*10)*$B32),IF(E$27="%w/w DM",(((E$28*10)*($B$28/100))*$B32),IF(E$27="kg/t SAR",(E$28*$B32),IF(E$27="kg/t DM",((E$28*($B$28/100))*$B32),IF(E$27="mg/kg SAR",((E$28*0.001)*$B32),IF(E$27="mg/kg DM",(((E$28*0.001)*($B$28/100))*$B32),"0")))))))*1.205</f>
        <v>11.465153250000002</v>
      </c>
      <c r="F32" s="65">
        <f t="shared" ref="F32:F50" si="9">(IF(F$27="%w/w SAR",((F$28*10)*$B32),IF(F$27="%w/w DM",(((F$28*10)*($B$28/100))*$B32),IF(F$27="kg/t SAR",(F$28*$B32),IF(F$27="kg/t DM",((F$28*($B$28/100))*$B32),IF(F$27="mg/kg SAR",((F$28*0.001)*$B32),IF(F$27="mg/kg DM",(((F$28*0.001)*($B$28/100))*$B32),"0")))))))*1.658</f>
        <v>50.93749050000001</v>
      </c>
      <c r="G32" s="65">
        <f t="shared" si="5"/>
        <v>0.39456000000000002</v>
      </c>
      <c r="H32" s="65">
        <f t="shared" si="5"/>
        <v>1.5823500000000001</v>
      </c>
      <c r="I32" s="65">
        <f t="shared" si="5"/>
        <v>9.7612500000000005E-2</v>
      </c>
      <c r="J32" s="65">
        <f t="shared" si="5"/>
        <v>2.3632500000000003E-3</v>
      </c>
      <c r="K32" s="65">
        <f t="shared" si="5"/>
        <v>1.00695E-2</v>
      </c>
      <c r="L32" s="65">
        <f t="shared" si="5"/>
        <v>0.17364750000000001</v>
      </c>
      <c r="M32" s="65">
        <f t="shared" si="5"/>
        <v>0.12021750000000002</v>
      </c>
      <c r="N32" s="65">
        <f t="shared" si="5"/>
        <v>1274.1000000000001</v>
      </c>
      <c r="O32" s="65">
        <f t="shared" si="5"/>
        <v>235.29750000000004</v>
      </c>
      <c r="P32" s="65">
        <f t="shared" si="5"/>
        <v>0</v>
      </c>
      <c r="Q32" s="65">
        <f t="shared" ref="Q32:Q50" si="10">(IF(Q$27="%w/w SAR",((Q$28*10)*$B32),IF(Q$27="%w/w DM",(((Q$28*10)*($B$28/100))*$B32),IF(Q$27="kg/t SAR",(Q$28*$B32),IF(Q$27="kg/t DM",((Q$28*($B$28/100))*$B32),IF(Q$27="mg/kg SAR",((Q$28*0.001)*$B32),IF(Q$27="mg/kg DM",(((Q$28*0.001)*($B$28/100))*$B32),0)))))))*2.5</f>
        <v>119.70375000000003</v>
      </c>
      <c r="R32" s="65">
        <f t="shared" ref="R32:U50" si="11">IF(R$27="%w/w SAR",((R$28*10)*$B32),IF(R$27="%w/w DM",(((R$28*10)*($B$28/100))*$B32),IF(R$27="kg/t SAR",(R$28*$B32),IF(R$27="kg/t DM",((R$28*($B$28/100))*$B32),IF(R$27="mg/kg SAR",((R$28*0.001)*$B32),IF(R$27="mg/kg DM",(((R$28*0.001)*($B$28/100))*$B32),0))))))</f>
        <v>0</v>
      </c>
      <c r="S32" s="65">
        <f t="shared" si="11"/>
        <v>0.17364750000000001</v>
      </c>
      <c r="T32" s="65">
        <f t="shared" si="11"/>
        <v>0</v>
      </c>
      <c r="U32" s="126">
        <f t="shared" si="11"/>
        <v>0</v>
      </c>
    </row>
    <row r="33" spans="1:21" s="48" customFormat="1" ht="13" x14ac:dyDescent="0.35">
      <c r="A33" s="125">
        <f>E8</f>
        <v>3</v>
      </c>
      <c r="B33" s="11">
        <v>250</v>
      </c>
      <c r="C33" s="65">
        <f t="shared" si="6"/>
        <v>92.783250000000024</v>
      </c>
      <c r="D33" s="65">
        <f t="shared" si="7"/>
        <v>22.927984350000003</v>
      </c>
      <c r="E33" s="65">
        <f t="shared" si="8"/>
        <v>11.465153250000002</v>
      </c>
      <c r="F33" s="65">
        <f t="shared" si="9"/>
        <v>50.93749050000001</v>
      </c>
      <c r="G33" s="65">
        <f t="shared" si="5"/>
        <v>0.39456000000000002</v>
      </c>
      <c r="H33" s="65">
        <f t="shared" si="5"/>
        <v>1.5823500000000001</v>
      </c>
      <c r="I33" s="65">
        <f t="shared" si="5"/>
        <v>9.7612500000000005E-2</v>
      </c>
      <c r="J33" s="65">
        <f t="shared" si="5"/>
        <v>2.3632500000000003E-3</v>
      </c>
      <c r="K33" s="65">
        <f t="shared" si="5"/>
        <v>1.00695E-2</v>
      </c>
      <c r="L33" s="65">
        <f t="shared" si="5"/>
        <v>0.17364750000000001</v>
      </c>
      <c r="M33" s="65">
        <f t="shared" si="5"/>
        <v>0.12021750000000002</v>
      </c>
      <c r="N33" s="65">
        <f t="shared" si="5"/>
        <v>1274.1000000000001</v>
      </c>
      <c r="O33" s="65">
        <f t="shared" si="5"/>
        <v>235.29750000000004</v>
      </c>
      <c r="P33" s="65">
        <f t="shared" si="5"/>
        <v>0</v>
      </c>
      <c r="Q33" s="65">
        <f t="shared" si="10"/>
        <v>119.70375000000003</v>
      </c>
      <c r="R33" s="65">
        <f t="shared" si="11"/>
        <v>0</v>
      </c>
      <c r="S33" s="65">
        <f t="shared" si="11"/>
        <v>0.17364750000000001</v>
      </c>
      <c r="T33" s="65">
        <f t="shared" si="11"/>
        <v>0</v>
      </c>
      <c r="U33" s="126">
        <f t="shared" si="11"/>
        <v>0</v>
      </c>
    </row>
    <row r="34" spans="1:21" s="48" customFormat="1" ht="13" x14ac:dyDescent="0.35">
      <c r="A34" s="125" t="str">
        <f>F8</f>
        <v>4A</v>
      </c>
      <c r="B34" s="11">
        <v>250</v>
      </c>
      <c r="C34" s="65">
        <f t="shared" si="6"/>
        <v>92.783250000000024</v>
      </c>
      <c r="D34" s="65">
        <f t="shared" si="7"/>
        <v>22.927984350000003</v>
      </c>
      <c r="E34" s="65">
        <f t="shared" si="8"/>
        <v>11.465153250000002</v>
      </c>
      <c r="F34" s="65">
        <f t="shared" si="9"/>
        <v>50.93749050000001</v>
      </c>
      <c r="G34" s="65">
        <f t="shared" si="5"/>
        <v>0.39456000000000002</v>
      </c>
      <c r="H34" s="65">
        <f t="shared" si="5"/>
        <v>1.5823500000000001</v>
      </c>
      <c r="I34" s="65">
        <f t="shared" si="5"/>
        <v>9.7612500000000005E-2</v>
      </c>
      <c r="J34" s="65">
        <f t="shared" si="5"/>
        <v>2.3632500000000003E-3</v>
      </c>
      <c r="K34" s="65">
        <f t="shared" si="5"/>
        <v>1.00695E-2</v>
      </c>
      <c r="L34" s="65">
        <f t="shared" si="5"/>
        <v>0.17364750000000001</v>
      </c>
      <c r="M34" s="65">
        <f t="shared" si="5"/>
        <v>0.12021750000000002</v>
      </c>
      <c r="N34" s="65">
        <f t="shared" si="5"/>
        <v>1274.1000000000001</v>
      </c>
      <c r="O34" s="65">
        <f t="shared" si="5"/>
        <v>235.29750000000004</v>
      </c>
      <c r="P34" s="65">
        <f t="shared" si="5"/>
        <v>0</v>
      </c>
      <c r="Q34" s="65">
        <f t="shared" si="10"/>
        <v>119.70375000000003</v>
      </c>
      <c r="R34" s="65">
        <f t="shared" si="11"/>
        <v>0</v>
      </c>
      <c r="S34" s="65">
        <f t="shared" si="11"/>
        <v>0.17364750000000001</v>
      </c>
      <c r="T34" s="65">
        <f t="shared" si="11"/>
        <v>0</v>
      </c>
      <c r="U34" s="126">
        <f t="shared" si="11"/>
        <v>0</v>
      </c>
    </row>
    <row r="35" spans="1:21" s="48" customFormat="1" ht="13" x14ac:dyDescent="0.35">
      <c r="A35" s="125" t="str">
        <f>G8</f>
        <v>4B</v>
      </c>
      <c r="B35" s="11">
        <v>250</v>
      </c>
      <c r="C35" s="65">
        <f t="shared" si="6"/>
        <v>92.783250000000024</v>
      </c>
      <c r="D35" s="65">
        <f t="shared" si="7"/>
        <v>22.927984350000003</v>
      </c>
      <c r="E35" s="65">
        <f t="shared" si="8"/>
        <v>11.465153250000002</v>
      </c>
      <c r="F35" s="65">
        <f t="shared" si="9"/>
        <v>50.93749050000001</v>
      </c>
      <c r="G35" s="65">
        <f t="shared" si="5"/>
        <v>0.39456000000000002</v>
      </c>
      <c r="H35" s="65">
        <f t="shared" si="5"/>
        <v>1.5823500000000001</v>
      </c>
      <c r="I35" s="65">
        <f t="shared" si="5"/>
        <v>9.7612500000000005E-2</v>
      </c>
      <c r="J35" s="65">
        <f t="shared" si="5"/>
        <v>2.3632500000000003E-3</v>
      </c>
      <c r="K35" s="65">
        <f t="shared" si="5"/>
        <v>1.00695E-2</v>
      </c>
      <c r="L35" s="65">
        <f t="shared" si="5"/>
        <v>0.17364750000000001</v>
      </c>
      <c r="M35" s="65">
        <f t="shared" si="5"/>
        <v>0.12021750000000002</v>
      </c>
      <c r="N35" s="65">
        <f t="shared" si="5"/>
        <v>1274.1000000000001</v>
      </c>
      <c r="O35" s="65">
        <f t="shared" si="5"/>
        <v>235.29750000000004</v>
      </c>
      <c r="P35" s="65">
        <f t="shared" si="5"/>
        <v>0</v>
      </c>
      <c r="Q35" s="65">
        <f t="shared" si="10"/>
        <v>119.70375000000003</v>
      </c>
      <c r="R35" s="65">
        <f t="shared" si="11"/>
        <v>0</v>
      </c>
      <c r="S35" s="65">
        <f t="shared" si="11"/>
        <v>0.17364750000000001</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6.7</v>
      </c>
      <c r="F59" s="64">
        <f>VLOOKUP(G$14,Table245[],5,FALSE)</f>
        <v>6.7</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-1.6000000000000014</v>
      </c>
      <c r="C65" s="65">
        <f t="shared" ref="C65:U65" si="18">C63-C64</f>
        <v>4</v>
      </c>
      <c r="D65" s="65">
        <f t="shared" si="18"/>
        <v>4.7999999999999972</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40" operator="greaterThan">
      <formula>$B$51</formula>
    </cfRule>
  </conditionalFormatting>
  <conditionalFormatting sqref="B66:U66">
    <cfRule type="cellIs" dxfId="143" priority="15" operator="equal">
      <formula>"UNDER"</formula>
    </cfRule>
    <cfRule type="cellIs" dxfId="142" priority="16" operator="equal">
      <formula>"OVER"</formula>
    </cfRule>
  </conditionalFormatting>
  <conditionalFormatting sqref="C31:C50">
    <cfRule type="cellIs" dxfId="141" priority="39" operator="greaterThan">
      <formula>$C$51</formula>
    </cfRule>
  </conditionalFormatting>
  <conditionalFormatting sqref="C11:V13">
    <cfRule type="cellIs" dxfId="140" priority="1" operator="greaterThan">
      <formula>2</formula>
    </cfRule>
  </conditionalFormatting>
  <conditionalFormatting sqref="C17:V19">
    <cfRule type="cellIs" dxfId="139" priority="36" operator="equal">
      <formula>0</formula>
    </cfRule>
  </conditionalFormatting>
  <conditionalFormatting sqref="C20:V21">
    <cfRule type="cellIs" dxfId="138" priority="41" operator="equal">
      <formula>"DECREASE"</formula>
    </cfRule>
    <cfRule type="cellIs" dxfId="137" priority="42" operator="equal">
      <formula>"INCREASE"</formula>
    </cfRule>
  </conditionalFormatting>
  <conditionalFormatting sqref="C21:V21">
    <cfRule type="cellIs" dxfId="136" priority="17" operator="equal">
      <formula>0</formula>
    </cfRule>
  </conditionalFormatting>
  <conditionalFormatting sqref="C22:V23">
    <cfRule type="cellIs" dxfId="135" priority="21" operator="equal">
      <formula>0</formula>
    </cfRule>
  </conditionalFormatting>
  <conditionalFormatting sqref="C24:V24">
    <cfRule type="cellIs" dxfId="134" priority="22" operator="equal">
      <formula>"DECREASE"</formula>
    </cfRule>
    <cfRule type="cellIs" dxfId="133" priority="23" operator="equal">
      <formula>"INCREASE"</formula>
    </cfRule>
  </conditionalFormatting>
  <conditionalFormatting sqref="G31:G50">
    <cfRule type="cellIs" dxfId="132" priority="35" operator="greaterThan">
      <formula>$G$51</formula>
    </cfRule>
  </conditionalFormatting>
  <conditionalFormatting sqref="H31:H50">
    <cfRule type="cellIs" dxfId="131" priority="34" operator="greaterThan">
      <formula>$H$51</formula>
    </cfRule>
  </conditionalFormatting>
  <conditionalFormatting sqref="I1">
    <cfRule type="cellIs" dxfId="130" priority="7" operator="between">
      <formula>0.1</formula>
      <formula>5</formula>
    </cfRule>
  </conditionalFormatting>
  <conditionalFormatting sqref="I2">
    <cfRule type="cellIs" dxfId="129" priority="6" operator="greaterThan">
      <formula>5000.1</formula>
    </cfRule>
  </conditionalFormatting>
  <conditionalFormatting sqref="I3">
    <cfRule type="cellIs" dxfId="128" priority="5" operator="greaterThan">
      <formula>40000.01</formula>
    </cfRule>
  </conditionalFormatting>
  <conditionalFormatting sqref="I31:I50">
    <cfRule type="cellIs" dxfId="127" priority="33" operator="greaterThan">
      <formula>$I$51</formula>
    </cfRule>
  </conditionalFormatting>
  <conditionalFormatting sqref="J31:J50">
    <cfRule type="cellIs" dxfId="126" priority="12" operator="greaterThan">
      <formula>$J$51</formula>
    </cfRule>
  </conditionalFormatting>
  <conditionalFormatting sqref="K31:K50">
    <cfRule type="cellIs" dxfId="125" priority="32" operator="greaterThan">
      <formula>$K$51</formula>
    </cfRule>
  </conditionalFormatting>
  <conditionalFormatting sqref="L3">
    <cfRule type="cellIs" dxfId="124" priority="8" operator="lessThan">
      <formula>30</formula>
    </cfRule>
    <cfRule type="cellIs" dxfId="123" priority="9" operator="greaterThanOrEqual">
      <formula>30</formula>
    </cfRule>
  </conditionalFormatting>
  <conditionalFormatting sqref="L31:L50">
    <cfRule type="cellIs" dxfId="122" priority="31" operator="greaterThan">
      <formula>$L$51</formula>
    </cfRule>
  </conditionalFormatting>
  <conditionalFormatting sqref="M31:M50">
    <cfRule type="cellIs" dxfId="121" priority="30" operator="greaterThan">
      <formula>$M$51</formula>
    </cfRule>
  </conditionalFormatting>
  <conditionalFormatting sqref="P31:P50">
    <cfRule type="cellIs" dxfId="120" priority="29" operator="greaterThan">
      <formula>$P$51</formula>
    </cfRule>
  </conditionalFormatting>
  <conditionalFormatting sqref="R31:R50">
    <cfRule type="cellIs" dxfId="119" priority="28" operator="greaterThan">
      <formula>$R$51</formula>
    </cfRule>
  </conditionalFormatting>
  <conditionalFormatting sqref="S31:S50">
    <cfRule type="cellIs" dxfId="118" priority="27" operator="greaterThan">
      <formula>$S$51</formula>
    </cfRule>
  </conditionalFormatting>
  <conditionalFormatting sqref="T31:T50">
    <cfRule type="cellIs" dxfId="117" priority="26" operator="greaterThan">
      <formula>$T$51</formula>
    </cfRule>
  </conditionalFormatting>
  <conditionalFormatting sqref="U31:U50">
    <cfRule type="cellIs" dxfId="116"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G4" zoomScale="90" zoomScaleNormal="90" workbookViewId="0">
      <selection activeCell="V28" sqref="V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Elan Valley'!C1:D1</f>
        <v>PAN-031460</v>
      </c>
      <c r="D1" s="174"/>
      <c r="E1" s="106" t="s">
        <v>45</v>
      </c>
      <c r="F1" s="113">
        <f>'DCWW Elan Valley'!F1</f>
        <v>48.7</v>
      </c>
      <c r="G1" s="163" t="s">
        <v>43</v>
      </c>
      <c r="H1" s="164"/>
      <c r="I1" s="109">
        <v>6.6</v>
      </c>
      <c r="J1" s="131" t="s">
        <v>153</v>
      </c>
      <c r="K1" s="132"/>
      <c r="L1" s="109">
        <v>204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Elan Valley'!C2:D2</f>
        <v>EPR/GP3792SK</v>
      </c>
      <c r="D2" s="170"/>
      <c r="E2" s="96" t="s">
        <v>109</v>
      </c>
      <c r="F2" s="110" t="s">
        <v>165</v>
      </c>
      <c r="G2" s="165" t="s">
        <v>110</v>
      </c>
      <c r="H2" s="166"/>
      <c r="I2" s="110"/>
      <c r="J2" s="133" t="s">
        <v>158</v>
      </c>
      <c r="K2" s="134"/>
      <c r="L2" s="110">
        <v>0.85199999999999998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Elan Valley'!C3:D3</f>
        <v>Byproduct Recovery Ltd</v>
      </c>
      <c r="D3" s="170"/>
      <c r="E3" s="96" t="s">
        <v>108</v>
      </c>
      <c r="F3" s="111" t="s">
        <v>78</v>
      </c>
      <c r="G3" s="133" t="s">
        <v>159</v>
      </c>
      <c r="H3" s="134"/>
      <c r="I3" s="110"/>
      <c r="J3" s="135" t="s">
        <v>154</v>
      </c>
      <c r="K3" s="136"/>
      <c r="L3" s="110">
        <f>(L1/(L2*10000))*100</f>
        <v>2.3943661971830985</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Elan Valley'!C4:D4</f>
        <v>Rosedew Farm, Llantwit Major, 
South Glamorgan, CF61 1PZ</v>
      </c>
      <c r="D4" s="172"/>
      <c r="E4" s="99" t="s">
        <v>1</v>
      </c>
      <c r="F4" s="110" t="s">
        <v>169</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Elan Valley'!C5:D5</f>
        <v xml:space="preserve">Owen Clee </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'DCWW Elan Valley'!C8</f>
        <v>1</v>
      </c>
      <c r="D8" s="49">
        <f>'DCWW Elan Valley'!D8</f>
        <v>2</v>
      </c>
      <c r="E8" s="49">
        <f>'DCWW Elan Valley'!E8</f>
        <v>3</v>
      </c>
      <c r="F8" s="49" t="str">
        <f>'DCWW Elan Valley'!F8</f>
        <v>4A</v>
      </c>
      <c r="G8" s="49" t="str">
        <f>'DCWW Elan Valley'!G8</f>
        <v>4B</v>
      </c>
      <c r="H8" s="49">
        <f>'DCWW Elan Valley'!H8</f>
        <v>0</v>
      </c>
      <c r="I8" s="49">
        <f>'DCWW Elan Valley'!I8</f>
        <v>0</v>
      </c>
      <c r="J8" s="49">
        <f>'DCWW Elan Valley'!J8</f>
        <v>0</v>
      </c>
      <c r="K8" s="49">
        <f>'DCWW Elan Valley'!K8</f>
        <v>0</v>
      </c>
      <c r="L8" s="49">
        <f>'DCWW Elan Valley'!L8</f>
        <v>0</v>
      </c>
      <c r="M8" s="49">
        <f>'DCWW Elan Valley'!M8</f>
        <v>0</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Elan Valley'!C9</f>
        <v>1</v>
      </c>
      <c r="D9" s="49">
        <f>'DCWW Elan Valley'!D9</f>
        <v>1</v>
      </c>
      <c r="E9" s="49">
        <f>'DCWW Elan Valley'!E9</f>
        <v>1</v>
      </c>
      <c r="F9" s="49">
        <f>'DCWW Elan Valley'!F9</f>
        <v>1</v>
      </c>
      <c r="G9" s="49">
        <f>'DCWW Elan Valley'!G9</f>
        <v>1</v>
      </c>
      <c r="H9" s="49">
        <f>'DCWW Elan Valley'!H9</f>
        <v>0</v>
      </c>
      <c r="I9" s="49">
        <f>'DCWW Elan Valley'!I9</f>
        <v>0</v>
      </c>
      <c r="J9" s="49">
        <f>'DCWW Elan Valley'!J9</f>
        <v>0</v>
      </c>
      <c r="K9" s="49">
        <f>'DCWW Elan Valley'!K9</f>
        <v>0</v>
      </c>
      <c r="L9" s="49">
        <f>'DCWW Elan Valley'!L9</f>
        <v>0</v>
      </c>
      <c r="M9" s="49">
        <f>'DCWW Elan Valley'!M9</f>
        <v>0</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Elan Valley'!C10</f>
        <v>6.5</v>
      </c>
      <c r="D10" s="49">
        <f>'DCWW Elan Valley'!D10</f>
        <v>7.2</v>
      </c>
      <c r="E10" s="49">
        <f>'DCWW Elan Valley'!E10</f>
        <v>7.3</v>
      </c>
      <c r="F10" s="49">
        <f>'DCWW Elan Valley'!F10</f>
        <v>7.1</v>
      </c>
      <c r="G10" s="49">
        <f>'DCWW Elan Valley'!G10</f>
        <v>7.1</v>
      </c>
      <c r="H10" s="49">
        <f>'DCWW Elan Valley'!H10</f>
        <v>0</v>
      </c>
      <c r="I10" s="49">
        <f>'DCWW Elan Valley'!I10</f>
        <v>0</v>
      </c>
      <c r="J10" s="49">
        <f>'DCWW Elan Valley'!J10</f>
        <v>0</v>
      </c>
      <c r="K10" s="49">
        <f>'DCWW Elan Valley'!K10</f>
        <v>0</v>
      </c>
      <c r="L10" s="49">
        <f>'DCWW Elan Valley'!L10</f>
        <v>0</v>
      </c>
      <c r="M10" s="49">
        <f>'DCWW Elan Valley'!M10</f>
        <v>0</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Elan Valley'!C11</f>
        <v>3</v>
      </c>
      <c r="D11" s="49">
        <f>'DCWW Elan Valley'!D11</f>
        <v>3</v>
      </c>
      <c r="E11" s="49">
        <f>'DCWW Elan Valley'!E11</f>
        <v>3</v>
      </c>
      <c r="F11" s="49">
        <f>'DCWW Elan Valley'!F11</f>
        <v>3</v>
      </c>
      <c r="G11" s="49">
        <f>'DCWW Elan Valley'!G11</f>
        <v>3</v>
      </c>
      <c r="H11" s="49">
        <f>'DCWW Elan Valley'!H11</f>
        <v>0</v>
      </c>
      <c r="I11" s="49">
        <f>'DCWW Elan Valley'!I11</f>
        <v>0</v>
      </c>
      <c r="J11" s="49">
        <f>'DCWW Elan Valley'!J11</f>
        <v>0</v>
      </c>
      <c r="K11" s="49">
        <f>'DCWW Elan Valley'!K11</f>
        <v>0</v>
      </c>
      <c r="L11" s="49">
        <f>'DCWW Elan Valley'!L11</f>
        <v>0</v>
      </c>
      <c r="M11" s="49">
        <f>'DCWW Elan Valley'!M11</f>
        <v>0</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Elan Valley'!C12</f>
        <v>2</v>
      </c>
      <c r="D12" s="49">
        <f>'DCWW Elan Valley'!D12</f>
        <v>2</v>
      </c>
      <c r="E12" s="49">
        <f>'DCWW Elan Valley'!E12</f>
        <v>2</v>
      </c>
      <c r="F12" s="49">
        <f>'DCWW Elan Valley'!F12</f>
        <v>2</v>
      </c>
      <c r="G12" s="49">
        <f>'DCWW Elan Valley'!G12</f>
        <v>2</v>
      </c>
      <c r="H12" s="49">
        <f>'DCWW Elan Valley'!H12</f>
        <v>0</v>
      </c>
      <c r="I12" s="49">
        <f>'DCWW Elan Valley'!I12</f>
        <v>0</v>
      </c>
      <c r="J12" s="49">
        <f>'DCWW Elan Valley'!J12</f>
        <v>0</v>
      </c>
      <c r="K12" s="49">
        <f>'DCWW Elan Valley'!K12</f>
        <v>0</v>
      </c>
      <c r="L12" s="49">
        <f>'DCWW Elan Valley'!L12</f>
        <v>0</v>
      </c>
      <c r="M12" s="49">
        <f>'DCWW Elan Valley'!M12</f>
        <v>0</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Elan Valley'!C13</f>
        <v>3</v>
      </c>
      <c r="D13" s="49">
        <f>'DCWW Elan Valley'!D13</f>
        <v>3</v>
      </c>
      <c r="E13" s="49">
        <f>'DCWW Elan Valley'!E13</f>
        <v>3</v>
      </c>
      <c r="F13" s="49">
        <f>'DCWW Elan Valley'!F13</f>
        <v>3</v>
      </c>
      <c r="G13" s="49">
        <f>'DCWW Elan Valley'!G13</f>
        <v>3</v>
      </c>
      <c r="H13" s="49">
        <f>'DCWW Elan Valley'!H13</f>
        <v>0</v>
      </c>
      <c r="I13" s="49">
        <f>'DCWW Elan Valley'!I13</f>
        <v>0</v>
      </c>
      <c r="J13" s="49">
        <f>'DCWW Elan Valley'!J13</f>
        <v>0</v>
      </c>
      <c r="K13" s="49">
        <f>'DCWW Elan Valley'!K13</f>
        <v>0</v>
      </c>
      <c r="L13" s="49">
        <f>'DCWW Elan Valley'!L13</f>
        <v>0</v>
      </c>
      <c r="M13" s="49">
        <f>'DCWW Elan Valley'!M13</f>
        <v>0</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Elan Valley'!C14</f>
        <v>Maize- Silage (30% DM)</v>
      </c>
      <c r="D14" s="83" t="str">
        <f>'DCWW Elan Valley'!D14</f>
        <v>Fodder beet (roots only)</v>
      </c>
      <c r="E14" s="83" t="str">
        <f>'DCWW Elan Valley'!E14</f>
        <v>Maize- Silage (30% DM)</v>
      </c>
      <c r="F14" s="83" t="str">
        <f>'DCWW Elan Valley'!F14</f>
        <v>Fodder beet (roots only)</v>
      </c>
      <c r="G14" s="83" t="str">
        <f>'DCWW Elan Valley'!G14</f>
        <v>Fodder beet (roots only)</v>
      </c>
      <c r="H14" s="83">
        <f>'DCWW Elan Valley'!H14</f>
        <v>0</v>
      </c>
      <c r="I14" s="83">
        <f>'DCWW Elan Valley'!I14</f>
        <v>0</v>
      </c>
      <c r="J14" s="83">
        <f>'DCWW Elan Valley'!J14</f>
        <v>0</v>
      </c>
      <c r="K14" s="83">
        <f>'DCWW Elan Valley'!K14</f>
        <v>0</v>
      </c>
      <c r="L14" s="83">
        <f>'DCWW Elan Valley'!L14</f>
        <v>0</v>
      </c>
      <c r="M14" s="83">
        <f>'DCWW Elan Valley'!M14</f>
        <v>0</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9" t="s">
        <v>9</v>
      </c>
      <c r="B15" s="150"/>
      <c r="C15" s="49">
        <f>'DCWW Elan Valley'!C15</f>
        <v>40</v>
      </c>
      <c r="D15" s="49">
        <f>'DCWW Elan Valley'!D15</f>
        <v>85</v>
      </c>
      <c r="E15" s="49">
        <f>'DCWW Elan Valley'!E15</f>
        <v>40</v>
      </c>
      <c r="F15" s="49">
        <f>'DCWW Elan Valley'!F15</f>
        <v>85</v>
      </c>
      <c r="G15" s="49">
        <f>'DCWW Elan Valley'!G15</f>
        <v>85</v>
      </c>
      <c r="H15" s="49">
        <f>'DCWW Elan Valley'!H15</f>
        <v>0</v>
      </c>
      <c r="I15" s="49">
        <f>'DCWW Elan Valley'!I15</f>
        <v>0</v>
      </c>
      <c r="J15" s="49">
        <f>'DCWW Elan Valley'!J15</f>
        <v>0</v>
      </c>
      <c r="K15" s="49">
        <f>'DCWW Elan Valley'!K15</f>
        <v>0</v>
      </c>
      <c r="L15" s="49">
        <f>'DCWW Elan Valley'!L15</f>
        <v>0</v>
      </c>
      <c r="M15" s="49">
        <f>'DCWW Elan Valley'!M15</f>
        <v>0</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f>'DCWW Elan Valley'!H16</f>
        <v>0</v>
      </c>
      <c r="I16" s="104">
        <f>'DCWW Elan Valley'!I16</f>
        <v>0</v>
      </c>
      <c r="J16" s="104">
        <f>'DCWW Elan Valley'!J16</f>
        <v>0</v>
      </c>
      <c r="K16" s="104">
        <f>'DCWW Elan Valley'!K16</f>
        <v>0</v>
      </c>
      <c r="L16" s="104">
        <f>'DCWW Elan Valley'!L16</f>
        <v>0</v>
      </c>
      <c r="M16" s="104">
        <f>'DCWW Elan Valley'!M16</f>
        <v>0</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28.135312799999998</v>
      </c>
      <c r="D18" s="12">
        <f>$D32</f>
        <v>30.011000320000001</v>
      </c>
      <c r="E18" s="12">
        <f>$D33</f>
        <v>28.135312799999998</v>
      </c>
      <c r="F18" s="12">
        <f>$D34</f>
        <v>30.011000320000001</v>
      </c>
      <c r="G18" s="12">
        <f>$D35</f>
        <v>30.011000320000001</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-27.864687200000002</v>
      </c>
      <c r="D19" s="12">
        <f t="shared" ref="D19:V19" si="1">D18-D17</f>
        <v>-29.488999679999992</v>
      </c>
      <c r="E19" s="12">
        <f t="shared" si="1"/>
        <v>-27.864687200000002</v>
      </c>
      <c r="F19" s="12">
        <f t="shared" si="1"/>
        <v>-29.488999679999992</v>
      </c>
      <c r="G19" s="12">
        <f t="shared" si="1"/>
        <v>-29.488999679999992</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(VLOOKUP(D$14,$AI2:$AK24,3,FALSE))*D$15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2.6069211000000001</v>
      </c>
      <c r="D22" s="12">
        <f>$E32</f>
        <v>2.78071584</v>
      </c>
      <c r="E22" s="12">
        <f>$E33</f>
        <v>2.6069211000000001</v>
      </c>
      <c r="F22" s="12">
        <f>$E34</f>
        <v>2.78071584</v>
      </c>
      <c r="G22" s="12">
        <f>$E35</f>
        <v>2.78071584</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-173.39307890000001</v>
      </c>
      <c r="D23" s="12">
        <f t="shared" ref="D23:V23" si="3">D22-D21</f>
        <v>-337.21928415999997</v>
      </c>
      <c r="E23" s="12">
        <f t="shared" si="3"/>
        <v>-173.39307890000001</v>
      </c>
      <c r="F23" s="12">
        <f t="shared" si="3"/>
        <v>-337.21928415999997</v>
      </c>
      <c r="G23" s="12">
        <f t="shared" si="3"/>
        <v>-337.21928415999997</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6.8</v>
      </c>
      <c r="C28" s="11">
        <v>0.85199999999999998</v>
      </c>
      <c r="D28" s="11">
        <v>0.17199999999999999</v>
      </c>
      <c r="E28" s="11">
        <v>3.0300000000000001E-2</v>
      </c>
      <c r="F28" s="11">
        <v>640</v>
      </c>
      <c r="G28" s="11">
        <v>64.7</v>
      </c>
      <c r="H28" s="11">
        <v>146</v>
      </c>
      <c r="I28" s="11">
        <v>18.3</v>
      </c>
      <c r="J28" s="11">
        <v>0.43</v>
      </c>
      <c r="K28" s="15">
        <v>0.3</v>
      </c>
      <c r="L28" s="11">
        <v>20.5</v>
      </c>
      <c r="M28" s="11">
        <v>12.7</v>
      </c>
      <c r="N28" s="11">
        <v>70100</v>
      </c>
      <c r="O28" s="11">
        <v>5090</v>
      </c>
      <c r="P28" s="11"/>
      <c r="Q28" s="11">
        <v>4730</v>
      </c>
      <c r="R28" s="11"/>
      <c r="S28" s="11">
        <v>18.8</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105</v>
      </c>
      <c r="C31" s="65">
        <f>IF(C$27="%w/w SAR",((C$28*10)*$B31),IF(C$27="%w/w DM",(((C$28*10)*($B$28/100))*$B31),IF(C$27="kg/t SAR",(C$28*$B31),IF(C$27="kg/t DM",((C$28*($B$28/100))*$B31),IF(C$27="mg/kg SAR",((C$28*0.001)*$B31),IF(C$27="mg/kg DM",(((C$28*0.001)*($B$28/100))*$B31),0))))))</f>
        <v>60.832799999999999</v>
      </c>
      <c r="D31" s="65">
        <f>(IF(D$27="%w/w SAR",((D$28*10)*$B31),IF(D$27="%w/w DM",(((D$28*10)*($B$28/100))*$B31),IF(D$27="kg/t SAR",(D$28*$B31),IF(D$27="kg/t DM",((D$28*($B$28/100))*$B31),IF(D$27="mg/kg SAR",((D$28*0.001)*$B31),IF(D$27="mg/kg DM",(((D$28*0.001)*($B$28/100))*$B31),"0")))))))*2.291</f>
        <v>28.135312799999998</v>
      </c>
      <c r="E31" s="65">
        <f>(IF(E$27="%w/w SAR",((E$28*10)*$B31),IF(E$27="%w/w DM",(((E$28*10)*($B$28/100))*$B31),IF(E$27="kg/t SAR",(E$28*$B31),IF(E$27="kg/t DM",((E$28*($B$28/100))*$B31),IF(E$27="mg/kg SAR",((E$28*0.001)*$B31),IF(E$27="mg/kg DM",(((E$28*0.001)*($B$28/100))*$B31),"0")))))))*1.205</f>
        <v>2.6069211000000001</v>
      </c>
      <c r="F31" s="65">
        <f>(IF(F$27="%w/w SAR",((F$28*10)*$B31),IF(F$27="%w/w DM",(((F$28*10)*($B$28/100))*$B31),IF(F$27="kg/t SAR",(F$28*$B31),IF(F$27="kg/t DM",((F$28*($B$28/100))*$B31),IF(F$27="mg/kg SAR",((F$28*0.001)*$B31),IF(F$27="mg/kg DM",(((F$28*0.001)*($B$28/100))*$B31),"0")))))))*1.658</f>
        <v>7.5763968000000004</v>
      </c>
      <c r="G31" s="65">
        <f t="shared" ref="G31:P46" si="5">IF(G$27="%w/w SAR",((G$28*10)*$B31),IF(G$27="%w/w DM",(((G$28*10)*($B$28/100))*$B31),IF(G$27="kg/t SAR",(G$28*$B31),IF(G$27="kg/t DM",((G$28*($B$28/100))*$B31),IF(G$27="mg/kg SAR",((G$28*0.001)*$B31),IF(G$27="mg/kg DM",(((G$28*0.001)*($B$28/100))*$B31),0))))))</f>
        <v>0.46195800000000009</v>
      </c>
      <c r="H31" s="65">
        <f t="shared" si="5"/>
        <v>1.04244</v>
      </c>
      <c r="I31" s="65">
        <f t="shared" si="5"/>
        <v>0.130662</v>
      </c>
      <c r="J31" s="65">
        <f t="shared" si="5"/>
        <v>3.0701999999999999E-3</v>
      </c>
      <c r="K31" s="65">
        <f t="shared" si="5"/>
        <v>2.1420000000000002E-3</v>
      </c>
      <c r="L31" s="65">
        <f t="shared" si="5"/>
        <v>0.14637</v>
      </c>
      <c r="M31" s="65">
        <f t="shared" si="5"/>
        <v>9.0678000000000009E-2</v>
      </c>
      <c r="N31" s="65">
        <f t="shared" si="5"/>
        <v>500.51400000000007</v>
      </c>
      <c r="O31" s="65">
        <f t="shared" si="5"/>
        <v>36.342600000000004</v>
      </c>
      <c r="P31" s="65">
        <f t="shared" si="5"/>
        <v>0</v>
      </c>
      <c r="Q31" s="65">
        <f>(IF(Q$27="%w/w SAR",((Q$28*10)*$B31),IF(Q$27="%w/w DM",(((Q$28*10)*($B$28/100))*$B31),IF(Q$27="kg/t SAR",(Q$28*$B31),IF(Q$27="kg/t DM",((Q$28*($B$28/100))*$B31),IF(Q$27="mg/kg SAR",((Q$28*0.001)*$B31),IF(Q$27="mg/kg DM",(((Q$28*0.001)*($B$28/100))*$B31),0)))))))*2.5</f>
        <v>84.430500000000009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0.13423200000000002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112</v>
      </c>
      <c r="C32" s="65">
        <f t="shared" ref="C32:C50" si="6">IF(C$27="%w/w SAR",((C$28*10)*$B32),IF(C$27="%w/w DM",(((C$28*10)*($B$28/100))*$B32),IF(C$27="kg/t SAR",(C$28*$B32),IF(C$27="kg/t DM",((C$28*($B$28/100))*$B32),IF(C$27="mg/kg SAR",((C$28*0.001)*$B32),IF(C$27="mg/kg DM",(((C$28*0.001)*($B$28/100))*$B32),0))))))</f>
        <v>64.888319999999993</v>
      </c>
      <c r="D32" s="65">
        <f t="shared" ref="D32:D50" si="7">(IF(D$27="%w/w SAR",((D$28*10)*$B32),IF(D$27="%w/w DM",(((D$28*10)*($B$28/100))*$B32),IF(D$27="kg/t SAR",(D$28*$B32),IF(D$27="kg/t DM",((D$28*($B$28/100))*$B32),IF(D$27="mg/kg SAR",((D$28*0.001)*$B32),IF(D$27="mg/kg DM",(((D$28*0.001)*($B$28/100))*$B32),"0")))))))*2.291</f>
        <v>30.011000320000001</v>
      </c>
      <c r="E32" s="65">
        <f t="shared" ref="E32:E50" si="8">(IF(E$27="%w/w SAR",((E$28*10)*$B32),IF(E$27="%w/w DM",(((E$28*10)*($B$28/100))*$B32),IF(E$27="kg/t SAR",(E$28*$B32),IF(E$27="kg/t DM",((E$28*($B$28/100))*$B32),IF(E$27="mg/kg SAR",((E$28*0.001)*$B32),IF(E$27="mg/kg DM",(((E$28*0.001)*($B$28/100))*$B32),"0")))))))*1.205</f>
        <v>2.78071584</v>
      </c>
      <c r="F32" s="65">
        <f t="shared" ref="F32:F50" si="9">(IF(F$27="%w/w SAR",((F$28*10)*$B32),IF(F$27="%w/w DM",(((F$28*10)*($B$28/100))*$B32),IF(F$27="kg/t SAR",(F$28*$B32),IF(F$27="kg/t DM",((F$28*($B$28/100))*$B32),IF(F$27="mg/kg SAR",((F$28*0.001)*$B32),IF(F$27="mg/kg DM",(((F$28*0.001)*($B$28/100))*$B32),"0")))))))*1.658</f>
        <v>8.081489920000001</v>
      </c>
      <c r="G32" s="65">
        <f t="shared" si="5"/>
        <v>0.49275520000000012</v>
      </c>
      <c r="H32" s="65">
        <f t="shared" si="5"/>
        <v>1.111936</v>
      </c>
      <c r="I32" s="65">
        <f t="shared" si="5"/>
        <v>0.13937280000000002</v>
      </c>
      <c r="J32" s="65">
        <f t="shared" si="5"/>
        <v>3.27488E-3</v>
      </c>
      <c r="K32" s="65">
        <f t="shared" si="5"/>
        <v>2.2848E-3</v>
      </c>
      <c r="L32" s="65">
        <f t="shared" si="5"/>
        <v>0.15612800000000002</v>
      </c>
      <c r="M32" s="65">
        <f t="shared" si="5"/>
        <v>9.6723200000000009E-2</v>
      </c>
      <c r="N32" s="65">
        <f t="shared" si="5"/>
        <v>533.88160000000005</v>
      </c>
      <c r="O32" s="65">
        <f t="shared" si="5"/>
        <v>38.765440000000005</v>
      </c>
      <c r="P32" s="65">
        <f t="shared" si="5"/>
        <v>0</v>
      </c>
      <c r="Q32" s="65">
        <f t="shared" ref="Q32:Q50" si="10">(IF(Q$27="%w/w SAR",((Q$28*10)*$B32),IF(Q$27="%w/w DM",(((Q$28*10)*($B$28/100))*$B32),IF(Q$27="kg/t SAR",(Q$28*$B32),IF(Q$27="kg/t DM",((Q$28*($B$28/100))*$B32),IF(Q$27="mg/kg SAR",((Q$28*0.001)*$B32),IF(Q$27="mg/kg DM",(((Q$28*0.001)*($B$28/100))*$B32),0)))))))*2.5</f>
        <v>90.059200000000018</v>
      </c>
      <c r="R32" s="65">
        <f t="shared" ref="R32:U50" si="11">IF(R$27="%w/w SAR",((R$28*10)*$B32),IF(R$27="%w/w DM",(((R$28*10)*($B$28/100))*$B32),IF(R$27="kg/t SAR",(R$28*$B32),IF(R$27="kg/t DM",((R$28*($B$28/100))*$B32),IF(R$27="mg/kg SAR",((R$28*0.001)*$B32),IF(R$27="mg/kg DM",(((R$28*0.001)*($B$28/100))*$B32),0))))))</f>
        <v>0</v>
      </c>
      <c r="S32" s="65">
        <f t="shared" si="11"/>
        <v>0.1431808</v>
      </c>
      <c r="T32" s="65">
        <f t="shared" si="11"/>
        <v>0</v>
      </c>
      <c r="U32" s="126">
        <f t="shared" si="11"/>
        <v>0</v>
      </c>
    </row>
    <row r="33" spans="1:21" s="48" customFormat="1" ht="13" x14ac:dyDescent="0.35">
      <c r="A33" s="125">
        <f>E8</f>
        <v>3</v>
      </c>
      <c r="B33" s="11">
        <v>105</v>
      </c>
      <c r="C33" s="65">
        <f t="shared" si="6"/>
        <v>60.832799999999999</v>
      </c>
      <c r="D33" s="65">
        <f t="shared" si="7"/>
        <v>28.135312799999998</v>
      </c>
      <c r="E33" s="65">
        <f t="shared" si="8"/>
        <v>2.6069211000000001</v>
      </c>
      <c r="F33" s="65">
        <f t="shared" si="9"/>
        <v>7.5763968000000004</v>
      </c>
      <c r="G33" s="65">
        <f t="shared" si="5"/>
        <v>0.46195800000000009</v>
      </c>
      <c r="H33" s="65">
        <f t="shared" si="5"/>
        <v>1.04244</v>
      </c>
      <c r="I33" s="65">
        <f t="shared" si="5"/>
        <v>0.130662</v>
      </c>
      <c r="J33" s="65">
        <f t="shared" si="5"/>
        <v>3.0701999999999999E-3</v>
      </c>
      <c r="K33" s="65">
        <f t="shared" si="5"/>
        <v>2.1420000000000002E-3</v>
      </c>
      <c r="L33" s="65">
        <f t="shared" si="5"/>
        <v>0.14637</v>
      </c>
      <c r="M33" s="65">
        <f t="shared" si="5"/>
        <v>9.0678000000000009E-2</v>
      </c>
      <c r="N33" s="65">
        <f t="shared" si="5"/>
        <v>500.51400000000007</v>
      </c>
      <c r="O33" s="65">
        <f t="shared" si="5"/>
        <v>36.342600000000004</v>
      </c>
      <c r="P33" s="65">
        <f t="shared" si="5"/>
        <v>0</v>
      </c>
      <c r="Q33" s="65">
        <f t="shared" si="10"/>
        <v>84.430500000000009</v>
      </c>
      <c r="R33" s="65">
        <f t="shared" si="11"/>
        <v>0</v>
      </c>
      <c r="S33" s="65">
        <f t="shared" si="11"/>
        <v>0.13423200000000002</v>
      </c>
      <c r="T33" s="65">
        <f t="shared" si="11"/>
        <v>0</v>
      </c>
      <c r="U33" s="126">
        <f t="shared" si="11"/>
        <v>0</v>
      </c>
    </row>
    <row r="34" spans="1:21" s="48" customFormat="1" ht="13" x14ac:dyDescent="0.35">
      <c r="A34" s="125" t="str">
        <f>F8</f>
        <v>4A</v>
      </c>
      <c r="B34" s="11">
        <v>112</v>
      </c>
      <c r="C34" s="65">
        <f t="shared" si="6"/>
        <v>64.888319999999993</v>
      </c>
      <c r="D34" s="65">
        <f t="shared" si="7"/>
        <v>30.011000320000001</v>
      </c>
      <c r="E34" s="65">
        <f t="shared" si="8"/>
        <v>2.78071584</v>
      </c>
      <c r="F34" s="65">
        <f t="shared" si="9"/>
        <v>8.081489920000001</v>
      </c>
      <c r="G34" s="65">
        <f t="shared" si="5"/>
        <v>0.49275520000000012</v>
      </c>
      <c r="H34" s="65">
        <f t="shared" si="5"/>
        <v>1.111936</v>
      </c>
      <c r="I34" s="65">
        <f t="shared" si="5"/>
        <v>0.13937280000000002</v>
      </c>
      <c r="J34" s="65">
        <f t="shared" si="5"/>
        <v>3.27488E-3</v>
      </c>
      <c r="K34" s="65">
        <f t="shared" si="5"/>
        <v>2.2848E-3</v>
      </c>
      <c r="L34" s="65">
        <f t="shared" si="5"/>
        <v>0.15612800000000002</v>
      </c>
      <c r="M34" s="65">
        <f t="shared" si="5"/>
        <v>9.6723200000000009E-2</v>
      </c>
      <c r="N34" s="65">
        <f t="shared" si="5"/>
        <v>533.88160000000005</v>
      </c>
      <c r="O34" s="65">
        <f t="shared" si="5"/>
        <v>38.765440000000005</v>
      </c>
      <c r="P34" s="65">
        <f t="shared" si="5"/>
        <v>0</v>
      </c>
      <c r="Q34" s="65">
        <f t="shared" si="10"/>
        <v>90.059200000000018</v>
      </c>
      <c r="R34" s="65">
        <f t="shared" si="11"/>
        <v>0</v>
      </c>
      <c r="S34" s="65">
        <f t="shared" si="11"/>
        <v>0.1431808</v>
      </c>
      <c r="T34" s="65">
        <f t="shared" si="11"/>
        <v>0</v>
      </c>
      <c r="U34" s="126">
        <f t="shared" si="11"/>
        <v>0</v>
      </c>
    </row>
    <row r="35" spans="1:21" s="48" customFormat="1" ht="13" x14ac:dyDescent="0.35">
      <c r="A35" s="125" t="str">
        <f>G8</f>
        <v>4B</v>
      </c>
      <c r="B35" s="11">
        <v>112</v>
      </c>
      <c r="C35" s="65">
        <f t="shared" si="6"/>
        <v>64.888319999999993</v>
      </c>
      <c r="D35" s="65">
        <f t="shared" si="7"/>
        <v>30.011000320000001</v>
      </c>
      <c r="E35" s="65">
        <f t="shared" si="8"/>
        <v>2.78071584</v>
      </c>
      <c r="F35" s="65">
        <f t="shared" si="9"/>
        <v>8.081489920000001</v>
      </c>
      <c r="G35" s="65">
        <f t="shared" si="5"/>
        <v>0.49275520000000012</v>
      </c>
      <c r="H35" s="65">
        <f t="shared" si="5"/>
        <v>1.111936</v>
      </c>
      <c r="I35" s="65">
        <f t="shared" si="5"/>
        <v>0.13937280000000002</v>
      </c>
      <c r="J35" s="65">
        <f t="shared" si="5"/>
        <v>3.27488E-3</v>
      </c>
      <c r="K35" s="65">
        <f t="shared" si="5"/>
        <v>2.2848E-3</v>
      </c>
      <c r="L35" s="65">
        <f t="shared" si="5"/>
        <v>0.15612800000000002</v>
      </c>
      <c r="M35" s="65">
        <f t="shared" si="5"/>
        <v>9.6723200000000009E-2</v>
      </c>
      <c r="N35" s="65">
        <f t="shared" si="5"/>
        <v>533.88160000000005</v>
      </c>
      <c r="O35" s="65">
        <f t="shared" si="5"/>
        <v>38.765440000000005</v>
      </c>
      <c r="P35" s="65">
        <f t="shared" si="5"/>
        <v>0</v>
      </c>
      <c r="Q35" s="65">
        <f t="shared" si="10"/>
        <v>90.059200000000018</v>
      </c>
      <c r="R35" s="65">
        <f t="shared" si="11"/>
        <v>0</v>
      </c>
      <c r="S35" s="65">
        <f t="shared" si="11"/>
        <v>0.1431808</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6.7</v>
      </c>
      <c r="F59" s="64">
        <f>VLOOKUP(G$14,Table245811[],5,FALSE)</f>
        <v>6.7</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105</v>
      </c>
      <c r="C62" s="65">
        <f>B32</f>
        <v>112</v>
      </c>
      <c r="D62" s="65">
        <f>B33</f>
        <v>105</v>
      </c>
      <c r="E62" s="65">
        <f>B34</f>
        <v>112</v>
      </c>
      <c r="F62" s="65">
        <f>B35</f>
        <v>112</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-1.6000000000000014</v>
      </c>
      <c r="C65" s="65">
        <f t="shared" ref="C65:U65" si="18">C63-C64</f>
        <v>4</v>
      </c>
      <c r="D65" s="65">
        <f t="shared" si="18"/>
        <v>4.7999999999999972</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34" sqref="F3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Elan Valley'!C1:D1</f>
        <v>PAN-031460</v>
      </c>
      <c r="D1" s="174"/>
      <c r="E1" s="106" t="s">
        <v>45</v>
      </c>
      <c r="F1" s="113">
        <f>'DCWW Elan Valley'!F1</f>
        <v>48.7</v>
      </c>
      <c r="G1" s="163" t="s">
        <v>43</v>
      </c>
      <c r="H1" s="164"/>
      <c r="I1" s="109">
        <v>7.08</v>
      </c>
      <c r="J1" s="131" t="s">
        <v>153</v>
      </c>
      <c r="K1" s="132"/>
      <c r="L1" s="109">
        <v>28.5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Elan Valley'!C2:D2</f>
        <v>EPR/GP3792SK</v>
      </c>
      <c r="D2" s="170"/>
      <c r="E2" s="96" t="s">
        <v>109</v>
      </c>
      <c r="F2" s="110" t="s">
        <v>165</v>
      </c>
      <c r="G2" s="165" t="s">
        <v>110</v>
      </c>
      <c r="H2" s="166"/>
      <c r="I2" s="110">
        <v>211</v>
      </c>
      <c r="J2" s="133" t="s">
        <v>158</v>
      </c>
      <c r="K2" s="134"/>
      <c r="L2" s="110">
        <v>0.59</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Elan Valley'!C3:D3</f>
        <v>Byproduct Recovery Ltd</v>
      </c>
      <c r="D3" s="170"/>
      <c r="E3" s="96" t="s">
        <v>108</v>
      </c>
      <c r="F3" s="111" t="s">
        <v>76</v>
      </c>
      <c r="G3" s="133" t="s">
        <v>159</v>
      </c>
      <c r="H3" s="134"/>
      <c r="I3" s="110"/>
      <c r="J3" s="135" t="s">
        <v>154</v>
      </c>
      <c r="K3" s="136"/>
      <c r="L3" s="110">
        <f>(L1/(L2*10000))*100</f>
        <v>0.48305084745762716</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Elan Valley'!C4:D4</f>
        <v>Rosedew Farm, Llantwit Major, 
South Glamorgan, CF61 1PZ</v>
      </c>
      <c r="D4" s="172"/>
      <c r="E4" s="99" t="s">
        <v>1</v>
      </c>
      <c r="F4" s="110" t="s">
        <v>174</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Elan Valley'!C5:D5</f>
        <v xml:space="preserve">Owen Clee </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'DCWW Elan Valley'!C8</f>
        <v>1</v>
      </c>
      <c r="D8" s="49">
        <f>'DCWW Elan Valley'!D8</f>
        <v>2</v>
      </c>
      <c r="E8" s="49">
        <f>'DCWW Elan Valley'!E8</f>
        <v>3</v>
      </c>
      <c r="F8" s="49" t="str">
        <f>'DCWW Elan Valley'!F8</f>
        <v>4A</v>
      </c>
      <c r="G8" s="49" t="str">
        <f>'DCWW Elan Valley'!G8</f>
        <v>4B</v>
      </c>
      <c r="H8" s="49">
        <f>'DCWW Elan Valley'!H8</f>
        <v>0</v>
      </c>
      <c r="I8" s="49">
        <f>'DCWW Elan Valley'!I8</f>
        <v>0</v>
      </c>
      <c r="J8" s="49">
        <f>'DCWW Elan Valley'!J8</f>
        <v>0</v>
      </c>
      <c r="K8" s="49">
        <f>'DCWW Elan Valley'!K8</f>
        <v>0</v>
      </c>
      <c r="L8" s="49">
        <f>'DCWW Elan Valley'!L8</f>
        <v>0</v>
      </c>
      <c r="M8" s="49">
        <f>'DCWW Elan Valley'!M8</f>
        <v>0</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Elan Valley'!C9</f>
        <v>1</v>
      </c>
      <c r="D9" s="49">
        <f>'DCWW Elan Valley'!D9</f>
        <v>1</v>
      </c>
      <c r="E9" s="49">
        <f>'DCWW Elan Valley'!E9</f>
        <v>1</v>
      </c>
      <c r="F9" s="49">
        <f>'DCWW Elan Valley'!F9</f>
        <v>1</v>
      </c>
      <c r="G9" s="49">
        <f>'DCWW Elan Valley'!G9</f>
        <v>1</v>
      </c>
      <c r="H9" s="49">
        <f>'DCWW Elan Valley'!H9</f>
        <v>0</v>
      </c>
      <c r="I9" s="49">
        <f>'DCWW Elan Valley'!I9</f>
        <v>0</v>
      </c>
      <c r="J9" s="49">
        <f>'DCWW Elan Valley'!J9</f>
        <v>0</v>
      </c>
      <c r="K9" s="49">
        <f>'DCWW Elan Valley'!K9</f>
        <v>0</v>
      </c>
      <c r="L9" s="49">
        <f>'DCWW Elan Valley'!L9</f>
        <v>0</v>
      </c>
      <c r="M9" s="49">
        <f>'DCWW Elan Valley'!M9</f>
        <v>0</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Elan Valley'!C10</f>
        <v>6.5</v>
      </c>
      <c r="D10" s="49">
        <f>'DCWW Elan Valley'!D10</f>
        <v>7.2</v>
      </c>
      <c r="E10" s="49">
        <f>'DCWW Elan Valley'!E10</f>
        <v>7.3</v>
      </c>
      <c r="F10" s="49">
        <f>'DCWW Elan Valley'!F10</f>
        <v>7.1</v>
      </c>
      <c r="G10" s="49">
        <f>'DCWW Elan Valley'!G10</f>
        <v>7.1</v>
      </c>
      <c r="H10" s="49">
        <f>'DCWW Elan Valley'!H10</f>
        <v>0</v>
      </c>
      <c r="I10" s="49">
        <f>'DCWW Elan Valley'!I10</f>
        <v>0</v>
      </c>
      <c r="J10" s="49">
        <f>'DCWW Elan Valley'!J10</f>
        <v>0</v>
      </c>
      <c r="K10" s="49">
        <f>'DCWW Elan Valley'!K10</f>
        <v>0</v>
      </c>
      <c r="L10" s="49">
        <f>'DCWW Elan Valley'!L10</f>
        <v>0</v>
      </c>
      <c r="M10" s="49">
        <f>'DCWW Elan Valley'!M10</f>
        <v>0</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Elan Valley'!C11</f>
        <v>3</v>
      </c>
      <c r="D11" s="49">
        <f>'DCWW Elan Valley'!D11</f>
        <v>3</v>
      </c>
      <c r="E11" s="49">
        <f>'DCWW Elan Valley'!E11</f>
        <v>3</v>
      </c>
      <c r="F11" s="49">
        <f>'DCWW Elan Valley'!F11</f>
        <v>3</v>
      </c>
      <c r="G11" s="49">
        <f>'DCWW Elan Valley'!G11</f>
        <v>3</v>
      </c>
      <c r="H11" s="49">
        <f>'DCWW Elan Valley'!H11</f>
        <v>0</v>
      </c>
      <c r="I11" s="49">
        <f>'DCWW Elan Valley'!I11</f>
        <v>0</v>
      </c>
      <c r="J11" s="49">
        <f>'DCWW Elan Valley'!J11</f>
        <v>0</v>
      </c>
      <c r="K11" s="49">
        <f>'DCWW Elan Valley'!K11</f>
        <v>0</v>
      </c>
      <c r="L11" s="49">
        <f>'DCWW Elan Valley'!L11</f>
        <v>0</v>
      </c>
      <c r="M11" s="49">
        <f>'DCWW Elan Valley'!M11</f>
        <v>0</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Elan Valley'!C12</f>
        <v>2</v>
      </c>
      <c r="D12" s="49">
        <f>'DCWW Elan Valley'!D12</f>
        <v>2</v>
      </c>
      <c r="E12" s="49">
        <f>'DCWW Elan Valley'!E12</f>
        <v>2</v>
      </c>
      <c r="F12" s="49">
        <f>'DCWW Elan Valley'!F12</f>
        <v>2</v>
      </c>
      <c r="G12" s="49">
        <f>'DCWW Elan Valley'!G12</f>
        <v>2</v>
      </c>
      <c r="H12" s="49">
        <f>'DCWW Elan Valley'!H12</f>
        <v>0</v>
      </c>
      <c r="I12" s="49">
        <f>'DCWW Elan Valley'!I12</f>
        <v>0</v>
      </c>
      <c r="J12" s="49">
        <f>'DCWW Elan Valley'!J12</f>
        <v>0</v>
      </c>
      <c r="K12" s="49">
        <f>'DCWW Elan Valley'!K12</f>
        <v>0</v>
      </c>
      <c r="L12" s="49">
        <f>'DCWW Elan Valley'!L12</f>
        <v>0</v>
      </c>
      <c r="M12" s="49">
        <f>'DCWW Elan Valley'!M12</f>
        <v>0</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Elan Valley'!C13</f>
        <v>3</v>
      </c>
      <c r="D13" s="49">
        <f>'DCWW Elan Valley'!D13</f>
        <v>3</v>
      </c>
      <c r="E13" s="49">
        <f>'DCWW Elan Valley'!E13</f>
        <v>3</v>
      </c>
      <c r="F13" s="49">
        <f>'DCWW Elan Valley'!F13</f>
        <v>3</v>
      </c>
      <c r="G13" s="49">
        <f>'DCWW Elan Valley'!G13</f>
        <v>3</v>
      </c>
      <c r="H13" s="49">
        <f>'DCWW Elan Valley'!H13</f>
        <v>0</v>
      </c>
      <c r="I13" s="49">
        <f>'DCWW Elan Valley'!I13</f>
        <v>0</v>
      </c>
      <c r="J13" s="49">
        <f>'DCWW Elan Valley'!J13</f>
        <v>0</v>
      </c>
      <c r="K13" s="49">
        <f>'DCWW Elan Valley'!K13</f>
        <v>0</v>
      </c>
      <c r="L13" s="49">
        <f>'DCWW Elan Valley'!L13</f>
        <v>0</v>
      </c>
      <c r="M13" s="49">
        <f>'DCWW Elan Valley'!M13</f>
        <v>0</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Elan Valley'!C14</f>
        <v>Maize- Silage (30% DM)</v>
      </c>
      <c r="D14" s="83" t="str">
        <f>'DCWW Elan Valley'!D14</f>
        <v>Fodder beet (roots only)</v>
      </c>
      <c r="E14" s="83" t="str">
        <f>'DCWW Elan Valley'!E14</f>
        <v>Maize- Silage (30% DM)</v>
      </c>
      <c r="F14" s="83" t="str">
        <f>'DCWW Elan Valley'!F14</f>
        <v>Fodder beet (roots only)</v>
      </c>
      <c r="G14" s="83" t="str">
        <f>'DCWW Elan Valley'!G14</f>
        <v>Fodder beet (roots only)</v>
      </c>
      <c r="H14" s="83">
        <f>'DCWW Elan Valley'!H14</f>
        <v>0</v>
      </c>
      <c r="I14" s="83">
        <f>'DCWW Elan Valley'!I14</f>
        <v>0</v>
      </c>
      <c r="J14" s="83">
        <f>'DCWW Elan Valley'!J14</f>
        <v>0</v>
      </c>
      <c r="K14" s="83">
        <f>'DCWW Elan Valley'!K14</f>
        <v>0</v>
      </c>
      <c r="L14" s="83">
        <f>'DCWW Elan Valley'!L14</f>
        <v>0</v>
      </c>
      <c r="M14" s="83">
        <f>'DCWW Elan Valley'!M14</f>
        <v>0</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9" t="s">
        <v>9</v>
      </c>
      <c r="B15" s="150"/>
      <c r="C15" s="49">
        <f>'DCWW Elan Valley'!C15</f>
        <v>40</v>
      </c>
      <c r="D15" s="49">
        <f>'DCWW Elan Valley'!D15</f>
        <v>85</v>
      </c>
      <c r="E15" s="49">
        <f>'DCWW Elan Valley'!E15</f>
        <v>40</v>
      </c>
      <c r="F15" s="49">
        <f>'DCWW Elan Valley'!F15</f>
        <v>85</v>
      </c>
      <c r="G15" s="49">
        <f>'DCWW Elan Valley'!G15</f>
        <v>85</v>
      </c>
      <c r="H15" s="49">
        <f>'DCWW Elan Valley'!H15</f>
        <v>0</v>
      </c>
      <c r="I15" s="49">
        <f>'DCWW Elan Valley'!I15</f>
        <v>0</v>
      </c>
      <c r="J15" s="49">
        <f>'DCWW Elan Valley'!J15</f>
        <v>0</v>
      </c>
      <c r="K15" s="49">
        <f>'DCWW Elan Valley'!K15</f>
        <v>0</v>
      </c>
      <c r="L15" s="49">
        <f>'DCWW Elan Valley'!L15</f>
        <v>0</v>
      </c>
      <c r="M15" s="49">
        <f>'DCWW Elan Valley'!M15</f>
        <v>0</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f>'DCWW Elan Valley'!H16</f>
        <v>0</v>
      </c>
      <c r="I16" s="104">
        <f>'DCWW Elan Valley'!I16</f>
        <v>0</v>
      </c>
      <c r="J16" s="104">
        <f>'DCWW Elan Valley'!J16</f>
        <v>0</v>
      </c>
      <c r="K16" s="104">
        <f>'DCWW Elan Valley'!K16</f>
        <v>0</v>
      </c>
      <c r="L16" s="104">
        <f>'DCWW Elan Valley'!L16</f>
        <v>0</v>
      </c>
      <c r="M16" s="104">
        <f>'DCWW Elan Valley'!M16</f>
        <v>0</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27.911307983999993</v>
      </c>
      <c r="D18" s="12">
        <f>$D32</f>
        <v>29.904972839999992</v>
      </c>
      <c r="E18" s="12">
        <f>$D33</f>
        <v>27.911307983999993</v>
      </c>
      <c r="F18" s="12">
        <f>$D34</f>
        <v>29.904972839999992</v>
      </c>
      <c r="G18" s="12">
        <f>$D35</f>
        <v>29.904972839999992</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-28.088692016000007</v>
      </c>
      <c r="D19" s="12">
        <f t="shared" ref="D19:V19" si="1">D18-D17</f>
        <v>-29.595027160000001</v>
      </c>
      <c r="E19" s="12">
        <f t="shared" si="1"/>
        <v>-28.088692016000007</v>
      </c>
      <c r="F19" s="12">
        <f t="shared" si="1"/>
        <v>-29.595027160000001</v>
      </c>
      <c r="G19" s="12">
        <f t="shared" si="1"/>
        <v>-29.595027160000001</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(VLOOKUP(D$14,$AI2:$AK26,3,FALSE))*D$15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6.5121911399999997</v>
      </c>
      <c r="D22" s="12">
        <f>$E32</f>
        <v>6.9773476499999996</v>
      </c>
      <c r="E22" s="12">
        <f>$E33</f>
        <v>6.5121911399999997</v>
      </c>
      <c r="F22" s="12">
        <f>$E34</f>
        <v>6.9773476499999996</v>
      </c>
      <c r="G22" s="12">
        <f>$E35</f>
        <v>6.9773476499999996</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-169.48780886</v>
      </c>
      <c r="D23" s="12">
        <f t="shared" ref="D23:V23" si="3">D22-D21</f>
        <v>-333.02265234999999</v>
      </c>
      <c r="E23" s="12">
        <f t="shared" si="3"/>
        <v>-169.48780886</v>
      </c>
      <c r="F23" s="12">
        <f t="shared" si="3"/>
        <v>-333.02265234999999</v>
      </c>
      <c r="G23" s="12">
        <f t="shared" si="3"/>
        <v>-333.02265234999999</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35">
      <c r="A28" s="122"/>
      <c r="B28" s="16">
        <v>20.2</v>
      </c>
      <c r="C28" s="11">
        <v>0.59</v>
      </c>
      <c r="D28" s="11">
        <v>1436</v>
      </c>
      <c r="E28" s="11">
        <v>637</v>
      </c>
      <c r="F28" s="11">
        <v>1483</v>
      </c>
      <c r="G28" s="11">
        <v>21.2</v>
      </c>
      <c r="H28" s="11">
        <v>50.2</v>
      </c>
      <c r="I28" s="11">
        <v>7.9</v>
      </c>
      <c r="J28" s="11">
        <v>0.38</v>
      </c>
      <c r="K28" s="15">
        <v>0.1</v>
      </c>
      <c r="L28" s="11">
        <v>25.2</v>
      </c>
      <c r="M28" s="11">
        <v>30.3</v>
      </c>
      <c r="N28" s="11"/>
      <c r="O28" s="11">
        <v>413246</v>
      </c>
      <c r="P28" s="11">
        <v>139</v>
      </c>
      <c r="Q28" s="11">
        <v>1119</v>
      </c>
      <c r="R28" s="11">
        <v>1.8</v>
      </c>
      <c r="S28" s="11">
        <v>14.7</v>
      </c>
      <c r="T28" s="11">
        <v>2.77</v>
      </c>
      <c r="U28" s="97">
        <v>10.5</v>
      </c>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42</v>
      </c>
      <c r="C31" s="65">
        <f>IF(C$27="%w/w SAR",((C$28*10)*$B31),IF(C$27="%w/w DM",(((C$28*10)*($B$28/100))*$B31),IF(C$27="kg/t SAR",(C$28*$B31),IF(C$27="kg/t DM",((C$28*($B$28/100))*$B31),IF(C$27="mg/kg SAR",((C$28*0.001)*$B31),IF(C$27="mg/kg DM",(((C$28*0.001)*($B$28/100))*$B31),0))))))</f>
        <v>50.055599999999991</v>
      </c>
      <c r="D31" s="65">
        <f>(IF(D$27="%w/w SAR",((D$28*10)*$B31),IF(D$27="%w/w DM",(((D$28*10)*($B$28/100))*$B31),IF(D$27="kg/t SAR",(D$28*$B31),IF(D$27="kg/t DM",((D$28*($B$28/100))*$B31),IF(D$27="mg/kg SAR",((D$28*0.001)*$B31),IF(D$27="mg/kg DM",(((D$28*0.001)*($B$28/100))*$B31),"0")))))))*2.291</f>
        <v>27.911307983999993</v>
      </c>
      <c r="E31" s="65">
        <f>(IF(E$27="%w/w SAR",((E$28*10)*$B31),IF(E$27="%w/w DM",(((E$28*10)*($B$28/100))*$B31),IF(E$27="kg/t SAR",(E$28*$B31),IF(E$27="kg/t DM",((E$28*($B$28/100))*$B31),IF(E$27="mg/kg SAR",((E$28*0.001)*$B31),IF(E$27="mg/kg DM",(((E$28*0.001)*($B$28/100))*$B31),"0")))))))*1.205</f>
        <v>6.5121911399999997</v>
      </c>
      <c r="F31" s="65">
        <f>(IF(F$27="%w/w SAR",((F$28*10)*$B31),IF(F$27="%w/w DM",(((F$28*10)*($B$28/100))*$B31),IF(F$27="kg/t SAR",(F$28*$B31),IF(F$27="kg/t DM",((F$28*($B$28/100))*$B31),IF(F$27="mg/kg SAR",((F$28*0.001)*$B31),IF(F$27="mg/kg DM",(((F$28*0.001)*($B$28/100))*$B31),"0")))))))*1.658</f>
        <v>20.860577976000002</v>
      </c>
      <c r="G31" s="65">
        <f t="shared" ref="G31:P46" si="5">IF(G$27="%w/w SAR",((G$28*10)*$B31),IF(G$27="%w/w DM",(((G$28*10)*($B$28/100))*$B31),IF(G$27="kg/t SAR",(G$28*$B31),IF(G$27="kg/t DM",((G$28*($B$28/100))*$B31),IF(G$27="mg/kg SAR",((G$28*0.001)*$B31),IF(G$27="mg/kg DM",(((G$28*0.001)*($B$28/100))*$B31),0))))))</f>
        <v>0.17986079999999999</v>
      </c>
      <c r="H31" s="65">
        <f t="shared" si="5"/>
        <v>0.42589679999999996</v>
      </c>
      <c r="I31" s="65">
        <f t="shared" si="5"/>
        <v>6.7023600000000003E-2</v>
      </c>
      <c r="J31" s="65">
        <f t="shared" si="5"/>
        <v>3.2239200000000003E-3</v>
      </c>
      <c r="K31" s="65">
        <f t="shared" si="5"/>
        <v>8.4840000000000002E-4</v>
      </c>
      <c r="L31" s="65">
        <f t="shared" si="5"/>
        <v>0.21379679999999998</v>
      </c>
      <c r="M31" s="65">
        <f t="shared" si="5"/>
        <v>0.25706519999999999</v>
      </c>
      <c r="N31" s="65">
        <f t="shared" si="5"/>
        <v>0</v>
      </c>
      <c r="O31" s="65">
        <f t="shared" si="5"/>
        <v>3505.9790639999997</v>
      </c>
      <c r="P31" s="65">
        <f t="shared" si="5"/>
        <v>1.179276</v>
      </c>
      <c r="Q31" s="65">
        <f>(IF(Q$27="%w/w SAR",((Q$28*10)*$B31),IF(Q$27="%w/w DM",(((Q$28*10)*($B$28/100))*$B31),IF(Q$27="kg/t SAR",(Q$28*$B31),IF(Q$27="kg/t DM",((Q$28*($B$28/100))*$B31),IF(Q$27="mg/kg SAR",((Q$28*0.001)*$B31),IF(Q$27="mg/kg DM",(((Q$28*0.001)*($B$28/100))*$B31),0)))))))*2.5</f>
        <v>23.733989999999999</v>
      </c>
      <c r="R31" s="65">
        <f>IF(R$27="%w/w SAR",((R$28*10)*$B31),IF(R$27="%w/w DM",(((R$28*10)*($B$28/100))*$B31),IF(R$27="kg/t SAR",(R$28*$B31),IF(R$27="kg/t DM",((R$28*($B$28/100))*$B31),IF(R$27="mg/kg SAR",((R$28*0.001)*$B31),IF(R$27="mg/kg DM",(((R$28*0.001)*($B$28/100))*$B31),0))))))</f>
        <v>1.52712E-2</v>
      </c>
      <c r="S31" s="65">
        <f>IF(S$27="%w/w SAR",((S$28*10)*$B31),IF(S$27="%w/w DM",(((S$28*10)*($B$28/100))*$B31),IF(S$27="kg/t SAR",(S$28*$B31),IF(S$27="kg/t DM",((S$28*($B$28/100))*$B31),IF(S$27="mg/kg SAR",((S$28*0.001)*$B31),IF(S$27="mg/kg DM",(((S$28*0.001)*($B$28/100))*$B31),0))))))</f>
        <v>0.12471479999999999</v>
      </c>
      <c r="T31" s="65">
        <f>IF(T$27="%w/w SAR",((T$28*10)*$B31),IF(T$27="%w/w DM",(((T$28*10)*($B$28/100))*$B31),IF(T$27="kg/t SAR",(T$28*$B31),IF(T$27="kg/t DM",((T$28*($B$28/100))*$B31),IF(T$27="mg/kg SAR",((T$28*0.001)*$B31),IF(T$27="mg/kg DM",(((T$28*0.001)*($B$28/100))*$B31),0))))))</f>
        <v>2.3500679999999999E-2</v>
      </c>
      <c r="U31" s="126">
        <f>IF(U$27="%w/w SAR",((U$28*10)*$B31),IF(U$27="%w/w DM",(((U$28*10)*($B$28/100))*$B31),IF(U$27="kg/t SAR",(U$28*$B31),IF(U$27="kg/t DM",((U$28*($B$28/100))*$B31),IF(U$27="mg/kg SAR",((U$28*0.001)*$B31),IF(U$27="mg/kg DM",(((U$28*0.001)*($B$28/100))*$B31),0))))))</f>
        <v>8.9082000000000008E-2</v>
      </c>
    </row>
    <row r="32" spans="1:40" s="48" customFormat="1" ht="13" x14ac:dyDescent="0.35">
      <c r="A32" s="125">
        <f>D8</f>
        <v>2</v>
      </c>
      <c r="B32" s="11">
        <v>45</v>
      </c>
      <c r="C32" s="65">
        <f t="shared" ref="C32:C50" si="6">IF(C$27="%w/w SAR",((C$28*10)*$B32),IF(C$27="%w/w DM",(((C$28*10)*($B$28/100))*$B32),IF(C$27="kg/t SAR",(C$28*$B32),IF(C$27="kg/t DM",((C$28*($B$28/100))*$B32),IF(C$27="mg/kg SAR",((C$28*0.001)*$B32),IF(C$27="mg/kg DM",(((C$28*0.001)*($B$28/100))*$B32),0))))))</f>
        <v>53.630999999999986</v>
      </c>
      <c r="D32" s="65">
        <f t="shared" ref="D32:D50" si="7">(IF(D$27="%w/w SAR",((D$28*10)*$B32),IF(D$27="%w/w DM",(((D$28*10)*($B$28/100))*$B32),IF(D$27="kg/t SAR",(D$28*$B32),IF(D$27="kg/t DM",((D$28*($B$28/100))*$B32),IF(D$27="mg/kg SAR",((D$28*0.001)*$B32),IF(D$27="mg/kg DM",(((D$28*0.001)*($B$28/100))*$B32),"0")))))))*2.291</f>
        <v>29.904972839999992</v>
      </c>
      <c r="E32" s="65">
        <f t="shared" ref="E32:E50" si="8">(IF(E$27="%w/w SAR",((E$28*10)*$B32),IF(E$27="%w/w DM",(((E$28*10)*($B$28/100))*$B32),IF(E$27="kg/t SAR",(E$28*$B32),IF(E$27="kg/t DM",((E$28*($B$28/100))*$B32),IF(E$27="mg/kg SAR",((E$28*0.001)*$B32),IF(E$27="mg/kg DM",(((E$28*0.001)*($B$28/100))*$B32),"0")))))))*1.205</f>
        <v>6.9773476499999996</v>
      </c>
      <c r="F32" s="65">
        <f t="shared" ref="F32:F50" si="9">(IF(F$27="%w/w SAR",((F$28*10)*$B32),IF(F$27="%w/w DM",(((F$28*10)*($B$28/100))*$B32),IF(F$27="kg/t SAR",(F$28*$B32),IF(F$27="kg/t DM",((F$28*($B$28/100))*$B32),IF(F$27="mg/kg SAR",((F$28*0.001)*$B32),IF(F$27="mg/kg DM",(((F$28*0.001)*($B$28/100))*$B32),"0")))))))*1.658</f>
        <v>22.350619259999998</v>
      </c>
      <c r="G32" s="65">
        <f t="shared" si="5"/>
        <v>0.19270799999999999</v>
      </c>
      <c r="H32" s="65">
        <f t="shared" si="5"/>
        <v>0.45631799999999995</v>
      </c>
      <c r="I32" s="65">
        <f t="shared" si="5"/>
        <v>7.1811E-2</v>
      </c>
      <c r="J32" s="65">
        <f t="shared" si="5"/>
        <v>3.4542000000000002E-3</v>
      </c>
      <c r="K32" s="65">
        <f t="shared" si="5"/>
        <v>9.0899999999999998E-4</v>
      </c>
      <c r="L32" s="65">
        <f t="shared" si="5"/>
        <v>0.22906799999999997</v>
      </c>
      <c r="M32" s="65">
        <f t="shared" si="5"/>
        <v>0.27542699999999998</v>
      </c>
      <c r="N32" s="65">
        <f t="shared" si="5"/>
        <v>0</v>
      </c>
      <c r="O32" s="65">
        <f t="shared" si="5"/>
        <v>3756.4061399999996</v>
      </c>
      <c r="P32" s="65">
        <f t="shared" si="5"/>
        <v>1.2635099999999999</v>
      </c>
      <c r="Q32" s="65">
        <f t="shared" ref="Q32:Q50" si="10">(IF(Q$27="%w/w SAR",((Q$28*10)*$B32),IF(Q$27="%w/w DM",(((Q$28*10)*($B$28/100))*$B32),IF(Q$27="kg/t SAR",(Q$28*$B32),IF(Q$27="kg/t DM",((Q$28*($B$28/100))*$B32),IF(Q$27="mg/kg SAR",((Q$28*0.001)*$B32),IF(Q$27="mg/kg DM",(((Q$28*0.001)*($B$28/100))*$B32),0)))))))*2.5</f>
        <v>25.429274999999997</v>
      </c>
      <c r="R32" s="65">
        <f t="shared" ref="R32:U50" si="11">IF(R$27="%w/w SAR",((R$28*10)*$B32),IF(R$27="%w/w DM",(((R$28*10)*($B$28/100))*$B32),IF(R$27="kg/t SAR",(R$28*$B32),IF(R$27="kg/t DM",((R$28*($B$28/100))*$B32),IF(R$27="mg/kg SAR",((R$28*0.001)*$B32),IF(R$27="mg/kg DM",(((R$28*0.001)*($B$28/100))*$B32),0))))))</f>
        <v>1.6362000000000002E-2</v>
      </c>
      <c r="S32" s="65">
        <f t="shared" si="11"/>
        <v>0.13362299999999999</v>
      </c>
      <c r="T32" s="65">
        <f t="shared" si="11"/>
        <v>2.5179299999999998E-2</v>
      </c>
      <c r="U32" s="126">
        <f t="shared" si="11"/>
        <v>9.5445000000000002E-2</v>
      </c>
    </row>
    <row r="33" spans="1:21" s="48" customFormat="1" ht="13" x14ac:dyDescent="0.35">
      <c r="A33" s="125">
        <f>E8</f>
        <v>3</v>
      </c>
      <c r="B33" s="11">
        <v>42</v>
      </c>
      <c r="C33" s="65">
        <f t="shared" si="6"/>
        <v>50.055599999999991</v>
      </c>
      <c r="D33" s="65">
        <f t="shared" si="7"/>
        <v>27.911307983999993</v>
      </c>
      <c r="E33" s="65">
        <f t="shared" si="8"/>
        <v>6.5121911399999997</v>
      </c>
      <c r="F33" s="65">
        <f t="shared" si="9"/>
        <v>20.860577976000002</v>
      </c>
      <c r="G33" s="65">
        <f t="shared" si="5"/>
        <v>0.17986079999999999</v>
      </c>
      <c r="H33" s="65">
        <f t="shared" si="5"/>
        <v>0.42589679999999996</v>
      </c>
      <c r="I33" s="65">
        <f t="shared" si="5"/>
        <v>6.7023600000000003E-2</v>
      </c>
      <c r="J33" s="65">
        <f t="shared" si="5"/>
        <v>3.2239200000000003E-3</v>
      </c>
      <c r="K33" s="65">
        <f t="shared" si="5"/>
        <v>8.4840000000000002E-4</v>
      </c>
      <c r="L33" s="65">
        <f t="shared" si="5"/>
        <v>0.21379679999999998</v>
      </c>
      <c r="M33" s="65">
        <f t="shared" si="5"/>
        <v>0.25706519999999999</v>
      </c>
      <c r="N33" s="65">
        <f t="shared" si="5"/>
        <v>0</v>
      </c>
      <c r="O33" s="65">
        <f t="shared" si="5"/>
        <v>3505.9790639999997</v>
      </c>
      <c r="P33" s="65">
        <f t="shared" si="5"/>
        <v>1.179276</v>
      </c>
      <c r="Q33" s="65">
        <f t="shared" si="10"/>
        <v>23.733989999999999</v>
      </c>
      <c r="R33" s="65">
        <f t="shared" si="11"/>
        <v>1.52712E-2</v>
      </c>
      <c r="S33" s="65">
        <f t="shared" si="11"/>
        <v>0.12471479999999999</v>
      </c>
      <c r="T33" s="65">
        <f t="shared" si="11"/>
        <v>2.3500679999999999E-2</v>
      </c>
      <c r="U33" s="126">
        <f t="shared" si="11"/>
        <v>8.9082000000000008E-2</v>
      </c>
    </row>
    <row r="34" spans="1:21" s="48" customFormat="1" ht="13" x14ac:dyDescent="0.35">
      <c r="A34" s="125" t="str">
        <f>F8</f>
        <v>4A</v>
      </c>
      <c r="B34" s="11">
        <v>45</v>
      </c>
      <c r="C34" s="65">
        <f t="shared" si="6"/>
        <v>53.630999999999986</v>
      </c>
      <c r="D34" s="65">
        <f t="shared" si="7"/>
        <v>29.904972839999992</v>
      </c>
      <c r="E34" s="65">
        <f t="shared" si="8"/>
        <v>6.9773476499999996</v>
      </c>
      <c r="F34" s="65">
        <f t="shared" si="9"/>
        <v>22.350619259999998</v>
      </c>
      <c r="G34" s="65">
        <f t="shared" si="5"/>
        <v>0.19270799999999999</v>
      </c>
      <c r="H34" s="65">
        <f t="shared" si="5"/>
        <v>0.45631799999999995</v>
      </c>
      <c r="I34" s="65">
        <f t="shared" si="5"/>
        <v>7.1811E-2</v>
      </c>
      <c r="J34" s="65">
        <f t="shared" si="5"/>
        <v>3.4542000000000002E-3</v>
      </c>
      <c r="K34" s="65">
        <f t="shared" si="5"/>
        <v>9.0899999999999998E-4</v>
      </c>
      <c r="L34" s="65">
        <f t="shared" si="5"/>
        <v>0.22906799999999997</v>
      </c>
      <c r="M34" s="65">
        <f t="shared" si="5"/>
        <v>0.27542699999999998</v>
      </c>
      <c r="N34" s="65">
        <f t="shared" si="5"/>
        <v>0</v>
      </c>
      <c r="O34" s="65">
        <f t="shared" si="5"/>
        <v>3756.4061399999996</v>
      </c>
      <c r="P34" s="65">
        <f t="shared" si="5"/>
        <v>1.2635099999999999</v>
      </c>
      <c r="Q34" s="65">
        <f t="shared" si="10"/>
        <v>25.429274999999997</v>
      </c>
      <c r="R34" s="65">
        <f t="shared" si="11"/>
        <v>1.6362000000000002E-2</v>
      </c>
      <c r="S34" s="65">
        <f t="shared" si="11"/>
        <v>0.13362299999999999</v>
      </c>
      <c r="T34" s="65">
        <f t="shared" si="11"/>
        <v>2.5179299999999998E-2</v>
      </c>
      <c r="U34" s="126">
        <f t="shared" si="11"/>
        <v>9.5445000000000002E-2</v>
      </c>
    </row>
    <row r="35" spans="1:21" s="48" customFormat="1" ht="13" x14ac:dyDescent="0.35">
      <c r="A35" s="125" t="str">
        <f>G8</f>
        <v>4B</v>
      </c>
      <c r="B35" s="11">
        <v>45</v>
      </c>
      <c r="C35" s="65">
        <f t="shared" si="6"/>
        <v>53.630999999999986</v>
      </c>
      <c r="D35" s="65">
        <f t="shared" si="7"/>
        <v>29.904972839999992</v>
      </c>
      <c r="E35" s="65">
        <f t="shared" si="8"/>
        <v>6.9773476499999996</v>
      </c>
      <c r="F35" s="65">
        <f t="shared" si="9"/>
        <v>22.350619259999998</v>
      </c>
      <c r="G35" s="65">
        <f t="shared" si="5"/>
        <v>0.19270799999999999</v>
      </c>
      <c r="H35" s="65">
        <f t="shared" si="5"/>
        <v>0.45631799999999995</v>
      </c>
      <c r="I35" s="65">
        <f t="shared" si="5"/>
        <v>7.1811E-2</v>
      </c>
      <c r="J35" s="65">
        <f t="shared" si="5"/>
        <v>3.4542000000000002E-3</v>
      </c>
      <c r="K35" s="65">
        <f t="shared" si="5"/>
        <v>9.0899999999999998E-4</v>
      </c>
      <c r="L35" s="65">
        <f t="shared" si="5"/>
        <v>0.22906799999999997</v>
      </c>
      <c r="M35" s="65">
        <f t="shared" si="5"/>
        <v>0.27542699999999998</v>
      </c>
      <c r="N35" s="65">
        <f t="shared" si="5"/>
        <v>0</v>
      </c>
      <c r="O35" s="65">
        <f t="shared" si="5"/>
        <v>3756.4061399999996</v>
      </c>
      <c r="P35" s="65">
        <f t="shared" si="5"/>
        <v>1.2635099999999999</v>
      </c>
      <c r="Q35" s="65">
        <f t="shared" si="10"/>
        <v>25.429274999999997</v>
      </c>
      <c r="R35" s="65">
        <f t="shared" si="11"/>
        <v>1.6362000000000002E-2</v>
      </c>
      <c r="S35" s="65">
        <f t="shared" si="11"/>
        <v>0.13362299999999999</v>
      </c>
      <c r="T35" s="65">
        <f t="shared" si="11"/>
        <v>2.5179299999999998E-2</v>
      </c>
      <c r="U35" s="126">
        <f t="shared" si="11"/>
        <v>9.5445000000000002E-2</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v>100</v>
      </c>
      <c r="C55" s="91">
        <v>3.8</v>
      </c>
      <c r="D55" s="92">
        <f>(B55/100)*C55</f>
        <v>3.8</v>
      </c>
      <c r="E55" s="92">
        <f>G55</f>
        <v>6.8</v>
      </c>
      <c r="F55" s="91">
        <v>6.8</v>
      </c>
      <c r="G55" s="92">
        <f>(B55/100)*F55</f>
        <v>6.8</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42</v>
      </c>
      <c r="C62" s="65">
        <f>B32</f>
        <v>45</v>
      </c>
      <c r="D62" s="65">
        <f>B33</f>
        <v>42</v>
      </c>
      <c r="E62" s="65">
        <f>B34</f>
        <v>45</v>
      </c>
      <c r="F62" s="65">
        <f>B35</f>
        <v>45</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2.8559999999999999</v>
      </c>
      <c r="C63" s="65">
        <f t="shared" ref="C63:U63" si="16">$E55*(C62/100)</f>
        <v>3.06</v>
      </c>
      <c r="D63" s="65">
        <f t="shared" si="16"/>
        <v>2.8559999999999999</v>
      </c>
      <c r="E63" s="65">
        <f t="shared" si="16"/>
        <v>3.06</v>
      </c>
      <c r="F63" s="65">
        <f>$E55*(F62/100)</f>
        <v>3.06</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1.2559999999999985</v>
      </c>
      <c r="C65" s="65">
        <f t="shared" ref="C65:U65" si="18">C63-C64</f>
        <v>7.0600000000000005</v>
      </c>
      <c r="D65" s="65">
        <f t="shared" si="18"/>
        <v>7.655999999999997</v>
      </c>
      <c r="E65" s="65">
        <f t="shared" si="18"/>
        <v>6.2599999999999962</v>
      </c>
      <c r="F65" s="65">
        <f t="shared" si="18"/>
        <v>6.2599999999999962</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H6" sqref="H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1" t="s">
        <v>41</v>
      </c>
      <c r="B1" s="132"/>
      <c r="C1" s="173" t="str">
        <f>'DCWW Elan Valley'!C1:D1</f>
        <v>PAN-031460</v>
      </c>
      <c r="D1" s="174"/>
      <c r="E1" s="106" t="s">
        <v>45</v>
      </c>
      <c r="F1" s="113">
        <f>'DCWW Elan Valley'!F1</f>
        <v>48.7</v>
      </c>
      <c r="G1" s="163" t="s">
        <v>43</v>
      </c>
      <c r="H1" s="164"/>
      <c r="I1" s="109">
        <v>8.8000000000000007</v>
      </c>
      <c r="J1" s="131" t="s">
        <v>153</v>
      </c>
      <c r="K1" s="132"/>
      <c r="L1" s="109">
        <v>8077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Elan Valley'!C2:D2</f>
        <v>EPR/GP3792SK</v>
      </c>
      <c r="D2" s="170"/>
      <c r="E2" s="96" t="s">
        <v>109</v>
      </c>
      <c r="F2" s="110" t="s">
        <v>167</v>
      </c>
      <c r="G2" s="165" t="s">
        <v>110</v>
      </c>
      <c r="H2" s="166"/>
      <c r="I2" s="110"/>
      <c r="J2" s="133" t="s">
        <v>158</v>
      </c>
      <c r="K2" s="134"/>
      <c r="L2" s="110">
        <v>1.07</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Elan Valley'!C3:D3</f>
        <v>Byproduct Recovery Ltd</v>
      </c>
      <c r="D3" s="170"/>
      <c r="E3" s="96" t="s">
        <v>108</v>
      </c>
      <c r="F3" s="111" t="s">
        <v>77</v>
      </c>
      <c r="G3" s="133" t="s">
        <v>159</v>
      </c>
      <c r="H3" s="134"/>
      <c r="I3" s="110"/>
      <c r="J3" s="135" t="s">
        <v>154</v>
      </c>
      <c r="K3" s="136"/>
      <c r="L3" s="110">
        <f>(L1/(L2*10000))*100</f>
        <v>75.485981308411212</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Elan Valley'!C4:D4</f>
        <v>Rosedew Farm, Llantwit Major, 
South Glamorgan, CF61 1PZ</v>
      </c>
      <c r="D4" s="172"/>
      <c r="E4" s="99" t="s">
        <v>1</v>
      </c>
      <c r="F4" s="130" t="s">
        <v>170</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Elan Valley'!C5:D5</f>
        <v xml:space="preserve">Owen Clee </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'DCWW Elan Valley'!C8</f>
        <v>1</v>
      </c>
      <c r="D8" s="49">
        <f>'DCWW Elan Valley'!D8</f>
        <v>2</v>
      </c>
      <c r="E8" s="49">
        <f>'DCWW Elan Valley'!E8</f>
        <v>3</v>
      </c>
      <c r="F8" s="49" t="str">
        <f>'DCWW Elan Valley'!F8</f>
        <v>4A</v>
      </c>
      <c r="G8" s="49" t="str">
        <f>'DCWW Elan Valley'!G8</f>
        <v>4B</v>
      </c>
      <c r="H8" s="49">
        <f>'DCWW Elan Valley'!H8</f>
        <v>0</v>
      </c>
      <c r="I8" s="49">
        <f>'DCWW Elan Valley'!I8</f>
        <v>0</v>
      </c>
      <c r="J8" s="49">
        <f>'DCWW Elan Valley'!J8</f>
        <v>0</v>
      </c>
      <c r="K8" s="49">
        <f>'DCWW Elan Valley'!K8</f>
        <v>0</v>
      </c>
      <c r="L8" s="49">
        <f>'DCWW Elan Valley'!L8</f>
        <v>0</v>
      </c>
      <c r="M8" s="49">
        <f>'DCWW Elan Valley'!M8</f>
        <v>0</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Elan Valley'!C9</f>
        <v>1</v>
      </c>
      <c r="D9" s="49">
        <f>'DCWW Elan Valley'!D9</f>
        <v>1</v>
      </c>
      <c r="E9" s="49">
        <f>'DCWW Elan Valley'!E9</f>
        <v>1</v>
      </c>
      <c r="F9" s="49">
        <f>'DCWW Elan Valley'!F9</f>
        <v>1</v>
      </c>
      <c r="G9" s="49">
        <f>'DCWW Elan Valley'!G9</f>
        <v>1</v>
      </c>
      <c r="H9" s="49">
        <f>'DCWW Elan Valley'!H9</f>
        <v>0</v>
      </c>
      <c r="I9" s="49">
        <f>'DCWW Elan Valley'!I9</f>
        <v>0</v>
      </c>
      <c r="J9" s="49">
        <f>'DCWW Elan Valley'!J9</f>
        <v>0</v>
      </c>
      <c r="K9" s="49">
        <f>'DCWW Elan Valley'!K9</f>
        <v>0</v>
      </c>
      <c r="L9" s="49">
        <f>'DCWW Elan Valley'!L9</f>
        <v>0</v>
      </c>
      <c r="M9" s="49">
        <f>'DCWW Elan Valley'!M9</f>
        <v>0</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Elan Valley'!C10</f>
        <v>6.5</v>
      </c>
      <c r="D10" s="49">
        <f>'DCWW Elan Valley'!D10</f>
        <v>7.2</v>
      </c>
      <c r="E10" s="49">
        <f>'DCWW Elan Valley'!E10</f>
        <v>7.3</v>
      </c>
      <c r="F10" s="49">
        <f>'DCWW Elan Valley'!F10</f>
        <v>7.1</v>
      </c>
      <c r="G10" s="49">
        <f>'DCWW Elan Valley'!G10</f>
        <v>7.1</v>
      </c>
      <c r="H10" s="49">
        <f>'DCWW Elan Valley'!H10</f>
        <v>0</v>
      </c>
      <c r="I10" s="49">
        <f>'DCWW Elan Valley'!I10</f>
        <v>0</v>
      </c>
      <c r="J10" s="49">
        <f>'DCWW Elan Valley'!J10</f>
        <v>0</v>
      </c>
      <c r="K10" s="49">
        <f>'DCWW Elan Valley'!K10</f>
        <v>0</v>
      </c>
      <c r="L10" s="49">
        <f>'DCWW Elan Valley'!L10</f>
        <v>0</v>
      </c>
      <c r="M10" s="49">
        <f>'DCWW Elan Valley'!M10</f>
        <v>0</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Elan Valley'!C11</f>
        <v>3</v>
      </c>
      <c r="D11" s="49">
        <f>'DCWW Elan Valley'!D11</f>
        <v>3</v>
      </c>
      <c r="E11" s="49">
        <f>'DCWW Elan Valley'!E11</f>
        <v>3</v>
      </c>
      <c r="F11" s="49">
        <f>'DCWW Elan Valley'!F11</f>
        <v>3</v>
      </c>
      <c r="G11" s="49">
        <f>'DCWW Elan Valley'!G11</f>
        <v>3</v>
      </c>
      <c r="H11" s="49">
        <f>'DCWW Elan Valley'!H11</f>
        <v>0</v>
      </c>
      <c r="I11" s="49">
        <f>'DCWW Elan Valley'!I11</f>
        <v>0</v>
      </c>
      <c r="J11" s="49">
        <f>'DCWW Elan Valley'!J11</f>
        <v>0</v>
      </c>
      <c r="K11" s="49">
        <f>'DCWW Elan Valley'!K11</f>
        <v>0</v>
      </c>
      <c r="L11" s="49">
        <f>'DCWW Elan Valley'!L11</f>
        <v>0</v>
      </c>
      <c r="M11" s="49">
        <f>'DCWW Elan Valley'!M11</f>
        <v>0</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Elan Valley'!C12</f>
        <v>2</v>
      </c>
      <c r="D12" s="49">
        <f>'DCWW Elan Valley'!D12</f>
        <v>2</v>
      </c>
      <c r="E12" s="49">
        <f>'DCWW Elan Valley'!E12</f>
        <v>2</v>
      </c>
      <c r="F12" s="49">
        <f>'DCWW Elan Valley'!F12</f>
        <v>2</v>
      </c>
      <c r="G12" s="49">
        <f>'DCWW Elan Valley'!G12</f>
        <v>2</v>
      </c>
      <c r="H12" s="49">
        <f>'DCWW Elan Valley'!H12</f>
        <v>0</v>
      </c>
      <c r="I12" s="49">
        <f>'DCWW Elan Valley'!I12</f>
        <v>0</v>
      </c>
      <c r="J12" s="49">
        <f>'DCWW Elan Valley'!J12</f>
        <v>0</v>
      </c>
      <c r="K12" s="49">
        <f>'DCWW Elan Valley'!K12</f>
        <v>0</v>
      </c>
      <c r="L12" s="49">
        <f>'DCWW Elan Valley'!L12</f>
        <v>0</v>
      </c>
      <c r="M12" s="49">
        <f>'DCWW Elan Valley'!M12</f>
        <v>0</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Elan Valley'!C13</f>
        <v>3</v>
      </c>
      <c r="D13" s="49">
        <f>'DCWW Elan Valley'!D13</f>
        <v>3</v>
      </c>
      <c r="E13" s="49">
        <f>'DCWW Elan Valley'!E13</f>
        <v>3</v>
      </c>
      <c r="F13" s="49">
        <f>'DCWW Elan Valley'!F13</f>
        <v>3</v>
      </c>
      <c r="G13" s="49">
        <f>'DCWW Elan Valley'!G13</f>
        <v>3</v>
      </c>
      <c r="H13" s="49">
        <f>'DCWW Elan Valley'!H13</f>
        <v>0</v>
      </c>
      <c r="I13" s="49">
        <f>'DCWW Elan Valley'!I13</f>
        <v>0</v>
      </c>
      <c r="J13" s="49">
        <f>'DCWW Elan Valley'!J13</f>
        <v>0</v>
      </c>
      <c r="K13" s="49">
        <f>'DCWW Elan Valley'!K13</f>
        <v>0</v>
      </c>
      <c r="L13" s="49">
        <f>'DCWW Elan Valley'!L13</f>
        <v>0</v>
      </c>
      <c r="M13" s="49">
        <f>'DCWW Elan Valley'!M13</f>
        <v>0</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Elan Valley'!C14</f>
        <v>Maize- Silage (30% DM)</v>
      </c>
      <c r="D14" s="83" t="str">
        <f>'DCWW Elan Valley'!D14</f>
        <v>Fodder beet (roots only)</v>
      </c>
      <c r="E14" s="83" t="str">
        <f>'DCWW Elan Valley'!E14</f>
        <v>Maize- Silage (30% DM)</v>
      </c>
      <c r="F14" s="83" t="str">
        <f>'DCWW Elan Valley'!F14</f>
        <v>Fodder beet (roots only)</v>
      </c>
      <c r="G14" s="83" t="str">
        <f>'DCWW Elan Valley'!G14</f>
        <v>Fodder beet (roots only)</v>
      </c>
      <c r="H14" s="83">
        <f>'DCWW Elan Valley'!H14</f>
        <v>0</v>
      </c>
      <c r="I14" s="83">
        <f>'DCWW Elan Valley'!I14</f>
        <v>0</v>
      </c>
      <c r="J14" s="83">
        <f>'DCWW Elan Valley'!J14</f>
        <v>0</v>
      </c>
      <c r="K14" s="83">
        <f>'DCWW Elan Valley'!K14</f>
        <v>0</v>
      </c>
      <c r="L14" s="83">
        <f>'DCWW Elan Valley'!L14</f>
        <v>0</v>
      </c>
      <c r="M14" s="83">
        <f>'DCWW Elan Valley'!M14</f>
        <v>0</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9" t="s">
        <v>9</v>
      </c>
      <c r="B15" s="150"/>
      <c r="C15" s="49">
        <f>'DCWW Elan Valley'!C15</f>
        <v>40</v>
      </c>
      <c r="D15" s="49">
        <f>'DCWW Elan Valley'!D15</f>
        <v>85</v>
      </c>
      <c r="E15" s="49">
        <f>'DCWW Elan Valley'!E15</f>
        <v>40</v>
      </c>
      <c r="F15" s="49">
        <f>'DCWW Elan Valley'!F15</f>
        <v>85</v>
      </c>
      <c r="G15" s="49">
        <f>'DCWW Elan Valley'!G15</f>
        <v>85</v>
      </c>
      <c r="H15" s="49">
        <f>'DCWW Elan Valley'!H15</f>
        <v>0</v>
      </c>
      <c r="I15" s="49">
        <f>'DCWW Elan Valley'!I15</f>
        <v>0</v>
      </c>
      <c r="J15" s="49">
        <f>'DCWW Elan Valley'!J15</f>
        <v>0</v>
      </c>
      <c r="K15" s="49">
        <f>'DCWW Elan Valley'!K15</f>
        <v>0</v>
      </c>
      <c r="L15" s="49">
        <f>'DCWW Elan Valley'!L15</f>
        <v>0</v>
      </c>
      <c r="M15" s="49">
        <f>'DCWW Elan Valley'!M15</f>
        <v>0</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f>'DCWW Elan Valley'!H16</f>
        <v>0</v>
      </c>
      <c r="I16" s="104">
        <f>'DCWW Elan Valley'!I16</f>
        <v>0</v>
      </c>
      <c r="J16" s="104">
        <f>'DCWW Elan Valley'!J16</f>
        <v>0</v>
      </c>
      <c r="K16" s="104">
        <f>'DCWW Elan Valley'!K16</f>
        <v>0</v>
      </c>
      <c r="L16" s="104">
        <f>'DCWW Elan Valley'!L16</f>
        <v>0</v>
      </c>
      <c r="M16" s="104">
        <f>'DCWW Elan Valley'!M16</f>
        <v>0</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14.928156</v>
      </c>
      <c r="D18" s="12">
        <f>$D32</f>
        <v>18.245524</v>
      </c>
      <c r="E18" s="12">
        <f>$D33</f>
        <v>14.928156</v>
      </c>
      <c r="F18" s="12">
        <f>$D34</f>
        <v>18.245524</v>
      </c>
      <c r="G18" s="12">
        <f>$D35</f>
        <v>18.245524</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-41.071843999999999</v>
      </c>
      <c r="D19" s="12">
        <f t="shared" ref="D19:V19" si="1">D18-D17</f>
        <v>-41.254475999999997</v>
      </c>
      <c r="E19" s="12">
        <f t="shared" si="1"/>
        <v>-41.071843999999999</v>
      </c>
      <c r="F19" s="12">
        <f t="shared" si="1"/>
        <v>-41.254475999999997</v>
      </c>
      <c r="G19" s="12">
        <f t="shared" si="1"/>
        <v>-41.254475999999997</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(VLOOKUP(D$14,$AI2:$AK26,3,FALSE))*D$15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42.414794999999998</v>
      </c>
      <c r="D22" s="12">
        <f>$E32</f>
        <v>51.840305000000001</v>
      </c>
      <c r="E22" s="12">
        <f>$E33</f>
        <v>42.414794999999998</v>
      </c>
      <c r="F22" s="12">
        <f>$E34</f>
        <v>51.840305000000001</v>
      </c>
      <c r="G22" s="12">
        <f>$E35</f>
        <v>51.840305000000001</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-133.585205</v>
      </c>
      <c r="D23" s="12">
        <f t="shared" ref="D23:V23" si="3">D22-D21</f>
        <v>-288.159695</v>
      </c>
      <c r="E23" s="12">
        <f t="shared" si="3"/>
        <v>-133.585205</v>
      </c>
      <c r="F23" s="12">
        <f t="shared" si="3"/>
        <v>-288.159695</v>
      </c>
      <c r="G23" s="12">
        <f t="shared" si="3"/>
        <v>-288.159695</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6.55</v>
      </c>
      <c r="C28" s="11">
        <v>1.07</v>
      </c>
      <c r="D28" s="11">
        <v>724</v>
      </c>
      <c r="E28" s="11">
        <v>3911</v>
      </c>
      <c r="F28" s="11">
        <v>38.4</v>
      </c>
      <c r="G28" s="11">
        <v>2.91</v>
      </c>
      <c r="H28" s="11">
        <v>14.4</v>
      </c>
      <c r="I28" s="11">
        <v>0.5</v>
      </c>
      <c r="J28" s="11">
        <v>0.03</v>
      </c>
      <c r="K28" s="15">
        <v>0.05</v>
      </c>
      <c r="L28" s="11">
        <v>2.5</v>
      </c>
      <c r="M28" s="11">
        <v>0.94</v>
      </c>
      <c r="N28" s="11"/>
      <c r="O28" s="11"/>
      <c r="P28" s="11"/>
      <c r="Q28" s="11">
        <v>38.4</v>
      </c>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9</v>
      </c>
      <c r="C31" s="65">
        <f>IF(C$27="%w/w SAR",((C$28*10)*$B31),IF(C$27="%w/w DM",(((C$28*10)*($B$28/100))*$B31),IF(C$27="kg/t SAR",(C$28*$B31),IF(C$27="kg/t DM",((C$28*($B$28/100))*$B31),IF(C$27="mg/kg SAR",((C$28*0.001)*$B31),IF(C$27="mg/kg DM",(((C$28*0.001)*($B$28/100))*$B31),0))))))</f>
        <v>96.300000000000011</v>
      </c>
      <c r="D31" s="65">
        <f>(IF(D$27="%w/w SAR",((D$28*10)*$B31),IF(D$27="%w/w DM",(((D$28*10)*($B$28/100))*$B31),IF(D$27="kg/t SAR",(D$28*$B31),IF(D$27="kg/t DM",((D$28*($B$28/100))*$B31),IF(D$27="mg/kg SAR",((D$28*0.001)*$B31),IF(D$27="mg/kg DM",(((D$28*0.001)*($B$28/100))*$B31),"0")))))))*2.291</f>
        <v>14.928156</v>
      </c>
      <c r="E31" s="65">
        <f>(IF(E$27="%w/w SAR",((E$28*10)*$B31),IF(E$27="%w/w DM",(((E$28*10)*($B$28/100))*$B31),IF(E$27="kg/t SAR",(E$28*$B31),IF(E$27="kg/t DM",((E$28*($B$28/100))*$B31),IF(E$27="mg/kg SAR",((E$28*0.001)*$B31),IF(E$27="mg/kg DM",(((E$28*0.001)*($B$28/100))*$B31),"0")))))))*1.205</f>
        <v>42.414794999999998</v>
      </c>
      <c r="F31" s="65">
        <f>(IF(F$27="%w/w SAR",((F$28*10)*$B31),IF(F$27="%w/w DM",(((F$28*10)*($B$28/100))*$B31),IF(F$27="kg/t SAR",(F$28*$B31),IF(F$27="kg/t DM",((F$28*($B$28/100))*$B31),IF(F$27="mg/kg SAR",((F$28*0.001)*$B31),IF(F$27="mg/kg DM",(((F$28*0.001)*($B$28/100))*$B31),"0")))))))*1.658</f>
        <v>0.57300479999999987</v>
      </c>
      <c r="G31" s="65">
        <f t="shared" ref="G31:P46" si="5">IF(G$27="%w/w SAR",((G$28*10)*$B31),IF(G$27="%w/w DM",(((G$28*10)*($B$28/100))*$B31),IF(G$27="kg/t SAR",(G$28*$B31),IF(G$27="kg/t DM",((G$28*($B$28/100))*$B31),IF(G$27="mg/kg SAR",((G$28*0.001)*$B31),IF(G$27="mg/kg DM",(((G$28*0.001)*($B$28/100))*$B31),0))))))</f>
        <v>2.6190000000000001E-2</v>
      </c>
      <c r="H31" s="65">
        <f t="shared" si="5"/>
        <v>0.12960000000000002</v>
      </c>
      <c r="I31" s="65">
        <f t="shared" si="5"/>
        <v>4.5000000000000005E-3</v>
      </c>
      <c r="J31" s="65">
        <f t="shared" si="5"/>
        <v>2.7E-4</v>
      </c>
      <c r="K31" s="65">
        <f t="shared" si="5"/>
        <v>4.5000000000000004E-4</v>
      </c>
      <c r="L31" s="65">
        <f t="shared" si="5"/>
        <v>2.2499999999999999E-2</v>
      </c>
      <c r="M31" s="65">
        <f t="shared" si="5"/>
        <v>8.4600000000000005E-3</v>
      </c>
      <c r="N31" s="65">
        <f t="shared" si="5"/>
        <v>0</v>
      </c>
      <c r="O31" s="65">
        <f t="shared" si="5"/>
        <v>0</v>
      </c>
      <c r="P31" s="65">
        <f t="shared" si="5"/>
        <v>0</v>
      </c>
      <c r="Q31" s="65">
        <f>(IF(Q$27="%w/w SAR",((Q$28*10)*$B31),IF(Q$27="%w/w DM",(((Q$28*10)*($B$28/100))*$B31),IF(Q$27="kg/t SAR",(Q$28*$B31),IF(Q$27="kg/t DM",((Q$28*($B$28/100))*$B31),IF(Q$27="mg/kg SAR",((Q$28*0.001)*$B31),IF(Q$27="mg/kg DM",(((Q$28*0.001)*($B$28/100))*$B31),0)))))))*2.5</f>
        <v>0.86399999999999988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11</v>
      </c>
      <c r="C32" s="65">
        <f t="shared" ref="C32:C50" si="6">IF(C$27="%w/w SAR",((C$28*10)*$B32),IF(C$27="%w/w DM",(((C$28*10)*($B$28/100))*$B32),IF(C$27="kg/t SAR",(C$28*$B32),IF(C$27="kg/t DM",((C$28*($B$28/100))*$B32),IF(C$27="mg/kg SAR",((C$28*0.001)*$B32),IF(C$27="mg/kg DM",(((C$28*0.001)*($B$28/100))*$B32),0))))))</f>
        <v>117.70000000000002</v>
      </c>
      <c r="D32" s="65">
        <f t="shared" ref="D32:D50" si="7">(IF(D$27="%w/w SAR",((D$28*10)*$B32),IF(D$27="%w/w DM",(((D$28*10)*($B$28/100))*$B32),IF(D$27="kg/t SAR",(D$28*$B32),IF(D$27="kg/t DM",((D$28*($B$28/100))*$B32),IF(D$27="mg/kg SAR",((D$28*0.001)*$B32),IF(D$27="mg/kg DM",(((D$28*0.001)*($B$28/100))*$B32),"0")))))))*2.291</f>
        <v>18.245524</v>
      </c>
      <c r="E32" s="65">
        <f t="shared" ref="E32:E50" si="8">(IF(E$27="%w/w SAR",((E$28*10)*$B32),IF(E$27="%w/w DM",(((E$28*10)*($B$28/100))*$B32),IF(E$27="kg/t SAR",(E$28*$B32),IF(E$27="kg/t DM",((E$28*($B$28/100))*$B32),IF(E$27="mg/kg SAR",((E$28*0.001)*$B32),IF(E$27="mg/kg DM",(((E$28*0.001)*($B$28/100))*$B32),"0")))))))*1.205</f>
        <v>51.840305000000001</v>
      </c>
      <c r="F32" s="65">
        <f t="shared" ref="F32:F50" si="9">(IF(F$27="%w/w SAR",((F$28*10)*$B32),IF(F$27="%w/w DM",(((F$28*10)*($B$28/100))*$B32),IF(F$27="kg/t SAR",(F$28*$B32),IF(F$27="kg/t DM",((F$28*($B$28/100))*$B32),IF(F$27="mg/kg SAR",((F$28*0.001)*$B32),IF(F$27="mg/kg DM",(((F$28*0.001)*($B$28/100))*$B32),"0")))))))*1.658</f>
        <v>0.70033919999999983</v>
      </c>
      <c r="G32" s="65">
        <f t="shared" si="5"/>
        <v>3.2010000000000004E-2</v>
      </c>
      <c r="H32" s="65">
        <f t="shared" si="5"/>
        <v>0.15840000000000001</v>
      </c>
      <c r="I32" s="65">
        <f t="shared" si="5"/>
        <v>5.4999999999999997E-3</v>
      </c>
      <c r="J32" s="65">
        <f t="shared" si="5"/>
        <v>3.3E-4</v>
      </c>
      <c r="K32" s="65">
        <f t="shared" si="5"/>
        <v>5.5000000000000003E-4</v>
      </c>
      <c r="L32" s="65">
        <f t="shared" si="5"/>
        <v>2.75E-2</v>
      </c>
      <c r="M32" s="65">
        <f t="shared" si="5"/>
        <v>1.034E-2</v>
      </c>
      <c r="N32" s="65">
        <f t="shared" si="5"/>
        <v>0</v>
      </c>
      <c r="O32" s="65">
        <f t="shared" si="5"/>
        <v>0</v>
      </c>
      <c r="P32" s="65">
        <f t="shared" si="5"/>
        <v>0</v>
      </c>
      <c r="Q32" s="65">
        <f t="shared" ref="Q32:Q50" si="10">(IF(Q$27="%w/w SAR",((Q$28*10)*$B32),IF(Q$27="%w/w DM",(((Q$28*10)*($B$28/100))*$B32),IF(Q$27="kg/t SAR",(Q$28*$B32),IF(Q$27="kg/t DM",((Q$28*($B$28/100))*$B32),IF(Q$27="mg/kg SAR",((Q$28*0.001)*$B32),IF(Q$27="mg/kg DM",(((Q$28*0.001)*($B$28/100))*$B32),0)))))))*2.5</f>
        <v>1.0559999999999998</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9</v>
      </c>
      <c r="C33" s="65">
        <f t="shared" si="6"/>
        <v>96.300000000000011</v>
      </c>
      <c r="D33" s="65">
        <f t="shared" si="7"/>
        <v>14.928156</v>
      </c>
      <c r="E33" s="65">
        <f t="shared" si="8"/>
        <v>42.414794999999998</v>
      </c>
      <c r="F33" s="65">
        <f t="shared" si="9"/>
        <v>0.57300479999999987</v>
      </c>
      <c r="G33" s="65">
        <f t="shared" si="5"/>
        <v>2.6190000000000001E-2</v>
      </c>
      <c r="H33" s="65">
        <f t="shared" si="5"/>
        <v>0.12960000000000002</v>
      </c>
      <c r="I33" s="65">
        <f t="shared" si="5"/>
        <v>4.5000000000000005E-3</v>
      </c>
      <c r="J33" s="65">
        <f t="shared" si="5"/>
        <v>2.7E-4</v>
      </c>
      <c r="K33" s="65">
        <f t="shared" si="5"/>
        <v>4.5000000000000004E-4</v>
      </c>
      <c r="L33" s="65">
        <f t="shared" si="5"/>
        <v>2.2499999999999999E-2</v>
      </c>
      <c r="M33" s="65">
        <f t="shared" si="5"/>
        <v>8.4600000000000005E-3</v>
      </c>
      <c r="N33" s="65">
        <f t="shared" si="5"/>
        <v>0</v>
      </c>
      <c r="O33" s="65">
        <f t="shared" si="5"/>
        <v>0</v>
      </c>
      <c r="P33" s="65">
        <f t="shared" si="5"/>
        <v>0</v>
      </c>
      <c r="Q33" s="65">
        <f t="shared" si="10"/>
        <v>0.86399999999999988</v>
      </c>
      <c r="R33" s="65">
        <f t="shared" si="11"/>
        <v>0</v>
      </c>
      <c r="S33" s="65">
        <f t="shared" si="11"/>
        <v>0</v>
      </c>
      <c r="T33" s="65">
        <f t="shared" si="11"/>
        <v>0</v>
      </c>
      <c r="U33" s="126">
        <f t="shared" si="11"/>
        <v>0</v>
      </c>
    </row>
    <row r="34" spans="1:21" s="48" customFormat="1" ht="13" x14ac:dyDescent="0.35">
      <c r="A34" s="125" t="str">
        <f>F8</f>
        <v>4A</v>
      </c>
      <c r="B34" s="11">
        <v>11</v>
      </c>
      <c r="C34" s="65">
        <f t="shared" si="6"/>
        <v>117.70000000000002</v>
      </c>
      <c r="D34" s="65">
        <f t="shared" si="7"/>
        <v>18.245524</v>
      </c>
      <c r="E34" s="65">
        <f t="shared" si="8"/>
        <v>51.840305000000001</v>
      </c>
      <c r="F34" s="65">
        <f t="shared" si="9"/>
        <v>0.70033919999999983</v>
      </c>
      <c r="G34" s="65">
        <f t="shared" si="5"/>
        <v>3.2010000000000004E-2</v>
      </c>
      <c r="H34" s="65">
        <f t="shared" si="5"/>
        <v>0.15840000000000001</v>
      </c>
      <c r="I34" s="65">
        <f t="shared" si="5"/>
        <v>5.4999999999999997E-3</v>
      </c>
      <c r="J34" s="65">
        <f t="shared" si="5"/>
        <v>3.3E-4</v>
      </c>
      <c r="K34" s="65">
        <f t="shared" si="5"/>
        <v>5.5000000000000003E-4</v>
      </c>
      <c r="L34" s="65">
        <f t="shared" si="5"/>
        <v>2.75E-2</v>
      </c>
      <c r="M34" s="65">
        <f t="shared" si="5"/>
        <v>1.034E-2</v>
      </c>
      <c r="N34" s="65">
        <f t="shared" si="5"/>
        <v>0</v>
      </c>
      <c r="O34" s="65">
        <f t="shared" si="5"/>
        <v>0</v>
      </c>
      <c r="P34" s="65">
        <f t="shared" si="5"/>
        <v>0</v>
      </c>
      <c r="Q34" s="65">
        <f t="shared" si="10"/>
        <v>1.0559999999999998</v>
      </c>
      <c r="R34" s="65">
        <f t="shared" si="11"/>
        <v>0</v>
      </c>
      <c r="S34" s="65">
        <f t="shared" si="11"/>
        <v>0</v>
      </c>
      <c r="T34" s="65">
        <f t="shared" si="11"/>
        <v>0</v>
      </c>
      <c r="U34" s="126">
        <f t="shared" si="11"/>
        <v>0</v>
      </c>
    </row>
    <row r="35" spans="1:21" s="48" customFormat="1" ht="13" x14ac:dyDescent="0.35">
      <c r="A35" s="125" t="str">
        <f>G8</f>
        <v>4B</v>
      </c>
      <c r="B35" s="11">
        <v>11</v>
      </c>
      <c r="C35" s="65">
        <f t="shared" si="6"/>
        <v>117.70000000000002</v>
      </c>
      <c r="D35" s="65">
        <f t="shared" si="7"/>
        <v>18.245524</v>
      </c>
      <c r="E35" s="65">
        <f t="shared" si="8"/>
        <v>51.840305000000001</v>
      </c>
      <c r="F35" s="65">
        <f t="shared" si="9"/>
        <v>0.70033919999999983</v>
      </c>
      <c r="G35" s="65">
        <f t="shared" si="5"/>
        <v>3.2010000000000004E-2</v>
      </c>
      <c r="H35" s="65">
        <f t="shared" si="5"/>
        <v>0.15840000000000001</v>
      </c>
      <c r="I35" s="65">
        <f t="shared" si="5"/>
        <v>5.4999999999999997E-3</v>
      </c>
      <c r="J35" s="65">
        <f t="shared" si="5"/>
        <v>3.3E-4</v>
      </c>
      <c r="K35" s="65">
        <f t="shared" si="5"/>
        <v>5.5000000000000003E-4</v>
      </c>
      <c r="L35" s="65">
        <f t="shared" si="5"/>
        <v>2.75E-2</v>
      </c>
      <c r="M35" s="65">
        <f t="shared" si="5"/>
        <v>1.034E-2</v>
      </c>
      <c r="N35" s="65">
        <f t="shared" si="5"/>
        <v>0</v>
      </c>
      <c r="O35" s="65">
        <f t="shared" si="5"/>
        <v>0</v>
      </c>
      <c r="P35" s="65">
        <f t="shared" si="5"/>
        <v>0</v>
      </c>
      <c r="Q35" s="65">
        <f t="shared" si="10"/>
        <v>1.0559999999999998</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v>
      </c>
      <c r="C62" s="65">
        <f>B32</f>
        <v>11</v>
      </c>
      <c r="D62" s="65">
        <f>B33</f>
        <v>9</v>
      </c>
      <c r="E62" s="65">
        <f>B34</f>
        <v>11</v>
      </c>
      <c r="F62" s="65">
        <f>B35</f>
        <v>11</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-1.6000000000000014</v>
      </c>
      <c r="C65" s="65">
        <f t="shared" ref="C65:U65" si="18">C63-C64</f>
        <v>4</v>
      </c>
      <c r="D65" s="65">
        <f t="shared" si="18"/>
        <v>4.7999999999999972</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zoomScale="90" zoomScaleNormal="90" workbookViewId="0">
      <selection activeCell="B32" sqref="B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Elan Valley'!C1:D1</f>
        <v>PAN-031460</v>
      </c>
      <c r="D1" s="174"/>
      <c r="E1" s="106" t="s">
        <v>45</v>
      </c>
      <c r="F1" s="113">
        <f>'DCWW Elan Valley'!F1</f>
        <v>48.7</v>
      </c>
      <c r="G1" s="163" t="s">
        <v>43</v>
      </c>
      <c r="H1" s="164"/>
      <c r="I1" s="109">
        <v>8.5</v>
      </c>
      <c r="J1" s="131" t="s">
        <v>153</v>
      </c>
      <c r="K1" s="132"/>
      <c r="L1" s="109">
        <v>5628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Elan Valley'!C2:D2</f>
        <v>EPR/GP3792SK</v>
      </c>
      <c r="D2" s="170"/>
      <c r="E2" s="96" t="s">
        <v>109</v>
      </c>
      <c r="F2" s="110" t="s">
        <v>167</v>
      </c>
      <c r="G2" s="165" t="s">
        <v>110</v>
      </c>
      <c r="H2" s="166"/>
      <c r="I2" s="110"/>
      <c r="J2" s="133" t="s">
        <v>158</v>
      </c>
      <c r="K2" s="134"/>
      <c r="L2" s="110">
        <v>0.85</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Elan Valley'!C3:D3</f>
        <v>Byproduct Recovery Ltd</v>
      </c>
      <c r="D3" s="170"/>
      <c r="E3" s="96" t="s">
        <v>108</v>
      </c>
      <c r="F3" s="111" t="s">
        <v>77</v>
      </c>
      <c r="G3" s="133" t="s">
        <v>159</v>
      </c>
      <c r="H3" s="134"/>
      <c r="I3" s="110"/>
      <c r="J3" s="135" t="s">
        <v>154</v>
      </c>
      <c r="K3" s="136"/>
      <c r="L3" s="110">
        <f>(L1/(L2*10000))*100</f>
        <v>66.211764705882345</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Elan Valley'!C4:D4</f>
        <v>Rosedew Farm, Llantwit Major, 
South Glamorgan, CF61 1PZ</v>
      </c>
      <c r="D4" s="172"/>
      <c r="E4" s="99" t="s">
        <v>1</v>
      </c>
      <c r="F4" s="110" t="s">
        <v>171</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Elan Valley'!C5:D5</f>
        <v xml:space="preserve">Owen Clee </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'DCWW Elan Valley'!C8</f>
        <v>1</v>
      </c>
      <c r="D8" s="49">
        <f>'DCWW Elan Valley'!D8</f>
        <v>2</v>
      </c>
      <c r="E8" s="49">
        <f>'DCWW Elan Valley'!E8</f>
        <v>3</v>
      </c>
      <c r="F8" s="49" t="str">
        <f>'DCWW Elan Valley'!F8</f>
        <v>4A</v>
      </c>
      <c r="G8" s="49" t="str">
        <f>'DCWW Elan Valley'!G8</f>
        <v>4B</v>
      </c>
      <c r="H8" s="49">
        <f>'DCWW Elan Valley'!H8</f>
        <v>0</v>
      </c>
      <c r="I8" s="49">
        <f>'DCWW Elan Valley'!I8</f>
        <v>0</v>
      </c>
      <c r="J8" s="49">
        <f>'DCWW Elan Valley'!J8</f>
        <v>0</v>
      </c>
      <c r="K8" s="49">
        <f>'DCWW Elan Valley'!K8</f>
        <v>0</v>
      </c>
      <c r="L8" s="49">
        <f>'DCWW Elan Valley'!L8</f>
        <v>0</v>
      </c>
      <c r="M8" s="49">
        <f>'DCWW Elan Valley'!M8</f>
        <v>0</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Elan Valley'!C9</f>
        <v>1</v>
      </c>
      <c r="D9" s="49">
        <f>'DCWW Elan Valley'!D9</f>
        <v>1</v>
      </c>
      <c r="E9" s="49">
        <f>'DCWW Elan Valley'!E9</f>
        <v>1</v>
      </c>
      <c r="F9" s="49">
        <f>'DCWW Elan Valley'!F9</f>
        <v>1</v>
      </c>
      <c r="G9" s="49">
        <f>'DCWW Elan Valley'!G9</f>
        <v>1</v>
      </c>
      <c r="H9" s="49">
        <f>'DCWW Elan Valley'!H9</f>
        <v>0</v>
      </c>
      <c r="I9" s="49">
        <f>'DCWW Elan Valley'!I9</f>
        <v>0</v>
      </c>
      <c r="J9" s="49">
        <f>'DCWW Elan Valley'!J9</f>
        <v>0</v>
      </c>
      <c r="K9" s="49">
        <f>'DCWW Elan Valley'!K9</f>
        <v>0</v>
      </c>
      <c r="L9" s="49">
        <f>'DCWW Elan Valley'!L9</f>
        <v>0</v>
      </c>
      <c r="M9" s="49">
        <f>'DCWW Elan Valley'!M9</f>
        <v>0</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Elan Valley'!C10</f>
        <v>6.5</v>
      </c>
      <c r="D10" s="49">
        <f>'DCWW Elan Valley'!D10</f>
        <v>7.2</v>
      </c>
      <c r="E10" s="49">
        <f>'DCWW Elan Valley'!E10</f>
        <v>7.3</v>
      </c>
      <c r="F10" s="49">
        <f>'DCWW Elan Valley'!F10</f>
        <v>7.1</v>
      </c>
      <c r="G10" s="49">
        <f>'DCWW Elan Valley'!G10</f>
        <v>7.1</v>
      </c>
      <c r="H10" s="49">
        <f>'DCWW Elan Valley'!H10</f>
        <v>0</v>
      </c>
      <c r="I10" s="49">
        <f>'DCWW Elan Valley'!I10</f>
        <v>0</v>
      </c>
      <c r="J10" s="49">
        <f>'DCWW Elan Valley'!J10</f>
        <v>0</v>
      </c>
      <c r="K10" s="49">
        <f>'DCWW Elan Valley'!K10</f>
        <v>0</v>
      </c>
      <c r="L10" s="49">
        <f>'DCWW Elan Valley'!L10</f>
        <v>0</v>
      </c>
      <c r="M10" s="49">
        <f>'DCWW Elan Valley'!M10</f>
        <v>0</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Elan Valley'!C11</f>
        <v>3</v>
      </c>
      <c r="D11" s="49">
        <f>'DCWW Elan Valley'!D11</f>
        <v>3</v>
      </c>
      <c r="E11" s="49">
        <f>'DCWW Elan Valley'!E11</f>
        <v>3</v>
      </c>
      <c r="F11" s="49">
        <f>'DCWW Elan Valley'!F11</f>
        <v>3</v>
      </c>
      <c r="G11" s="49">
        <f>'DCWW Elan Valley'!G11</f>
        <v>3</v>
      </c>
      <c r="H11" s="49">
        <f>'DCWW Elan Valley'!H11</f>
        <v>0</v>
      </c>
      <c r="I11" s="49">
        <f>'DCWW Elan Valley'!I11</f>
        <v>0</v>
      </c>
      <c r="J11" s="49">
        <f>'DCWW Elan Valley'!J11</f>
        <v>0</v>
      </c>
      <c r="K11" s="49">
        <f>'DCWW Elan Valley'!K11</f>
        <v>0</v>
      </c>
      <c r="L11" s="49">
        <f>'DCWW Elan Valley'!L11</f>
        <v>0</v>
      </c>
      <c r="M11" s="49">
        <f>'DCWW Elan Valley'!M11</f>
        <v>0</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Elan Valley'!C12</f>
        <v>2</v>
      </c>
      <c r="D12" s="49">
        <f>'DCWW Elan Valley'!D12</f>
        <v>2</v>
      </c>
      <c r="E12" s="49">
        <f>'DCWW Elan Valley'!E12</f>
        <v>2</v>
      </c>
      <c r="F12" s="49">
        <f>'DCWW Elan Valley'!F12</f>
        <v>2</v>
      </c>
      <c r="G12" s="49">
        <f>'DCWW Elan Valley'!G12</f>
        <v>2</v>
      </c>
      <c r="H12" s="49">
        <f>'DCWW Elan Valley'!H12</f>
        <v>0</v>
      </c>
      <c r="I12" s="49">
        <f>'DCWW Elan Valley'!I12</f>
        <v>0</v>
      </c>
      <c r="J12" s="49">
        <f>'DCWW Elan Valley'!J12</f>
        <v>0</v>
      </c>
      <c r="K12" s="49">
        <f>'DCWW Elan Valley'!K12</f>
        <v>0</v>
      </c>
      <c r="L12" s="49">
        <f>'DCWW Elan Valley'!L12</f>
        <v>0</v>
      </c>
      <c r="M12" s="49">
        <f>'DCWW Elan Valley'!M12</f>
        <v>0</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Elan Valley'!C13</f>
        <v>3</v>
      </c>
      <c r="D13" s="49">
        <f>'DCWW Elan Valley'!D13</f>
        <v>3</v>
      </c>
      <c r="E13" s="49">
        <f>'DCWW Elan Valley'!E13</f>
        <v>3</v>
      </c>
      <c r="F13" s="49">
        <f>'DCWW Elan Valley'!F13</f>
        <v>3</v>
      </c>
      <c r="G13" s="49">
        <f>'DCWW Elan Valley'!G13</f>
        <v>3</v>
      </c>
      <c r="H13" s="49">
        <f>'DCWW Elan Valley'!H13</f>
        <v>0</v>
      </c>
      <c r="I13" s="49">
        <f>'DCWW Elan Valley'!I13</f>
        <v>0</v>
      </c>
      <c r="J13" s="49">
        <f>'DCWW Elan Valley'!J13</f>
        <v>0</v>
      </c>
      <c r="K13" s="49">
        <f>'DCWW Elan Valley'!K13</f>
        <v>0</v>
      </c>
      <c r="L13" s="49">
        <f>'DCWW Elan Valley'!L13</f>
        <v>0</v>
      </c>
      <c r="M13" s="49">
        <f>'DCWW Elan Valley'!M13</f>
        <v>0</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Elan Valley'!C14</f>
        <v>Maize- Silage (30% DM)</v>
      </c>
      <c r="D14" s="83" t="str">
        <f>'DCWW Elan Valley'!D14</f>
        <v>Fodder beet (roots only)</v>
      </c>
      <c r="E14" s="83" t="str">
        <f>'DCWW Elan Valley'!E14</f>
        <v>Maize- Silage (30% DM)</v>
      </c>
      <c r="F14" s="83" t="str">
        <f>'DCWW Elan Valley'!F14</f>
        <v>Fodder beet (roots only)</v>
      </c>
      <c r="G14" s="83" t="str">
        <f>'DCWW Elan Valley'!G14</f>
        <v>Fodder beet (roots only)</v>
      </c>
      <c r="H14" s="83">
        <f>'DCWW Elan Valley'!H14</f>
        <v>0</v>
      </c>
      <c r="I14" s="83">
        <f>'DCWW Elan Valley'!I14</f>
        <v>0</v>
      </c>
      <c r="J14" s="83">
        <f>'DCWW Elan Valley'!J14</f>
        <v>0</v>
      </c>
      <c r="K14" s="83">
        <f>'DCWW Elan Valley'!K14</f>
        <v>0</v>
      </c>
      <c r="L14" s="83">
        <f>'DCWW Elan Valley'!L14</f>
        <v>0</v>
      </c>
      <c r="M14" s="83">
        <f>'DCWW Elan Valley'!M14</f>
        <v>0</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9" t="s">
        <v>9</v>
      </c>
      <c r="B15" s="150"/>
      <c r="C15" s="49">
        <f>'DCWW Elan Valley'!C15</f>
        <v>40</v>
      </c>
      <c r="D15" s="49">
        <f>'DCWW Elan Valley'!D15</f>
        <v>85</v>
      </c>
      <c r="E15" s="49">
        <f>'DCWW Elan Valley'!E15</f>
        <v>40</v>
      </c>
      <c r="F15" s="49">
        <f>'DCWW Elan Valley'!F15</f>
        <v>85</v>
      </c>
      <c r="G15" s="49">
        <f>'DCWW Elan Valley'!G15</f>
        <v>85</v>
      </c>
      <c r="H15" s="49">
        <f>'DCWW Elan Valley'!H15</f>
        <v>0</v>
      </c>
      <c r="I15" s="49">
        <f>'DCWW Elan Valley'!I15</f>
        <v>0</v>
      </c>
      <c r="J15" s="49">
        <f>'DCWW Elan Valley'!J15</f>
        <v>0</v>
      </c>
      <c r="K15" s="49">
        <f>'DCWW Elan Valley'!K15</f>
        <v>0</v>
      </c>
      <c r="L15" s="49">
        <f>'DCWW Elan Valley'!L15</f>
        <v>0</v>
      </c>
      <c r="M15" s="49">
        <f>'DCWW Elan Valley'!M15</f>
        <v>0</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f>'DCWW Elan Valley'!H16</f>
        <v>0</v>
      </c>
      <c r="I16" s="104">
        <f>'DCWW Elan Valley'!I16</f>
        <v>0</v>
      </c>
      <c r="J16" s="104">
        <f>'DCWW Elan Valley'!J16</f>
        <v>0</v>
      </c>
      <c r="K16" s="104">
        <f>'DCWW Elan Valley'!K16</f>
        <v>0</v>
      </c>
      <c r="L16" s="104">
        <f>'DCWW Elan Valley'!L16</f>
        <v>0</v>
      </c>
      <c r="M16" s="104">
        <f>'DCWW Elan Valley'!M16</f>
        <v>0</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56</v>
      </c>
      <c r="D17" s="20">
        <f t="shared" ref="D17:V17" si="0">(VLOOKUP(D$14,$AI2:$AK26,2,FALSE))*D$15</f>
        <v>59.499999999999993</v>
      </c>
      <c r="E17" s="20">
        <f t="shared" si="0"/>
        <v>56</v>
      </c>
      <c r="F17" s="20">
        <f t="shared" si="0"/>
        <v>59.499999999999993</v>
      </c>
      <c r="G17" s="20">
        <f t="shared" si="0"/>
        <v>59.499999999999993</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23.058915000000002</v>
      </c>
      <c r="D18" s="12">
        <f>$D32</f>
        <v>29.347709999999999</v>
      </c>
      <c r="E18" s="12">
        <f>$D33</f>
        <v>23.058915000000002</v>
      </c>
      <c r="F18" s="12">
        <f>$D34</f>
        <v>29.347709999999999</v>
      </c>
      <c r="G18" s="12">
        <f>$D35</f>
        <v>29.347709999999999</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-32.941085000000001</v>
      </c>
      <c r="D19" s="12">
        <f t="shared" ref="D19:V19" si="1">D18-D17</f>
        <v>-30.152289999999994</v>
      </c>
      <c r="E19" s="12">
        <f t="shared" si="1"/>
        <v>-32.941085000000001</v>
      </c>
      <c r="F19" s="12">
        <f t="shared" si="1"/>
        <v>-30.152289999999994</v>
      </c>
      <c r="G19" s="12">
        <f t="shared" si="1"/>
        <v>-30.152289999999994</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176</v>
      </c>
      <c r="D21" s="20">
        <f t="shared" ref="D21:V21" si="2">(VLOOKUP(D$14,$AI2:$AK26,3,FALSE))*D$15</f>
        <v>340</v>
      </c>
      <c r="E21" s="20">
        <f t="shared" si="2"/>
        <v>176</v>
      </c>
      <c r="F21" s="20">
        <f t="shared" si="2"/>
        <v>340</v>
      </c>
      <c r="G21" s="20">
        <f t="shared" si="2"/>
        <v>340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40.494025000000008</v>
      </c>
      <c r="D22" s="12">
        <f>$E32</f>
        <v>51.537850000000006</v>
      </c>
      <c r="E22" s="12">
        <f>$E33</f>
        <v>40.494025000000008</v>
      </c>
      <c r="F22" s="12">
        <f>$E34</f>
        <v>51.537850000000006</v>
      </c>
      <c r="G22" s="12">
        <f>$E35</f>
        <v>51.537850000000006</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-135.50597499999998</v>
      </c>
      <c r="D23" s="12">
        <f t="shared" ref="D23:V23" si="3">D22-D21</f>
        <v>-288.46215000000001</v>
      </c>
      <c r="E23" s="12">
        <f t="shared" si="3"/>
        <v>-135.50597499999998</v>
      </c>
      <c r="F23" s="12">
        <f t="shared" si="3"/>
        <v>-288.46215000000001</v>
      </c>
      <c r="G23" s="12">
        <f t="shared" si="3"/>
        <v>-288.46215000000001</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t="s">
        <v>54</v>
      </c>
      <c r="T27" s="84" t="s">
        <v>54</v>
      </c>
      <c r="U27" s="121" t="s">
        <v>54</v>
      </c>
    </row>
    <row r="28" spans="1:40" x14ac:dyDescent="0.35">
      <c r="A28" s="122"/>
      <c r="B28" s="16">
        <v>6.21</v>
      </c>
      <c r="C28" s="11">
        <v>0.85</v>
      </c>
      <c r="D28" s="11">
        <v>915</v>
      </c>
      <c r="E28" s="11">
        <v>3055</v>
      </c>
      <c r="F28" s="11">
        <v>84.5</v>
      </c>
      <c r="G28" s="11">
        <v>1.62</v>
      </c>
      <c r="H28" s="11">
        <v>11.4</v>
      </c>
      <c r="I28" s="11">
        <v>0.5</v>
      </c>
      <c r="J28" s="11">
        <v>0.03</v>
      </c>
      <c r="K28" s="15">
        <v>0.05</v>
      </c>
      <c r="L28" s="11">
        <v>1.38</v>
      </c>
      <c r="M28" s="11">
        <v>0.48</v>
      </c>
      <c r="N28" s="11"/>
      <c r="O28" s="11"/>
      <c r="P28" s="11"/>
      <c r="Q28" s="11">
        <v>491</v>
      </c>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11</v>
      </c>
      <c r="C31" s="65">
        <f>IF(C$27="%w/w SAR",((C$28*10)*$B31),IF(C$27="%w/w DM",(((C$28*10)*($B$28/100))*$B31),IF(C$27="kg/t SAR",(C$28*$B31),IF(C$27="kg/t DM",((C$28*($B$28/100))*$B31),IF(C$27="mg/kg SAR",((C$28*0.001)*$B31),IF(C$27="mg/kg DM",(((C$28*0.001)*($B$28/100))*$B31),0))))))</f>
        <v>93.5</v>
      </c>
      <c r="D31" s="65">
        <f>(IF(D$27="%w/w SAR",((D$28*10)*$B31),IF(D$27="%w/w DM",(((D$28*10)*($B$28/100))*$B31),IF(D$27="kg/t SAR",(D$28*$B31),IF(D$27="kg/t DM",((D$28*($B$28/100))*$B31),IF(D$27="mg/kg SAR",((D$28*0.001)*$B31),IF(D$27="mg/kg DM",(((D$28*0.001)*($B$28/100))*$B31),"0")))))))*2.291</f>
        <v>23.058915000000002</v>
      </c>
      <c r="E31" s="65">
        <f>(IF(E$27="%w/w SAR",((E$28*10)*$B31),IF(E$27="%w/w DM",(((E$28*10)*($B$28/100))*$B31),IF(E$27="kg/t SAR",(E$28*$B31),IF(E$27="kg/t DM",((E$28*($B$28/100))*$B31),IF(E$27="mg/kg SAR",((E$28*0.001)*$B31),IF(E$27="mg/kg DM",(((E$28*0.001)*($B$28/100))*$B31),"0")))))))*1.205</f>
        <v>40.494025000000008</v>
      </c>
      <c r="F31" s="65">
        <f>(IF(F$27="%w/w SAR",((F$28*10)*$B31),IF(F$27="%w/w DM",(((F$28*10)*($B$28/100))*$B31),IF(F$27="kg/t SAR",(F$28*$B31),IF(F$27="kg/t DM",((F$28*($B$28/100))*$B31),IF(F$27="mg/kg SAR",((F$28*0.001)*$B31),IF(F$27="mg/kg DM",(((F$28*0.001)*($B$28/100))*$B31),"0")))))))*1.658</f>
        <v>1.5411110000000001</v>
      </c>
      <c r="G31" s="65">
        <f t="shared" ref="G31:P46" si="5">IF(G$27="%w/w SAR",((G$28*10)*$B31),IF(G$27="%w/w DM",(((G$28*10)*($B$28/100))*$B31),IF(G$27="kg/t SAR",(G$28*$B31),IF(G$27="kg/t DM",((G$28*($B$28/100))*$B31),IF(G$27="mg/kg SAR",((G$28*0.001)*$B31),IF(G$27="mg/kg DM",(((G$28*0.001)*($B$28/100))*$B31),0))))))</f>
        <v>1.7820000000000003E-2</v>
      </c>
      <c r="H31" s="65">
        <f t="shared" si="5"/>
        <v>0.12540000000000001</v>
      </c>
      <c r="I31" s="65">
        <f t="shared" si="5"/>
        <v>5.4999999999999997E-3</v>
      </c>
      <c r="J31" s="65">
        <f t="shared" si="5"/>
        <v>3.3E-4</v>
      </c>
      <c r="K31" s="65">
        <f t="shared" si="5"/>
        <v>5.5000000000000003E-4</v>
      </c>
      <c r="L31" s="65">
        <f t="shared" si="5"/>
        <v>1.5179999999999999E-2</v>
      </c>
      <c r="M31" s="65">
        <f t="shared" si="5"/>
        <v>5.28E-3</v>
      </c>
      <c r="N31" s="65">
        <f t="shared" si="5"/>
        <v>0</v>
      </c>
      <c r="O31" s="65">
        <f t="shared" si="5"/>
        <v>0</v>
      </c>
      <c r="P31" s="65">
        <f t="shared" si="5"/>
        <v>0</v>
      </c>
      <c r="Q31" s="65">
        <f>(IF(Q$27="%w/w SAR",((Q$28*10)*$B31),IF(Q$27="%w/w DM",(((Q$28*10)*($B$28/100))*$B31),IF(Q$27="kg/t SAR",(Q$28*$B31),IF(Q$27="kg/t DM",((Q$28*($B$28/100))*$B31),IF(Q$27="mg/kg SAR",((Q$28*0.001)*$B31),IF(Q$27="mg/kg DM",(((Q$28*0.001)*($B$28/100))*$B31),0)))))))*2.5</f>
        <v>13.5025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14</v>
      </c>
      <c r="C32" s="65">
        <f t="shared" ref="C32:C50" si="6">IF(C$27="%w/w SAR",((C$28*10)*$B32),IF(C$27="%w/w DM",(((C$28*10)*($B$28/100))*$B32),IF(C$27="kg/t SAR",(C$28*$B32),IF(C$27="kg/t DM",((C$28*($B$28/100))*$B32),IF(C$27="mg/kg SAR",((C$28*0.001)*$B32),IF(C$27="mg/kg DM",(((C$28*0.001)*($B$28/100))*$B32),0))))))</f>
        <v>119</v>
      </c>
      <c r="D32" s="65">
        <f t="shared" ref="D32:D50" si="7">(IF(D$27="%w/w SAR",((D$28*10)*$B32),IF(D$27="%w/w DM",(((D$28*10)*($B$28/100))*$B32),IF(D$27="kg/t SAR",(D$28*$B32),IF(D$27="kg/t DM",((D$28*($B$28/100))*$B32),IF(D$27="mg/kg SAR",((D$28*0.001)*$B32),IF(D$27="mg/kg DM",(((D$28*0.001)*($B$28/100))*$B32),"0")))))))*2.291</f>
        <v>29.347709999999999</v>
      </c>
      <c r="E32" s="65">
        <f t="shared" ref="E32:E50" si="8">(IF(E$27="%w/w SAR",((E$28*10)*$B32),IF(E$27="%w/w DM",(((E$28*10)*($B$28/100))*$B32),IF(E$27="kg/t SAR",(E$28*$B32),IF(E$27="kg/t DM",((E$28*($B$28/100))*$B32),IF(E$27="mg/kg SAR",((E$28*0.001)*$B32),IF(E$27="mg/kg DM",(((E$28*0.001)*($B$28/100))*$B32),"0")))))))*1.205</f>
        <v>51.537850000000006</v>
      </c>
      <c r="F32" s="65">
        <f t="shared" ref="F32:F50" si="9">(IF(F$27="%w/w SAR",((F$28*10)*$B32),IF(F$27="%w/w DM",(((F$28*10)*($B$28/100))*$B32),IF(F$27="kg/t SAR",(F$28*$B32),IF(F$27="kg/t DM",((F$28*($B$28/100))*$B32),IF(F$27="mg/kg SAR",((F$28*0.001)*$B32),IF(F$27="mg/kg DM",(((F$28*0.001)*($B$28/100))*$B32),"0")))))))*1.658</f>
        <v>1.961414</v>
      </c>
      <c r="G32" s="65">
        <f t="shared" si="5"/>
        <v>2.2680000000000002E-2</v>
      </c>
      <c r="H32" s="65">
        <f t="shared" si="5"/>
        <v>0.15960000000000002</v>
      </c>
      <c r="I32" s="65">
        <f t="shared" si="5"/>
        <v>7.0000000000000001E-3</v>
      </c>
      <c r="J32" s="65">
        <f t="shared" si="5"/>
        <v>4.2000000000000002E-4</v>
      </c>
      <c r="K32" s="65">
        <f t="shared" si="5"/>
        <v>6.9999999999999999E-4</v>
      </c>
      <c r="L32" s="65">
        <f t="shared" si="5"/>
        <v>1.932E-2</v>
      </c>
      <c r="M32" s="65">
        <f t="shared" si="5"/>
        <v>6.7200000000000003E-3</v>
      </c>
      <c r="N32" s="65">
        <f t="shared" si="5"/>
        <v>0</v>
      </c>
      <c r="O32" s="65">
        <f t="shared" si="5"/>
        <v>0</v>
      </c>
      <c r="P32" s="65">
        <f t="shared" si="5"/>
        <v>0</v>
      </c>
      <c r="Q32" s="65">
        <f t="shared" ref="Q32:Q50" si="10">(IF(Q$27="%w/w SAR",((Q$28*10)*$B32),IF(Q$27="%w/w DM",(((Q$28*10)*($B$28/100))*$B32),IF(Q$27="kg/t SAR",(Q$28*$B32),IF(Q$27="kg/t DM",((Q$28*($B$28/100))*$B32),IF(Q$27="mg/kg SAR",((Q$28*0.001)*$B32),IF(Q$27="mg/kg DM",(((Q$28*0.001)*($B$28/100))*$B32),0)))))))*2.5</f>
        <v>17.184999999999999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11</v>
      </c>
      <c r="C33" s="65">
        <f t="shared" si="6"/>
        <v>93.5</v>
      </c>
      <c r="D33" s="65">
        <f t="shared" si="7"/>
        <v>23.058915000000002</v>
      </c>
      <c r="E33" s="65">
        <f t="shared" si="8"/>
        <v>40.494025000000008</v>
      </c>
      <c r="F33" s="65">
        <f t="shared" si="9"/>
        <v>1.5411110000000001</v>
      </c>
      <c r="G33" s="65">
        <f t="shared" si="5"/>
        <v>1.7820000000000003E-2</v>
      </c>
      <c r="H33" s="65">
        <f t="shared" si="5"/>
        <v>0.12540000000000001</v>
      </c>
      <c r="I33" s="65">
        <f t="shared" si="5"/>
        <v>5.4999999999999997E-3</v>
      </c>
      <c r="J33" s="65">
        <f t="shared" si="5"/>
        <v>3.3E-4</v>
      </c>
      <c r="K33" s="65">
        <f t="shared" si="5"/>
        <v>5.5000000000000003E-4</v>
      </c>
      <c r="L33" s="65">
        <f t="shared" si="5"/>
        <v>1.5179999999999999E-2</v>
      </c>
      <c r="M33" s="65">
        <f t="shared" si="5"/>
        <v>5.28E-3</v>
      </c>
      <c r="N33" s="65">
        <f t="shared" si="5"/>
        <v>0</v>
      </c>
      <c r="O33" s="65">
        <f t="shared" si="5"/>
        <v>0</v>
      </c>
      <c r="P33" s="65">
        <f t="shared" si="5"/>
        <v>0</v>
      </c>
      <c r="Q33" s="65">
        <f t="shared" si="10"/>
        <v>13.5025</v>
      </c>
      <c r="R33" s="65">
        <f t="shared" si="11"/>
        <v>0</v>
      </c>
      <c r="S33" s="65">
        <f t="shared" si="11"/>
        <v>0</v>
      </c>
      <c r="T33" s="65">
        <f t="shared" si="11"/>
        <v>0</v>
      </c>
      <c r="U33" s="126">
        <f t="shared" si="11"/>
        <v>0</v>
      </c>
    </row>
    <row r="34" spans="1:21" s="48" customFormat="1" ht="13" x14ac:dyDescent="0.35">
      <c r="A34" s="125" t="str">
        <f>F8</f>
        <v>4A</v>
      </c>
      <c r="B34" s="11">
        <v>14</v>
      </c>
      <c r="C34" s="65">
        <f t="shared" si="6"/>
        <v>119</v>
      </c>
      <c r="D34" s="65">
        <f t="shared" si="7"/>
        <v>29.347709999999999</v>
      </c>
      <c r="E34" s="65">
        <f t="shared" si="8"/>
        <v>51.537850000000006</v>
      </c>
      <c r="F34" s="65">
        <f t="shared" si="9"/>
        <v>1.961414</v>
      </c>
      <c r="G34" s="65">
        <f t="shared" si="5"/>
        <v>2.2680000000000002E-2</v>
      </c>
      <c r="H34" s="65">
        <f t="shared" si="5"/>
        <v>0.15960000000000002</v>
      </c>
      <c r="I34" s="65">
        <f t="shared" si="5"/>
        <v>7.0000000000000001E-3</v>
      </c>
      <c r="J34" s="65">
        <f t="shared" si="5"/>
        <v>4.2000000000000002E-4</v>
      </c>
      <c r="K34" s="65">
        <f t="shared" si="5"/>
        <v>6.9999999999999999E-4</v>
      </c>
      <c r="L34" s="65">
        <f t="shared" si="5"/>
        <v>1.932E-2</v>
      </c>
      <c r="M34" s="65">
        <f t="shared" si="5"/>
        <v>6.7200000000000003E-3</v>
      </c>
      <c r="N34" s="65">
        <f t="shared" si="5"/>
        <v>0</v>
      </c>
      <c r="O34" s="65">
        <f t="shared" si="5"/>
        <v>0</v>
      </c>
      <c r="P34" s="65">
        <f t="shared" si="5"/>
        <v>0</v>
      </c>
      <c r="Q34" s="65">
        <f t="shared" si="10"/>
        <v>17.184999999999999</v>
      </c>
      <c r="R34" s="65">
        <f t="shared" si="11"/>
        <v>0</v>
      </c>
      <c r="S34" s="65">
        <f t="shared" si="11"/>
        <v>0</v>
      </c>
      <c r="T34" s="65">
        <f t="shared" si="11"/>
        <v>0</v>
      </c>
      <c r="U34" s="126">
        <f t="shared" si="11"/>
        <v>0</v>
      </c>
    </row>
    <row r="35" spans="1:21" s="48" customFormat="1" ht="13" x14ac:dyDescent="0.35">
      <c r="A35" s="125" t="str">
        <f>G8</f>
        <v>4B</v>
      </c>
      <c r="B35" s="11">
        <v>14</v>
      </c>
      <c r="C35" s="65">
        <f t="shared" si="6"/>
        <v>119</v>
      </c>
      <c r="D35" s="65">
        <f t="shared" si="7"/>
        <v>29.347709999999999</v>
      </c>
      <c r="E35" s="65">
        <f t="shared" si="8"/>
        <v>51.537850000000006</v>
      </c>
      <c r="F35" s="65">
        <f t="shared" si="9"/>
        <v>1.961414</v>
      </c>
      <c r="G35" s="65">
        <f t="shared" si="5"/>
        <v>2.2680000000000002E-2</v>
      </c>
      <c r="H35" s="65">
        <f t="shared" si="5"/>
        <v>0.15960000000000002</v>
      </c>
      <c r="I35" s="65">
        <f t="shared" si="5"/>
        <v>7.0000000000000001E-3</v>
      </c>
      <c r="J35" s="65">
        <f t="shared" si="5"/>
        <v>4.2000000000000002E-4</v>
      </c>
      <c r="K35" s="65">
        <f t="shared" si="5"/>
        <v>6.9999999999999999E-4</v>
      </c>
      <c r="L35" s="65">
        <f t="shared" si="5"/>
        <v>1.932E-2</v>
      </c>
      <c r="M35" s="65">
        <f t="shared" si="5"/>
        <v>6.7200000000000003E-3</v>
      </c>
      <c r="N35" s="65">
        <f t="shared" si="5"/>
        <v>0</v>
      </c>
      <c r="O35" s="65">
        <f t="shared" si="5"/>
        <v>0</v>
      </c>
      <c r="P35" s="65">
        <f t="shared" si="5"/>
        <v>0</v>
      </c>
      <c r="Q35" s="65">
        <f t="shared" si="10"/>
        <v>17.184999999999999</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6.7</v>
      </c>
      <c r="F59" s="64">
        <f>VLOOKUP(G$14,Table245810[],5,FALSE)</f>
        <v>6.7</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v>
      </c>
      <c r="C62" s="65">
        <f>B32</f>
        <v>14</v>
      </c>
      <c r="D62" s="65">
        <f>B33</f>
        <v>11</v>
      </c>
      <c r="E62" s="65">
        <f>B34</f>
        <v>14</v>
      </c>
      <c r="F62" s="65">
        <f>B35</f>
        <v>14</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1.6000000000000014</v>
      </c>
      <c r="C64" s="65">
        <f t="shared" ref="C64:U64" si="17">(C59-C60)*C61</f>
        <v>-4</v>
      </c>
      <c r="D64" s="65">
        <f t="shared" si="17"/>
        <v>-4.7999999999999972</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-1.6000000000000014</v>
      </c>
      <c r="C65" s="65">
        <f t="shared" ref="C65:U65" si="18">C63-C64</f>
        <v>4</v>
      </c>
      <c r="D65" s="65">
        <f t="shared" si="18"/>
        <v>4.7999999999999972</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M31" sqref="M31"/>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5" t="s">
        <v>84</v>
      </c>
      <c r="B1" s="29" t="str">
        <f>'DCWW Elan Valley'!B29</f>
        <v>Application Rate</v>
      </c>
      <c r="C1" s="29" t="str">
        <f>'DCWW Elan Valley'!C29</f>
        <v>Nitrogen Addition</v>
      </c>
      <c r="D1" s="29" t="str">
        <f>'DCWW Elan Valley'!D29</f>
        <v>Phosphate Addition</v>
      </c>
      <c r="E1" s="29" t="str">
        <f>'DCWW Elan Valley'!E29</f>
        <v>Potash  Addition</v>
      </c>
      <c r="F1" s="29" t="str">
        <f>'DCWW Elan Valley'!F29</f>
        <v>Mg Oxide Addition</v>
      </c>
      <c r="G1" s="29" t="str">
        <f>'DCWW Elan Valley'!G29</f>
        <v>Copper Addition</v>
      </c>
      <c r="H1" s="29" t="str">
        <f>'DCWW Elan Valley'!H29</f>
        <v>Zinc Addition</v>
      </c>
      <c r="I1" s="29" t="str">
        <f>'DCWW Elan Valley'!I29</f>
        <v>Lead Addition</v>
      </c>
      <c r="J1" s="29" t="str">
        <f>'DCWW Elan Valley'!J29</f>
        <v>Cadmium Addition</v>
      </c>
      <c r="K1" s="29" t="str">
        <f>'DCWW Elan Valley'!K29</f>
        <v>Mercury Addition</v>
      </c>
      <c r="L1" s="29" t="str">
        <f>'DCWW Elan Valley'!L29</f>
        <v>Nickel Addition</v>
      </c>
      <c r="M1" s="29" t="str">
        <f>'DCWW Elan Valley'!M29</f>
        <v>Chromium Addition</v>
      </c>
      <c r="N1" s="29" t="str">
        <f>'DCWW Elan Valley'!N29</f>
        <v>Aluminium Addition</v>
      </c>
      <c r="O1" s="29" t="str">
        <f>'DCWW Elan Valley'!O29</f>
        <v>Iron Addition</v>
      </c>
      <c r="P1" s="29" t="str">
        <f>'DCWW Elan Valley'!P29</f>
        <v xml:space="preserve">Sodium Addition                 </v>
      </c>
      <c r="Q1" s="29" t="str">
        <f>'DCWW Elan Valley'!Q29</f>
        <v>SO3  Addition                             kg/ha</v>
      </c>
      <c r="R1" s="29" t="str">
        <f>'DCWW Elan Valley'!R29</f>
        <v xml:space="preserve">Selenium Addition </v>
      </c>
      <c r="S1" s="29" t="str">
        <f>'DCWW Elan Valley'!S29</f>
        <v xml:space="preserve">Arsenic  Addition  </v>
      </c>
      <c r="T1" s="29" t="str">
        <f>'DCWW Elan Valley'!T29</f>
        <v xml:space="preserve">Molybdenum Addition  </v>
      </c>
      <c r="U1" s="29" t="str">
        <f>'DCWW Elan Valley'!U29</f>
        <v xml:space="preserve">Fluoride Addition </v>
      </c>
    </row>
    <row r="2" spans="1:21" ht="25" x14ac:dyDescent="0.25">
      <c r="A2" s="175"/>
      <c r="B2" s="29" t="str">
        <f>'DCWW Elan Valley'!B30</f>
        <v>tonnes/ha</v>
      </c>
      <c r="C2" s="29" t="str">
        <f>'DCWW Elan Valley'!C30</f>
        <v>kg/ha</v>
      </c>
      <c r="D2" s="29" t="str">
        <f>'DCWW Elan Valley'!D30</f>
        <v>P2O5 
kg/ha</v>
      </c>
      <c r="E2" s="29" t="str">
        <f>'DCWW Elan Valley'!E30</f>
        <v>K2O 
kg/ha</v>
      </c>
      <c r="F2" s="29" t="str">
        <f>'DCWW Elan Valley'!F30</f>
        <v>MgO 
kg/ha</v>
      </c>
      <c r="G2" s="29" t="str">
        <f>'DCWW Elan Valley'!G30</f>
        <v>kg/ha</v>
      </c>
      <c r="H2" s="29" t="str">
        <f>'DCWW Elan Valley'!H30</f>
        <v>kg/ha</v>
      </c>
      <c r="I2" s="29" t="str">
        <f>'DCWW Elan Valley'!I30</f>
        <v>kg/ha</v>
      </c>
      <c r="J2" s="29" t="str">
        <f>'DCWW Elan Valley'!J30</f>
        <v>kg/ha</v>
      </c>
      <c r="K2" s="29" t="str">
        <f>'DCWW Elan Valley'!K30</f>
        <v>kg/ha</v>
      </c>
      <c r="L2" s="29" t="str">
        <f>'DCWW Elan Valley'!L30</f>
        <v>kg/ha</v>
      </c>
      <c r="M2" s="29" t="str">
        <f>'DCWW Elan Valley'!M30</f>
        <v>kg/ha</v>
      </c>
      <c r="N2" s="29" t="str">
        <f>'DCWW Elan Valley'!N30</f>
        <v>kg/ha</v>
      </c>
      <c r="O2" s="29" t="str">
        <f>'DCWW Elan Valley'!O30</f>
        <v>kg/ha</v>
      </c>
      <c r="P2" s="29" t="str">
        <f>'DCWW Elan Valley'!P30</f>
        <v>kg/ha</v>
      </c>
      <c r="Q2" s="29" t="str">
        <f>'DCWW Elan Valley'!Q30</f>
        <v>kg/ha</v>
      </c>
      <c r="R2" s="29" t="str">
        <f>'DCWW Elan Valley'!R30</f>
        <v>kg/ha</v>
      </c>
      <c r="S2" s="29" t="str">
        <f>'DCWW Elan Valley'!S30</f>
        <v>kg/ha</v>
      </c>
      <c r="T2" s="29" t="str">
        <f>'DCWW Elan Valley'!T30</f>
        <v>kg/ha</v>
      </c>
      <c r="U2" s="29" t="str">
        <f>'DCWW Elan Valley'!U30</f>
        <v>kg/ha</v>
      </c>
    </row>
    <row r="3" spans="1:21" x14ac:dyDescent="0.25">
      <c r="A3" s="27">
        <v>1</v>
      </c>
      <c r="B3" s="24">
        <f>'DCWW Elan Valley'!B31</f>
        <v>75</v>
      </c>
      <c r="C3" s="24">
        <f>'DCWW Elan Valley'!C31</f>
        <v>29.26125</v>
      </c>
      <c r="D3" s="24">
        <f>'DCWW Elan Valley'!D31</f>
        <v>28.144934999999997</v>
      </c>
      <c r="E3" s="24">
        <f>'DCWW Elan Valley'!E31</f>
        <v>1.5860812499999999</v>
      </c>
      <c r="F3" s="24">
        <f>'DCWW Elan Valley'!F31</f>
        <v>4.0233442499999992</v>
      </c>
      <c r="G3" s="24">
        <f>'DCWW Elan Valley'!G31</f>
        <v>0.11812500000000001</v>
      </c>
      <c r="H3" s="24">
        <f>'DCWW Elan Valley'!H31</f>
        <v>1.08</v>
      </c>
      <c r="I3" s="24">
        <f>'DCWW Elan Valley'!I31</f>
        <v>0.21228749999999996</v>
      </c>
      <c r="J3" s="24">
        <f>'DCWW Elan Valley'!J31</f>
        <v>1.6537499999999998E-3</v>
      </c>
      <c r="K3" s="24">
        <f>'DCWW Elan Valley'!K31</f>
        <v>1.5187500000000001E-3</v>
      </c>
      <c r="L3" s="24">
        <f>'DCWW Elan Valley'!L31</f>
        <v>7.7287499999999995E-2</v>
      </c>
      <c r="M3" s="24">
        <f>'DCWW Elan Valley'!M31</f>
        <v>0.11272500000000001</v>
      </c>
      <c r="N3" s="24">
        <f>'DCWW Elan Valley'!N31</f>
        <v>16.166249999999998</v>
      </c>
      <c r="O3" s="24">
        <f>'DCWW Elan Valley'!O31</f>
        <v>1363.5</v>
      </c>
      <c r="P3" s="24">
        <f>'DCWW Elan Valley'!P31</f>
        <v>0</v>
      </c>
      <c r="Q3" s="24">
        <f>'DCWW Elan Valley'!Q31</f>
        <v>32.568750000000001</v>
      </c>
      <c r="R3" s="24">
        <f>'DCWW Elan Valley'!R31</f>
        <v>0</v>
      </c>
      <c r="S3" s="24">
        <f>'DCWW Elan Valley'!S31</f>
        <v>0.15390000000000001</v>
      </c>
      <c r="T3" s="24">
        <f>'DCWW Elan Valley'!T31</f>
        <v>0</v>
      </c>
      <c r="U3" s="24">
        <f>'DCWW Elan Valley'!U31</f>
        <v>0</v>
      </c>
    </row>
    <row r="4" spans="1:21" x14ac:dyDescent="0.25">
      <c r="A4" s="27">
        <v>2</v>
      </c>
      <c r="B4" s="24">
        <f>'DCWW Llyswen'!B31</f>
        <v>250</v>
      </c>
      <c r="C4" s="24">
        <f>'DCWW Llyswen'!C31</f>
        <v>92.783250000000024</v>
      </c>
      <c r="D4" s="24">
        <f>'DCWW Llyswen'!D31</f>
        <v>22.927984350000003</v>
      </c>
      <c r="E4" s="24">
        <f>'DCWW Llyswen'!E31</f>
        <v>11.465153250000002</v>
      </c>
      <c r="F4" s="24">
        <f>'DCWW Llyswen'!F31</f>
        <v>50.93749050000001</v>
      </c>
      <c r="G4" s="24">
        <f>'DCWW Llyswen'!G31</f>
        <v>0.39456000000000002</v>
      </c>
      <c r="H4" s="24">
        <f>'DCWW Llyswen'!H31</f>
        <v>1.5823500000000001</v>
      </c>
      <c r="I4" s="24">
        <f>'DCWW Llyswen'!I31</f>
        <v>9.7612500000000005E-2</v>
      </c>
      <c r="J4" s="24">
        <f>'DCWW Llyswen'!J31</f>
        <v>2.3632500000000003E-3</v>
      </c>
      <c r="K4" s="24">
        <f>'DCWW Llyswen'!K31</f>
        <v>1.00695E-2</v>
      </c>
      <c r="L4" s="24">
        <f>'DCWW Llyswen'!L31</f>
        <v>0.17364750000000001</v>
      </c>
      <c r="M4" s="24">
        <f>'DCWW Llyswen'!M31</f>
        <v>0.12021750000000002</v>
      </c>
      <c r="N4" s="24">
        <f>'DCWW Llyswen'!N31</f>
        <v>1274.1000000000001</v>
      </c>
      <c r="O4" s="24">
        <f>'DCWW Llyswen'!O31</f>
        <v>235.29750000000004</v>
      </c>
      <c r="P4" s="24">
        <f>'DCWW Llyswen'!P31</f>
        <v>0</v>
      </c>
      <c r="Q4" s="24">
        <f>'DCWW Llyswen'!Q31</f>
        <v>119.70375000000003</v>
      </c>
      <c r="R4" s="24">
        <f>'DCWW Llyswen'!R31</f>
        <v>0</v>
      </c>
      <c r="S4" s="24">
        <f>'DCWW Llyswen'!S31</f>
        <v>0.17364750000000001</v>
      </c>
      <c r="T4" s="24">
        <f>'DCWW Llyswen'!T31</f>
        <v>0</v>
      </c>
      <c r="U4" s="24">
        <f>'DCWW Llyswen'!U31</f>
        <v>0</v>
      </c>
    </row>
    <row r="5" spans="1:21" x14ac:dyDescent="0.25">
      <c r="A5" s="27">
        <v>3</v>
      </c>
      <c r="B5" s="24">
        <f>'DCWW talybont'!B31</f>
        <v>105</v>
      </c>
      <c r="C5" s="24">
        <f>'DCWW talybont'!C31</f>
        <v>60.832799999999999</v>
      </c>
      <c r="D5" s="24">
        <f>'DCWW talybont'!D31</f>
        <v>28.135312799999998</v>
      </c>
      <c r="E5" s="24">
        <f>'DCWW talybont'!E31</f>
        <v>2.6069211000000001</v>
      </c>
      <c r="F5" s="24">
        <f>'DCWW talybont'!F31</f>
        <v>7.5763968000000004</v>
      </c>
      <c r="G5" s="24">
        <f>'DCWW talybont'!G31</f>
        <v>0.46195800000000009</v>
      </c>
      <c r="H5" s="24">
        <f>'DCWW talybont'!H31</f>
        <v>1.04244</v>
      </c>
      <c r="I5" s="24">
        <f>'DCWW talybont'!I31</f>
        <v>0.130662</v>
      </c>
      <c r="J5" s="24">
        <f>'DCWW talybont'!J31</f>
        <v>3.0701999999999999E-3</v>
      </c>
      <c r="K5" s="24">
        <f>'DCWW talybont'!K31</f>
        <v>2.1420000000000002E-3</v>
      </c>
      <c r="L5" s="24">
        <f>'DCWW talybont'!L31</f>
        <v>0.14637</v>
      </c>
      <c r="M5" s="24">
        <f>'DCWW talybont'!M31</f>
        <v>9.0678000000000009E-2</v>
      </c>
      <c r="N5" s="24">
        <f>'DCWW talybont'!N31</f>
        <v>500.51400000000007</v>
      </c>
      <c r="O5" s="24">
        <f>'DCWW talybont'!O31</f>
        <v>36.342600000000004</v>
      </c>
      <c r="P5" s="24">
        <f>'DCWW talybont'!P31</f>
        <v>0</v>
      </c>
      <c r="Q5" s="24">
        <f>'DCWW talybont'!Q31</f>
        <v>84.430500000000009</v>
      </c>
      <c r="R5" s="24">
        <f>'DCWW talybont'!R31</f>
        <v>0</v>
      </c>
      <c r="S5" s="24">
        <f>'DCWW talybont'!S31</f>
        <v>0.13423200000000002</v>
      </c>
      <c r="T5" s="24">
        <f>'DCWW talybont'!T31</f>
        <v>0</v>
      </c>
      <c r="U5" s="24">
        <f>'DCWW talybont'!U31</f>
        <v>0</v>
      </c>
    </row>
    <row r="6" spans="1:21" x14ac:dyDescent="0.25">
      <c r="A6" s="27">
        <v>4</v>
      </c>
      <c r="B6" s="24">
        <f>'DCWW Court Farm'!B31</f>
        <v>42</v>
      </c>
      <c r="C6" s="24">
        <f>'DCWW Court Farm'!C31</f>
        <v>50.055599999999991</v>
      </c>
      <c r="D6" s="24">
        <f>'DCWW Court Farm'!D31</f>
        <v>27.911307983999993</v>
      </c>
      <c r="E6" s="24">
        <f>'DCWW Court Farm'!E31</f>
        <v>6.5121911399999997</v>
      </c>
      <c r="F6" s="24">
        <f>'DCWW Court Farm'!F31</f>
        <v>20.860577976000002</v>
      </c>
      <c r="G6" s="24">
        <f>'DCWW Court Farm'!G31</f>
        <v>0.17986079999999999</v>
      </c>
      <c r="H6" s="24">
        <f>'DCWW Court Farm'!H31</f>
        <v>0.42589679999999996</v>
      </c>
      <c r="I6" s="24">
        <f>'DCWW Court Farm'!I31</f>
        <v>6.7023600000000003E-2</v>
      </c>
      <c r="J6" s="24">
        <f>'DCWW Court Farm'!J31</f>
        <v>3.2239200000000003E-3</v>
      </c>
      <c r="K6" s="24">
        <f>'DCWW Court Farm'!K31</f>
        <v>8.4840000000000002E-4</v>
      </c>
      <c r="L6" s="24">
        <f>'DCWW Court Farm'!L31</f>
        <v>0.21379679999999998</v>
      </c>
      <c r="M6" s="24">
        <f>'DCWW Court Farm'!M31</f>
        <v>0.25706519999999999</v>
      </c>
      <c r="N6" s="24">
        <f>'DCWW Court Farm'!N31</f>
        <v>0</v>
      </c>
      <c r="O6" s="24">
        <f>'DCWW Court Farm'!O31</f>
        <v>3505.9790639999997</v>
      </c>
      <c r="P6" s="24">
        <f>'DCWW Court Farm'!P31</f>
        <v>1.179276</v>
      </c>
      <c r="Q6" s="24">
        <f>'DCWW Court Farm'!Q31</f>
        <v>23.733989999999999</v>
      </c>
      <c r="R6" s="24">
        <f>'DCWW Court Farm'!R31</f>
        <v>1.52712E-2</v>
      </c>
      <c r="S6" s="24">
        <f>'DCWW Court Farm'!S31</f>
        <v>0.12471479999999999</v>
      </c>
      <c r="T6" s="24">
        <f>'DCWW Court Farm'!T31</f>
        <v>2.3500679999999999E-2</v>
      </c>
      <c r="U6" s="24">
        <f>'DCWW Court Farm'!U31</f>
        <v>8.9082000000000008E-2</v>
      </c>
    </row>
    <row r="7" spans="1:21" x14ac:dyDescent="0.25">
      <c r="A7" s="27">
        <v>5</v>
      </c>
      <c r="B7" s="24">
        <f>'Biogen Digestate'!B31</f>
        <v>9</v>
      </c>
      <c r="C7" s="24">
        <f>'Biogen Digestate'!C31</f>
        <v>96.300000000000011</v>
      </c>
      <c r="D7" s="24">
        <f>'Biogen Digestate'!D31</f>
        <v>14.928156</v>
      </c>
      <c r="E7" s="24">
        <f>'Biogen Digestate'!E31</f>
        <v>42.414794999999998</v>
      </c>
      <c r="F7" s="24">
        <f>'Biogen Digestate'!F31</f>
        <v>0.57300479999999987</v>
      </c>
      <c r="G7" s="24">
        <f>'Biogen Digestate'!G31</f>
        <v>2.6190000000000001E-2</v>
      </c>
      <c r="H7" s="24">
        <f>'Biogen Digestate'!H31</f>
        <v>0.12960000000000002</v>
      </c>
      <c r="I7" s="24">
        <f>'Biogen Digestate'!I31</f>
        <v>4.5000000000000005E-3</v>
      </c>
      <c r="J7" s="24">
        <f>'Biogen Digestate'!J31</f>
        <v>2.7E-4</v>
      </c>
      <c r="K7" s="24">
        <f>'Biogen Digestate'!K31</f>
        <v>4.5000000000000004E-4</v>
      </c>
      <c r="L7" s="24">
        <f>'Biogen Digestate'!L31</f>
        <v>2.2499999999999999E-2</v>
      </c>
      <c r="M7" s="24">
        <f>'Biogen Digestate'!M31</f>
        <v>8.4600000000000005E-3</v>
      </c>
      <c r="N7" s="24">
        <f>'Biogen Digestate'!N31</f>
        <v>0</v>
      </c>
      <c r="O7" s="24">
        <f>'Biogen Digestate'!O31</f>
        <v>0</v>
      </c>
      <c r="P7" s="24">
        <f>'Biogen Digestate'!P31</f>
        <v>0</v>
      </c>
      <c r="Q7" s="24">
        <f>'Biogen Digestate'!Q31</f>
        <v>0.86399999999999988</v>
      </c>
      <c r="R7" s="24">
        <f>'Biogen Digestate'!R31</f>
        <v>0</v>
      </c>
      <c r="S7" s="24">
        <f>'Biogen Digestate'!S31</f>
        <v>0</v>
      </c>
      <c r="T7" s="24">
        <f>'Biogen Digestate'!T31</f>
        <v>0</v>
      </c>
      <c r="U7" s="24">
        <f>'Biogen Digestate'!U31</f>
        <v>0</v>
      </c>
    </row>
    <row r="8" spans="1:21" x14ac:dyDescent="0.25">
      <c r="A8" s="27">
        <v>6</v>
      </c>
      <c r="B8" s="24">
        <f>'DCWW Organic Energy Digestate'!B31</f>
        <v>11</v>
      </c>
      <c r="C8" s="24">
        <f>'DCWW Organic Energy Digestate'!C31</f>
        <v>93.5</v>
      </c>
      <c r="D8" s="24">
        <f>'DCWW Organic Energy Digestate'!D31</f>
        <v>23.058915000000002</v>
      </c>
      <c r="E8" s="24">
        <f>'DCWW Organic Energy Digestate'!E31</f>
        <v>40.494025000000008</v>
      </c>
      <c r="F8" s="24">
        <f>'DCWW Organic Energy Digestate'!F31</f>
        <v>1.5411110000000001</v>
      </c>
      <c r="G8" s="24">
        <f>'DCWW Organic Energy Digestate'!G31</f>
        <v>1.7820000000000003E-2</v>
      </c>
      <c r="H8" s="24">
        <f>'DCWW Organic Energy Digestate'!H31</f>
        <v>0.12540000000000001</v>
      </c>
      <c r="I8" s="24">
        <f>'DCWW Organic Energy Digestate'!I31</f>
        <v>5.4999999999999997E-3</v>
      </c>
      <c r="J8" s="24">
        <f>'DCWW Organic Energy Digestate'!J31</f>
        <v>3.3E-4</v>
      </c>
      <c r="K8" s="24">
        <f>'DCWW Organic Energy Digestate'!K31</f>
        <v>5.5000000000000003E-4</v>
      </c>
      <c r="L8" s="24">
        <f>'DCWW Organic Energy Digestate'!L31</f>
        <v>1.5179999999999999E-2</v>
      </c>
      <c r="M8" s="24">
        <f>'DCWW Organic Energy Digestate'!M31</f>
        <v>5.28E-3</v>
      </c>
      <c r="N8" s="24">
        <f>'DCWW Organic Energy Digestate'!N31</f>
        <v>0</v>
      </c>
      <c r="O8" s="24">
        <f>'DCWW Organic Energy Digestate'!O31</f>
        <v>0</v>
      </c>
      <c r="P8" s="24">
        <f>'DCWW Organic Energy Digestate'!P31</f>
        <v>0</v>
      </c>
      <c r="Q8" s="24">
        <f>'DCWW Organic Energy Digestate'!Q31</f>
        <v>13.5025</v>
      </c>
      <c r="R8" s="24">
        <f>'DCWW Organic Energy Digestate'!R31</f>
        <v>0</v>
      </c>
      <c r="S8" s="24">
        <f>'DCWW Organic Energy Digestate'!S31</f>
        <v>0</v>
      </c>
      <c r="T8" s="24">
        <f>'DCWW Organic Energy Digestate'!T31</f>
        <v>0</v>
      </c>
      <c r="U8" s="24">
        <f>'DCWW Organic Energy Digestate'!U31</f>
        <v>0</v>
      </c>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492</v>
      </c>
      <c r="C13" s="68">
        <f t="shared" ref="C13:U13" si="0">SUM(C3:C12)</f>
        <v>422.73290000000003</v>
      </c>
      <c r="D13" s="68">
        <f t="shared" si="0"/>
        <v>145.10661113399999</v>
      </c>
      <c r="E13" s="68">
        <f t="shared" si="0"/>
        <v>105.07916674000001</v>
      </c>
      <c r="F13" s="68">
        <f t="shared" si="0"/>
        <v>85.511925326000011</v>
      </c>
      <c r="G13" s="68">
        <f t="shared" si="0"/>
        <v>1.1985138</v>
      </c>
      <c r="H13" s="68">
        <f t="shared" si="0"/>
        <v>4.3856868000000002</v>
      </c>
      <c r="I13" s="68">
        <f t="shared" si="0"/>
        <v>0.51758559999999987</v>
      </c>
      <c r="J13" s="68">
        <f t="shared" si="0"/>
        <v>1.091112E-2</v>
      </c>
      <c r="K13" s="68">
        <f t="shared" si="0"/>
        <v>1.5578650000000003E-2</v>
      </c>
      <c r="L13" s="68">
        <f t="shared" si="0"/>
        <v>0.64878179999999996</v>
      </c>
      <c r="M13" s="68">
        <f t="shared" si="0"/>
        <v>0.59442570000000006</v>
      </c>
      <c r="N13" s="68">
        <f t="shared" si="0"/>
        <v>1790.7802500000003</v>
      </c>
      <c r="O13" s="68">
        <f t="shared" si="0"/>
        <v>5141.1191639999997</v>
      </c>
      <c r="P13" s="68">
        <f t="shared" si="0"/>
        <v>1.179276</v>
      </c>
      <c r="Q13" s="68">
        <f t="shared" si="0"/>
        <v>274.80349000000001</v>
      </c>
      <c r="R13" s="68">
        <f t="shared" si="0"/>
        <v>1.52712E-2</v>
      </c>
      <c r="S13" s="68">
        <f t="shared" si="0"/>
        <v>0.58649430000000002</v>
      </c>
      <c r="T13" s="68">
        <f t="shared" si="0"/>
        <v>2.3500679999999999E-2</v>
      </c>
      <c r="U13" s="68">
        <f t="shared" si="0"/>
        <v>8.9082000000000008E-2</v>
      </c>
    </row>
  </sheetData>
  <mergeCells count="1">
    <mergeCell ref="A1:A2"/>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6" t="s">
        <v>84</v>
      </c>
      <c r="B1" s="25" t="s">
        <v>152</v>
      </c>
      <c r="C1" s="26" t="str">
        <f>'DCWW Elan Valley'!B29</f>
        <v>Application Rate</v>
      </c>
      <c r="D1" s="26" t="str">
        <f>'DCWW Elan Valley'!C29</f>
        <v>Nitrogen Addition</v>
      </c>
      <c r="E1" s="26" t="str">
        <f>'DCWW Elan Valley'!D29</f>
        <v>Phosphate Addition</v>
      </c>
      <c r="F1" s="26" t="str">
        <f>'DCWW Elan Valley'!E29</f>
        <v>Potash  Addition</v>
      </c>
      <c r="G1" s="26" t="str">
        <f>'DCWW Elan Valley'!F29</f>
        <v>Mg Oxide Addition</v>
      </c>
      <c r="H1" s="26" t="str">
        <f>'DCWW Elan Valley'!G29</f>
        <v>Copper Addition</v>
      </c>
      <c r="I1" s="26" t="str">
        <f>'DCWW Elan Valley'!H29</f>
        <v>Zinc Addition</v>
      </c>
      <c r="J1" s="26" t="str">
        <f>'DCWW Elan Valley'!I29</f>
        <v>Lead Addition</v>
      </c>
      <c r="K1" s="26" t="str">
        <f>'DCWW Elan Valley'!J29</f>
        <v>Cadmium Addition</v>
      </c>
      <c r="L1" s="26" t="str">
        <f>'DCWW Elan Valley'!K29</f>
        <v>Mercury Addition</v>
      </c>
      <c r="M1" s="26" t="str">
        <f>'DCWW Elan Valley'!L29</f>
        <v>Nickel Addition</v>
      </c>
      <c r="N1" s="26" t="str">
        <f>'DCWW Elan Valley'!M29</f>
        <v>Chromium Addition</v>
      </c>
      <c r="O1" s="26" t="str">
        <f>'DCWW Elan Valley'!N29</f>
        <v>Aluminium Addition</v>
      </c>
      <c r="P1" s="26" t="str">
        <f>'DCWW Elan Valley'!O29</f>
        <v>Iron Addition</v>
      </c>
      <c r="Q1" s="26" t="str">
        <f>'DCWW Elan Valley'!P29</f>
        <v xml:space="preserve">Sodium Addition                 </v>
      </c>
      <c r="R1" s="26" t="str">
        <f>'DCWW Elan Valley'!Q29</f>
        <v>SO3  Addition                             kg/ha</v>
      </c>
      <c r="S1" s="26" t="str">
        <f>'DCWW Elan Valley'!R29</f>
        <v xml:space="preserve">Selenium Addition </v>
      </c>
      <c r="T1" s="26" t="str">
        <f>'DCWW Elan Valley'!S29</f>
        <v xml:space="preserve">Arsenic  Addition  </v>
      </c>
      <c r="U1" s="26" t="str">
        <f>'DCWW Elan Valley'!T29</f>
        <v xml:space="preserve">Molybdenum Addition  </v>
      </c>
      <c r="V1" s="26" t="str">
        <f>'DCWW Elan Valley'!U29</f>
        <v xml:space="preserve">Fluoride Addition </v>
      </c>
    </row>
    <row r="2" spans="1:22" s="70" customFormat="1" ht="25" x14ac:dyDescent="0.35">
      <c r="A2" s="176"/>
      <c r="B2" s="23" t="s">
        <v>46</v>
      </c>
      <c r="C2" s="26" t="str">
        <f>'DCWW Elan Valley'!B30</f>
        <v>tonnes/ha</v>
      </c>
      <c r="D2" s="26" t="str">
        <f>'DCWW Elan Valley'!C30</f>
        <v>kg/ha</v>
      </c>
      <c r="E2" s="26" t="str">
        <f>'DCWW Elan Valley'!D30</f>
        <v>P2O5 
kg/ha</v>
      </c>
      <c r="F2" s="26" t="str">
        <f>'DCWW Elan Valley'!E30</f>
        <v>K2O 
kg/ha</v>
      </c>
      <c r="G2" s="26" t="str">
        <f>'DCWW Elan Valley'!F30</f>
        <v>MgO 
kg/ha</v>
      </c>
      <c r="H2" s="26" t="str">
        <f>'DCWW Elan Valley'!G30</f>
        <v>kg/ha</v>
      </c>
      <c r="I2" s="26" t="str">
        <f>'DCWW Elan Valley'!H30</f>
        <v>kg/ha</v>
      </c>
      <c r="J2" s="26" t="str">
        <f>'DCWW Elan Valley'!I30</f>
        <v>kg/ha</v>
      </c>
      <c r="K2" s="26" t="str">
        <f>'DCWW Elan Valley'!J30</f>
        <v>kg/ha</v>
      </c>
      <c r="L2" s="26" t="str">
        <f>'DCWW Elan Valley'!K30</f>
        <v>kg/ha</v>
      </c>
      <c r="M2" s="26" t="str">
        <f>'DCWW Elan Valley'!L30</f>
        <v>kg/ha</v>
      </c>
      <c r="N2" s="26" t="str">
        <f>'DCWW Elan Valley'!M30</f>
        <v>kg/ha</v>
      </c>
      <c r="O2" s="26" t="str">
        <f>'DCWW Elan Valley'!N30</f>
        <v>kg/ha</v>
      </c>
      <c r="P2" s="26" t="str">
        <f>'DCWW Elan Valley'!O30</f>
        <v>kg/ha</v>
      </c>
      <c r="Q2" s="26" t="str">
        <f>'DCWW Elan Valley'!P30</f>
        <v>kg/ha</v>
      </c>
      <c r="R2" s="26" t="str">
        <f>'DCWW Elan Valley'!Q30</f>
        <v>kg/ha</v>
      </c>
      <c r="S2" s="26" t="str">
        <f>'DCWW Elan Valley'!R30</f>
        <v>kg/ha</v>
      </c>
      <c r="T2" s="26" t="str">
        <f>'DCWW Elan Valley'!S30</f>
        <v>kg/ha</v>
      </c>
      <c r="U2" s="26" t="str">
        <f>'DCWW Elan Valley'!T30</f>
        <v>kg/ha</v>
      </c>
      <c r="V2" s="26" t="str">
        <f>'DCWW Elan Valley'!U30</f>
        <v>kg/ha</v>
      </c>
    </row>
    <row r="3" spans="1:22" x14ac:dyDescent="0.25">
      <c r="A3" s="27">
        <v>1</v>
      </c>
      <c r="B3" s="78"/>
      <c r="C3" s="24">
        <f>'DCWW Elan Valley'!B31</f>
        <v>75</v>
      </c>
      <c r="D3" s="24">
        <f>'DCWW Elan Valley'!C31</f>
        <v>29.26125</v>
      </c>
      <c r="E3" s="24">
        <f>'DCWW Elan Valley'!D31</f>
        <v>28.144934999999997</v>
      </c>
      <c r="F3" s="24">
        <f>'DCWW Elan Valley'!E31</f>
        <v>1.5860812499999999</v>
      </c>
      <c r="G3" s="24">
        <f>'DCWW Elan Valley'!F31</f>
        <v>4.0233442499999992</v>
      </c>
      <c r="H3" s="24">
        <f>'DCWW Elan Valley'!G31</f>
        <v>0.11812500000000001</v>
      </c>
      <c r="I3" s="24">
        <f>'DCWW Elan Valley'!H31</f>
        <v>1.08</v>
      </c>
      <c r="J3" s="24">
        <f>'DCWW Elan Valley'!I31</f>
        <v>0.21228749999999996</v>
      </c>
      <c r="K3" s="24">
        <f>'DCWW Elan Valley'!J31</f>
        <v>1.6537499999999998E-3</v>
      </c>
      <c r="L3" s="24">
        <f>'DCWW Elan Valley'!K31</f>
        <v>1.5187500000000001E-3</v>
      </c>
      <c r="M3" s="24">
        <f>'DCWW Elan Valley'!L31</f>
        <v>7.7287499999999995E-2</v>
      </c>
      <c r="N3" s="24">
        <f>'DCWW Elan Valley'!M31</f>
        <v>0.11272500000000001</v>
      </c>
      <c r="O3" s="24">
        <f>'DCWW Elan Valley'!N31</f>
        <v>16.166249999999998</v>
      </c>
      <c r="P3" s="24">
        <f>'DCWW Elan Valley'!O31</f>
        <v>1363.5</v>
      </c>
      <c r="Q3" s="24">
        <f>'DCWW Elan Valley'!P31</f>
        <v>0</v>
      </c>
      <c r="R3" s="24">
        <f>'DCWW Elan Valley'!Q31</f>
        <v>32.568750000000001</v>
      </c>
      <c r="S3" s="24">
        <f>'DCWW Elan Valley'!R31</f>
        <v>0</v>
      </c>
      <c r="T3" s="24">
        <f>'DCWW Elan Valley'!S31</f>
        <v>0.15390000000000001</v>
      </c>
      <c r="U3" s="24">
        <f>'DCWW Elan Valley'!T31</f>
        <v>0</v>
      </c>
      <c r="V3" s="24">
        <f>'DCWW Elan Valley'!U31</f>
        <v>0</v>
      </c>
    </row>
    <row r="4" spans="1:22" x14ac:dyDescent="0.25">
      <c r="A4" s="27">
        <v>2</v>
      </c>
      <c r="B4" s="78"/>
      <c r="C4" s="24">
        <f>'DCWW Llyswen'!B31</f>
        <v>250</v>
      </c>
      <c r="D4" s="24">
        <f>'DCWW Llyswen'!C31</f>
        <v>92.783250000000024</v>
      </c>
      <c r="E4" s="24">
        <f>'DCWW Llyswen'!D31</f>
        <v>22.927984350000003</v>
      </c>
      <c r="F4" s="24">
        <f>'DCWW Llyswen'!E31</f>
        <v>11.465153250000002</v>
      </c>
      <c r="G4" s="24">
        <f>'DCWW Llyswen'!F31</f>
        <v>50.93749050000001</v>
      </c>
      <c r="H4" s="24">
        <f>'DCWW Llyswen'!G31</f>
        <v>0.39456000000000002</v>
      </c>
      <c r="I4" s="24">
        <f>'DCWW Llyswen'!H31</f>
        <v>1.5823500000000001</v>
      </c>
      <c r="J4" s="24">
        <f>'DCWW Llyswen'!I31</f>
        <v>9.7612500000000005E-2</v>
      </c>
      <c r="K4" s="24">
        <f>'DCWW Llyswen'!J31</f>
        <v>2.3632500000000003E-3</v>
      </c>
      <c r="L4" s="24">
        <f>'DCWW Llyswen'!K31</f>
        <v>1.00695E-2</v>
      </c>
      <c r="M4" s="24">
        <f>'DCWW Llyswen'!L31</f>
        <v>0.17364750000000001</v>
      </c>
      <c r="N4" s="24">
        <f>'DCWW Llyswen'!M31</f>
        <v>0.12021750000000002</v>
      </c>
      <c r="O4" s="24">
        <f>'DCWW Llyswen'!N31</f>
        <v>1274.1000000000001</v>
      </c>
      <c r="P4" s="24">
        <f>'DCWW Llyswen'!O31</f>
        <v>235.29750000000004</v>
      </c>
      <c r="Q4" s="24">
        <f>'DCWW Llyswen'!P31</f>
        <v>0</v>
      </c>
      <c r="R4" s="24">
        <f>'DCWW Llyswen'!Q31</f>
        <v>119.70375000000003</v>
      </c>
      <c r="S4" s="24">
        <f>'DCWW Llyswen'!R31</f>
        <v>0</v>
      </c>
      <c r="T4" s="24">
        <f>'DCWW Llyswen'!S31</f>
        <v>0.17364750000000001</v>
      </c>
      <c r="U4" s="24">
        <f>'DCWW Llyswen'!T31</f>
        <v>0</v>
      </c>
      <c r="V4" s="24">
        <f>'DCWW Llyswen'!U31</f>
        <v>0</v>
      </c>
    </row>
    <row r="5" spans="1:22" x14ac:dyDescent="0.25">
      <c r="A5" s="27">
        <v>3</v>
      </c>
      <c r="B5" s="78"/>
      <c r="C5" s="24">
        <f>'DCWW talybont'!B31</f>
        <v>105</v>
      </c>
      <c r="D5" s="24">
        <f>'DCWW talybont'!C31</f>
        <v>60.832799999999999</v>
      </c>
      <c r="E5" s="24">
        <f>'DCWW talybont'!D31</f>
        <v>28.135312799999998</v>
      </c>
      <c r="F5" s="24">
        <f>'DCWW talybont'!E31</f>
        <v>2.6069211000000001</v>
      </c>
      <c r="G5" s="24">
        <f>'DCWW talybont'!F31</f>
        <v>7.5763968000000004</v>
      </c>
      <c r="H5" s="24">
        <f>'DCWW talybont'!G31</f>
        <v>0.46195800000000009</v>
      </c>
      <c r="I5" s="24">
        <f>'DCWW talybont'!H31</f>
        <v>1.04244</v>
      </c>
      <c r="J5" s="24">
        <f>'DCWW talybont'!I31</f>
        <v>0.130662</v>
      </c>
      <c r="K5" s="24">
        <f>'DCWW talybont'!J31</f>
        <v>3.0701999999999999E-3</v>
      </c>
      <c r="L5" s="24">
        <f>'DCWW talybont'!K31</f>
        <v>2.1420000000000002E-3</v>
      </c>
      <c r="M5" s="24">
        <f>'DCWW talybont'!L31</f>
        <v>0.14637</v>
      </c>
      <c r="N5" s="24">
        <f>'DCWW talybont'!M31</f>
        <v>9.0678000000000009E-2</v>
      </c>
      <c r="O5" s="24">
        <f>'DCWW talybont'!N31</f>
        <v>500.51400000000007</v>
      </c>
      <c r="P5" s="24">
        <f>'DCWW talybont'!O31</f>
        <v>36.342600000000004</v>
      </c>
      <c r="Q5" s="24">
        <f>'DCWW talybont'!P31</f>
        <v>0</v>
      </c>
      <c r="R5" s="24">
        <f>'DCWW talybont'!Q31</f>
        <v>84.430500000000009</v>
      </c>
      <c r="S5" s="24">
        <f>'DCWW talybont'!R31</f>
        <v>0</v>
      </c>
      <c r="T5" s="24">
        <f>'DCWW talybont'!S31</f>
        <v>0.13423200000000002</v>
      </c>
      <c r="U5" s="24">
        <f>'DCWW talybont'!T31</f>
        <v>0</v>
      </c>
      <c r="V5" s="24">
        <f>'DCWW talybont'!U31</f>
        <v>0</v>
      </c>
    </row>
    <row r="6" spans="1:22" x14ac:dyDescent="0.25">
      <c r="A6" s="27">
        <v>4</v>
      </c>
      <c r="B6" s="78"/>
      <c r="C6" s="24">
        <f>'DCWW Court Farm'!B31</f>
        <v>42</v>
      </c>
      <c r="D6" s="24">
        <f>'DCWW Court Farm'!C31</f>
        <v>50.055599999999991</v>
      </c>
      <c r="E6" s="24">
        <f>'DCWW Court Farm'!D31</f>
        <v>27.911307983999993</v>
      </c>
      <c r="F6" s="24">
        <f>'DCWW Court Farm'!E31</f>
        <v>6.5121911399999997</v>
      </c>
      <c r="G6" s="24">
        <f>'DCWW Court Farm'!F31</f>
        <v>20.860577976000002</v>
      </c>
      <c r="H6" s="24">
        <f>'DCWW Court Farm'!G31</f>
        <v>0.17986079999999999</v>
      </c>
      <c r="I6" s="24">
        <f>'DCWW Court Farm'!H31</f>
        <v>0.42589679999999996</v>
      </c>
      <c r="J6" s="24">
        <f>'DCWW Court Farm'!I31</f>
        <v>6.7023600000000003E-2</v>
      </c>
      <c r="K6" s="24">
        <f>'DCWW Court Farm'!J31</f>
        <v>3.2239200000000003E-3</v>
      </c>
      <c r="L6" s="24">
        <f>'DCWW Court Farm'!K31</f>
        <v>8.4840000000000002E-4</v>
      </c>
      <c r="M6" s="24">
        <f>'DCWW Court Farm'!L31</f>
        <v>0.21379679999999998</v>
      </c>
      <c r="N6" s="24">
        <f>'DCWW Court Farm'!M31</f>
        <v>0.25706519999999999</v>
      </c>
      <c r="O6" s="24">
        <f>'DCWW Court Farm'!N31</f>
        <v>0</v>
      </c>
      <c r="P6" s="24">
        <f>'DCWW Court Farm'!O31</f>
        <v>3505.9790639999997</v>
      </c>
      <c r="Q6" s="24">
        <f>'DCWW Court Farm'!P31</f>
        <v>1.179276</v>
      </c>
      <c r="R6" s="24">
        <f>'DCWW Court Farm'!Q31</f>
        <v>23.733989999999999</v>
      </c>
      <c r="S6" s="24">
        <f>'DCWW Court Farm'!R31</f>
        <v>1.52712E-2</v>
      </c>
      <c r="T6" s="24">
        <f>'DCWW Court Farm'!S31</f>
        <v>0.12471479999999999</v>
      </c>
      <c r="U6" s="24">
        <f>'DCWW Court Farm'!T31</f>
        <v>2.3500679999999999E-2</v>
      </c>
      <c r="V6" s="24">
        <f>'DCWW Court Farm'!U31</f>
        <v>8.9082000000000008E-2</v>
      </c>
    </row>
    <row r="7" spans="1:22" x14ac:dyDescent="0.25">
      <c r="A7" s="27">
        <v>5</v>
      </c>
      <c r="B7" s="78"/>
      <c r="C7" s="24">
        <f>'Biogen Digestate'!B31</f>
        <v>9</v>
      </c>
      <c r="D7" s="24">
        <f>'Biogen Digestate'!C31</f>
        <v>96.300000000000011</v>
      </c>
      <c r="E7" s="24">
        <f>'Biogen Digestate'!D31</f>
        <v>14.928156</v>
      </c>
      <c r="F7" s="24">
        <f>'Biogen Digestate'!E31</f>
        <v>42.414794999999998</v>
      </c>
      <c r="G7" s="24">
        <f>'Biogen Digestate'!F31</f>
        <v>0.57300479999999987</v>
      </c>
      <c r="H7" s="24">
        <f>'Biogen Digestate'!G31</f>
        <v>2.6190000000000001E-2</v>
      </c>
      <c r="I7" s="24">
        <f>'Biogen Digestate'!H31</f>
        <v>0.12960000000000002</v>
      </c>
      <c r="J7" s="24">
        <f>'Biogen Digestate'!I31</f>
        <v>4.5000000000000005E-3</v>
      </c>
      <c r="K7" s="24">
        <f>'Biogen Digestate'!J31</f>
        <v>2.7E-4</v>
      </c>
      <c r="L7" s="24">
        <f>'Biogen Digestate'!K31</f>
        <v>4.5000000000000004E-4</v>
      </c>
      <c r="M7" s="24">
        <f>'Biogen Digestate'!L31</f>
        <v>2.2499999999999999E-2</v>
      </c>
      <c r="N7" s="24">
        <f>'Biogen Digestate'!M31</f>
        <v>8.4600000000000005E-3</v>
      </c>
      <c r="O7" s="24">
        <f>'Biogen Digestate'!N31</f>
        <v>0</v>
      </c>
      <c r="P7" s="24">
        <f>'Biogen Digestate'!O31</f>
        <v>0</v>
      </c>
      <c r="Q7" s="24">
        <f>'Biogen Digestate'!P31</f>
        <v>0</v>
      </c>
      <c r="R7" s="24">
        <f>'Biogen Digestate'!Q31</f>
        <v>0.86399999999999988</v>
      </c>
      <c r="S7" s="24">
        <f>'Biogen Digestate'!R31</f>
        <v>0</v>
      </c>
      <c r="T7" s="24">
        <f>'Biogen Digestate'!S31</f>
        <v>0</v>
      </c>
      <c r="U7" s="24">
        <f>'Biogen Digestate'!T31</f>
        <v>0</v>
      </c>
      <c r="V7" s="24">
        <f>'Biogen Digestate'!U31</f>
        <v>0</v>
      </c>
    </row>
    <row r="8" spans="1:22" x14ac:dyDescent="0.25">
      <c r="A8" s="27">
        <v>6</v>
      </c>
      <c r="B8" s="78"/>
      <c r="C8" s="24">
        <f>'DCWW Organic Energy Digestate'!B31</f>
        <v>11</v>
      </c>
      <c r="D8" s="24">
        <f>'DCWW Organic Energy Digestate'!C31</f>
        <v>93.5</v>
      </c>
      <c r="E8" s="24">
        <f>'DCWW Organic Energy Digestate'!D31</f>
        <v>23.058915000000002</v>
      </c>
      <c r="F8" s="24">
        <f>'DCWW Organic Energy Digestate'!E31</f>
        <v>40.494025000000008</v>
      </c>
      <c r="G8" s="24">
        <f>'DCWW Organic Energy Digestate'!F31</f>
        <v>1.5411110000000001</v>
      </c>
      <c r="H8" s="24">
        <f>'DCWW Organic Energy Digestate'!G31</f>
        <v>1.7820000000000003E-2</v>
      </c>
      <c r="I8" s="24">
        <f>'DCWW Organic Energy Digestate'!H31</f>
        <v>0.12540000000000001</v>
      </c>
      <c r="J8" s="24">
        <f>'DCWW Organic Energy Digestate'!I31</f>
        <v>5.4999999999999997E-3</v>
      </c>
      <c r="K8" s="24">
        <f>'DCWW Organic Energy Digestate'!J31</f>
        <v>3.3E-4</v>
      </c>
      <c r="L8" s="24">
        <f>'DCWW Organic Energy Digestate'!K31</f>
        <v>5.5000000000000003E-4</v>
      </c>
      <c r="M8" s="24">
        <f>'DCWW Organic Energy Digestate'!L31</f>
        <v>1.5179999999999999E-2</v>
      </c>
      <c r="N8" s="24">
        <f>'DCWW Organic Energy Digestate'!M31</f>
        <v>5.28E-3</v>
      </c>
      <c r="O8" s="24">
        <f>'DCWW Organic Energy Digestate'!N31</f>
        <v>0</v>
      </c>
      <c r="P8" s="24">
        <f>'DCWW Organic Energy Digestate'!O31</f>
        <v>0</v>
      </c>
      <c r="Q8" s="24">
        <f>'DCWW Organic Energy Digestate'!P31</f>
        <v>0</v>
      </c>
      <c r="R8" s="24">
        <f>'DCWW Organic Energy Digestate'!Q31</f>
        <v>13.5025</v>
      </c>
      <c r="S8" s="24">
        <f>'DCWW Organic Energy Digestate'!R31</f>
        <v>0</v>
      </c>
      <c r="T8" s="24">
        <f>'DCWW Organic Energy Digestate'!S31</f>
        <v>0</v>
      </c>
      <c r="U8" s="24">
        <f>'DCWW Organic Energy Digestate'!T31</f>
        <v>0</v>
      </c>
      <c r="V8" s="24">
        <f>'DCWW Organic Energy Digestate'!U31</f>
        <v>0</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5" t="s">
        <v>84</v>
      </c>
      <c r="B15" s="26" t="s">
        <v>152</v>
      </c>
      <c r="C15" s="26">
        <f>'DCWW Elan Valley'!B43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5"/>
      <c r="B16" s="23" t="s">
        <v>46</v>
      </c>
      <c r="C16" s="26">
        <f>'DCWW Elan Valley'!B44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75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105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42</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9</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11</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7" t="s">
        <v>85</v>
      </c>
      <c r="B27" s="177"/>
      <c r="C27" s="177"/>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REGU-415-1633284</_dlc_DocId>
    <_dlc_DocIdUrl xmlns="9be56660-2c31-41ef-bc00-23e72f632f2a">
      <Url>https://cyfoethnaturiolcymru.sharepoint.com/teams/Regulatory/Permitting/_layouts/15/DocIdRedir.aspx?ID=REGU-415-1633284</Url>
      <Description>REGU-415-1633284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2026-02-11T00:00:00+00:00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04966F69-E2BC-4595-B5FC-035FF258C613}"/>
</file>

<file path=customXml/itemProps3.xml><?xml version="1.0" encoding="utf-8"?>
<ds:datastoreItem xmlns:ds="http://schemas.openxmlformats.org/officeDocument/2006/customXml" ds:itemID="{C7F86F34-8F19-4AD0-B18F-24F4F2F0E7B1}"/>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9be56660-2c31-41ef-bc00-23e72f632f2a"/>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DCWW Elan Valley</vt:lpstr>
      <vt:lpstr>DCWW Llyswen</vt:lpstr>
      <vt:lpstr>DCWW talybont</vt:lpstr>
      <vt:lpstr>DCWW Court Farm</vt:lpstr>
      <vt:lpstr>Biogen Digestate</vt:lpstr>
      <vt:lpstr>DCWW Organic Energy Digestate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2026-02-11T11:31:59Z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854f579d-4052-4291-8299-176882992688</vt:lpwstr>
  </property>
  <property fmtid="{D5CDD505-2E9C-101B-9397-08002B2CF9AE}" pid="4" name="MediaServiceImageTags">
    <vt:lpwstr/>
  </property>
</Properties>
</file>