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1603D/"/>
    </mc:Choice>
  </mc:AlternateContent>
  <xr:revisionPtr revIDLastSave="0" documentId="13_ncr:1_{EB0D0A40-7EC5-4EF3-B1CA-F5681BE33308}" xr6:coauthVersionLast="47" xr6:coauthVersionMax="47" xr10:uidLastSave="{00000000-0000-0000-0000-000000000000}"/>
  <bookViews>
    <workbookView xWindow="-28920" yWindow="2610" windowWidth="29040" windowHeight="15720" tabRatio="870" firstSheet="2" activeTab="8" xr2:uid="{00000000-000D-0000-FFFF-FFFF00000000}"/>
  </bookViews>
  <sheets>
    <sheet name="DCWW Llechryd WTW" sheetId="1" r:id="rId1"/>
    <sheet name="DCWW Bontgoch WTW" sheetId="21" r:id="rId2"/>
    <sheet name="DCWW Bolton Hill WTW cake" sheetId="27" r:id="rId3"/>
    <sheet name="DCWW Preseli WTW" sheetId="28" r:id="rId4"/>
    <sheet name="DCWW Strata Florida WTW" sheetId="30" r:id="rId5"/>
    <sheet name="DCWW Llechryd 2 WTW sludge" sheetId="26" r:id="rId6"/>
    <sheet name="DCWW Bryngwyn WTW" sheetId="24" r:id="rId7"/>
    <sheet name="DCWW Bolton Hill 2 WTW sludge " sheetId="29" r:id="rId8"/>
    <sheet name="DCWW Cray WTW " sheetId="23"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4"/>
  <c r="L3" i="26"/>
  <c r="L3" i="30"/>
  <c r="L3" i="28"/>
  <c r="L3" i="27"/>
  <c r="L3" i="21"/>
  <c r="L3" i="1"/>
  <c r="K65" i="1" l="1"/>
  <c r="L65" i="1"/>
  <c r="N65" i="1"/>
  <c r="P65" i="1"/>
  <c r="Q65" i="1"/>
  <c r="R65" i="1"/>
  <c r="S65" i="1"/>
  <c r="T65" i="1"/>
  <c r="U65" i="1"/>
  <c r="K65" i="21"/>
  <c r="L65" i="21"/>
  <c r="N65" i="21"/>
  <c r="P65" i="21"/>
  <c r="Q65" i="21"/>
  <c r="R65" i="21"/>
  <c r="S65" i="21"/>
  <c r="T65" i="21"/>
  <c r="U65" i="21"/>
  <c r="K65" i="27"/>
  <c r="L65" i="27"/>
  <c r="N65" i="27"/>
  <c r="P65" i="27"/>
  <c r="Q65" i="27"/>
  <c r="R65" i="27"/>
  <c r="S65" i="27"/>
  <c r="T65" i="27"/>
  <c r="U65" i="27"/>
  <c r="K65" i="28"/>
  <c r="L65" i="28"/>
  <c r="N65" i="28"/>
  <c r="P65" i="28"/>
  <c r="Q65" i="28"/>
  <c r="R65" i="28"/>
  <c r="S65" i="28"/>
  <c r="T65" i="28"/>
  <c r="U65" i="28"/>
  <c r="L65" i="30"/>
  <c r="N65" i="30"/>
  <c r="P65" i="30"/>
  <c r="Q65" i="30"/>
  <c r="R65" i="30"/>
  <c r="S65" i="30"/>
  <c r="T65" i="30"/>
  <c r="U65" i="30"/>
  <c r="K65" i="26"/>
  <c r="L65" i="26"/>
  <c r="N65" i="26"/>
  <c r="P65" i="26"/>
  <c r="Q65" i="26"/>
  <c r="R65" i="26"/>
  <c r="S65" i="26"/>
  <c r="T65" i="26"/>
  <c r="U65" i="26"/>
  <c r="K65" i="24"/>
  <c r="L65" i="24"/>
  <c r="N65" i="24"/>
  <c r="P65" i="24"/>
  <c r="Q65" i="24"/>
  <c r="R65" i="24"/>
  <c r="S65" i="24"/>
  <c r="T65" i="24"/>
  <c r="U65" i="24"/>
  <c r="K65" i="29"/>
  <c r="L65" i="29"/>
  <c r="N65" i="29"/>
  <c r="P65" i="29"/>
  <c r="Q65" i="29"/>
  <c r="R65" i="29"/>
  <c r="S65" i="29"/>
  <c r="T65" i="29"/>
  <c r="U65" i="29"/>
  <c r="K65" i="23"/>
  <c r="L65" i="23"/>
  <c r="N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Q22" i="30"/>
  <c r="M22" i="30"/>
  <c r="I22" i="30"/>
  <c r="E22" i="30"/>
  <c r="V20" i="30"/>
  <c r="U20" i="30"/>
  <c r="T20" i="30"/>
  <c r="S20" i="30"/>
  <c r="R20" i="30"/>
  <c r="Q20" i="30"/>
  <c r="P20" i="30"/>
  <c r="O20" i="30"/>
  <c r="N20" i="30"/>
  <c r="M20" i="30"/>
  <c r="L20" i="30"/>
  <c r="P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Q22" i="29"/>
  <c r="V20" i="29"/>
  <c r="U20" i="29"/>
  <c r="T20" i="29"/>
  <c r="S20" i="29"/>
  <c r="R20" i="29"/>
  <c r="Q20" i="29"/>
  <c r="P20" i="29"/>
  <c r="O20" i="29"/>
  <c r="N20" i="29"/>
  <c r="M20" i="29"/>
  <c r="L20" i="29"/>
  <c r="T18" i="29"/>
  <c r="R18" i="29"/>
  <c r="L18" i="29"/>
  <c r="H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V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U18" i="27"/>
  <c r="T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K22" i="26"/>
  <c r="V20" i="26"/>
  <c r="U20" i="26"/>
  <c r="T20" i="26"/>
  <c r="S20" i="26"/>
  <c r="R20" i="26"/>
  <c r="Q20" i="26"/>
  <c r="P20" i="26"/>
  <c r="O20" i="26"/>
  <c r="N20" i="26"/>
  <c r="M20" i="26"/>
  <c r="L20" i="26"/>
  <c r="S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M22" i="24"/>
  <c r="V20" i="24"/>
  <c r="U20" i="24"/>
  <c r="T20" i="24"/>
  <c r="S20" i="24"/>
  <c r="R20" i="24"/>
  <c r="Q20" i="24"/>
  <c r="P20" i="24"/>
  <c r="O20" i="24"/>
  <c r="N20" i="24"/>
  <c r="M20" i="24"/>
  <c r="L20" i="24"/>
  <c r="V18" i="24"/>
  <c r="P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V20" i="23"/>
  <c r="U20" i="23"/>
  <c r="T20" i="23"/>
  <c r="S20" i="23"/>
  <c r="R20" i="23"/>
  <c r="Q20" i="23"/>
  <c r="P20" i="23"/>
  <c r="O20" i="23"/>
  <c r="N20" i="23"/>
  <c r="M20" i="23"/>
  <c r="L20" i="23"/>
  <c r="S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H10" i="19" l="1"/>
  <c r="H24" i="19" s="1"/>
  <c r="T6" i="19"/>
  <c r="T20" i="19" s="1"/>
  <c r="F58" i="21"/>
  <c r="F61" i="21" s="1"/>
  <c r="U57" i="21"/>
  <c r="T63" i="26"/>
  <c r="U63" i="26"/>
  <c r="F57" i="21"/>
  <c r="S9" i="19"/>
  <c r="S23" i="19" s="1"/>
  <c r="L6" i="19"/>
  <c r="L20" i="19" s="1"/>
  <c r="R12" i="19"/>
  <c r="K9" i="19"/>
  <c r="K23" i="19" s="1"/>
  <c r="D6" i="19"/>
  <c r="D20" i="19" s="1"/>
  <c r="O58" i="21"/>
  <c r="O61" i="21" s="1"/>
  <c r="J12" i="19"/>
  <c r="V8" i="19"/>
  <c r="V22" i="19" s="1"/>
  <c r="U11" i="19"/>
  <c r="U25" i="19" s="1"/>
  <c r="N8" i="19"/>
  <c r="N22" i="19" s="1"/>
  <c r="G58" i="21"/>
  <c r="G61" i="21" s="1"/>
  <c r="T58" i="21"/>
  <c r="T61" i="21" s="1"/>
  <c r="L58" i="21"/>
  <c r="L61" i="21" s="1"/>
  <c r="D58" i="21"/>
  <c r="D61" i="21" s="1"/>
  <c r="D64" i="21" s="1"/>
  <c r="D65"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G12" i="19"/>
  <c r="O12" i="19"/>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P12" i="19"/>
  <c r="O21" i="23"/>
  <c r="O23" i="23" s="1"/>
  <c r="O24" i="23" s="1"/>
  <c r="O17" i="23"/>
  <c r="Q9" i="20"/>
  <c r="R9" i="19"/>
  <c r="R23" i="19" s="1"/>
  <c r="F5" i="20"/>
  <c r="G5" i="19"/>
  <c r="G19" i="19" s="1"/>
  <c r="N5" i="20"/>
  <c r="O5" i="19"/>
  <c r="O19" i="19" s="1"/>
  <c r="Q4" i="20"/>
  <c r="R4" i="19"/>
  <c r="R18" i="19" s="1"/>
  <c r="Q59" i="21"/>
  <c r="R21" i="21"/>
  <c r="R17" i="21"/>
  <c r="H12" i="19"/>
  <c r="J4" i="20"/>
  <c r="K4" i="19"/>
  <c r="K18" i="19" s="1"/>
  <c r="U63" i="21"/>
  <c r="N63" i="21"/>
  <c r="F63" i="21"/>
  <c r="P59" i="21"/>
  <c r="Q21" i="21"/>
  <c r="Q23" i="21" s="1"/>
  <c r="Q24" i="21" s="1"/>
  <c r="Q17" i="21"/>
  <c r="I17" i="21"/>
  <c r="I21" i="21"/>
  <c r="I23" i="21" s="1"/>
  <c r="I24" i="21" s="1"/>
  <c r="D59" i="27"/>
  <c r="E17" i="27"/>
  <c r="E19" i="27" s="1"/>
  <c r="E20" i="27" s="1"/>
  <c r="L59" i="27"/>
  <c r="M17" i="27"/>
  <c r="M19" i="27" s="1"/>
  <c r="T59" i="27"/>
  <c r="U17" i="27"/>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K59" i="23"/>
  <c r="L17" i="23"/>
  <c r="L21" i="23"/>
  <c r="M57" i="21"/>
  <c r="R59" i="21"/>
  <c r="S21" i="21"/>
  <c r="S23" i="21" s="1"/>
  <c r="S24" i="21" s="1"/>
  <c r="S17" i="21"/>
  <c r="J59" i="21"/>
  <c r="K21" i="21"/>
  <c r="K23" i="21" s="1"/>
  <c r="K24" i="21" s="1"/>
  <c r="K17" i="2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L12" i="19"/>
  <c r="D12" i="19"/>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U59" i="23"/>
  <c r="V21" i="23"/>
  <c r="V23" i="23" s="1"/>
  <c r="V24" i="23" s="1"/>
  <c r="V17" i="23"/>
  <c r="I17" i="24"/>
  <c r="I19" i="24" s="1"/>
  <c r="I20" i="24" s="1"/>
  <c r="I21" i="24"/>
  <c r="I23" i="24" s="1"/>
  <c r="I24" i="24" s="1"/>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K12" i="19"/>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N19" i="27" s="1"/>
  <c r="U59" i="27"/>
  <c r="V17" i="27"/>
  <c r="E59" i="28"/>
  <c r="F17" i="28"/>
  <c r="F19" i="28" s="1"/>
  <c r="F20" i="28" s="1"/>
  <c r="F21" i="28"/>
  <c r="F23" i="28" s="1"/>
  <c r="F24" i="28" s="1"/>
  <c r="M59" i="28"/>
  <c r="N17" i="28"/>
  <c r="N19" i="28" s="1"/>
  <c r="N21" i="28"/>
  <c r="N23" i="28" s="1"/>
  <c r="N24" i="28" s="1"/>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I12" i="19"/>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H59" i="23"/>
  <c r="I21" i="23"/>
  <c r="I23" i="23" s="1"/>
  <c r="I24" i="23" s="1"/>
  <c r="I17" i="23"/>
  <c r="I19" i="23" s="1"/>
  <c r="I20" i="23" s="1"/>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19" i="29" s="1"/>
  <c r="N21" i="29"/>
  <c r="N23" i="29" s="1"/>
  <c r="N24" i="29" s="1"/>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I59" i="23"/>
  <c r="J21" i="23"/>
  <c r="J23" i="23" s="1"/>
  <c r="J24" i="23" s="1"/>
  <c r="J17" i="23"/>
  <c r="J19" i="23" s="1"/>
  <c r="J20"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N12" i="19"/>
  <c r="F12" i="19"/>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M12" i="19"/>
  <c r="E12" i="19"/>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D65" i="30" s="1"/>
  <c r="L58" i="30"/>
  <c r="L61" i="30" s="1"/>
  <c r="L64" i="30" s="1"/>
  <c r="R58" i="23"/>
  <c r="R61" i="23" s="1"/>
  <c r="H21" i="27"/>
  <c r="H23" i="27" s="1"/>
  <c r="H24" i="27" s="1"/>
  <c r="P21" i="27"/>
  <c r="J58" i="26"/>
  <c r="J61" i="26" s="1"/>
  <c r="R19" i="23"/>
  <c r="J58" i="27"/>
  <c r="J61" i="27" s="1"/>
  <c r="R58" i="27"/>
  <c r="R61" i="27" s="1"/>
  <c r="R64" i="27" s="1"/>
  <c r="R58" i="28"/>
  <c r="R61" i="28" s="1"/>
  <c r="R64" i="28" s="1"/>
  <c r="F58" i="23"/>
  <c r="F61" i="23" s="1"/>
  <c r="N58" i="23"/>
  <c r="N61" i="23" s="1"/>
  <c r="D19" i="27"/>
  <c r="D20" i="27" s="1"/>
  <c r="L21" i="27"/>
  <c r="L23" i="27" s="1"/>
  <c r="L24" i="27" s="1"/>
  <c r="T21" i="27"/>
  <c r="H57" i="29"/>
  <c r="P58" i="21"/>
  <c r="P61" i="21" s="1"/>
  <c r="H58" i="21"/>
  <c r="H61" i="21" s="1"/>
  <c r="N59" i="23"/>
  <c r="R58" i="26"/>
  <c r="R61" i="26" s="1"/>
  <c r="R57" i="21"/>
  <c r="K58" i="29"/>
  <c r="K61" i="29" s="1"/>
  <c r="I58" i="23"/>
  <c r="I61" i="23" s="1"/>
  <c r="I64" i="23" s="1"/>
  <c r="I65" i="23" s="1"/>
  <c r="Q58" i="23"/>
  <c r="Q61" i="23" s="1"/>
  <c r="L58" i="29"/>
  <c r="L61" i="29" s="1"/>
  <c r="T58" i="29"/>
  <c r="T61" i="29" s="1"/>
  <c r="T64" i="29" s="1"/>
  <c r="I23" i="30"/>
  <c r="I24" i="30" s="1"/>
  <c r="Q23" i="30"/>
  <c r="Q24" i="30" s="1"/>
  <c r="U23" i="30"/>
  <c r="U24" i="30" s="1"/>
  <c r="J58" i="28"/>
  <c r="J61" i="28" s="1"/>
  <c r="J64" i="28"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J19" i="27"/>
  <c r="J20" i="27" s="1"/>
  <c r="R21" i="27"/>
  <c r="R23" i="27" s="1"/>
  <c r="R24" i="27" s="1"/>
  <c r="E58" i="27"/>
  <c r="E61" i="27" s="1"/>
  <c r="M58" i="27"/>
  <c r="M61" i="27" s="1"/>
  <c r="U58" i="27"/>
  <c r="U61" i="27" s="1"/>
  <c r="I58" i="29"/>
  <c r="I61" i="29" s="1"/>
  <c r="I64" i="29" s="1"/>
  <c r="Q58" i="29"/>
  <c r="Q61" i="29" s="1"/>
  <c r="Q64" i="29"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G58" i="27"/>
  <c r="G61" i="27" s="1"/>
  <c r="T58" i="28"/>
  <c r="T61" i="28" s="1"/>
  <c r="T64" i="28" s="1"/>
  <c r="C58" i="29"/>
  <c r="C61" i="29" s="1"/>
  <c r="H58" i="30"/>
  <c r="H61" i="30" s="1"/>
  <c r="N59" i="30"/>
  <c r="K19" i="21"/>
  <c r="K20" i="21" s="1"/>
  <c r="Q57" i="21"/>
  <c r="B58" i="21"/>
  <c r="B61" i="21"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D64" i="28" s="1"/>
  <c r="P58" i="30"/>
  <c r="P61" i="30" s="1"/>
  <c r="Q58" i="21"/>
  <c r="Q61" i="21" s="1"/>
  <c r="Q64" i="21" s="1"/>
  <c r="I58" i="21"/>
  <c r="I61" i="21" s="1"/>
  <c r="G58" i="23"/>
  <c r="G61" i="23" s="1"/>
  <c r="O58" i="23"/>
  <c r="O61" i="23" s="1"/>
  <c r="N57" i="23"/>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V19" i="30"/>
  <c r="B63" i="30"/>
  <c r="J63" i="30"/>
  <c r="R63" i="30"/>
  <c r="M19" i="30"/>
  <c r="G19" i="30"/>
  <c r="G20" i="30" s="1"/>
  <c r="A32" i="30"/>
  <c r="A34" i="30"/>
  <c r="A40" i="30"/>
  <c r="A42" i="30"/>
  <c r="A48" i="30"/>
  <c r="A50" i="30"/>
  <c r="C63" i="30"/>
  <c r="K63" i="30"/>
  <c r="K65" i="30" s="1"/>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V19" i="29"/>
  <c r="F23" i="29"/>
  <c r="F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M19" i="28"/>
  <c r="U19" i="28"/>
  <c r="M23" i="28"/>
  <c r="M24" i="28" s="1"/>
  <c r="I57" i="28"/>
  <c r="Q57" i="28"/>
  <c r="I63" i="28"/>
  <c r="Q63" i="28"/>
  <c r="R19" i="28"/>
  <c r="V19" i="28"/>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D63" i="27"/>
  <c r="L63" i="27"/>
  <c r="T63" i="27"/>
  <c r="H63" i="27"/>
  <c r="Q19" i="27"/>
  <c r="E63" i="27"/>
  <c r="M63" i="27"/>
  <c r="U64" i="26"/>
  <c r="U66" i="26" s="1"/>
  <c r="O23" i="26"/>
  <c r="O24" i="26" s="1"/>
  <c r="J23" i="26"/>
  <c r="J24" i="26" s="1"/>
  <c r="H64" i="26"/>
  <c r="H65"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Q59" i="26"/>
  <c r="Q64" i="26" s="1"/>
  <c r="I63" i="26"/>
  <c r="Q63" i="26"/>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E23" i="23"/>
  <c r="E24" i="23" s="1"/>
  <c r="M23" i="23"/>
  <c r="M24" i="23" s="1"/>
  <c r="I57" i="23"/>
  <c r="Q57" i="23"/>
  <c r="F23" i="23"/>
  <c r="F24" i="23" s="1"/>
  <c r="O19" i="23"/>
  <c r="A32" i="23"/>
  <c r="A34" i="23"/>
  <c r="A40" i="23"/>
  <c r="A42" i="23"/>
  <c r="A48" i="23"/>
  <c r="A50" i="23"/>
  <c r="H19" i="23"/>
  <c r="H20" i="23" s="1"/>
  <c r="Q19" i="23"/>
  <c r="P64" i="21"/>
  <c r="H23" i="21"/>
  <c r="H24" i="21" s="1"/>
  <c r="L23" i="21"/>
  <c r="L24" i="21" s="1"/>
  <c r="A33" i="21"/>
  <c r="A37" i="21"/>
  <c r="A41" i="21"/>
  <c r="A45" i="21"/>
  <c r="A49" i="21"/>
  <c r="E58" i="21"/>
  <c r="E61" i="21" s="1"/>
  <c r="M58" i="21"/>
  <c r="M61" i="21" s="1"/>
  <c r="U58" i="21"/>
  <c r="U61" i="21" s="1"/>
  <c r="U64" i="21" s="1"/>
  <c r="U66" i="21" s="1"/>
  <c r="S19" i="21"/>
  <c r="G23" i="21"/>
  <c r="G24" i="21" s="1"/>
  <c r="M23" i="21"/>
  <c r="M24" i="21" s="1"/>
  <c r="C57" i="21"/>
  <c r="K57" i="21"/>
  <c r="S57" i="21"/>
  <c r="Q19" i="21"/>
  <c r="J23" i="21"/>
  <c r="J24" i="21" s="1"/>
  <c r="R23" i="21"/>
  <c r="R24" i="21" s="1"/>
  <c r="I19" i="21"/>
  <c r="I20"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19" i="29" l="1"/>
  <c r="C20" i="29" s="1"/>
  <c r="C23" i="21"/>
  <c r="C24" i="21" s="1"/>
  <c r="J65" i="23"/>
  <c r="C65" i="23"/>
  <c r="E65" i="23"/>
  <c r="I65" i="29"/>
  <c r="B65" i="24"/>
  <c r="J65" i="24"/>
  <c r="H65" i="30"/>
  <c r="I65" i="30"/>
  <c r="E65" i="30"/>
  <c r="B65" i="30"/>
  <c r="J65" i="28"/>
  <c r="I65" i="28"/>
  <c r="D65" i="28"/>
  <c r="I65" i="27"/>
  <c r="D65" i="27"/>
  <c r="C65" i="21"/>
  <c r="O64" i="21"/>
  <c r="O65" i="21" s="1"/>
  <c r="J64" i="27"/>
  <c r="J65" i="27" s="1"/>
  <c r="I64" i="26"/>
  <c r="I65" i="26" s="1"/>
  <c r="G64" i="30"/>
  <c r="G65" i="30" s="1"/>
  <c r="F64" i="26"/>
  <c r="E64" i="27"/>
  <c r="E65" i="27" s="1"/>
  <c r="C64" i="29"/>
  <c r="C65" i="29" s="1"/>
  <c r="C64" i="30"/>
  <c r="C65" i="30" s="1"/>
  <c r="M66" i="26"/>
  <c r="M65" i="26"/>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H64" i="21"/>
  <c r="H65" i="21" s="1"/>
  <c r="H64" i="28"/>
  <c r="G64" i="28"/>
  <c r="P64" i="26"/>
  <c r="E64" i="28"/>
  <c r="N64" i="23"/>
  <c r="J64" i="26"/>
  <c r="J65" i="26" s="1"/>
  <c r="B64" i="23"/>
  <c r="M64" i="27"/>
  <c r="H64" i="27"/>
  <c r="L64" i="29"/>
  <c r="G64" i="24"/>
  <c r="H64" i="24"/>
  <c r="D64" i="23"/>
  <c r="D65" i="23" s="1"/>
  <c r="K64" i="24"/>
  <c r="P64" i="24"/>
  <c r="U64" i="29"/>
  <c r="U66" i="29" s="1"/>
  <c r="M64" i="30"/>
  <c r="K64" i="26"/>
  <c r="K66" i="26" s="1"/>
  <c r="C64" i="28"/>
  <c r="C64" i="24"/>
  <c r="L64" i="27"/>
  <c r="L66" i="27" s="1"/>
  <c r="R64" i="24"/>
  <c r="R66" i="24" s="1"/>
  <c r="K64" i="29"/>
  <c r="K66" i="29" s="1"/>
  <c r="J64" i="29"/>
  <c r="E64" i="29"/>
  <c r="M64" i="21"/>
  <c r="M65" i="21" s="1"/>
  <c r="P64" i="28"/>
  <c r="P66" i="28" s="1"/>
  <c r="I64" i="21"/>
  <c r="U64" i="28"/>
  <c r="U66" i="28" s="1"/>
  <c r="U64" i="24"/>
  <c r="U66" i="24" s="1"/>
  <c r="F64" i="23"/>
  <c r="U64" i="27"/>
  <c r="U66" i="27" s="1"/>
  <c r="S66" i="27"/>
  <c r="D66" i="30"/>
  <c r="Q66" i="30"/>
  <c r="B64" i="29"/>
  <c r="B64" i="28"/>
  <c r="B64" i="27"/>
  <c r="B64" i="26"/>
  <c r="B64" i="21"/>
  <c r="T66" i="29"/>
  <c r="O64" i="27"/>
  <c r="O64" i="28"/>
  <c r="N64" i="27"/>
  <c r="N66" i="27" s="1"/>
  <c r="N64" i="30"/>
  <c r="N66" i="30" s="1"/>
  <c r="L66" i="30"/>
  <c r="J66" i="28"/>
  <c r="G64" i="26"/>
  <c r="G64" i="29"/>
  <c r="O64" i="26"/>
  <c r="T66" i="24"/>
  <c r="U66" i="23"/>
  <c r="P64" i="30"/>
  <c r="P66" i="30" s="1"/>
  <c r="C66" i="23"/>
  <c r="P66" i="23"/>
  <c r="T66" i="23"/>
  <c r="Q66" i="21"/>
  <c r="P66" i="21"/>
  <c r="K66" i="27"/>
  <c r="G64" i="23"/>
  <c r="Q66" i="24"/>
  <c r="R66" i="27"/>
  <c r="C66" i="27"/>
  <c r="H66" i="23"/>
  <c r="G64" i="27"/>
  <c r="J66" i="30"/>
  <c r="F64" i="27"/>
  <c r="T66" i="27"/>
  <c r="L66" i="29"/>
  <c r="T66" i="21"/>
  <c r="S66" i="23"/>
  <c r="H66" i="30"/>
  <c r="E66" i="30"/>
  <c r="S66" i="24"/>
  <c r="L66" i="21"/>
  <c r="S66" i="26"/>
  <c r="L66" i="28"/>
  <c r="L66" i="26"/>
  <c r="T66" i="30"/>
  <c r="R66" i="28"/>
  <c r="N64" i="26"/>
  <c r="N66" i="26" s="1"/>
  <c r="O64" i="29"/>
  <c r="P64" i="29"/>
  <c r="P66" i="29" s="1"/>
  <c r="S64" i="1"/>
  <c r="R66" i="26"/>
  <c r="D66" i="27"/>
  <c r="N64" i="29"/>
  <c r="N66" i="29" s="1"/>
  <c r="R66" i="30"/>
  <c r="L66" i="23"/>
  <c r="R64" i="1"/>
  <c r="J66" i="23"/>
  <c r="Q64" i="1"/>
  <c r="U64" i="1"/>
  <c r="P64" i="1"/>
  <c r="J66" i="24"/>
  <c r="Q66" i="29"/>
  <c r="F64" i="29"/>
  <c r="O64" i="23"/>
  <c r="O64" i="30"/>
  <c r="N64" i="24"/>
  <c r="N66" i="24" s="1"/>
  <c r="B66" i="30"/>
  <c r="B66" i="24"/>
  <c r="K66" i="30"/>
  <c r="I66" i="30"/>
  <c r="R66" i="29"/>
  <c r="M66" i="29"/>
  <c r="I66" i="29"/>
  <c r="S66" i="29"/>
  <c r="T66" i="28"/>
  <c r="D66" i="28"/>
  <c r="Q66" i="28"/>
  <c r="I66" i="28"/>
  <c r="S66" i="28"/>
  <c r="K66" i="28"/>
  <c r="Q66" i="27"/>
  <c r="I66" i="27"/>
  <c r="P66" i="27"/>
  <c r="Q66" i="26"/>
  <c r="P66" i="26"/>
  <c r="C66" i="26"/>
  <c r="H66" i="26"/>
  <c r="L66" i="24"/>
  <c r="P66" i="24"/>
  <c r="D66" i="24"/>
  <c r="K66" i="24"/>
  <c r="I66" i="23"/>
  <c r="N66" i="23"/>
  <c r="E66" i="23"/>
  <c r="K66" i="21"/>
  <c r="C66" i="21"/>
  <c r="D66" i="21"/>
  <c r="R66" i="21"/>
  <c r="N64" i="1"/>
  <c r="M64" i="1"/>
  <c r="M65" i="1" s="1"/>
  <c r="T64" i="1"/>
  <c r="L64" i="1"/>
  <c r="J64" i="1"/>
  <c r="K64" i="1"/>
  <c r="O64" i="1"/>
  <c r="O65" i="1" s="1"/>
  <c r="C64" i="1"/>
  <c r="C65" i="1" s="1"/>
  <c r="I64" i="1"/>
  <c r="I65" i="1" s="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H65" i="1" l="1"/>
  <c r="D65" i="1"/>
  <c r="J65" i="1"/>
  <c r="B65" i="1"/>
  <c r="E66" i="27"/>
  <c r="J66" i="26"/>
  <c r="I66" i="24"/>
  <c r="I66" i="26"/>
  <c r="H66" i="21"/>
  <c r="G66" i="30"/>
  <c r="D66" i="26"/>
  <c r="O66" i="21"/>
  <c r="O66" i="24"/>
  <c r="O65" i="24"/>
  <c r="O66" i="30"/>
  <c r="O65" i="30"/>
  <c r="O66" i="23"/>
  <c r="O65" i="23"/>
  <c r="O66" i="29"/>
  <c r="O65" i="29"/>
  <c r="O66" i="26"/>
  <c r="O65" i="26"/>
  <c r="O66" i="28"/>
  <c r="O65" i="28"/>
  <c r="O66" i="27"/>
  <c r="O65" i="27"/>
  <c r="J66" i="21"/>
  <c r="J65" i="21"/>
  <c r="J66" i="27"/>
  <c r="J66" i="29"/>
  <c r="J65" i="29"/>
  <c r="I66" i="21"/>
  <c r="I65" i="21"/>
  <c r="H66" i="29"/>
  <c r="H65" i="29"/>
  <c r="H66" i="24"/>
  <c r="H65" i="24"/>
  <c r="H66" i="27"/>
  <c r="H65" i="27"/>
  <c r="H66" i="28"/>
  <c r="H65" i="28"/>
  <c r="G66" i="24"/>
  <c r="G65" i="24"/>
  <c r="G66" i="28"/>
  <c r="G65" i="28"/>
  <c r="G66" i="27"/>
  <c r="G65" i="27"/>
  <c r="G66" i="29"/>
  <c r="G65" i="29"/>
  <c r="G66" i="21"/>
  <c r="G65" i="21"/>
  <c r="G66" i="23"/>
  <c r="G65" i="23"/>
  <c r="G66" i="26"/>
  <c r="G65" i="26"/>
  <c r="F66" i="24"/>
  <c r="F65" i="24"/>
  <c r="F66" i="30"/>
  <c r="F65" i="30"/>
  <c r="F66" i="21"/>
  <c r="F65" i="21"/>
  <c r="F66" i="23"/>
  <c r="F65" i="23"/>
  <c r="F66" i="27"/>
  <c r="F65" i="27"/>
  <c r="F66" i="29"/>
  <c r="F65" i="29"/>
  <c r="F66" i="28"/>
  <c r="F65" i="28"/>
  <c r="F66" i="26"/>
  <c r="F65" i="26"/>
  <c r="M66" i="28"/>
  <c r="E66" i="24"/>
  <c r="E65" i="24"/>
  <c r="E66" i="26"/>
  <c r="E65" i="26"/>
  <c r="E66" i="21"/>
  <c r="E65" i="21"/>
  <c r="E66" i="28"/>
  <c r="E65" i="28"/>
  <c r="E66" i="29"/>
  <c r="E65" i="29"/>
  <c r="D66" i="23"/>
  <c r="D66" i="29"/>
  <c r="M66" i="24"/>
  <c r="C66" i="30"/>
  <c r="C66" i="24"/>
  <c r="C65" i="24"/>
  <c r="C66" i="28"/>
  <c r="C65" i="28"/>
  <c r="C66" i="29"/>
  <c r="M66" i="21"/>
  <c r="M66" i="27"/>
  <c r="M65" i="27"/>
  <c r="M66" i="30"/>
  <c r="M65" i="30"/>
  <c r="M66" i="23"/>
  <c r="M65" i="23"/>
  <c r="B66" i="26"/>
  <c r="B65" i="26"/>
  <c r="B66" i="27"/>
  <c r="B65" i="27"/>
  <c r="B66" i="28"/>
  <c r="B65" i="28"/>
  <c r="B66" i="29"/>
  <c r="B65" i="29"/>
  <c r="B66" i="21"/>
  <c r="B65" i="21"/>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<sst xmlns="http://schemas.openxmlformats.org/spreadsheetml/2006/main" count="2024" uniqueCount="185">
  <si>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</si>
  <si>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</si>
  <si>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</si>
  <si>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</si>
  <si>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</si>
  <si>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</si>
  <si>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</si>
  <si>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</si>
  <si>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</si>
  <si>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</si>
  <si>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</si>
  <si>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</si>
  <si>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</si>
  <si>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</si>
  <si>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</si>
  <si>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</si>
  <si>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</si>
  <si>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</si>
  <si>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</si>
  <si>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</si>
  <si>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</si>
  <si>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</si>
  <si>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</si>
  <si>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</si>
  <si>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</si>
  <si>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</si>
  <si>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</si>
  <si>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</si>
  <si>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</si>
  <si>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</si>
  <si>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</si>
  <si>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</si>
  <si>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</si>
  <si>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</si>
  <si>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</si>
  <si>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</si>
  <si>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</si>
  <si>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</si>
  <si>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</si>
  <si>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</si>
  <si>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</si>
  <si>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</si>
  <si>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</si>
  <si>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</si>
  <si>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</si>
  <si>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</si>
  <si>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</si>
  <si>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</si>
  <si>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</si>
  <si>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</si>
  <si>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</si>
  <si>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</si>
  <si>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</si>
  <si>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</si>
  <si>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</si>
  <si>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</si>
  <si>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</si>
  <si>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</si>
  <si>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</si>
  <si>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</si>
  <si>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</si>
  <si>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</si>
  <si>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</si>
  <si>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</si>
  <si>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</si>
  <si>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</si>
  <si>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</si>
  <si>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</si>
  <si>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</si>
  <si>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</si>
  <si>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</si>
  <si>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</si>
  <si>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</si>
  <si>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</si>
  <si>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</si>
  <si>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</si>
  <si>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</si>
  <si>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</si>
  <si>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</si>
  <si>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</si>
  <si>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</si>
  <si>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</si>
  <si>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</si>
  <si>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</si>
  <si>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</si>
  <si>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</si>
  <si>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</si>
  <si>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</si>
  <si>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</si>
  <si>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</si>
  <si>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</si>
  <si>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</si>
  <si>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</si>
  <si>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</si>
  <si>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</si>
  <si>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</si>
  <si>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</si>
  <si>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</si>
  <si>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</si>
  <si>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</si>
  <si>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</si>
  <si>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</si>
  <si>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</si>
  <si>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</si>
  <si>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</si>
  <si>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</si>
  <si>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</si>
  <si>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</si>
  <si>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</si>
  <si>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</si>
  <si>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</si>
  <si>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</si>
  <si>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</si>
  <si>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</si>
  <si>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</si>
  <si>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</si>
  <si>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</si>
  <si>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</si>
  <si>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</si>
  <si>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</si>
  <si>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</si>
  <si>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</si>
  <si>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</si>
  <si>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</si>
  <si>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</si>
  <si>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</si>
  <si>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</si>
  <si>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</si>
  <si>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</si>
  <si>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</si>
  <si>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</si>
  <si>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</si>
  <si>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</si>
  <si>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</si>
  <si>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</si>
  <si>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</si>
  <si>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</si>
  <si>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</si>
  <si>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</si>
  <si>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</si>
  <si>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</si>
  <si>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</si>
  <si>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</si>
  <si>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</si>
  <si>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</si>
  <si>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</si>
  <si>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</si>
  <si>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</si>
  <si>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</si>
  <si>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</si>
  <si>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</si>
  <si>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</si>
  <si>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</si>
  <si>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</si>
  <si>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</si>
  <si>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</si>
  <si>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</si>
  <si>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</si>
  <si>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</si>
  <si>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</si>
  <si>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 PAN-031603</t>
  </si>
  <si>
    <t>EPR/AB3891CX</t>
  </si>
  <si>
    <t>Mr Daniel James and Mrs Carys James</t>
  </si>
  <si>
    <t>Trefwtial, Blaenannerch, Cardigan, Ceredigion,SA43 2AG</t>
  </si>
  <si>
    <t>Owen Clee</t>
  </si>
  <si>
    <t>19 09 02</t>
  </si>
  <si>
    <t>Trefwtial 16</t>
  </si>
  <si>
    <t>Trefwtial 17</t>
  </si>
  <si>
    <t>Trefwtial 18</t>
  </si>
  <si>
    <t>Rhosygadair 4</t>
  </si>
  <si>
    <t>Rhosygadair 5</t>
  </si>
  <si>
    <t>Rhosygadair 6</t>
  </si>
  <si>
    <t>Rhosygadair 7</t>
  </si>
  <si>
    <t>Bigni 8</t>
  </si>
  <si>
    <t>Bigni 9</t>
  </si>
  <si>
    <t xml:space="preserve">Moderate </t>
  </si>
  <si>
    <t>DCWW Llechryd WTW</t>
  </si>
  <si>
    <t>DCWW Bontgoch WTW</t>
  </si>
  <si>
    <t>DCWW Preseli WTW</t>
  </si>
  <si>
    <t>DCWW Strata
Florida WTW</t>
  </si>
  <si>
    <t>DCWW Llechryd 2 WTW</t>
  </si>
  <si>
    <t>DCWW Bryngwyn WTW</t>
  </si>
  <si>
    <t>DCWW Bolton Hill 2 WTW</t>
  </si>
  <si>
    <t xml:space="preserve">DCWW Cray WTW </t>
  </si>
  <si>
    <t>DCWW Bolton Hill WTW cake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</si>
</sst>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11" xfId="0" applyFont="1" applyFill="1" applyBorder="1" applyAlignment="1" applyProtection="1">
      <alignment horizontal="left" vertical="top" wrapText="1"/>
      <protection locked="0"/>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6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60" dataDxfId="358" headerRowBorderDxfId="359" tableBorderDxfId="357" totalsRowBorderDxfId="356">
  <autoFilter ref="AI1:AN26" xr:uid="{F8B5EC87-3095-445A-A980-2CFAA0A7B9A2}"/>
  <sortState xmlns:xlrd2="http://schemas.microsoft.com/office/spreadsheetml/2017/richdata2" ref="AI2:AL25">
    <sortCondition ref="AL1:AL25"/>
  </sortState>
  <tableColumns count="6">
    <tableColumn id="1" xr3:uid="{360F44E4-7249-415F-8D5E-41D249F9A162}" name="Crop" dataDxfId="355"/>
    <tableColumn id="2" xr3:uid="{55E07717-B4EC-4E8A-B9A9-34F3CF85E32D}" name="P Offtake" dataDxfId="354"/>
    <tableColumn id="3" xr3:uid="{7B25FA52-8104-4FE3-AED4-B53CBFDF89B2}" name="K Offtake" dataDxfId="353"/>
    <tableColumn id="4" xr3:uid="{0DBAE461-2D09-43C8-9342-3980D552AE4D}" name="Order" dataDxfId="352"/>
    <tableColumn id="5" xr3:uid="{52CACE7B-0CBA-46FC-9F24-02CBD6100239}" name="Lime pH requirement" dataDxfId="351"/>
    <tableColumn id="6" xr3:uid="{F1432630-9B16-4266-8147-CE754A715307}" name="Column1" dataDxfId="35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9" dataDxfId="347" headerRowBorderDxfId="348" tableBorderDxfId="346" totalsRowBorderDxfId="345">
  <autoFilter ref="AI1:AN26" xr:uid="{F8B5EC87-3095-445A-A980-2CFAA0A7B9A2}"/>
  <sortState xmlns:xlrd2="http://schemas.microsoft.com/office/spreadsheetml/2017/richdata2" ref="AI2:AL25">
    <sortCondition ref="AL1:AL25"/>
  </sortState>
  <tableColumns count="6">
    <tableColumn id="1" xr3:uid="{7E96A84B-948F-445F-BD6E-30CC8E6E6DD1}" name="Crop" dataDxfId="344"/>
    <tableColumn id="2" xr3:uid="{12657DDB-F680-47DE-ABB1-8675D5F91E41}" name="P Offtake" dataDxfId="343"/>
    <tableColumn id="3" xr3:uid="{DEB99109-D325-4F98-8A71-E70C03433437}" name="K Offtake" dataDxfId="342"/>
    <tableColumn id="4" xr3:uid="{E96A561F-7E7F-4FB3-97AA-0B35D8C8E93A}" name="Order" dataDxfId="341"/>
    <tableColumn id="5" xr3:uid="{181DD475-0A71-4C52-AF1A-8BFF46F5A827}" name="Lime pH requirement" dataDxfId="340"/>
    <tableColumn id="6" xr3:uid="{AC3FA7E8-D76B-43A3-B715-04446DFF63C6}" name="Column1" dataDxfId="33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38" dataDxfId="336" headerRowBorderDxfId="337" tableBorderDxfId="335" totalsRowBorderDxfId="334">
  <autoFilter ref="AI1:AN26" xr:uid="{F8B5EC87-3095-445A-A980-2CFAA0A7B9A2}"/>
  <sortState xmlns:xlrd2="http://schemas.microsoft.com/office/spreadsheetml/2017/richdata2" ref="AI2:AL25">
    <sortCondition ref="AL1:AL25"/>
  </sortState>
  <tableColumns count="6">
    <tableColumn id="1" xr3:uid="{06008BA1-A1E9-4286-B67A-352533C06A26}" name="Crop" dataDxfId="333"/>
    <tableColumn id="2" xr3:uid="{2AEB5EEB-C9D1-41DC-913E-953A33D1A4AF}" name="P Offtake" dataDxfId="332"/>
    <tableColumn id="3" xr3:uid="{8FA16A0B-1017-4CEE-862E-0A8CBD8EB3D3}" name="K Offtake" dataDxfId="331"/>
    <tableColumn id="4" xr3:uid="{E7A3B8CD-4036-47F4-B818-C3F22E80C749}" name="Order" dataDxfId="330"/>
    <tableColumn id="5" xr3:uid="{8F3EBD84-7904-4559-9B5C-63088B792C98}" name="Lime pH requirement" dataDxfId="329"/>
    <tableColumn id="6" xr3:uid="{A21DD95A-C955-4510-9114-E3F1CB645370}" name="Column1" dataDxfId="3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27" dataDxfId="325" headerRowBorderDxfId="326" tableBorderDxfId="324" totalsRowBorderDxfId="323">
  <autoFilter ref="AI1:AN26" xr:uid="{F8B5EC87-3095-445A-A980-2CFAA0A7B9A2}"/>
  <sortState xmlns:xlrd2="http://schemas.microsoft.com/office/spreadsheetml/2017/richdata2" ref="AI2:AL25">
    <sortCondition ref="AL1:AL25"/>
  </sortState>
  <tableColumns count="6">
    <tableColumn id="1" xr3:uid="{11579FCC-3D9F-49AD-888D-5D79B801F6AE}" name="Crop" dataDxfId="322"/>
    <tableColumn id="2" xr3:uid="{05C08116-56D5-4CC6-A649-B06AF891B931}" name="P Offtake" dataDxfId="321"/>
    <tableColumn id="3" xr3:uid="{59CDE959-192B-4757-9203-A0F691CF0F96}" name="K Offtake" dataDxfId="320"/>
    <tableColumn id="4" xr3:uid="{9FB8E4F7-B91F-4CE0-AF39-D4895D0ECF2F}" name="Order" dataDxfId="319"/>
    <tableColumn id="5" xr3:uid="{688FF2A4-D7C6-4425-A915-A9ADD700A9EE}" name="Lime pH requirement" dataDxfId="318"/>
    <tableColumn id="6" xr3:uid="{05FC5CFF-3D81-4B5F-87C7-2364076F2714}" name="Column1" dataDxfId="31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16" dataDxfId="314" headerRowBorderDxfId="315" tableBorderDxfId="313" totalsRowBorderDxfId="312">
  <autoFilter ref="AI1:AN26" xr:uid="{F8B5EC87-3095-445A-A980-2CFAA0A7B9A2}"/>
  <sortState xmlns:xlrd2="http://schemas.microsoft.com/office/spreadsheetml/2017/richdata2" ref="AI2:AL25">
    <sortCondition ref="AL1:AL25"/>
  </sortState>
  <tableColumns count="6">
    <tableColumn id="1" xr3:uid="{973D7FFB-D248-4199-9B2E-B3C6CC09D382}" name="Crop" dataDxfId="311"/>
    <tableColumn id="2" xr3:uid="{7F2A3986-EC86-4CF9-BD10-791170BA6682}" name="P Offtake" dataDxfId="310"/>
    <tableColumn id="3" xr3:uid="{D6129C35-9DC6-42E5-AE3F-EA3A083168E6}" name="K Offtake" dataDxfId="309"/>
    <tableColumn id="4" xr3:uid="{C1CC42B5-564A-4DE7-B817-B7D686FE9A11}" name="Order" dataDxfId="308"/>
    <tableColumn id="5" xr3:uid="{620F3ABD-564C-411A-8DEA-CE1A34F9FC36}" name="Lime pH requirement" dataDxfId="307"/>
    <tableColumn id="6" xr3:uid="{76C9BC4F-4FF3-4AFB-8E7B-16DC0CC3E97C}" name="Column1" dataDxfId="30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05" dataDxfId="303" headerRowBorderDxfId="304" tableBorderDxfId="302" totalsRowBorderDxfId="301">
  <autoFilter ref="AI1:AN26" xr:uid="{F8B5EC87-3095-445A-A980-2CFAA0A7B9A2}"/>
  <sortState xmlns:xlrd2="http://schemas.microsoft.com/office/spreadsheetml/2017/richdata2" ref="AI2:AL25">
    <sortCondition ref="AL1:AL25"/>
  </sortState>
  <tableColumns count="6">
    <tableColumn id="1" xr3:uid="{D13A12FC-EAE6-4280-A219-C2622262E5F4}" name="Crop" dataDxfId="300"/>
    <tableColumn id="2" xr3:uid="{FD06C4A3-4B75-490D-88CF-232C7DC3EFC6}" name="P Offtake" dataDxfId="299"/>
    <tableColumn id="3" xr3:uid="{B043BEFF-10D4-4840-989B-BB13A502ECDF}" name="K Offtake" dataDxfId="298"/>
    <tableColumn id="4" xr3:uid="{48481FDC-5D20-466C-B554-D45886EA366A}" name="Order" dataDxfId="297"/>
    <tableColumn id="5" xr3:uid="{9E0852D2-9D0D-44AB-98B7-FBA51F331ACF}" name="Lime pH requirement" dataDxfId="296"/>
    <tableColumn id="6" xr3:uid="{29F9C4A5-6854-4F37-8BD1-0DD9B6024A55}" name="Column1" dataDxfId="29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294" dataDxfId="292" headerRowBorderDxfId="293" tableBorderDxfId="291" totalsRowBorderDxfId="290">
  <autoFilter ref="AI1:AN26" xr:uid="{F8B5EC87-3095-445A-A980-2CFAA0A7B9A2}"/>
  <sortState xmlns:xlrd2="http://schemas.microsoft.com/office/spreadsheetml/2017/richdata2" ref="AI2:AL25">
    <sortCondition ref="AL1:AL25"/>
  </sortState>
  <tableColumns count="6">
    <tableColumn id="1" xr3:uid="{1B554ED3-7AAF-4192-827C-B071945474B8}" name="Crop" dataDxfId="289"/>
    <tableColumn id="2" xr3:uid="{35F435E0-8D8E-44D1-84BD-C2FF51C3F944}" name="P Offtake" dataDxfId="288"/>
    <tableColumn id="3" xr3:uid="{38465C9D-AA8F-443A-80F5-96D1F6258317}" name="K Offtake" dataDxfId="287"/>
    <tableColumn id="4" xr3:uid="{E0C0E6AF-5628-4BC3-9625-81A87B93D279}" name="Order" dataDxfId="286"/>
    <tableColumn id="5" xr3:uid="{ACDE1D9A-7F94-4404-BDDC-1235C32C758F}" name="Lime pH requirement" dataDxfId="285"/>
    <tableColumn id="6" xr3:uid="{B093C9DF-C4CF-4906-9658-89F446EB9C12}" name="Column1" dataDxfId="2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283" dataDxfId="281" headerRowBorderDxfId="282" tableBorderDxfId="280" totalsRowBorderDxfId="279">
  <autoFilter ref="AI1:AN26" xr:uid="{F8B5EC87-3095-445A-A980-2CFAA0A7B9A2}"/>
  <sortState xmlns:xlrd2="http://schemas.microsoft.com/office/spreadsheetml/2017/richdata2" ref="AI2:AL25">
    <sortCondition ref="AL1:AL25"/>
  </sortState>
  <tableColumns count="6">
    <tableColumn id="1" xr3:uid="{C4B2E6E9-5990-417D-9E04-7933BDF1FC69}" name="Crop" dataDxfId="278"/>
    <tableColumn id="2" xr3:uid="{E74EF8D0-6C68-49B8-AE52-40C276CA5FC9}" name="P Offtake" dataDxfId="277"/>
    <tableColumn id="3" xr3:uid="{9E0A7857-36E3-482D-B4B2-65B90760417F}" name="K Offtake" dataDxfId="276"/>
    <tableColumn id="4" xr3:uid="{A78867D2-7566-4070-AF99-15EE4CEB1699}" name="Order" dataDxfId="275"/>
    <tableColumn id="5" xr3:uid="{240FD5FA-5659-468E-8544-C93086800EC9}" name="Lime pH requirement" dataDxfId="274"/>
    <tableColumn id="6" xr3:uid="{D5C8E9C3-9076-473B-AE62-DA32692BAABC}" name="Column1" dataDxfId="27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272" dataDxfId="270" headerRowBorderDxfId="271" tableBorderDxfId="269" totalsRowBorderDxfId="268">
  <autoFilter ref="AI1:AN26" xr:uid="{F8B5EC87-3095-445A-A980-2CFAA0A7B9A2}"/>
  <sortState xmlns:xlrd2="http://schemas.microsoft.com/office/spreadsheetml/2017/richdata2" ref="AI2:AL25">
    <sortCondition ref="AL1:AL25"/>
  </sortState>
  <tableColumns count="6">
    <tableColumn id="1" xr3:uid="{82F1A1D2-F5AA-4D76-98E8-3C18592FB8CF}" name="Crop" dataDxfId="267"/>
    <tableColumn id="2" xr3:uid="{17F60BEE-3BBA-4198-AA21-518EC4696EB6}" name="P Offtake" dataDxfId="266"/>
    <tableColumn id="3" xr3:uid="{95D820EB-2583-433A-A070-6E8356E186E7}" name="K Offtake" dataDxfId="265"/>
    <tableColumn id="4" xr3:uid="{F3AE1839-F59F-4A70-B11A-A32E3FDD1A00}" name="Order" dataDxfId="264"/>
    <tableColumn id="5" xr3:uid="{C52880C5-B266-4CF0-9A11-778ABC47F9F0}" name="Lime pH requirement" dataDxfId="263"/>
    <tableColumn id="6" xr3:uid="{233F7657-9414-44B1-9E43-A91A69CB97ED}" name="Column1" dataDxfId="26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B1" zoomScale="90" zoomScaleNormal="90" workbookViewId="0">
      <selection activeCell="C41" sqref="C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1" t="s">
        <v>41</v>
      </c>
      <c r="B1" s="132"/>
      <c r="C1" s="161" t="s">
        <v>160</v>
      </c>
      <c r="D1" s="162"/>
      <c r="E1" s="106" t="s">
        <v>45</v>
      </c>
      <c r="F1" s="109">
        <v>48.9</v>
      </c>
      <c r="G1" s="163" t="s">
        <v>43</v>
      </c>
      <c r="H1" s="164"/>
      <c r="I1" s="109">
        <v>5.8</v>
      </c>
      <c r="J1" s="131" t="s">
        <v>153</v>
      </c>
      <c r="K1" s="132"/>
      <c r="L1" s="109">
        <v>62.4</v>
      </c>
      <c r="AB1" s="13"/>
      <c r="AC1" s="13"/>
      <c r="AD1" s="22" t="s">
        <v>126</v>
      </c>
      <c r="AE1" s="13"/>
      <c r="AF1" s="13"/>
      <c r="AG1" s="13"/>
      <c r="AH1" s="13"/>
      <c r="AI1" s="30" t="s">
        <v>79</v>
      </c>
      <c r="AJ1" s="31" t="s">
        <v>94</v>
      </c>
      <c r="AK1" s="32" t="s">
        <v>95</v>
      </c>
      <c r="AL1" s="33" t="s">
        <v>125</v>
      </c>
      <c r="AM1" s="33" t="s">
        <v>131</v>
      </c>
      <c r="AN1" s="33" t="s">
        <v>111</v>
      </c>
    </row>
    <row r="2" spans="1:40" ht="13" x14ac:dyDescent="0.3">
      <c r="A2" s="133" t="s">
        <v>87</v>
      </c>
      <c r="B2" s="134"/>
      <c r="C2" s="155" t="s">
        <v>161</v>
      </c>
      <c r="D2" s="156"/>
      <c r="E2" s="96" t="s">
        <v>109</v>
      </c>
      <c r="F2" s="110" t="s">
        <v>165</v>
      </c>
      <c r="G2" s="165" t="s">
        <v>110</v>
      </c>
      <c r="H2" s="166"/>
      <c r="I2" s="110"/>
      <c r="J2" s="133" t="s">
        <v>158</v>
      </c>
      <c r="K2" s="134"/>
      <c r="L2" s="110">
        <v>0.91900000000000004</v>
      </c>
      <c r="AB2" s="22" t="s">
        <v>56</v>
      </c>
      <c r="AC2" s="13"/>
      <c r="AD2" s="22" t="s">
        <v>70</v>
      </c>
      <c r="AE2" s="13"/>
      <c r="AF2" s="13"/>
      <c r="AG2" s="34" t="s">
        <v>76</v>
      </c>
      <c r="AH2" s="13"/>
      <c r="AI2" s="35" t="s">
        <v>126</v>
      </c>
      <c r="AJ2" s="36">
        <v>0</v>
      </c>
      <c r="AK2" s="37">
        <v>0</v>
      </c>
      <c r="AL2" s="7">
        <v>0</v>
      </c>
      <c r="AM2" s="9">
        <v>0</v>
      </c>
      <c r="AN2" s="9">
        <v>0</v>
      </c>
    </row>
    <row r="3" spans="1:40" ht="13" x14ac:dyDescent="0.25">
      <c r="A3" s="135" t="s">
        <v>42</v>
      </c>
      <c r="B3" s="136"/>
      <c r="C3" s="155" t="s">
        <v>162</v>
      </c>
      <c r="D3" s="156"/>
      <c r="E3" s="96" t="s">
        <v>108</v>
      </c>
      <c r="F3" s="111" t="s">
        <v>76</v>
      </c>
      <c r="G3" s="133" t="s">
        <v>159</v>
      </c>
      <c r="H3" s="134"/>
      <c r="I3" s="110"/>
      <c r="J3" s="135" t="s">
        <v>154</v>
      </c>
      <c r="K3" s="136"/>
      <c r="L3" s="110">
        <f>(L1/(L2*10000))*100</f>
        <v>0.67899891186071815</v>
      </c>
      <c r="AB3" s="22" t="s">
        <v>57</v>
      </c>
      <c r="AC3" s="13"/>
      <c r="AD3" s="22" t="s">
        <v>71</v>
      </c>
      <c r="AE3" s="13"/>
      <c r="AF3" s="13"/>
      <c r="AG3" s="34" t="s">
        <v>77</v>
      </c>
      <c r="AH3" s="13"/>
      <c r="AI3" s="38" t="s">
        <v>113</v>
      </c>
      <c r="AJ3" s="39">
        <v>1.7</v>
      </c>
      <c r="AK3" s="40">
        <v>6</v>
      </c>
      <c r="AL3" s="41">
        <v>1</v>
      </c>
      <c r="AM3" s="9">
        <v>6.2</v>
      </c>
      <c r="AN3" s="9" t="s">
        <v>112</v>
      </c>
    </row>
    <row r="4" spans="1:40" ht="13" x14ac:dyDescent="0.25">
      <c r="A4" s="133" t="s">
        <v>0</v>
      </c>
      <c r="B4" s="134"/>
      <c r="C4" s="157" t="s">
        <v>163</v>
      </c>
      <c r="D4" s="158"/>
      <c r="E4" s="99" t="s">
        <v>1</v>
      </c>
      <c r="F4" s="110" t="s">
        <v>176</v>
      </c>
      <c r="G4" s="133"/>
      <c r="H4" s="134"/>
      <c r="I4" s="110"/>
      <c r="J4" s="135"/>
      <c r="K4" s="136"/>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7" t="s">
        <v>47</v>
      </c>
      <c r="B5" s="148"/>
      <c r="C5" s="159" t="s">
        <v>164</v>
      </c>
      <c r="D5" s="160"/>
      <c r="E5" s="112"/>
      <c r="F5" s="108"/>
      <c r="G5" s="147"/>
      <c r="H5" s="148"/>
      <c r="I5" s="108"/>
      <c r="J5" s="137"/>
      <c r="K5" s="138"/>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3" t="s">
        <v>2</v>
      </c>
      <c r="B8" s="134"/>
      <c r="C8" s="11" t="s">
        <v>166</v>
      </c>
      <c r="D8" s="11" t="s">
        <v>167</v>
      </c>
      <c r="E8" s="11" t="s">
        <v>168</v>
      </c>
      <c r="F8" s="11" t="s">
        <v>169</v>
      </c>
      <c r="G8" s="11" t="s">
        <v>170</v>
      </c>
      <c r="H8" s="11" t="s">
        <v>171</v>
      </c>
      <c r="I8" s="11" t="s">
        <v>172</v>
      </c>
      <c r="J8" s="11" t="s">
        <v>173</v>
      </c>
      <c r="K8" s="11" t="s">
        <v>174</v>
      </c>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3" t="s">
        <v>3</v>
      </c>
      <c r="B9" s="134"/>
      <c r="C9" s="11">
        <v>1</v>
      </c>
      <c r="D9" s="11" t="s">
        <v>175</v>
      </c>
      <c r="E9" s="11">
        <v>1</v>
      </c>
      <c r="F9" s="11">
        <v>1</v>
      </c>
      <c r="G9" s="11">
        <v>1</v>
      </c>
      <c r="H9" s="11">
        <v>1</v>
      </c>
      <c r="I9" s="11" t="s">
        <v>175</v>
      </c>
      <c r="J9" s="11">
        <v>1</v>
      </c>
      <c r="K9" s="11">
        <v>1</v>
      </c>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3" t="s">
        <v>4</v>
      </c>
      <c r="B10" s="134"/>
      <c r="C10" s="11">
        <v>5.7</v>
      </c>
      <c r="D10" s="11">
        <v>5.7</v>
      </c>
      <c r="E10" s="11">
        <v>5.7</v>
      </c>
      <c r="F10" s="11">
        <v>5.7</v>
      </c>
      <c r="G10" s="11">
        <v>5.9</v>
      </c>
      <c r="H10" s="11">
        <v>5.8</v>
      </c>
      <c r="I10" s="11">
        <v>6.5</v>
      </c>
      <c r="J10" s="11">
        <v>6.3</v>
      </c>
      <c r="K10" s="11">
        <v>5.8</v>
      </c>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3" t="s">
        <v>5</v>
      </c>
      <c r="B11" s="134"/>
      <c r="C11" s="11">
        <v>3</v>
      </c>
      <c r="D11" s="11">
        <v>3</v>
      </c>
      <c r="E11" s="11">
        <v>3</v>
      </c>
      <c r="F11" s="11">
        <v>3</v>
      </c>
      <c r="G11" s="11">
        <v>2</v>
      </c>
      <c r="H11" s="11">
        <v>2</v>
      </c>
      <c r="I11" s="11">
        <v>2</v>
      </c>
      <c r="J11" s="11">
        <v>3</v>
      </c>
      <c r="K11" s="11">
        <v>3</v>
      </c>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3" t="s">
        <v>6</v>
      </c>
      <c r="B12" s="134"/>
      <c r="C12" s="11">
        <v>0</v>
      </c>
      <c r="D12" s="11">
        <v>1</v>
      </c>
      <c r="E12" s="11">
        <v>1</v>
      </c>
      <c r="F12" s="11">
        <v>3</v>
      </c>
      <c r="G12" s="11">
        <v>2</v>
      </c>
      <c r="H12" s="11">
        <v>3</v>
      </c>
      <c r="I12" s="11">
        <v>1</v>
      </c>
      <c r="J12" s="11">
        <v>2</v>
      </c>
      <c r="K12" s="11">
        <v>2</v>
      </c>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3" t="s">
        <v>7</v>
      </c>
      <c r="B13" s="134"/>
      <c r="C13" s="11">
        <v>2</v>
      </c>
      <c r="D13" s="11">
        <v>2</v>
      </c>
      <c r="E13" s="11">
        <v>2</v>
      </c>
      <c r="F13" s="11">
        <v>2</v>
      </c>
      <c r="G13" s="11">
        <v>3</v>
      </c>
      <c r="H13" s="11">
        <v>2</v>
      </c>
      <c r="I13" s="11">
        <v>3</v>
      </c>
      <c r="J13" s="11">
        <v>2</v>
      </c>
      <c r="K13" s="11">
        <v>2</v>
      </c>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1" t="s">
        <v>8</v>
      </c>
      <c r="B14" s="152"/>
      <c r="C14" s="82" t="s">
        <v>68</v>
      </c>
      <c r="D14" s="82" t="s">
        <v>113</v>
      </c>
      <c r="E14" s="82" t="s">
        <v>105</v>
      </c>
      <c r="F14" s="82" t="s">
        <v>68</v>
      </c>
      <c r="G14" s="82" t="s">
        <v>105</v>
      </c>
      <c r="H14" s="82" t="s">
        <v>105</v>
      </c>
      <c r="I14" s="82" t="s">
        <v>113</v>
      </c>
      <c r="J14" s="82" t="s">
        <v>105</v>
      </c>
      <c r="K14" s="82" t="s">
        <v>105</v>
      </c>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9" t="s">
        <v>9</v>
      </c>
      <c r="B15" s="150"/>
      <c r="C15" s="11">
        <v>7.5</v>
      </c>
      <c r="D15" s="11">
        <v>47</v>
      </c>
      <c r="E15" s="11">
        <v>45</v>
      </c>
      <c r="F15" s="11">
        <v>7.5</v>
      </c>
      <c r="G15" s="11">
        <v>45</v>
      </c>
      <c r="H15" s="11">
        <v>45</v>
      </c>
      <c r="I15" s="11">
        <v>47</v>
      </c>
      <c r="J15" s="11">
        <v>45</v>
      </c>
      <c r="K15" s="11">
        <v>45</v>
      </c>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3" t="s">
        <v>44</v>
      </c>
      <c r="B16" s="154"/>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60.867287999999995</v>
      </c>
      <c r="D18" s="12">
        <f>$D32</f>
        <v>60.867287999999995</v>
      </c>
      <c r="E18" s="12">
        <f>$D33</f>
        <v>60.867287999999995</v>
      </c>
      <c r="F18" s="12">
        <f>$D34</f>
        <v>60.867287999999995</v>
      </c>
      <c r="G18" s="12">
        <f>$D35</f>
        <v>60.867287999999995</v>
      </c>
      <c r="H18" s="12">
        <f>$D36</f>
        <v>60.867287999999995</v>
      </c>
      <c r="I18" s="12">
        <f>$D37</f>
        <v>60.867287999999995</v>
      </c>
      <c r="J18" s="12">
        <f>$D38</f>
        <v>60.867287999999995</v>
      </c>
      <c r="K18" s="12">
        <f>$D39</f>
        <v>60.867287999999995</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-2.882712000000005</v>
      </c>
      <c r="D19" s="12">
        <f t="shared" ref="D19:V19" si="1">D18-D17</f>
        <v>-19.032711999999997</v>
      </c>
      <c r="E19" s="12">
        <f t="shared" si="1"/>
        <v>-2.1327119999999979</v>
      </c>
      <c r="F19" s="12">
        <f t="shared" si="1"/>
        <v>-2.882712000000005</v>
      </c>
      <c r="G19" s="12">
        <f t="shared" si="1"/>
        <v>-2.1327119999999979</v>
      </c>
      <c r="H19" s="12">
        <f t="shared" si="1"/>
        <v>-2.1327119999999979</v>
      </c>
      <c r="I19" s="12">
        <f t="shared" si="1"/>
        <v>-19.032711999999997</v>
      </c>
      <c r="J19" s="12">
        <f t="shared" si="1"/>
        <v>-2.1327119999999979</v>
      </c>
      <c r="K19" s="12">
        <f t="shared" si="1"/>
        <v>-2.1327119999999979</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5.4444310000000007</v>
      </c>
      <c r="D22" s="12">
        <f>$E32</f>
        <v>5.4444310000000007</v>
      </c>
      <c r="E22" s="12">
        <f>$E33</f>
        <v>5.4444310000000007</v>
      </c>
      <c r="F22" s="12">
        <f>$E34</f>
        <v>5.4444310000000007</v>
      </c>
      <c r="G22" s="12">
        <f>$E35</f>
        <v>5.4444310000000007</v>
      </c>
      <c r="H22" s="12">
        <f>$E36</f>
        <v>5.4444310000000007</v>
      </c>
      <c r="I22" s="12">
        <f>$E37</f>
        <v>5.4444310000000007</v>
      </c>
      <c r="J22" s="12">
        <f>$E38</f>
        <v>5.4444310000000007</v>
      </c>
      <c r="K22" s="12">
        <f>$E39</f>
        <v>5.4444310000000007</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-84.555569000000006</v>
      </c>
      <c r="D23" s="12">
        <f t="shared" ref="D23:V23" si="3">D22-D21</f>
        <v>-276.55556899999999</v>
      </c>
      <c r="E23" s="12">
        <f t="shared" si="3"/>
        <v>-192.55556900000002</v>
      </c>
      <c r="F23" s="12">
        <f t="shared" si="3"/>
        <v>-84.555569000000006</v>
      </c>
      <c r="G23" s="12">
        <f t="shared" si="3"/>
        <v>-192.55556900000002</v>
      </c>
      <c r="H23" s="12">
        <f t="shared" si="3"/>
        <v>-192.55556900000002</v>
      </c>
      <c r="I23" s="12">
        <f t="shared" si="3"/>
        <v>-276.55556899999999</v>
      </c>
      <c r="J23" s="12">
        <f t="shared" si="3"/>
        <v>-192.55556900000002</v>
      </c>
      <c r="K23" s="12">
        <f t="shared" si="3"/>
        <v>-192.55556900000002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16.399999999999999</v>
      </c>
      <c r="C28" s="11">
        <v>0.91900000000000004</v>
      </c>
      <c r="D28" s="11">
        <v>0.32400000000000001</v>
      </c>
      <c r="E28" s="11">
        <v>5.5100000000000003E-2</v>
      </c>
      <c r="F28" s="11">
        <v>1420</v>
      </c>
      <c r="G28" s="11">
        <v>38.6</v>
      </c>
      <c r="H28" s="11">
        <v>126</v>
      </c>
      <c r="I28" s="11">
        <v>22.1</v>
      </c>
      <c r="J28" s="11">
        <v>0.34</v>
      </c>
      <c r="K28" s="15">
        <v>0.31</v>
      </c>
      <c r="L28" s="11">
        <v>17</v>
      </c>
      <c r="M28" s="11">
        <v>16.3</v>
      </c>
      <c r="N28" s="11">
        <v>7180</v>
      </c>
      <c r="O28" s="11">
        <v>187000</v>
      </c>
      <c r="P28" s="11"/>
      <c r="Q28" s="11">
        <v>3780</v>
      </c>
      <c r="R28" s="11"/>
      <c r="S28" s="11">
        <v>22.1</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50</v>
      </c>
      <c r="C31" s="65">
        <f>IF(C$27="%w/w SAR",((C$28*10)*$B31),IF(C$27="%w/w DM",(((C$28*10)*($B$28/100))*$B31),IF(C$27="kg/t SAR",(C$28*$B31),IF(C$27="kg/t DM",((C$28*($B$28/100))*$B31),IF(C$27="mg/kg SAR",((C$28*0.001)*$B31),IF(C$27="mg/kg DM",(((C$28*0.001)*($B$28/100))*$B31),0))))))</f>
        <v>75.358000000000004</v>
      </c>
      <c r="D31" s="65">
        <f>(IF(D$27="%w/w SAR",((D$28*10)*$B31),IF(D$27="%w/w DM",(((D$28*10)*($B$28/100))*$B31),IF(D$27="kg/t SAR",(D$28*$B31),IF(D$27="kg/t DM",((D$28*($B$28/100))*$B31),IF(D$27="mg/kg SAR",((D$28*0.001)*$B31),IF(D$27="mg/kg DM",(((D$28*0.001)*($B$28/100))*$B31),"0")))))))*2.291</f>
        <v>60.867287999999995</v>
      </c>
      <c r="E31" s="65">
        <f>(IF(E$27="%w/w SAR",((E$28*10)*$B31),IF(E$27="%w/w DM",(((E$28*10)*($B$28/100))*$B31),IF(E$27="kg/t SAR",(E$28*$B31),IF(E$27="kg/t DM",((E$28*($B$28/100))*$B31),IF(E$27="mg/kg SAR",((E$28*0.001)*$B31),IF(E$27="mg/kg DM",(((E$28*0.001)*($B$28/100))*$B31),"0")))))))*1.205</f>
        <v>5.4444310000000007</v>
      </c>
      <c r="F31" s="65">
        <f>(IF(F$27="%w/w SAR",((F$28*10)*$B31),IF(F$27="%w/w DM",(((F$28*10)*($B$28/100))*$B31),IF(F$27="kg/t SAR",(F$28*$B31),IF(F$27="kg/t DM",((F$28*($B$28/100))*$B31),IF(F$27="mg/kg SAR",((F$28*0.001)*$B31),IF(F$27="mg/kg DM",(((F$28*0.001)*($B$28/100))*$B31),"0")))))))*1.658</f>
        <v>19.305751999999995</v>
      </c>
      <c r="G31" s="65">
        <f t="shared" ref="G31:P31" si="5">IF(G$27="%w/w SAR",((G$28*10)*$B31),IF(G$27="%w/w DM",(((G$28*10)*($B$28/100))*$B31),IF(G$27="kg/t SAR",(G$28*$B31),IF(G$27="kg/t DM",((G$28*($B$28/100))*$B31),IF(G$27="mg/kg SAR",((G$28*0.001)*$B31),IF(G$27="mg/kg DM",(((G$28*0.001)*($B$28/100))*$B31),0))))))</f>
        <v>0.31652000000000002</v>
      </c>
      <c r="H31" s="65">
        <f t="shared" si="5"/>
        <v>1.0331999999999999</v>
      </c>
      <c r="I31" s="65">
        <f t="shared" si="5"/>
        <v>0.18121999999999999</v>
      </c>
      <c r="J31" s="65">
        <f t="shared" si="5"/>
        <v>2.7879999999999997E-3</v>
      </c>
      <c r="K31" s="65">
        <f t="shared" si="5"/>
        <v>2.5419999999999996E-3</v>
      </c>
      <c r="L31" s="65">
        <f t="shared" si="5"/>
        <v>0.1394</v>
      </c>
      <c r="M31" s="65">
        <f t="shared" si="5"/>
        <v>0.13366</v>
      </c>
      <c r="N31" s="65">
        <f t="shared" si="5"/>
        <v>58.875999999999998</v>
      </c>
      <c r="O31" s="65">
        <f t="shared" si="5"/>
        <v>1533.3999999999999</v>
      </c>
      <c r="P31" s="65">
        <f t="shared" si="5"/>
        <v>0</v>
      </c>
      <c r="Q31" s="65">
        <f>(IF(Q$27="%w/w SAR",((Q$28*10)*$B31),IF(Q$27="%w/w DM",(((Q$28*10)*($B$28/100))*$B31),IF(Q$27="kg/t SAR",(Q$28*$B31),IF(Q$27="kg/t DM",((Q$28*($B$28/100))*$B31),IF(Q$27="mg/kg SAR",((Q$28*0.001)*$B31),IF(Q$27="mg/kg DM",(((Q$28*0.001)*($B$28/100))*$B31),0)))))))*2.5</f>
        <v>77.489999999999981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0.18121999999999999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50</v>
      </c>
      <c r="C32" s="65">
        <f t="shared" ref="C32:C50" si="6">IF(C$27="%w/w SAR",((C$28*10)*$B32),IF(C$27="%w/w DM",(((C$28*10)*($B$28/100))*$B32),IF(C$27="kg/t SAR",(C$28*$B32),IF(C$27="kg/t DM",((C$28*($B$28/100))*$B32),IF(C$27="mg/kg SAR",((C$28*0.001)*$B32),IF(C$27="mg/kg DM",(((C$28*0.001)*($B$28/100))*$B32),0))))))</f>
        <v>75.358000000000004</v>
      </c>
      <c r="D32" s="65">
        <f t="shared" ref="D32:D50" si="7">(IF(D$27="%w/w SAR",((D$28*10)*$B32),IF(D$27="%w/w DM",(((D$28*10)*($B$28/100))*$B32),IF(D$27="kg/t SAR",(D$28*$B32),IF(D$27="kg/t DM",((D$28*($B$28/100))*$B32),IF(D$27="mg/kg SAR",((D$28*0.001)*$B32),IF(D$27="mg/kg DM",(((D$28*0.001)*($B$28/100))*$B32),"0")))))))*2.291</f>
        <v>60.867287999999995</v>
      </c>
      <c r="E32" s="65">
        <f t="shared" ref="E32:E50" si="8">(IF(E$27="%w/w SAR",((E$28*10)*$B32),IF(E$27="%w/w DM",(((E$28*10)*($B$28/100))*$B32),IF(E$27="kg/t SAR",(E$28*$B32),IF(E$27="kg/t DM",((E$28*($B$28/100))*$B32),IF(E$27="mg/kg SAR",((E$28*0.001)*$B32),IF(E$27="mg/kg DM",(((E$28*0.001)*($B$28/100))*$B32),"0")))))))*1.205</f>
        <v>5.4444310000000007</v>
      </c>
      <c r="F32" s="65">
        <f t="shared" ref="F32:F50" si="9">(IF(F$27="%w/w SAR",((F$28*10)*$B32),IF(F$27="%w/w DM",(((F$28*10)*($B$28/100))*$B32),IF(F$27="kg/t SAR",(F$28*$B32),IF(F$27="kg/t DM",((F$28*($B$28/100))*$B32),IF(F$27="mg/kg SAR",((F$28*0.001)*$B32),IF(F$27="mg/kg DM",(((F$28*0.001)*($B$28/100))*$B32),"0")))))))*1.658</f>
        <v>19.305751999999995</v>
      </c>
      <c r="G32" s="65">
        <f t="shared" ref="G32:P50" si="10">IF(G$27="%w/w SAR",((G$28*10)*$B32),IF(G$27="%w/w DM",(((G$28*10)*($B$28/100))*$B32),IF(G$27="kg/t SAR",(G$28*$B32),IF(G$27="kg/t DM",((G$28*($B$28/100))*$B32),IF(G$27="mg/kg SAR",((G$28*0.001)*$B32),IF(G$27="mg/kg DM",(((G$28*0.001)*($B$28/100))*$B32),0))))))</f>
        <v>0.31652000000000002</v>
      </c>
      <c r="H32" s="65">
        <f t="shared" si="10"/>
        <v>1.0331999999999999</v>
      </c>
      <c r="I32" s="65">
        <f t="shared" si="10"/>
        <v>0.18121999999999999</v>
      </c>
      <c r="J32" s="65">
        <f t="shared" si="10"/>
        <v>2.7879999999999997E-3</v>
      </c>
      <c r="K32" s="65">
        <f t="shared" si="10"/>
        <v>2.5419999999999996E-3</v>
      </c>
      <c r="L32" s="65">
        <f t="shared" si="10"/>
        <v>0.1394</v>
      </c>
      <c r="M32" s="65">
        <f t="shared" si="10"/>
        <v>0.13366</v>
      </c>
      <c r="N32" s="65">
        <f t="shared" si="10"/>
        <v>58.875999999999998</v>
      </c>
      <c r="O32" s="65">
        <f t="shared" si="10"/>
        <v>1533.3999999999999</v>
      </c>
      <c r="P32" s="65">
        <f t="shared" si="10"/>
        <v>0</v>
      </c>
      <c r="Q32" s="65">
        <f t="shared" ref="Q32:Q50" si="11">(IF(Q$27="%w/w SAR",((Q$28*10)*$B32),IF(Q$27="%w/w DM",(((Q$28*10)*($B$28/100))*$B32),IF(Q$27="kg/t SAR",(Q$28*$B32),IF(Q$27="kg/t DM",((Q$28*($B$28/100))*$B32),IF(Q$27="mg/kg SAR",((Q$28*0.001)*$B32),IF(Q$27="mg/kg DM",(((Q$28*0.001)*($B$28/100))*$B32),0)))))))*2.5</f>
        <v>77.489999999999981</v>
      </c>
      <c r="R32" s="65">
        <f t="shared" ref="R32:U50" si="12">IF(R$27="%w/w SAR",((R$28*10)*$B32),IF(R$27="%w/w DM",(((R$28*10)*($B$28/100))*$B32),IF(R$27="kg/t SAR",(R$28*$B32),IF(R$27="kg/t DM",((R$28*($B$28/100))*$B32),IF(R$27="mg/kg SAR",((R$28*0.001)*$B32),IF(R$27="mg/kg DM",(((R$28*0.001)*($B$28/100))*$B32),0))))))</f>
        <v>0</v>
      </c>
      <c r="S32" s="65">
        <f t="shared" si="12"/>
        <v>0.18121999999999999</v>
      </c>
      <c r="T32" s="65">
        <f t="shared" si="12"/>
        <v>0</v>
      </c>
      <c r="U32" s="126">
        <f t="shared" si="12"/>
        <v>0</v>
      </c>
    </row>
    <row r="33" spans="1:21" s="48" customFormat="1" ht="13" x14ac:dyDescent="0.35">
      <c r="A33" s="125" t="str">
        <f>E8</f>
        <v>Trefwtial 18</v>
      </c>
      <c r="B33" s="11">
        <v>50</v>
      </c>
      <c r="C33" s="65">
        <f t="shared" si="6"/>
        <v>75.358000000000004</v>
      </c>
      <c r="D33" s="65">
        <f t="shared" si="7"/>
        <v>60.867287999999995</v>
      </c>
      <c r="E33" s="65">
        <f t="shared" si="8"/>
        <v>5.4444310000000007</v>
      </c>
      <c r="F33" s="65">
        <f t="shared" si="9"/>
        <v>19.305751999999995</v>
      </c>
      <c r="G33" s="65">
        <f t="shared" si="10"/>
        <v>0.31652000000000002</v>
      </c>
      <c r="H33" s="65">
        <f t="shared" si="10"/>
        <v>1.0331999999999999</v>
      </c>
      <c r="I33" s="65">
        <f t="shared" si="10"/>
        <v>0.18121999999999999</v>
      </c>
      <c r="J33" s="65">
        <f t="shared" si="10"/>
        <v>2.7879999999999997E-3</v>
      </c>
      <c r="K33" s="65">
        <f t="shared" si="10"/>
        <v>2.5419999999999996E-3</v>
      </c>
      <c r="L33" s="65">
        <f t="shared" si="10"/>
        <v>0.1394</v>
      </c>
      <c r="M33" s="65">
        <f t="shared" si="10"/>
        <v>0.13366</v>
      </c>
      <c r="N33" s="65">
        <f t="shared" si="10"/>
        <v>58.875999999999998</v>
      </c>
      <c r="O33" s="65">
        <f t="shared" si="10"/>
        <v>1533.3999999999999</v>
      </c>
      <c r="P33" s="65">
        <f t="shared" si="10"/>
        <v>0</v>
      </c>
      <c r="Q33" s="65">
        <f t="shared" si="11"/>
        <v>77.489999999999981</v>
      </c>
      <c r="R33" s="65">
        <f t="shared" si="12"/>
        <v>0</v>
      </c>
      <c r="S33" s="65">
        <f t="shared" si="12"/>
        <v>0.18121999999999999</v>
      </c>
      <c r="T33" s="65">
        <f t="shared" si="12"/>
        <v>0</v>
      </c>
      <c r="U33" s="126">
        <f t="shared" si="12"/>
        <v>0</v>
      </c>
    </row>
    <row r="34" spans="1:21" s="48" customFormat="1" ht="13" x14ac:dyDescent="0.35">
      <c r="A34" s="125" t="str">
        <f>F8</f>
        <v>Rhosygadair 4</v>
      </c>
      <c r="B34" s="11">
        <v>50</v>
      </c>
      <c r="C34" s="65">
        <f t="shared" si="6"/>
        <v>75.358000000000004</v>
      </c>
      <c r="D34" s="65">
        <f t="shared" si="7"/>
        <v>60.867287999999995</v>
      </c>
      <c r="E34" s="65">
        <f t="shared" si="8"/>
        <v>5.4444310000000007</v>
      </c>
      <c r="F34" s="65">
        <f t="shared" si="9"/>
        <v>19.305751999999995</v>
      </c>
      <c r="G34" s="65">
        <f t="shared" si="10"/>
        <v>0.31652000000000002</v>
      </c>
      <c r="H34" s="65">
        <f t="shared" si="10"/>
        <v>1.0331999999999999</v>
      </c>
      <c r="I34" s="65">
        <f t="shared" si="10"/>
        <v>0.18121999999999999</v>
      </c>
      <c r="J34" s="65">
        <f t="shared" si="10"/>
        <v>2.7879999999999997E-3</v>
      </c>
      <c r="K34" s="65">
        <f t="shared" si="10"/>
        <v>2.5419999999999996E-3</v>
      </c>
      <c r="L34" s="65">
        <f t="shared" si="10"/>
        <v>0.1394</v>
      </c>
      <c r="M34" s="65">
        <f t="shared" si="10"/>
        <v>0.13366</v>
      </c>
      <c r="N34" s="65">
        <f t="shared" si="10"/>
        <v>58.875999999999998</v>
      </c>
      <c r="O34" s="65">
        <f t="shared" si="10"/>
        <v>1533.3999999999999</v>
      </c>
      <c r="P34" s="65">
        <f t="shared" si="10"/>
        <v>0</v>
      </c>
      <c r="Q34" s="65">
        <f t="shared" si="11"/>
        <v>77.489999999999981</v>
      </c>
      <c r="R34" s="65">
        <f t="shared" si="12"/>
        <v>0</v>
      </c>
      <c r="S34" s="65">
        <f t="shared" si="12"/>
        <v>0.18121999999999999</v>
      </c>
      <c r="T34" s="65">
        <f t="shared" si="12"/>
        <v>0</v>
      </c>
      <c r="U34" s="126">
        <f t="shared" si="12"/>
        <v>0</v>
      </c>
    </row>
    <row r="35" spans="1:21" s="48" customFormat="1" ht="13" x14ac:dyDescent="0.35">
      <c r="A35" s="125" t="str">
        <f>G8</f>
        <v>Rhosygadair 5</v>
      </c>
      <c r="B35" s="11">
        <v>50</v>
      </c>
      <c r="C35" s="65">
        <f t="shared" si="6"/>
        <v>75.358000000000004</v>
      </c>
      <c r="D35" s="65">
        <f t="shared" si="7"/>
        <v>60.867287999999995</v>
      </c>
      <c r="E35" s="65">
        <f t="shared" si="8"/>
        <v>5.4444310000000007</v>
      </c>
      <c r="F35" s="65">
        <f t="shared" si="9"/>
        <v>19.305751999999995</v>
      </c>
      <c r="G35" s="65">
        <f t="shared" si="10"/>
        <v>0.31652000000000002</v>
      </c>
      <c r="H35" s="65">
        <f t="shared" si="10"/>
        <v>1.0331999999999999</v>
      </c>
      <c r="I35" s="65">
        <f t="shared" si="10"/>
        <v>0.18121999999999999</v>
      </c>
      <c r="J35" s="65">
        <f t="shared" si="10"/>
        <v>2.7879999999999997E-3</v>
      </c>
      <c r="K35" s="65">
        <f t="shared" si="10"/>
        <v>2.5419999999999996E-3</v>
      </c>
      <c r="L35" s="65">
        <f t="shared" si="10"/>
        <v>0.1394</v>
      </c>
      <c r="M35" s="65">
        <f t="shared" si="10"/>
        <v>0.13366</v>
      </c>
      <c r="N35" s="65">
        <f t="shared" si="10"/>
        <v>58.875999999999998</v>
      </c>
      <c r="O35" s="65">
        <f t="shared" si="10"/>
        <v>1533.3999999999999</v>
      </c>
      <c r="P35" s="65">
        <f t="shared" si="10"/>
        <v>0</v>
      </c>
      <c r="Q35" s="65">
        <f t="shared" si="11"/>
        <v>77.489999999999981</v>
      </c>
      <c r="R35" s="65">
        <f t="shared" si="12"/>
        <v>0</v>
      </c>
      <c r="S35" s="65">
        <f t="shared" si="12"/>
        <v>0.18121999999999999</v>
      </c>
      <c r="T35" s="65">
        <f t="shared" si="12"/>
        <v>0</v>
      </c>
      <c r="U35" s="126">
        <f t="shared" si="12"/>
        <v>0</v>
      </c>
    </row>
    <row r="36" spans="1:21" s="48" customFormat="1" ht="13" x14ac:dyDescent="0.35">
      <c r="A36" s="125" t="str">
        <f>H8</f>
        <v>Rhosygadair 6</v>
      </c>
      <c r="B36" s="11">
        <v>50</v>
      </c>
      <c r="C36" s="65">
        <f t="shared" si="6"/>
        <v>75.358000000000004</v>
      </c>
      <c r="D36" s="65">
        <f t="shared" si="7"/>
        <v>60.867287999999995</v>
      </c>
      <c r="E36" s="65">
        <f t="shared" si="8"/>
        <v>5.4444310000000007</v>
      </c>
      <c r="F36" s="65">
        <f t="shared" si="9"/>
        <v>19.305751999999995</v>
      </c>
      <c r="G36" s="65">
        <f t="shared" si="10"/>
        <v>0.31652000000000002</v>
      </c>
      <c r="H36" s="65">
        <f t="shared" si="10"/>
        <v>1.0331999999999999</v>
      </c>
      <c r="I36" s="65">
        <f t="shared" si="10"/>
        <v>0.18121999999999999</v>
      </c>
      <c r="J36" s="65">
        <f t="shared" si="10"/>
        <v>2.7879999999999997E-3</v>
      </c>
      <c r="K36" s="65">
        <f t="shared" si="10"/>
        <v>2.5419999999999996E-3</v>
      </c>
      <c r="L36" s="65">
        <f t="shared" si="10"/>
        <v>0.1394</v>
      </c>
      <c r="M36" s="65">
        <f t="shared" si="10"/>
        <v>0.13366</v>
      </c>
      <c r="N36" s="65">
        <f t="shared" si="10"/>
        <v>58.875999999999998</v>
      </c>
      <c r="O36" s="65">
        <f t="shared" si="10"/>
        <v>1533.3999999999999</v>
      </c>
      <c r="P36" s="65">
        <f t="shared" si="10"/>
        <v>0</v>
      </c>
      <c r="Q36" s="65">
        <f t="shared" si="11"/>
        <v>77.489999999999981</v>
      </c>
      <c r="R36" s="65">
        <f t="shared" si="12"/>
        <v>0</v>
      </c>
      <c r="S36" s="65">
        <f t="shared" si="12"/>
        <v>0.18121999999999999</v>
      </c>
      <c r="T36" s="65">
        <f t="shared" si="12"/>
        <v>0</v>
      </c>
      <c r="U36" s="126">
        <f t="shared" si="12"/>
        <v>0</v>
      </c>
    </row>
    <row r="37" spans="1:21" s="48" customFormat="1" ht="13" x14ac:dyDescent="0.35">
      <c r="A37" s="125" t="str">
        <f>I8</f>
        <v>Rhosygadair 7</v>
      </c>
      <c r="B37" s="11">
        <v>50</v>
      </c>
      <c r="C37" s="65">
        <f t="shared" si="6"/>
        <v>75.358000000000004</v>
      </c>
      <c r="D37" s="65">
        <f t="shared" si="7"/>
        <v>60.867287999999995</v>
      </c>
      <c r="E37" s="65">
        <f t="shared" si="8"/>
        <v>5.4444310000000007</v>
      </c>
      <c r="F37" s="65">
        <f t="shared" si="9"/>
        <v>19.305751999999995</v>
      </c>
      <c r="G37" s="65">
        <f t="shared" si="10"/>
        <v>0.31652000000000002</v>
      </c>
      <c r="H37" s="65">
        <f t="shared" si="10"/>
        <v>1.0331999999999999</v>
      </c>
      <c r="I37" s="65">
        <f t="shared" si="10"/>
        <v>0.18121999999999999</v>
      </c>
      <c r="J37" s="65">
        <f t="shared" si="10"/>
        <v>2.7879999999999997E-3</v>
      </c>
      <c r="K37" s="65">
        <f t="shared" si="10"/>
        <v>2.5419999999999996E-3</v>
      </c>
      <c r="L37" s="65">
        <f t="shared" si="10"/>
        <v>0.1394</v>
      </c>
      <c r="M37" s="65">
        <f t="shared" si="10"/>
        <v>0.13366</v>
      </c>
      <c r="N37" s="65">
        <f t="shared" si="10"/>
        <v>58.875999999999998</v>
      </c>
      <c r="O37" s="65">
        <f t="shared" si="10"/>
        <v>1533.3999999999999</v>
      </c>
      <c r="P37" s="65">
        <f t="shared" si="10"/>
        <v>0</v>
      </c>
      <c r="Q37" s="65">
        <f t="shared" si="11"/>
        <v>77.489999999999981</v>
      </c>
      <c r="R37" s="65">
        <f t="shared" si="12"/>
        <v>0</v>
      </c>
      <c r="S37" s="65">
        <f t="shared" si="12"/>
        <v>0.18121999999999999</v>
      </c>
      <c r="T37" s="65">
        <f t="shared" si="12"/>
        <v>0</v>
      </c>
      <c r="U37" s="126">
        <f t="shared" si="12"/>
        <v>0</v>
      </c>
    </row>
    <row r="38" spans="1:21" s="48" customFormat="1" ht="13" x14ac:dyDescent="0.35">
      <c r="A38" s="125" t="str">
        <f>J8</f>
        <v>Bigni 8</v>
      </c>
      <c r="B38" s="11">
        <v>50</v>
      </c>
      <c r="C38" s="65">
        <f t="shared" si="6"/>
        <v>75.358000000000004</v>
      </c>
      <c r="D38" s="65">
        <f t="shared" si="7"/>
        <v>60.867287999999995</v>
      </c>
      <c r="E38" s="65">
        <f t="shared" si="8"/>
        <v>5.4444310000000007</v>
      </c>
      <c r="F38" s="65">
        <f t="shared" si="9"/>
        <v>19.305751999999995</v>
      </c>
      <c r="G38" s="65">
        <f t="shared" si="10"/>
        <v>0.31652000000000002</v>
      </c>
      <c r="H38" s="65">
        <f t="shared" si="10"/>
        <v>1.0331999999999999</v>
      </c>
      <c r="I38" s="65">
        <f t="shared" si="10"/>
        <v>0.18121999999999999</v>
      </c>
      <c r="J38" s="65">
        <f t="shared" si="10"/>
        <v>2.7879999999999997E-3</v>
      </c>
      <c r="K38" s="65">
        <f t="shared" si="10"/>
        <v>2.5419999999999996E-3</v>
      </c>
      <c r="L38" s="65">
        <f t="shared" si="10"/>
        <v>0.1394</v>
      </c>
      <c r="M38" s="65">
        <f t="shared" si="10"/>
        <v>0.13366</v>
      </c>
      <c r="N38" s="65">
        <f t="shared" si="10"/>
        <v>58.875999999999998</v>
      </c>
      <c r="O38" s="65">
        <f t="shared" si="10"/>
        <v>1533.3999999999999</v>
      </c>
      <c r="P38" s="65">
        <f t="shared" si="10"/>
        <v>0</v>
      </c>
      <c r="Q38" s="65">
        <f t="shared" si="11"/>
        <v>77.489999999999981</v>
      </c>
      <c r="R38" s="65">
        <f t="shared" si="12"/>
        <v>0</v>
      </c>
      <c r="S38" s="65">
        <f t="shared" si="12"/>
        <v>0.18121999999999999</v>
      </c>
      <c r="T38" s="65">
        <f t="shared" si="12"/>
        <v>0</v>
      </c>
      <c r="U38" s="126">
        <f t="shared" si="12"/>
        <v>0</v>
      </c>
    </row>
    <row r="39" spans="1:21" s="48" customFormat="1" ht="13" x14ac:dyDescent="0.35">
      <c r="A39" s="125" t="str">
        <f>K8</f>
        <v>Bigni 9</v>
      </c>
      <c r="B39" s="11">
        <v>50</v>
      </c>
      <c r="C39" s="65">
        <f t="shared" si="6"/>
        <v>75.358000000000004</v>
      </c>
      <c r="D39" s="65">
        <f t="shared" si="7"/>
        <v>60.867287999999995</v>
      </c>
      <c r="E39" s="65">
        <f t="shared" si="8"/>
        <v>5.4444310000000007</v>
      </c>
      <c r="F39" s="65">
        <f t="shared" si="9"/>
        <v>19.305751999999995</v>
      </c>
      <c r="G39" s="65">
        <f t="shared" si="10"/>
        <v>0.31652000000000002</v>
      </c>
      <c r="H39" s="65">
        <f t="shared" si="10"/>
        <v>1.0331999999999999</v>
      </c>
      <c r="I39" s="65">
        <f t="shared" si="10"/>
        <v>0.18121999999999999</v>
      </c>
      <c r="J39" s="65">
        <f t="shared" si="10"/>
        <v>2.7879999999999997E-3</v>
      </c>
      <c r="K39" s="65">
        <f t="shared" si="10"/>
        <v>2.5419999999999996E-3</v>
      </c>
      <c r="L39" s="65">
        <f t="shared" si="10"/>
        <v>0.1394</v>
      </c>
      <c r="M39" s="65">
        <f t="shared" si="10"/>
        <v>0.13366</v>
      </c>
      <c r="N39" s="65">
        <f t="shared" si="10"/>
        <v>58.875999999999998</v>
      </c>
      <c r="O39" s="65">
        <f t="shared" si="10"/>
        <v>1533.3999999999999</v>
      </c>
      <c r="P39" s="65">
        <f t="shared" si="10"/>
        <v>0</v>
      </c>
      <c r="Q39" s="65">
        <f t="shared" si="11"/>
        <v>77.489999999999981</v>
      </c>
      <c r="R39" s="65">
        <f t="shared" si="12"/>
        <v>0</v>
      </c>
      <c r="S39" s="65">
        <f t="shared" si="12"/>
        <v>0.18121999999999999</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Arable</v>
      </c>
      <c r="C58" s="10" t="str">
        <f>D16&amp;" I "&amp;(VLOOKUP(D14,Table24[],6,FALSE))</f>
        <v>Medium/Clay I Grass</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Grass</v>
      </c>
      <c r="I58" s="10" t="str">
        <f>J16&amp;" I "&amp;(VLOOKUP(J14,Table24[],6,FALSE))</f>
        <v>Medium/Clay I Arable</v>
      </c>
      <c r="J58" s="10" t="str">
        <f>K16&amp;" I "&amp;(VLOOKUP(K14,Table24[],6,FALSE))</f>
        <v>Medium/Clay I Arable</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6.7</v>
      </c>
      <c r="C59" s="64">
        <f>VLOOKUP(D$14,Table24[],5,FALSE)</f>
        <v>6.2</v>
      </c>
      <c r="D59" s="64">
        <f>VLOOKUP(E$14,Table24[],5,FALSE)</f>
        <v>6.7</v>
      </c>
      <c r="E59" s="64">
        <f>VLOOKUP(F$14,Table24[],5,FALSE)</f>
        <v>6.7</v>
      </c>
      <c r="F59" s="64">
        <f>VLOOKUP(G$14,Table24[],5,FALSE)</f>
        <v>6.7</v>
      </c>
      <c r="G59" s="64">
        <f>VLOOKUP(H$14,Table24[],5,FALSE)</f>
        <v>6.7</v>
      </c>
      <c r="H59" s="64">
        <f>VLOOKUP(I$14,Table24[],5,FALSE)</f>
        <v>6.2</v>
      </c>
      <c r="I59" s="64">
        <f>VLOOKUP(J$14,Table24[],5,FALSE)</f>
        <v>6.7</v>
      </c>
      <c r="J59" s="64">
        <f>VLOOKUP(K$14,Table24[],5,FALSE)</f>
        <v>6.7</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50</v>
      </c>
      <c r="D62" s="65">
        <f>B33</f>
        <v>50</v>
      </c>
      <c r="E62" s="65">
        <f>B34</f>
        <v>50</v>
      </c>
      <c r="F62" s="65">
        <f>B35</f>
        <v>50</v>
      </c>
      <c r="G62" s="65">
        <f>B36</f>
        <v>50</v>
      </c>
      <c r="H62" s="65">
        <f>B37</f>
        <v>50</v>
      </c>
      <c r="I62" s="65">
        <f>B38</f>
        <v>50</v>
      </c>
      <c r="J62" s="65">
        <f>B39</f>
        <v>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B62:U66 B31:B50">
    <cfRule type="cellIs" dxfId="261" priority="48" operator="greaterThan">
      <formula>$B$51</formula>
    </cfRule>
  </conditionalFormatting>
  <conditionalFormatting sqref="B66:U66">
    <cfRule type="cellIs" dxfId="260" priority="10" operator="equal">
      <formula>"UNDER"</formula>
    </cfRule>
    <cfRule type="cellIs" dxfId="259" priority="11" operator="equal">
      <formula>"OVER"</formula>
    </cfRule>
  </conditionalFormatting>
  <conditionalFormatting sqref="C31:C50">
    <cfRule type="cellIs" dxfId="258" priority="47" operator="greaterThan">
      <formula>$C$51</formula>
    </cfRule>
  </conditionalFormatting>
  <conditionalFormatting sqref="C11:V13">
    <cfRule type="cellIs" dxfId="257" priority="1" operator="greaterThan">
      <formula>2</formula>
    </cfRule>
  </conditionalFormatting>
  <conditionalFormatting sqref="C13:V13">
    <cfRule type="cellIs" dxfId="256" priority="2" operator="greaterThan">
      <formula>3</formula>
    </cfRule>
  </conditionalFormatting>
  <conditionalFormatting sqref="C17:V19">
    <cfRule type="cellIs" dxfId="255" priority="40" operator="equal">
      <formula>0</formula>
    </cfRule>
  </conditionalFormatting>
  <conditionalFormatting sqref="C20:V21">
    <cfRule type="cellIs" dxfId="254" priority="49" operator="equal">
      <formula>"DECREASE"</formula>
    </cfRule>
    <cfRule type="cellIs" dxfId="253" priority="50" operator="equal">
      <formula>"INCREASE"</formula>
    </cfRule>
  </conditionalFormatting>
  <conditionalFormatting sqref="C21:V21">
    <cfRule type="cellIs" dxfId="252" priority="14"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7" operator="greaterThan">
      <formula>$G$51</formula>
    </cfRule>
  </conditionalFormatting>
  <conditionalFormatting sqref="H31:H50">
    <cfRule type="cellIs" dxfId="247" priority="36" operator="greaterThan">
      <formula>$H$51</formula>
    </cfRule>
  </conditionalFormatting>
  <conditionalFormatting sqref="I1">
    <cfRule type="cellIs" dxfId="246" priority="17" operator="between">
      <formula>0.1</formula>
      <formula>5</formula>
    </cfRule>
  </conditionalFormatting>
  <conditionalFormatting sqref="I2">
    <cfRule type="cellIs" dxfId="245" priority="16" operator="greaterThan">
      <formula>5000.1</formula>
    </cfRule>
  </conditionalFormatting>
  <conditionalFormatting sqref="I3">
    <cfRule type="cellIs" dxfId="244" priority="15" operator="greaterThan">
      <formula>40000.01</formula>
    </cfRule>
  </conditionalFormatting>
  <conditionalFormatting sqref="I31:I50">
    <cfRule type="cellIs" dxfId="243" priority="35" operator="greaterThan">
      <formula>$I$51</formula>
    </cfRule>
  </conditionalFormatting>
  <conditionalFormatting sqref="J31:J50">
    <cfRule type="cellIs" dxfId="242" priority="9" operator="greaterThan">
      <formula>$J$51</formula>
    </cfRule>
  </conditionalFormatting>
  <conditionalFormatting sqref="K31:K50">
    <cfRule type="cellIs" dxfId="241" priority="33" operator="greaterThan">
      <formula>$K$51</formula>
    </cfRule>
  </conditionalFormatting>
  <conditionalFormatting sqref="L3">
    <cfRule type="cellIs" dxfId="240" priority="7" operator="lessThan">
      <formula>30</formula>
    </cfRule>
    <cfRule type="cellIs" dxfId="239" priority="8" operator="greaterThanOrEqual">
      <formula>30</formula>
    </cfRule>
  </conditionalFormatting>
  <conditionalFormatting sqref="L31:L50">
    <cfRule type="cellIs" dxfId="238" priority="32" operator="greaterThan">
      <formula>$L$51</formula>
    </cfRule>
  </conditionalFormatting>
  <conditionalFormatting sqref="M31:M50">
    <cfRule type="cellIs" dxfId="237" priority="31" operator="greaterThan">
      <formula>$M$51</formula>
    </cfRule>
  </conditionalFormatting>
  <conditionalFormatting sqref="P31:P50">
    <cfRule type="cellIs" dxfId="236" priority="30" operator="greaterThan">
      <formula>$P$51</formula>
    </cfRule>
  </conditionalFormatting>
  <conditionalFormatting sqref="R31:R50">
    <cfRule type="cellIs" dxfId="235" priority="29" operator="greaterThan">
      <formula>$R$51</formula>
    </cfRule>
  </conditionalFormatting>
  <conditionalFormatting sqref="S31:S50">
    <cfRule type="cellIs" dxfId="234" priority="28" operator="greaterThan">
      <formula>$S$51</formula>
    </cfRule>
  </conditionalFormatting>
  <conditionalFormatting sqref="T31:T50">
    <cfRule type="cellIs" dxfId="233" priority="27" operator="greaterThan">
      <formula>$T$51</formula>
    </cfRule>
  </conditionalFormatting>
  <conditionalFormatting sqref="U31:U50">
    <cfRule type="cellIs" dxfId="232"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C1" zoomScale="90" zoomScaleNormal="90" workbookViewId="0">
      <selection activeCell="M2" sqref="M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6.3</v>
      </c>
      <c r="J1" s="131" t="s">
        <v>153</v>
      </c>
      <c r="K1" s="132"/>
      <c r="L1" s="109">
        <v>153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1.43</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76</v>
      </c>
      <c r="G3" s="133" t="s">
        <v>159</v>
      </c>
      <c r="H3" s="134"/>
      <c r="I3" s="110"/>
      <c r="J3" s="135" t="s">
        <v>154</v>
      </c>
      <c r="K3" s="136"/>
      <c r="L3" s="110">
        <f>(L1/(L2*10000))*100</f>
        <v>1.06993006993007</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10" t="s">
        <v>177</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62.738347700000006</v>
      </c>
      <c r="D18" s="12">
        <f>$D32</f>
        <v>79.248439199999993</v>
      </c>
      <c r="E18" s="12">
        <f>$D33</f>
        <v>62.738347700000006</v>
      </c>
      <c r="F18" s="12">
        <f>$D34</f>
        <v>62.738347700000006</v>
      </c>
      <c r="G18" s="12">
        <f>$D35</f>
        <v>62.738347700000006</v>
      </c>
      <c r="H18" s="12">
        <f>$D36</f>
        <v>62.738347700000006</v>
      </c>
      <c r="I18" s="12">
        <f>$D37</f>
        <v>79.248439199999993</v>
      </c>
      <c r="J18" s="12">
        <f>$D38</f>
        <v>62.738347700000006</v>
      </c>
      <c r="K18" s="12">
        <f>$D39</f>
        <v>62.738347700000006</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-1.0116522999999944</v>
      </c>
      <c r="D19" s="12">
        <f t="shared" ref="D19:V19" si="1">D18-D17</f>
        <v>-0.65156079999999861</v>
      </c>
      <c r="E19" s="12">
        <f t="shared" si="1"/>
        <v>-0.26165229999998729</v>
      </c>
      <c r="F19" s="12">
        <f t="shared" si="1"/>
        <v>-1.0116522999999944</v>
      </c>
      <c r="G19" s="12">
        <f t="shared" si="1"/>
        <v>-0.26165229999998729</v>
      </c>
      <c r="H19" s="12">
        <f t="shared" si="1"/>
        <v>-0.26165229999998729</v>
      </c>
      <c r="I19" s="12">
        <f t="shared" si="1"/>
        <v>-0.65156079999999861</v>
      </c>
      <c r="J19" s="12">
        <f t="shared" si="1"/>
        <v>-0.26165229999998729</v>
      </c>
      <c r="K19" s="12">
        <f t="shared" si="1"/>
        <v>-0.26165229999998729</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0.97136616500000006</v>
      </c>
      <c r="D22" s="12">
        <f>$E32</f>
        <v>1.2269888400000002</v>
      </c>
      <c r="E22" s="12">
        <f>$E33</f>
        <v>0.97136616500000006</v>
      </c>
      <c r="F22" s="12">
        <f>$E34</f>
        <v>0.97136616500000006</v>
      </c>
      <c r="G22" s="12">
        <f>$E35</f>
        <v>0.97136616500000006</v>
      </c>
      <c r="H22" s="12">
        <f>$E36</f>
        <v>0.97136616500000006</v>
      </c>
      <c r="I22" s="12">
        <f>$E37</f>
        <v>1.2269888400000002</v>
      </c>
      <c r="J22" s="12">
        <f>$E38</f>
        <v>0.97136616500000006</v>
      </c>
      <c r="K22" s="12">
        <f>$E39</f>
        <v>0.97136616500000006</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-89.028633834999994</v>
      </c>
      <c r="D23" s="12">
        <f t="shared" ref="D23:V23" si="3">D22-D21</f>
        <v>-280.77301116000001</v>
      </c>
      <c r="E23" s="12">
        <f t="shared" si="3"/>
        <v>-197.02863383500002</v>
      </c>
      <c r="F23" s="12">
        <f t="shared" si="3"/>
        <v>-89.028633834999994</v>
      </c>
      <c r="G23" s="12">
        <f t="shared" si="3"/>
        <v>-197.02863383500002</v>
      </c>
      <c r="H23" s="12">
        <f t="shared" si="3"/>
        <v>-197.02863383500002</v>
      </c>
      <c r="I23" s="12">
        <f t="shared" si="3"/>
        <v>-280.77301116000001</v>
      </c>
      <c r="J23" s="12">
        <f t="shared" si="3"/>
        <v>-197.02863383500002</v>
      </c>
      <c r="K23" s="12">
        <f t="shared" si="3"/>
        <v>-197.02863383500002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20.3</v>
      </c>
      <c r="C28" s="11">
        <v>1.43</v>
      </c>
      <c r="D28" s="11">
        <v>0.71</v>
      </c>
      <c r="E28" s="11">
        <v>2.0899999999999998E-2</v>
      </c>
      <c r="F28" s="11">
        <v>698</v>
      </c>
      <c r="G28" s="11">
        <v>24.9</v>
      </c>
      <c r="H28" s="11">
        <v>475</v>
      </c>
      <c r="I28" s="11">
        <v>109</v>
      </c>
      <c r="J28" s="11">
        <v>0.96</v>
      </c>
      <c r="K28" s="15">
        <v>0.24</v>
      </c>
      <c r="L28" s="11">
        <v>26.4</v>
      </c>
      <c r="M28" s="11">
        <v>17</v>
      </c>
      <c r="N28" s="11">
        <v>8010</v>
      </c>
      <c r="O28" s="11">
        <v>379000</v>
      </c>
      <c r="P28" s="11"/>
      <c r="Q28" s="11">
        <v>3360</v>
      </c>
      <c r="R28" s="11"/>
      <c r="S28" s="11">
        <v>67.900000000000006</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19</v>
      </c>
      <c r="C31" s="65">
        <f>IF(C$27="%w/w SAR",((C$28*10)*$B31),IF(C$27="%w/w DM",(((C$28*10)*($B$28/100))*$B31),IF(C$27="kg/t SAR",(C$28*$B31),IF(C$27="kg/t DM",((C$28*($B$28/100))*$B31),IF(C$27="mg/kg SAR",((C$28*0.001)*$B31),IF(C$27="mg/kg DM",(((C$28*0.001)*($B$28/100))*$B31),0))))))</f>
        <v>55.155099999999997</v>
      </c>
      <c r="D31" s="65">
        <f>(IF(D$27="%w/w SAR",((D$28*10)*$B31),IF(D$27="%w/w DM",(((D$28*10)*($B$28/100))*$B31),IF(D$27="kg/t SAR",(D$28*$B31),IF(D$27="kg/t DM",((D$28*($B$28/100))*$B31),IF(D$27="mg/kg SAR",((D$28*0.001)*$B31),IF(D$27="mg/kg DM",(((D$28*0.001)*($B$28/100))*$B31),"0")))))))*2.291</f>
        <v>62.738347700000006</v>
      </c>
      <c r="E31" s="65">
        <f>(IF(E$27="%w/w SAR",((E$28*10)*$B31),IF(E$27="%w/w DM",(((E$28*10)*($B$28/100))*$B31),IF(E$27="kg/t SAR",(E$28*$B31),IF(E$27="kg/t DM",((E$28*($B$28/100))*$B31),IF(E$27="mg/kg SAR",((E$28*0.001)*$B31),IF(E$27="mg/kg DM",(((E$28*0.001)*($B$28/100))*$B31),"0")))))))*1.205</f>
        <v>0.97136616500000006</v>
      </c>
      <c r="F31" s="65">
        <f>(IF(F$27="%w/w SAR",((F$28*10)*$B31),IF(F$27="%w/w DM",(((F$28*10)*($B$28/100))*$B31),IF(F$27="kg/t SAR",(F$28*$B31),IF(F$27="kg/t DM",((F$28*($B$28/100))*$B31),IF(F$27="mg/kg SAR",((F$28*0.001)*$B31),IF(F$27="mg/kg DM",(((F$28*0.001)*($B$28/100))*$B31),"0")))))))*1.658</f>
        <v>4.4636443880000005</v>
      </c>
      <c r="G31" s="65">
        <f t="shared" ref="G31:P46" si="5">IF(G$27="%w/w SAR",((G$28*10)*$B31),IF(G$27="%w/w DM",(((G$28*10)*($B$28/100))*$B31),IF(G$27="kg/t SAR",(G$28*$B31),IF(G$27="kg/t DM",((G$28*($B$28/100))*$B31),IF(G$27="mg/kg SAR",((G$28*0.001)*$B31),IF(G$27="mg/kg DM",(((G$28*0.001)*($B$28/100))*$B31),0))))))</f>
        <v>9.6039299999999994E-2</v>
      </c>
      <c r="H31" s="65">
        <f t="shared" si="5"/>
        <v>1.8320750000000001</v>
      </c>
      <c r="I31" s="65">
        <f t="shared" si="5"/>
        <v>0.42041300000000004</v>
      </c>
      <c r="J31" s="65">
        <f t="shared" si="5"/>
        <v>3.7027200000000005E-3</v>
      </c>
      <c r="K31" s="65">
        <f t="shared" si="5"/>
        <v>9.2568000000000012E-4</v>
      </c>
      <c r="L31" s="65">
        <f t="shared" si="5"/>
        <v>0.10182480000000001</v>
      </c>
      <c r="M31" s="65">
        <f t="shared" si="5"/>
        <v>6.5569000000000016E-2</v>
      </c>
      <c r="N31" s="65">
        <f t="shared" si="5"/>
        <v>30.894570000000002</v>
      </c>
      <c r="O31" s="65">
        <f t="shared" si="5"/>
        <v>1461.8030000000003</v>
      </c>
      <c r="P31" s="65">
        <f t="shared" si="5"/>
        <v>0</v>
      </c>
      <c r="Q31" s="65">
        <f>(IF(Q$27="%w/w SAR",((Q$28*10)*$B31),IF(Q$27="%w/w DM",(((Q$28*10)*($B$28/100))*$B31),IF(Q$27="kg/t SAR",(Q$28*$B31),IF(Q$27="kg/t DM",((Q$28*($B$28/100))*$B31),IF(Q$27="mg/kg SAR",((Q$28*0.001)*$B31),IF(Q$27="mg/kg DM",(((Q$28*0.001)*($B$28/100))*$B31),0)))))))*2.5</f>
        <v>32.398800000000001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0.26189030000000002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24</v>
      </c>
      <c r="C32" s="65">
        <f t="shared" ref="C32:C50" si="6">IF(C$27="%w/w SAR",((C$28*10)*$B32),IF(C$27="%w/w DM",(((C$28*10)*($B$28/100))*$B32),IF(C$27="kg/t SAR",(C$28*$B32),IF(C$27="kg/t DM",((C$28*($B$28/100))*$B32),IF(C$27="mg/kg SAR",((C$28*0.001)*$B32),IF(C$27="mg/kg DM",(((C$28*0.001)*($B$28/100))*$B32),0))))))</f>
        <v>69.669600000000003</v>
      </c>
      <c r="D32" s="65">
        <f t="shared" ref="D32:D50" si="7">(IF(D$27="%w/w SAR",((D$28*10)*$B32),IF(D$27="%w/w DM",(((D$28*10)*($B$28/100))*$B32),IF(D$27="kg/t SAR",(D$28*$B32),IF(D$27="kg/t DM",((D$28*($B$28/100))*$B32),IF(D$27="mg/kg SAR",((D$28*0.001)*$B32),IF(D$27="mg/kg DM",(((D$28*0.001)*($B$28/100))*$B32),"0")))))))*2.291</f>
        <v>79.248439199999993</v>
      </c>
      <c r="E32" s="65">
        <f t="shared" ref="E32:E50" si="8">(IF(E$27="%w/w SAR",((E$28*10)*$B32),IF(E$27="%w/w DM",(((E$28*10)*($B$28/100))*$B32),IF(E$27="kg/t SAR",(E$28*$B32),IF(E$27="kg/t DM",((E$28*($B$28/100))*$B32),IF(E$27="mg/kg SAR",((E$28*0.001)*$B32),IF(E$27="mg/kg DM",(((E$28*0.001)*($B$28/100))*$B32),"0")))))))*1.205</f>
        <v>1.2269888400000002</v>
      </c>
      <c r="F32" s="65">
        <f t="shared" ref="F32:F50" si="9">(IF(F$27="%w/w SAR",((F$28*10)*$B32),IF(F$27="%w/w DM",(((F$28*10)*($B$28/100))*$B32),IF(F$27="kg/t SAR",(F$28*$B32),IF(F$27="kg/t DM",((F$28*($B$28/100))*$B32),IF(F$27="mg/kg SAR",((F$28*0.001)*$B32),IF(F$27="mg/kg DM",(((F$28*0.001)*($B$28/100))*$B32),"0")))))))*1.658</f>
        <v>5.6382876480000004</v>
      </c>
      <c r="G32" s="65">
        <f t="shared" si="5"/>
        <v>0.1213128</v>
      </c>
      <c r="H32" s="65">
        <f t="shared" si="5"/>
        <v>2.3142000000000005</v>
      </c>
      <c r="I32" s="65">
        <f t="shared" si="5"/>
        <v>0.53104799999999996</v>
      </c>
      <c r="J32" s="65">
        <f t="shared" si="5"/>
        <v>4.6771200000000008E-3</v>
      </c>
      <c r="K32" s="65">
        <f t="shared" si="5"/>
        <v>1.1692800000000002E-3</v>
      </c>
      <c r="L32" s="65">
        <f t="shared" si="5"/>
        <v>0.12862080000000001</v>
      </c>
      <c r="M32" s="65">
        <f t="shared" si="5"/>
        <v>8.2824000000000009E-2</v>
      </c>
      <c r="N32" s="65">
        <f t="shared" si="5"/>
        <v>39.024720000000002</v>
      </c>
      <c r="O32" s="65">
        <f t="shared" si="5"/>
        <v>1846.4880000000003</v>
      </c>
      <c r="P32" s="65">
        <f t="shared" si="5"/>
        <v>0</v>
      </c>
      <c r="Q32" s="65">
        <f t="shared" ref="Q32:Q50" si="10">(IF(Q$27="%w/w SAR",((Q$28*10)*$B32),IF(Q$27="%w/w DM",(((Q$28*10)*($B$28/100))*$B32),IF(Q$27="kg/t SAR",(Q$28*$B32),IF(Q$27="kg/t DM",((Q$28*($B$28/100))*$B32),IF(Q$27="mg/kg SAR",((Q$28*0.001)*$B32),IF(Q$27="mg/kg DM",(((Q$28*0.001)*($B$28/100))*$B32),0)))))))*2.5</f>
        <v>40.924800000000005</v>
      </c>
      <c r="R32" s="65">
        <f t="shared" ref="R32:U50" si="11">IF(R$27="%w/w SAR",((R$28*10)*$B32),IF(R$27="%w/w DM",(((R$28*10)*($B$28/100))*$B32),IF(R$27="kg/t SAR",(R$28*$B32),IF(R$27="kg/t DM",((R$28*($B$28/100))*$B32),IF(R$27="mg/kg SAR",((R$28*0.001)*$B32),IF(R$27="mg/kg DM",(((R$28*0.001)*($B$28/100))*$B32),0))))))</f>
        <v>0</v>
      </c>
      <c r="S32" s="65">
        <f t="shared" si="11"/>
        <v>0.33080880000000001</v>
      </c>
      <c r="T32" s="65">
        <f t="shared" si="11"/>
        <v>0</v>
      </c>
      <c r="U32" s="126">
        <f t="shared" si="11"/>
        <v>0</v>
      </c>
    </row>
    <row r="33" spans="1:21" s="48" customFormat="1" ht="13" x14ac:dyDescent="0.35">
      <c r="A33" s="125" t="str">
        <f>E8</f>
        <v>Trefwtial 18</v>
      </c>
      <c r="B33" s="11">
        <v>19</v>
      </c>
      <c r="C33" s="65">
        <f t="shared" si="6"/>
        <v>55.155099999999997</v>
      </c>
      <c r="D33" s="65">
        <f t="shared" si="7"/>
        <v>62.738347700000006</v>
      </c>
      <c r="E33" s="65">
        <f t="shared" si="8"/>
        <v>0.97136616500000006</v>
      </c>
      <c r="F33" s="65">
        <f t="shared" si="9"/>
        <v>4.4636443880000005</v>
      </c>
      <c r="G33" s="65">
        <f t="shared" si="5"/>
        <v>9.6039299999999994E-2</v>
      </c>
      <c r="H33" s="65">
        <f t="shared" si="5"/>
        <v>1.8320750000000001</v>
      </c>
      <c r="I33" s="65">
        <f t="shared" si="5"/>
        <v>0.42041300000000004</v>
      </c>
      <c r="J33" s="65">
        <f t="shared" si="5"/>
        <v>3.7027200000000005E-3</v>
      </c>
      <c r="K33" s="65">
        <f t="shared" si="5"/>
        <v>9.2568000000000012E-4</v>
      </c>
      <c r="L33" s="65">
        <f t="shared" si="5"/>
        <v>0.10182480000000001</v>
      </c>
      <c r="M33" s="65">
        <f t="shared" si="5"/>
        <v>6.5569000000000016E-2</v>
      </c>
      <c r="N33" s="65">
        <f t="shared" si="5"/>
        <v>30.894570000000002</v>
      </c>
      <c r="O33" s="65">
        <f t="shared" si="5"/>
        <v>1461.8030000000003</v>
      </c>
      <c r="P33" s="65">
        <f t="shared" si="5"/>
        <v>0</v>
      </c>
      <c r="Q33" s="65">
        <f t="shared" si="10"/>
        <v>32.398800000000001</v>
      </c>
      <c r="R33" s="65">
        <f t="shared" si="11"/>
        <v>0</v>
      </c>
      <c r="S33" s="65">
        <f t="shared" si="11"/>
        <v>0.26189030000000002</v>
      </c>
      <c r="T33" s="65">
        <f t="shared" si="11"/>
        <v>0</v>
      </c>
      <c r="U33" s="126">
        <f t="shared" si="11"/>
        <v>0</v>
      </c>
    </row>
    <row r="34" spans="1:21" s="48" customFormat="1" ht="13" x14ac:dyDescent="0.35">
      <c r="A34" s="125" t="str">
        <f>F8</f>
        <v>Rhosygadair 4</v>
      </c>
      <c r="B34" s="11">
        <v>19</v>
      </c>
      <c r="C34" s="65">
        <f t="shared" si="6"/>
        <v>55.155099999999997</v>
      </c>
      <c r="D34" s="65">
        <f t="shared" si="7"/>
        <v>62.738347700000006</v>
      </c>
      <c r="E34" s="65">
        <f t="shared" si="8"/>
        <v>0.97136616500000006</v>
      </c>
      <c r="F34" s="65">
        <f t="shared" si="9"/>
        <v>4.4636443880000005</v>
      </c>
      <c r="G34" s="65">
        <f t="shared" si="5"/>
        <v>9.6039299999999994E-2</v>
      </c>
      <c r="H34" s="65">
        <f t="shared" si="5"/>
        <v>1.8320750000000001</v>
      </c>
      <c r="I34" s="65">
        <f t="shared" si="5"/>
        <v>0.42041300000000004</v>
      </c>
      <c r="J34" s="65">
        <f t="shared" si="5"/>
        <v>3.7027200000000005E-3</v>
      </c>
      <c r="K34" s="65">
        <f t="shared" si="5"/>
        <v>9.2568000000000012E-4</v>
      </c>
      <c r="L34" s="65">
        <f t="shared" si="5"/>
        <v>0.10182480000000001</v>
      </c>
      <c r="M34" s="65">
        <f t="shared" si="5"/>
        <v>6.5569000000000016E-2</v>
      </c>
      <c r="N34" s="65">
        <f t="shared" si="5"/>
        <v>30.894570000000002</v>
      </c>
      <c r="O34" s="65">
        <f t="shared" si="5"/>
        <v>1461.8030000000003</v>
      </c>
      <c r="P34" s="65">
        <f t="shared" si="5"/>
        <v>0</v>
      </c>
      <c r="Q34" s="65">
        <f t="shared" si="10"/>
        <v>32.398800000000001</v>
      </c>
      <c r="R34" s="65">
        <f t="shared" si="11"/>
        <v>0</v>
      </c>
      <c r="S34" s="65">
        <f t="shared" si="11"/>
        <v>0.26189030000000002</v>
      </c>
      <c r="T34" s="65">
        <f t="shared" si="11"/>
        <v>0</v>
      </c>
      <c r="U34" s="126">
        <f t="shared" si="11"/>
        <v>0</v>
      </c>
    </row>
    <row r="35" spans="1:21" s="48" customFormat="1" ht="13" x14ac:dyDescent="0.35">
      <c r="A35" s="125" t="str">
        <f>G8</f>
        <v>Rhosygadair 5</v>
      </c>
      <c r="B35" s="11">
        <v>19</v>
      </c>
      <c r="C35" s="65">
        <f t="shared" si="6"/>
        <v>55.155099999999997</v>
      </c>
      <c r="D35" s="65">
        <f t="shared" si="7"/>
        <v>62.738347700000006</v>
      </c>
      <c r="E35" s="65">
        <f t="shared" si="8"/>
        <v>0.97136616500000006</v>
      </c>
      <c r="F35" s="65">
        <f t="shared" si="9"/>
        <v>4.4636443880000005</v>
      </c>
      <c r="G35" s="65">
        <f t="shared" si="5"/>
        <v>9.6039299999999994E-2</v>
      </c>
      <c r="H35" s="65">
        <f t="shared" si="5"/>
        <v>1.8320750000000001</v>
      </c>
      <c r="I35" s="65">
        <f t="shared" si="5"/>
        <v>0.42041300000000004</v>
      </c>
      <c r="J35" s="65">
        <f t="shared" si="5"/>
        <v>3.7027200000000005E-3</v>
      </c>
      <c r="K35" s="65">
        <f t="shared" si="5"/>
        <v>9.2568000000000012E-4</v>
      </c>
      <c r="L35" s="65">
        <f t="shared" si="5"/>
        <v>0.10182480000000001</v>
      </c>
      <c r="M35" s="65">
        <f t="shared" si="5"/>
        <v>6.5569000000000016E-2</v>
      </c>
      <c r="N35" s="65">
        <f t="shared" si="5"/>
        <v>30.894570000000002</v>
      </c>
      <c r="O35" s="65">
        <f t="shared" si="5"/>
        <v>1461.8030000000003</v>
      </c>
      <c r="P35" s="65">
        <f t="shared" si="5"/>
        <v>0</v>
      </c>
      <c r="Q35" s="65">
        <f t="shared" si="10"/>
        <v>32.398800000000001</v>
      </c>
      <c r="R35" s="65">
        <f t="shared" si="11"/>
        <v>0</v>
      </c>
      <c r="S35" s="65">
        <f t="shared" si="11"/>
        <v>0.26189030000000002</v>
      </c>
      <c r="T35" s="65">
        <f t="shared" si="11"/>
        <v>0</v>
      </c>
      <c r="U35" s="126">
        <f t="shared" si="11"/>
        <v>0</v>
      </c>
    </row>
    <row r="36" spans="1:21" s="48" customFormat="1" ht="13" x14ac:dyDescent="0.35">
      <c r="A36" s="125" t="str">
        <f>H8</f>
        <v>Rhosygadair 6</v>
      </c>
      <c r="B36" s="11">
        <v>19</v>
      </c>
      <c r="C36" s="65">
        <f t="shared" si="6"/>
        <v>55.155099999999997</v>
      </c>
      <c r="D36" s="65">
        <f t="shared" si="7"/>
        <v>62.738347700000006</v>
      </c>
      <c r="E36" s="65">
        <f t="shared" si="8"/>
        <v>0.97136616500000006</v>
      </c>
      <c r="F36" s="65">
        <f t="shared" si="9"/>
        <v>4.4636443880000005</v>
      </c>
      <c r="G36" s="65">
        <f t="shared" si="5"/>
        <v>9.6039299999999994E-2</v>
      </c>
      <c r="H36" s="65">
        <f t="shared" si="5"/>
        <v>1.8320750000000001</v>
      </c>
      <c r="I36" s="65">
        <f t="shared" si="5"/>
        <v>0.42041300000000004</v>
      </c>
      <c r="J36" s="65">
        <f t="shared" si="5"/>
        <v>3.7027200000000005E-3</v>
      </c>
      <c r="K36" s="65">
        <f t="shared" si="5"/>
        <v>9.2568000000000012E-4</v>
      </c>
      <c r="L36" s="65">
        <f t="shared" si="5"/>
        <v>0.10182480000000001</v>
      </c>
      <c r="M36" s="65">
        <f t="shared" si="5"/>
        <v>6.5569000000000016E-2</v>
      </c>
      <c r="N36" s="65">
        <f t="shared" si="5"/>
        <v>30.894570000000002</v>
      </c>
      <c r="O36" s="65">
        <f t="shared" si="5"/>
        <v>1461.8030000000003</v>
      </c>
      <c r="P36" s="65">
        <f t="shared" si="5"/>
        <v>0</v>
      </c>
      <c r="Q36" s="65">
        <f t="shared" si="10"/>
        <v>32.398800000000001</v>
      </c>
      <c r="R36" s="65">
        <f t="shared" si="11"/>
        <v>0</v>
      </c>
      <c r="S36" s="65">
        <f t="shared" si="11"/>
        <v>0.26189030000000002</v>
      </c>
      <c r="T36" s="65">
        <f t="shared" si="11"/>
        <v>0</v>
      </c>
      <c r="U36" s="126">
        <f t="shared" si="11"/>
        <v>0</v>
      </c>
    </row>
    <row r="37" spans="1:21" s="48" customFormat="1" ht="13" x14ac:dyDescent="0.35">
      <c r="A37" s="125" t="str">
        <f>I8</f>
        <v>Rhosygadair 7</v>
      </c>
      <c r="B37" s="11">
        <v>24</v>
      </c>
      <c r="C37" s="65">
        <f t="shared" si="6"/>
        <v>69.669600000000003</v>
      </c>
      <c r="D37" s="65">
        <f t="shared" si="7"/>
        <v>79.248439199999993</v>
      </c>
      <c r="E37" s="65">
        <f t="shared" si="8"/>
        <v>1.2269888400000002</v>
      </c>
      <c r="F37" s="65">
        <f t="shared" si="9"/>
        <v>5.6382876480000004</v>
      </c>
      <c r="G37" s="65">
        <f t="shared" si="5"/>
        <v>0.1213128</v>
      </c>
      <c r="H37" s="65">
        <f t="shared" si="5"/>
        <v>2.3142000000000005</v>
      </c>
      <c r="I37" s="65">
        <f t="shared" si="5"/>
        <v>0.53104799999999996</v>
      </c>
      <c r="J37" s="65">
        <f t="shared" si="5"/>
        <v>4.6771200000000008E-3</v>
      </c>
      <c r="K37" s="65">
        <f t="shared" si="5"/>
        <v>1.1692800000000002E-3</v>
      </c>
      <c r="L37" s="65">
        <f t="shared" si="5"/>
        <v>0.12862080000000001</v>
      </c>
      <c r="M37" s="65">
        <f t="shared" si="5"/>
        <v>8.2824000000000009E-2</v>
      </c>
      <c r="N37" s="65">
        <f t="shared" si="5"/>
        <v>39.024720000000002</v>
      </c>
      <c r="O37" s="65">
        <f t="shared" si="5"/>
        <v>1846.4880000000003</v>
      </c>
      <c r="P37" s="65">
        <f t="shared" si="5"/>
        <v>0</v>
      </c>
      <c r="Q37" s="65">
        <f t="shared" si="10"/>
        <v>40.924800000000005</v>
      </c>
      <c r="R37" s="65">
        <f t="shared" si="11"/>
        <v>0</v>
      </c>
      <c r="S37" s="65">
        <f t="shared" si="11"/>
        <v>0.33080880000000001</v>
      </c>
      <c r="T37" s="65">
        <f t="shared" si="11"/>
        <v>0</v>
      </c>
      <c r="U37" s="126">
        <f t="shared" si="11"/>
        <v>0</v>
      </c>
    </row>
    <row r="38" spans="1:21" s="48" customFormat="1" ht="13" x14ac:dyDescent="0.35">
      <c r="A38" s="125" t="str">
        <f>J8</f>
        <v>Bigni 8</v>
      </c>
      <c r="B38" s="11">
        <v>19</v>
      </c>
      <c r="C38" s="65">
        <f t="shared" si="6"/>
        <v>55.155099999999997</v>
      </c>
      <c r="D38" s="65">
        <f t="shared" si="7"/>
        <v>62.738347700000006</v>
      </c>
      <c r="E38" s="65">
        <f t="shared" si="8"/>
        <v>0.97136616500000006</v>
      </c>
      <c r="F38" s="65">
        <f t="shared" si="9"/>
        <v>4.4636443880000005</v>
      </c>
      <c r="G38" s="65">
        <f t="shared" si="5"/>
        <v>9.6039299999999994E-2</v>
      </c>
      <c r="H38" s="65">
        <f t="shared" si="5"/>
        <v>1.8320750000000001</v>
      </c>
      <c r="I38" s="65">
        <f t="shared" si="5"/>
        <v>0.42041300000000004</v>
      </c>
      <c r="J38" s="65">
        <f t="shared" si="5"/>
        <v>3.7027200000000005E-3</v>
      </c>
      <c r="K38" s="65">
        <f t="shared" si="5"/>
        <v>9.2568000000000012E-4</v>
      </c>
      <c r="L38" s="65">
        <f t="shared" si="5"/>
        <v>0.10182480000000001</v>
      </c>
      <c r="M38" s="65">
        <f t="shared" si="5"/>
        <v>6.5569000000000016E-2</v>
      </c>
      <c r="N38" s="65">
        <f t="shared" si="5"/>
        <v>30.894570000000002</v>
      </c>
      <c r="O38" s="65">
        <f t="shared" si="5"/>
        <v>1461.8030000000003</v>
      </c>
      <c r="P38" s="65">
        <f t="shared" si="5"/>
        <v>0</v>
      </c>
      <c r="Q38" s="65">
        <f t="shared" si="10"/>
        <v>32.398800000000001</v>
      </c>
      <c r="R38" s="65">
        <f t="shared" si="11"/>
        <v>0</v>
      </c>
      <c r="S38" s="65">
        <f t="shared" si="11"/>
        <v>0.26189030000000002</v>
      </c>
      <c r="T38" s="65">
        <f t="shared" si="11"/>
        <v>0</v>
      </c>
      <c r="U38" s="126">
        <f t="shared" si="11"/>
        <v>0</v>
      </c>
    </row>
    <row r="39" spans="1:21" s="48" customFormat="1" ht="13" x14ac:dyDescent="0.35">
      <c r="A39" s="125" t="str">
        <f>K8</f>
        <v>Bigni 9</v>
      </c>
      <c r="B39" s="11">
        <v>19</v>
      </c>
      <c r="C39" s="65">
        <f t="shared" si="6"/>
        <v>55.155099999999997</v>
      </c>
      <c r="D39" s="65">
        <f t="shared" si="7"/>
        <v>62.738347700000006</v>
      </c>
      <c r="E39" s="65">
        <f t="shared" si="8"/>
        <v>0.97136616500000006</v>
      </c>
      <c r="F39" s="65">
        <f t="shared" si="9"/>
        <v>4.4636443880000005</v>
      </c>
      <c r="G39" s="65">
        <f t="shared" si="5"/>
        <v>9.6039299999999994E-2</v>
      </c>
      <c r="H39" s="65">
        <f t="shared" si="5"/>
        <v>1.8320750000000001</v>
      </c>
      <c r="I39" s="65">
        <f t="shared" si="5"/>
        <v>0.42041300000000004</v>
      </c>
      <c r="J39" s="65">
        <f t="shared" si="5"/>
        <v>3.7027200000000005E-3</v>
      </c>
      <c r="K39" s="65">
        <f t="shared" si="5"/>
        <v>9.2568000000000012E-4</v>
      </c>
      <c r="L39" s="65">
        <f t="shared" si="5"/>
        <v>0.10182480000000001</v>
      </c>
      <c r="M39" s="65">
        <f t="shared" si="5"/>
        <v>6.5569000000000016E-2</v>
      </c>
      <c r="N39" s="65">
        <f t="shared" si="5"/>
        <v>30.894570000000002</v>
      </c>
      <c r="O39" s="65">
        <f t="shared" si="5"/>
        <v>1461.8030000000003</v>
      </c>
      <c r="P39" s="65">
        <f t="shared" si="5"/>
        <v>0</v>
      </c>
      <c r="Q39" s="65">
        <f t="shared" si="10"/>
        <v>32.398800000000001</v>
      </c>
      <c r="R39" s="65">
        <f t="shared" si="11"/>
        <v>0</v>
      </c>
      <c r="S39" s="65">
        <f t="shared" si="11"/>
        <v>0.26189030000000002</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Arable</v>
      </c>
      <c r="C58" s="10" t="str">
        <f>D16&amp;" I "&amp;(VLOOKUP(D14,Table245[],6,FALSE))</f>
        <v>Medium/Clay I Grass</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Grass</v>
      </c>
      <c r="I58" s="10" t="str">
        <f>J16&amp;" I "&amp;(VLOOKUP(J14,Table245[],6,FALSE))</f>
        <v>Medium/Clay I Arable</v>
      </c>
      <c r="J58" s="10" t="str">
        <f>K16&amp;" I "&amp;(VLOOKUP(K14,Table245[],6,FALSE))</f>
        <v>Medium/Clay I Arable</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6.7</v>
      </c>
      <c r="C59" s="64">
        <f>VLOOKUP(D$14,Table245[],5,FALSE)</f>
        <v>6.2</v>
      </c>
      <c r="D59" s="64">
        <f>VLOOKUP(E$14,Table245[],5,FALSE)</f>
        <v>6.7</v>
      </c>
      <c r="E59" s="64">
        <f>VLOOKUP(F$14,Table245[],5,FALSE)</f>
        <v>6.7</v>
      </c>
      <c r="F59" s="64">
        <f>VLOOKUP(G$14,Table245[],5,FALSE)</f>
        <v>6.7</v>
      </c>
      <c r="G59" s="64">
        <f>VLOOKUP(H$14,Table245[],5,FALSE)</f>
        <v>6.7</v>
      </c>
      <c r="H59" s="64">
        <f>VLOOKUP(I$14,Table245[],5,FALSE)</f>
        <v>6.2</v>
      </c>
      <c r="I59" s="64">
        <f>VLOOKUP(J$14,Table245[],5,FALSE)</f>
        <v>6.7</v>
      </c>
      <c r="J59" s="64">
        <f>VLOOKUP(K$14,Table245[],5,FALSE)</f>
        <v>6.7</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19</v>
      </c>
      <c r="C62" s="65">
        <f>B32</f>
        <v>24</v>
      </c>
      <c r="D62" s="65">
        <f>B33</f>
        <v>19</v>
      </c>
      <c r="E62" s="65">
        <f>B34</f>
        <v>19</v>
      </c>
      <c r="F62" s="65">
        <f>B35</f>
        <v>19</v>
      </c>
      <c r="G62" s="65">
        <f>B36</f>
        <v>19</v>
      </c>
      <c r="H62" s="65">
        <f>B37</f>
        <v>24</v>
      </c>
      <c r="I62" s="65">
        <f>B38</f>
        <v>19</v>
      </c>
      <c r="J62" s="65">
        <f>B39</f>
        <v>19</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40" operator="greaterThan">
      <formula>$B$51</formula>
    </cfRule>
  </conditionalFormatting>
  <conditionalFormatting sqref="B66:U66">
    <cfRule type="cellIs" dxfId="230" priority="15" operator="equal">
      <formula>"UNDER"</formula>
    </cfRule>
    <cfRule type="cellIs" dxfId="229" priority="16" operator="equal">
      <formula>"OVER"</formula>
    </cfRule>
  </conditionalFormatting>
  <conditionalFormatting sqref="C31:C50">
    <cfRule type="cellIs" dxfId="228" priority="39" operator="greaterThan">
      <formula>$C$51</formula>
    </cfRule>
  </conditionalFormatting>
  <conditionalFormatting sqref="C11:V13">
    <cfRule type="cellIs" dxfId="227" priority="1" operator="greaterThan">
      <formula>2</formula>
    </cfRule>
  </conditionalFormatting>
  <conditionalFormatting sqref="C17:V19">
    <cfRule type="cellIs" dxfId="226" priority="36" operator="equal">
      <formula>0</formula>
    </cfRule>
  </conditionalFormatting>
  <conditionalFormatting sqref="C20:V21">
    <cfRule type="cellIs" dxfId="225" priority="41" operator="equal">
      <formula>"DECREASE"</formula>
    </cfRule>
    <cfRule type="cellIs" dxfId="224" priority="42" operator="equal">
      <formula>"INCREASE"</formula>
    </cfRule>
  </conditionalFormatting>
  <conditionalFormatting sqref="C21:V21">
    <cfRule type="cellIs" dxfId="223" priority="17" operator="equal">
      <formula>0</formula>
    </cfRule>
  </conditionalFormatting>
  <conditionalFormatting sqref="C22:V23">
    <cfRule type="cellIs" dxfId="222" priority="21" operator="equal">
      <formula>0</formula>
    </cfRule>
  </conditionalFormatting>
  <conditionalFormatting sqref="C24:V24">
    <cfRule type="cellIs" dxfId="221" priority="22" operator="equal">
      <formula>"DECREASE"</formula>
    </cfRule>
    <cfRule type="cellIs" dxfId="220" priority="23" operator="equal">
      <formula>"INCREASE"</formula>
    </cfRule>
  </conditionalFormatting>
  <conditionalFormatting sqref="G31:G50">
    <cfRule type="cellIs" dxfId="219" priority="35" operator="greaterThan">
      <formula>$G$51</formula>
    </cfRule>
  </conditionalFormatting>
  <conditionalFormatting sqref="H31:H50">
    <cfRule type="cellIs" dxfId="218" priority="34" operator="greaterThan">
      <formula>$H$51</formula>
    </cfRule>
  </conditionalFormatting>
  <conditionalFormatting sqref="I1">
    <cfRule type="cellIs" dxfId="217" priority="7" operator="between">
      <formula>0.1</formula>
      <formula>5</formula>
    </cfRule>
  </conditionalFormatting>
  <conditionalFormatting sqref="I2">
    <cfRule type="cellIs" dxfId="216" priority="6" operator="greaterThan">
      <formula>5000.1</formula>
    </cfRule>
  </conditionalFormatting>
  <conditionalFormatting sqref="I3">
    <cfRule type="cellIs" dxfId="215" priority="5" operator="greaterThan">
      <formula>40000.01</formula>
    </cfRule>
  </conditionalFormatting>
  <conditionalFormatting sqref="I31:I50">
    <cfRule type="cellIs" dxfId="214" priority="33" operator="greaterThan">
      <formula>$I$51</formula>
    </cfRule>
  </conditionalFormatting>
  <conditionalFormatting sqref="J31:J50">
    <cfRule type="cellIs" dxfId="213" priority="12" operator="greaterThan">
      <formula>$J$51</formula>
    </cfRule>
  </conditionalFormatting>
  <conditionalFormatting sqref="K31:K50">
    <cfRule type="cellIs" dxfId="212" priority="32" operator="greaterThan">
      <formula>$K$51</formula>
    </cfRule>
  </conditionalFormatting>
  <conditionalFormatting sqref="L3">
    <cfRule type="cellIs" dxfId="211" priority="8" operator="lessThan">
      <formula>30</formula>
    </cfRule>
    <cfRule type="cellIs" dxfId="210" priority="9" operator="greaterThanOrEqual">
      <formula>30</formula>
    </cfRule>
  </conditionalFormatting>
  <conditionalFormatting sqref="L31:L50">
    <cfRule type="cellIs" dxfId="209" priority="31" operator="greaterThan">
      <formula>$L$51</formula>
    </cfRule>
  </conditionalFormatting>
  <conditionalFormatting sqref="M31:M50">
    <cfRule type="cellIs" dxfId="208" priority="30" operator="greaterThan">
      <formula>$M$51</formula>
    </cfRule>
  </conditionalFormatting>
  <conditionalFormatting sqref="P31:P50">
    <cfRule type="cellIs" dxfId="207" priority="29" operator="greaterThan">
      <formula>$P$51</formula>
    </cfRule>
  </conditionalFormatting>
  <conditionalFormatting sqref="R31:R50">
    <cfRule type="cellIs" dxfId="206" priority="28" operator="greaterThan">
      <formula>$R$51</formula>
    </cfRule>
  </conditionalFormatting>
  <conditionalFormatting sqref="S31:S50">
    <cfRule type="cellIs" dxfId="205" priority="27" operator="greaterThan">
      <formula>$S$51</formula>
    </cfRule>
  </conditionalFormatting>
  <conditionalFormatting sqref="T31:T50">
    <cfRule type="cellIs" dxfId="204" priority="26" operator="greaterThan">
      <formula>$T$51</formula>
    </cfRule>
  </conditionalFormatting>
  <conditionalFormatting sqref="U31:U50">
    <cfRule type="cellIs" dxfId="203"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B1" zoomScale="90" zoomScaleNormal="90" workbookViewId="0">
      <selection activeCell="T28" sqref="T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6.7</v>
      </c>
      <c r="J1" s="131" t="s">
        <v>153</v>
      </c>
      <c r="K1" s="132"/>
      <c r="L1" s="109">
        <v>82.6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1.27</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76</v>
      </c>
      <c r="G3" s="133" t="s">
        <v>159</v>
      </c>
      <c r="H3" s="134"/>
      <c r="I3" s="110"/>
      <c r="J3" s="135" t="s">
        <v>154</v>
      </c>
      <c r="K3" s="136"/>
      <c r="L3" s="110">
        <f>(L1/(L2*10000))*100</f>
        <v>0.65039370078740155</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10" t="s">
        <v>184</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79.681438200000002</v>
      </c>
      <c r="J18" s="12">
        <f>$D38</f>
        <v>62.519282279999992</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-63.75</v>
      </c>
      <c r="D19" s="12">
        <f t="shared" ref="D19:V19" si="1">D18-D17</f>
        <v>-79.899999999999991</v>
      </c>
      <c r="E19" s="12">
        <f t="shared" si="1"/>
        <v>-62.999999999999993</v>
      </c>
      <c r="F19" s="12">
        <f t="shared" si="1"/>
        <v>-63.75</v>
      </c>
      <c r="G19" s="12">
        <f t="shared" si="1"/>
        <v>-62.999999999999993</v>
      </c>
      <c r="H19" s="12">
        <f t="shared" si="1"/>
        <v>-62.999999999999993</v>
      </c>
      <c r="I19" s="12">
        <f t="shared" si="1"/>
        <v>-0.21856179999998915</v>
      </c>
      <c r="J19" s="12">
        <f t="shared" si="1"/>
        <v>-0.48071772000000124</v>
      </c>
      <c r="K19" s="12">
        <f t="shared" si="1"/>
        <v>-62.999999999999993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(VLOOKUP(D$14,$AI2:$AK24,3,FALSE))*D$15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5.8894134000000005</v>
      </c>
      <c r="J22" s="12">
        <f>$E38</f>
        <v>4.6209243600000001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-90</v>
      </c>
      <c r="D23" s="12">
        <f t="shared" ref="D23:V23" si="3">D22-D21</f>
        <v>-282</v>
      </c>
      <c r="E23" s="12">
        <f t="shared" si="3"/>
        <v>-198.00000000000003</v>
      </c>
      <c r="F23" s="12">
        <f t="shared" si="3"/>
        <v>-90</v>
      </c>
      <c r="G23" s="12">
        <f t="shared" si="3"/>
        <v>-198.00000000000003</v>
      </c>
      <c r="H23" s="12">
        <f t="shared" si="3"/>
        <v>-198.00000000000003</v>
      </c>
      <c r="I23" s="12">
        <f t="shared" si="3"/>
        <v>-276.11058659999998</v>
      </c>
      <c r="J23" s="12">
        <f t="shared" si="3"/>
        <v>-193.37907564000002</v>
      </c>
      <c r="K23" s="12">
        <f t="shared" si="3"/>
        <v>-198.00000000000003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15.6</v>
      </c>
      <c r="C28" s="11">
        <v>1.27</v>
      </c>
      <c r="D28" s="11">
        <v>0.34300000000000003</v>
      </c>
      <c r="E28" s="11">
        <v>4.82E-2</v>
      </c>
      <c r="F28" s="11">
        <v>717</v>
      </c>
      <c r="G28" s="11">
        <v>47.5</v>
      </c>
      <c r="H28" s="11">
        <v>83</v>
      </c>
      <c r="I28" s="11">
        <v>20.399999999999999</v>
      </c>
      <c r="J28" s="11">
        <v>0.36</v>
      </c>
      <c r="K28" s="15">
        <v>0.66</v>
      </c>
      <c r="L28" s="11">
        <v>23.2</v>
      </c>
      <c r="M28" s="11">
        <v>14.1</v>
      </c>
      <c r="N28" s="11">
        <v>168000</v>
      </c>
      <c r="O28" s="11">
        <v>17700</v>
      </c>
      <c r="P28" s="11"/>
      <c r="Q28" s="11">
        <v>5120</v>
      </c>
      <c r="R28" s="11"/>
      <c r="S28" s="11">
        <v>20.6</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18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Rhosygadair 4</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Rhosygadair 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Rhosygadair 6</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Rhosygadair 7</v>
      </c>
      <c r="B37" s="11">
        <v>65</v>
      </c>
      <c r="C37" s="65">
        <f t="shared" si="6"/>
        <v>128.77799999999999</v>
      </c>
      <c r="D37" s="65">
        <f t="shared" si="7"/>
        <v>79.681438200000002</v>
      </c>
      <c r="E37" s="65">
        <f t="shared" si="8"/>
        <v>5.8894134000000005</v>
      </c>
      <c r="F37" s="65">
        <f t="shared" si="9"/>
        <v>12.054290039999998</v>
      </c>
      <c r="G37" s="65">
        <f t="shared" si="5"/>
        <v>0.48165000000000002</v>
      </c>
      <c r="H37" s="65">
        <f t="shared" si="5"/>
        <v>0.84162000000000003</v>
      </c>
      <c r="I37" s="65">
        <f t="shared" si="5"/>
        <v>0.20685599999999998</v>
      </c>
      <c r="J37" s="65">
        <f t="shared" si="5"/>
        <v>3.6503999999999998E-3</v>
      </c>
      <c r="K37" s="65">
        <f t="shared" si="5"/>
        <v>6.6924000000000003E-3</v>
      </c>
      <c r="L37" s="65">
        <f t="shared" si="5"/>
        <v>0.23524799999999998</v>
      </c>
      <c r="M37" s="65">
        <f t="shared" si="5"/>
        <v>0.14297399999999999</v>
      </c>
      <c r="N37" s="65">
        <f t="shared" si="5"/>
        <v>1703.52</v>
      </c>
      <c r="O37" s="65">
        <f t="shared" si="5"/>
        <v>179.47800000000001</v>
      </c>
      <c r="P37" s="65">
        <f t="shared" si="5"/>
        <v>0</v>
      </c>
      <c r="Q37" s="65">
        <f t="shared" si="10"/>
        <v>129.792</v>
      </c>
      <c r="R37" s="65">
        <f t="shared" si="11"/>
        <v>0</v>
      </c>
      <c r="S37" s="65">
        <f t="shared" si="11"/>
        <v>0.20888400000000001</v>
      </c>
      <c r="T37" s="65">
        <f t="shared" si="11"/>
        <v>0</v>
      </c>
      <c r="U37" s="126">
        <f t="shared" si="11"/>
        <v>0</v>
      </c>
    </row>
    <row r="38" spans="1:21" s="48" customFormat="1" ht="13" x14ac:dyDescent="0.35">
      <c r="A38" s="125" t="str">
        <f>J8</f>
        <v>Bigni 8</v>
      </c>
      <c r="B38" s="11">
        <v>51</v>
      </c>
      <c r="C38" s="65">
        <f t="shared" si="6"/>
        <v>101.04119999999999</v>
      </c>
      <c r="D38" s="65">
        <f t="shared" si="7"/>
        <v>62.519282279999992</v>
      </c>
      <c r="E38" s="65">
        <f t="shared" si="8"/>
        <v>4.6209243600000001</v>
      </c>
      <c r="F38" s="65">
        <f t="shared" si="9"/>
        <v>9.4579814159999991</v>
      </c>
      <c r="G38" s="65">
        <f t="shared" si="5"/>
        <v>0.37790999999999997</v>
      </c>
      <c r="H38" s="65">
        <f t="shared" si="5"/>
        <v>0.66034800000000005</v>
      </c>
      <c r="I38" s="65">
        <f t="shared" si="5"/>
        <v>0.16230239999999999</v>
      </c>
      <c r="J38" s="65">
        <f t="shared" si="5"/>
        <v>2.8641599999999997E-3</v>
      </c>
      <c r="K38" s="65">
        <f t="shared" si="5"/>
        <v>5.2509599999999998E-3</v>
      </c>
      <c r="L38" s="65">
        <f t="shared" si="5"/>
        <v>0.1845792</v>
      </c>
      <c r="M38" s="65">
        <f t="shared" si="5"/>
        <v>0.11217959999999999</v>
      </c>
      <c r="N38" s="65">
        <f t="shared" si="5"/>
        <v>1336.6079999999999</v>
      </c>
      <c r="O38" s="65">
        <f t="shared" si="5"/>
        <v>140.8212</v>
      </c>
      <c r="P38" s="65">
        <f t="shared" si="5"/>
        <v>0</v>
      </c>
      <c r="Q38" s="65">
        <f t="shared" si="10"/>
        <v>101.83679999999998</v>
      </c>
      <c r="R38" s="65">
        <f t="shared" si="11"/>
        <v>0</v>
      </c>
      <c r="S38" s="65">
        <f t="shared" si="11"/>
        <v>0.1638936</v>
      </c>
      <c r="T38" s="65">
        <f t="shared" si="11"/>
        <v>0</v>
      </c>
      <c r="U38" s="126">
        <f t="shared" si="11"/>
        <v>0</v>
      </c>
    </row>
    <row r="39" spans="1:21" s="48" customFormat="1" ht="13" x14ac:dyDescent="0.35">
      <c r="A39" s="125" t="str">
        <f>K8</f>
        <v>Bigni 9</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Arable</v>
      </c>
      <c r="C58" s="10" t="str">
        <f>D16&amp;" I "&amp;(VLOOKUP(D14,Table245811[],6,FALSE))</f>
        <v>Medium/Clay I Grass</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Grass</v>
      </c>
      <c r="I58" s="10" t="str">
        <f>J16&amp;" I "&amp;(VLOOKUP(J14,Table245811[],6,FALSE))</f>
        <v>Medium/Clay I Arable</v>
      </c>
      <c r="J58" s="10" t="str">
        <f>K16&amp;" I "&amp;(VLOOKUP(K14,Table245811[],6,FALSE))</f>
        <v>Medium/Clay I Arable</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6.7</v>
      </c>
      <c r="C59" s="64">
        <f>VLOOKUP(D$14,Table245811[],5,FALSE)</f>
        <v>6.2</v>
      </c>
      <c r="D59" s="64">
        <f>VLOOKUP(E$14,Table245811[],5,FALSE)</f>
        <v>6.7</v>
      </c>
      <c r="E59" s="64">
        <f>VLOOKUP(F$14,Table245811[],5,FALSE)</f>
        <v>6.7</v>
      </c>
      <c r="F59" s="64">
        <f>VLOOKUP(G$14,Table245811[],5,FALSE)</f>
        <v>6.7</v>
      </c>
      <c r="G59" s="64">
        <f>VLOOKUP(H$14,Table245811[],5,FALSE)</f>
        <v>6.7</v>
      </c>
      <c r="H59" s="64">
        <f>VLOOKUP(I$14,Table245811[],5,FALSE)</f>
        <v>6.2</v>
      </c>
      <c r="I59" s="64">
        <f>VLOOKUP(J$14,Table245811[],5,FALSE)</f>
        <v>6.7</v>
      </c>
      <c r="J59" s="64">
        <f>VLOOKUP(K$14,Table245811[],5,FALSE)</f>
        <v>6.7</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65</v>
      </c>
      <c r="I62" s="65">
        <f>B38</f>
        <v>51</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B1"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7.1</v>
      </c>
      <c r="J1" s="131" t="s">
        <v>153</v>
      </c>
      <c r="K1" s="132"/>
      <c r="L1" s="109">
        <v>275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1.3</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78</v>
      </c>
      <c r="G3" s="133" t="s">
        <v>159</v>
      </c>
      <c r="H3" s="134"/>
      <c r="I3" s="110"/>
      <c r="J3" s="135" t="s">
        <v>154</v>
      </c>
      <c r="K3" s="136"/>
      <c r="L3" s="110">
        <f>(L1/(L2*10000))*100</f>
        <v>2.1153846153846154</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30" t="s">
        <v>178</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78.963782450000011</v>
      </c>
      <c r="J18" s="12">
        <f>$D38</f>
        <v>62.738347700000006</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-63.75</v>
      </c>
      <c r="D19" s="12">
        <f t="shared" ref="D19:V19" si="1">D18-D17</f>
        <v>-79.899999999999991</v>
      </c>
      <c r="E19" s="12">
        <f t="shared" si="1"/>
        <v>-62.999999999999993</v>
      </c>
      <c r="F19" s="12">
        <f t="shared" si="1"/>
        <v>-63.75</v>
      </c>
      <c r="G19" s="12">
        <f t="shared" si="1"/>
        <v>-62.999999999999993</v>
      </c>
      <c r="H19" s="12">
        <f t="shared" si="1"/>
        <v>-62.999999999999993</v>
      </c>
      <c r="I19" s="12">
        <f t="shared" si="1"/>
        <v>-0.93621754999998075</v>
      </c>
      <c r="J19" s="12">
        <f t="shared" si="1"/>
        <v>-0.26165229999998729</v>
      </c>
      <c r="K19" s="12">
        <f t="shared" si="1"/>
        <v>-62.999999999999993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3.93097992</v>
      </c>
      <c r="J22" s="12">
        <f>$E38</f>
        <v>3.12324432</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-90</v>
      </c>
      <c r="D23" s="12">
        <f t="shared" ref="D23:V23" si="3">D22-D21</f>
        <v>-282</v>
      </c>
      <c r="E23" s="12">
        <f t="shared" si="3"/>
        <v>-198.00000000000003</v>
      </c>
      <c r="F23" s="12">
        <f t="shared" si="3"/>
        <v>-90</v>
      </c>
      <c r="G23" s="12">
        <f t="shared" si="3"/>
        <v>-198.00000000000003</v>
      </c>
      <c r="H23" s="12">
        <f t="shared" si="3"/>
        <v>-198.00000000000003</v>
      </c>
      <c r="I23" s="12">
        <f t="shared" si="3"/>
        <v>-278.06902007999997</v>
      </c>
      <c r="J23" s="12">
        <f t="shared" si="3"/>
        <v>-194.87675568000003</v>
      </c>
      <c r="K23" s="12">
        <f t="shared" si="3"/>
        <v>-198.00000000000003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13.3</v>
      </c>
      <c r="C28" s="11">
        <v>1.3</v>
      </c>
      <c r="D28" s="11">
        <v>0.35499999999999998</v>
      </c>
      <c r="E28" s="11">
        <v>3.3599999999999998E-2</v>
      </c>
      <c r="F28" s="11">
        <v>626</v>
      </c>
      <c r="G28" s="11">
        <v>52.3</v>
      </c>
      <c r="H28" s="11">
        <v>215</v>
      </c>
      <c r="I28" s="11">
        <v>22.8</v>
      </c>
      <c r="J28" s="11">
        <v>1.01</v>
      </c>
      <c r="K28" s="15">
        <v>0.37</v>
      </c>
      <c r="L28" s="11">
        <v>37.299999999999997</v>
      </c>
      <c r="M28" s="11">
        <v>15.8</v>
      </c>
      <c r="N28" s="11">
        <v>124000</v>
      </c>
      <c r="O28" s="11">
        <v>13800</v>
      </c>
      <c r="P28" s="11"/>
      <c r="Q28" s="11">
        <v>8040</v>
      </c>
      <c r="R28" s="11"/>
      <c r="S28" s="11">
        <v>12.1</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18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Rhosygadair 4</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Rhosygadair 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Rhosygadair 6</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Rhosygadair 7</v>
      </c>
      <c r="B37" s="11">
        <v>73</v>
      </c>
      <c r="C37" s="65">
        <f t="shared" si="6"/>
        <v>126.21700000000001</v>
      </c>
      <c r="D37" s="65">
        <f t="shared" si="7"/>
        <v>78.963782450000011</v>
      </c>
      <c r="E37" s="65">
        <f t="shared" si="8"/>
        <v>3.93097992</v>
      </c>
      <c r="F37" s="65">
        <f t="shared" si="9"/>
        <v>10.077048771999999</v>
      </c>
      <c r="G37" s="65">
        <f t="shared" si="5"/>
        <v>0.50778069999999997</v>
      </c>
      <c r="H37" s="65">
        <f t="shared" si="5"/>
        <v>2.0874350000000002</v>
      </c>
      <c r="I37" s="65">
        <f t="shared" si="5"/>
        <v>0.22136520000000001</v>
      </c>
      <c r="J37" s="65">
        <f t="shared" si="5"/>
        <v>9.8060900000000017E-3</v>
      </c>
      <c r="K37" s="65">
        <f t="shared" si="5"/>
        <v>3.5923300000000003E-3</v>
      </c>
      <c r="L37" s="65">
        <f t="shared" si="5"/>
        <v>0.36214570000000001</v>
      </c>
      <c r="M37" s="65">
        <f t="shared" si="5"/>
        <v>0.15340220000000002</v>
      </c>
      <c r="N37" s="65">
        <f t="shared" si="5"/>
        <v>1203.9160000000002</v>
      </c>
      <c r="O37" s="65">
        <f t="shared" si="5"/>
        <v>133.98420000000002</v>
      </c>
      <c r="P37" s="65">
        <f t="shared" si="5"/>
        <v>0</v>
      </c>
      <c r="Q37" s="65">
        <f t="shared" si="10"/>
        <v>195.15090000000004</v>
      </c>
      <c r="R37" s="65">
        <f t="shared" si="11"/>
        <v>0</v>
      </c>
      <c r="S37" s="65">
        <f t="shared" si="11"/>
        <v>0.11747890000000001</v>
      </c>
      <c r="T37" s="65">
        <f t="shared" si="11"/>
        <v>0</v>
      </c>
      <c r="U37" s="126">
        <f t="shared" si="11"/>
        <v>0</v>
      </c>
    </row>
    <row r="38" spans="1:21" s="48" customFormat="1" ht="13" x14ac:dyDescent="0.35">
      <c r="A38" s="125" t="str">
        <f>J8</f>
        <v>Bigni 8</v>
      </c>
      <c r="B38" s="11">
        <v>58</v>
      </c>
      <c r="C38" s="65">
        <f t="shared" si="6"/>
        <v>100.28200000000001</v>
      </c>
      <c r="D38" s="65">
        <f t="shared" si="7"/>
        <v>62.738347700000006</v>
      </c>
      <c r="E38" s="65">
        <f t="shared" si="8"/>
        <v>3.12324432</v>
      </c>
      <c r="F38" s="65">
        <f t="shared" si="9"/>
        <v>8.0064223119999998</v>
      </c>
      <c r="G38" s="65">
        <f t="shared" si="5"/>
        <v>0.40344220000000003</v>
      </c>
      <c r="H38" s="65">
        <f t="shared" si="5"/>
        <v>1.6585100000000002</v>
      </c>
      <c r="I38" s="65">
        <f t="shared" si="5"/>
        <v>0.17587920000000001</v>
      </c>
      <c r="J38" s="65">
        <f t="shared" si="5"/>
        <v>7.7911400000000011E-3</v>
      </c>
      <c r="K38" s="65">
        <f t="shared" si="5"/>
        <v>2.8541800000000004E-3</v>
      </c>
      <c r="L38" s="65">
        <f t="shared" si="5"/>
        <v>0.28773219999999999</v>
      </c>
      <c r="M38" s="65">
        <f t="shared" si="5"/>
        <v>0.12188120000000001</v>
      </c>
      <c r="N38" s="65">
        <f t="shared" si="5"/>
        <v>956.53600000000006</v>
      </c>
      <c r="O38" s="65">
        <f t="shared" si="5"/>
        <v>106.45320000000001</v>
      </c>
      <c r="P38" s="65">
        <f t="shared" si="5"/>
        <v>0</v>
      </c>
      <c r="Q38" s="65">
        <f t="shared" si="10"/>
        <v>155.05140000000006</v>
      </c>
      <c r="R38" s="65">
        <f t="shared" si="11"/>
        <v>0</v>
      </c>
      <c r="S38" s="65">
        <f t="shared" si="11"/>
        <v>9.3339400000000003E-2</v>
      </c>
      <c r="T38" s="65">
        <f t="shared" si="11"/>
        <v>0</v>
      </c>
      <c r="U38" s="126">
        <f t="shared" si="11"/>
        <v>0</v>
      </c>
    </row>
    <row r="39" spans="1:21" s="48" customFormat="1" ht="13" x14ac:dyDescent="0.35">
      <c r="A39" s="125" t="str">
        <f>K8</f>
        <v>Bigni 9</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Arable</v>
      </c>
      <c r="C58" s="10" t="str">
        <f>D16&amp;" I "&amp;(VLOOKUP(D14,Table24581112[],6,FALSE))</f>
        <v>Medium/Clay I Grass</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Grass</v>
      </c>
      <c r="I58" s="10" t="str">
        <f>J16&amp;" I "&amp;(VLOOKUP(J14,Table24581112[],6,FALSE))</f>
        <v>Medium/Clay I Arable</v>
      </c>
      <c r="J58" s="10" t="str">
        <f>K16&amp;" I "&amp;(VLOOKUP(K14,Table24581112[],6,FALSE))</f>
        <v>Medium/Clay I Arable</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6.7</v>
      </c>
      <c r="C59" s="64">
        <f>VLOOKUP(D$14,Table24581112[],5,FALSE)</f>
        <v>6.2</v>
      </c>
      <c r="D59" s="64">
        <f>VLOOKUP(E$14,Table24581112[],5,FALSE)</f>
        <v>6.7</v>
      </c>
      <c r="E59" s="64">
        <f>VLOOKUP(F$14,Table24581112[],5,FALSE)</f>
        <v>6.7</v>
      </c>
      <c r="F59" s="64">
        <f>VLOOKUP(G$14,Table24581112[],5,FALSE)</f>
        <v>6.7</v>
      </c>
      <c r="G59" s="64">
        <f>VLOOKUP(H$14,Table24581112[],5,FALSE)</f>
        <v>6.7</v>
      </c>
      <c r="H59" s="64">
        <f>VLOOKUP(I$14,Table24581112[],5,FALSE)</f>
        <v>6.2</v>
      </c>
      <c r="I59" s="64">
        <f>VLOOKUP(J$14,Table24581112[],5,FALSE)</f>
        <v>6.7</v>
      </c>
      <c r="J59" s="64">
        <f>VLOOKUP(K$14,Table24581112[],5,FALSE)</f>
        <v>6.7</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73</v>
      </c>
      <c r="I62" s="65">
        <f>B38</f>
        <v>58</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B1" zoomScale="90" zoomScaleNormal="90" workbookViewId="0">
      <selection activeCell="T28" sqref="T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6.3</v>
      </c>
      <c r="J1" s="131" t="s">
        <v>153</v>
      </c>
      <c r="K1" s="132"/>
      <c r="L1" s="109">
        <v>316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1.69</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78</v>
      </c>
      <c r="G3" s="133" t="s">
        <v>159</v>
      </c>
      <c r="H3" s="134"/>
      <c r="I3" s="110"/>
      <c r="J3" s="135" t="s">
        <v>154</v>
      </c>
      <c r="K3" s="136"/>
      <c r="L3" s="110">
        <f>(L1/(L2*10000))*100</f>
        <v>1.8698224852071006</v>
      </c>
      <c r="AB3" s="22" t="s">
        <v>57</v>
      </c>
      <c r="AC3" s="13"/>
      <c r="AD3" s="22" t="s">
        <v>71</v>
      </c>
      <c r="AE3" s="13"/>
      <c r="AF3" s="13"/>
      <c r="AG3" s="34" t="s">
        <v>77</v>
      </c>
      <c r="AH3" s="13"/>
      <c r="AI3" s="38" t="s">
        <v>113</v>
      </c>
      <c r="AJ3" s="39">
        <v>1.7</v>
      </c>
      <c r="AK3" s="40">
        <v>6</v>
      </c>
      <c r="AL3" s="41">
        <v>1</v>
      </c>
      <c r="AM3" s="9">
        <v>6.2</v>
      </c>
      <c r="AN3" s="9" t="s">
        <v>112</v>
      </c>
    </row>
    <row r="4" spans="1:41" ht="25" x14ac:dyDescent="0.25">
      <c r="A4" s="133" t="s">
        <v>0</v>
      </c>
      <c r="B4" s="134"/>
      <c r="C4" s="171" t="str">
        <f>'DCWW Llechryd WTW'!C4:D4</f>
        <v>Trefwtial, Blaenannerch, Cardigan, Ceredigion,SA43 2AG</v>
      </c>
      <c r="D4" s="172"/>
      <c r="E4" s="99" t="s">
        <v>1</v>
      </c>
      <c r="F4" s="130" t="s">
        <v>179</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66.668099999999995</v>
      </c>
      <c r="J18" s="12">
        <f>$D38</f>
        <v>62.668013999999999</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-63.75</v>
      </c>
      <c r="D19" s="12">
        <f t="shared" ref="D19:V19" si="1">D18-D17</f>
        <v>-79.899999999999991</v>
      </c>
      <c r="E19" s="12">
        <f t="shared" si="1"/>
        <v>-62.999999999999993</v>
      </c>
      <c r="F19" s="12">
        <f t="shared" si="1"/>
        <v>-63.75</v>
      </c>
      <c r="G19" s="12">
        <f t="shared" si="1"/>
        <v>-62.999999999999993</v>
      </c>
      <c r="H19" s="12">
        <f t="shared" si="1"/>
        <v>-62.999999999999993</v>
      </c>
      <c r="I19" s="12">
        <f t="shared" si="1"/>
        <v>-13.231899999999996</v>
      </c>
      <c r="J19" s="12">
        <f t="shared" si="1"/>
        <v>-0.33198599999999345</v>
      </c>
      <c r="K19" s="12">
        <f t="shared" si="1"/>
        <v>-62.999999999999993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5.2189152500000002</v>
      </c>
      <c r="J22" s="12">
        <f>$E38</f>
        <v>4.9057803350000002</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-90</v>
      </c>
      <c r="D23" s="12">
        <f t="shared" ref="D23:V23" si="3">D22-D21</f>
        <v>-282</v>
      </c>
      <c r="E23" s="12">
        <f t="shared" si="3"/>
        <v>-198.00000000000003</v>
      </c>
      <c r="F23" s="12">
        <f t="shared" si="3"/>
        <v>-90</v>
      </c>
      <c r="G23" s="12">
        <f t="shared" si="3"/>
        <v>-198.00000000000003</v>
      </c>
      <c r="H23" s="12">
        <f t="shared" si="3"/>
        <v>-198.00000000000003</v>
      </c>
      <c r="I23" s="12">
        <f t="shared" si="3"/>
        <v>-276.78108474999999</v>
      </c>
      <c r="J23" s="12">
        <f t="shared" si="3"/>
        <v>-193.09421966500003</v>
      </c>
      <c r="K23" s="12">
        <f t="shared" si="3"/>
        <v>-198.00000000000003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1.94</v>
      </c>
      <c r="C28" s="11">
        <v>1.69</v>
      </c>
      <c r="D28" s="11">
        <v>0.6</v>
      </c>
      <c r="E28" s="11">
        <v>8.9300000000000004E-2</v>
      </c>
      <c r="F28" s="11">
        <v>390</v>
      </c>
      <c r="G28" s="11">
        <v>80.099999999999994</v>
      </c>
      <c r="H28" s="11">
        <v>126</v>
      </c>
      <c r="I28" s="11">
        <v>63.7</v>
      </c>
      <c r="J28" s="11">
        <v>1.1299999999999999</v>
      </c>
      <c r="K28" s="15">
        <v>1.03</v>
      </c>
      <c r="L28" s="11">
        <v>52.4</v>
      </c>
      <c r="M28" s="11">
        <v>44.2</v>
      </c>
      <c r="N28" s="11">
        <v>138000</v>
      </c>
      <c r="O28" s="11">
        <v>24500</v>
      </c>
      <c r="P28" s="11"/>
      <c r="Q28" s="11">
        <v>8000</v>
      </c>
      <c r="R28" s="11"/>
      <c r="S28" s="11">
        <v>39.4</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18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Rhosygadair 4</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Rhosygadair 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Rhosygadair 6</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Rhosygadair 7</v>
      </c>
      <c r="B37" s="11">
        <v>250</v>
      </c>
      <c r="C37" s="65">
        <f t="shared" si="6"/>
        <v>81.964999999999989</v>
      </c>
      <c r="D37" s="65">
        <f t="shared" si="7"/>
        <v>66.668099999999995</v>
      </c>
      <c r="E37" s="65">
        <f t="shared" si="8"/>
        <v>5.2189152500000002</v>
      </c>
      <c r="F37" s="65">
        <f t="shared" si="9"/>
        <v>3.136107</v>
      </c>
      <c r="G37" s="65">
        <f t="shared" si="5"/>
        <v>0.38848499999999997</v>
      </c>
      <c r="H37" s="65">
        <f t="shared" si="5"/>
        <v>0.61110000000000009</v>
      </c>
      <c r="I37" s="65">
        <f t="shared" si="5"/>
        <v>0.30894500000000003</v>
      </c>
      <c r="J37" s="65">
        <f t="shared" si="5"/>
        <v>5.4804999999999993E-3</v>
      </c>
      <c r="K37" s="65">
        <f t="shared" si="5"/>
        <v>4.9955000000000008E-3</v>
      </c>
      <c r="L37" s="65">
        <f t="shared" si="5"/>
        <v>0.25414000000000003</v>
      </c>
      <c r="M37" s="65">
        <f t="shared" si="5"/>
        <v>0.21437000000000003</v>
      </c>
      <c r="N37" s="65">
        <f t="shared" si="5"/>
        <v>669.3</v>
      </c>
      <c r="O37" s="65">
        <f t="shared" si="5"/>
        <v>118.825</v>
      </c>
      <c r="P37" s="65">
        <f t="shared" si="5"/>
        <v>0</v>
      </c>
      <c r="Q37" s="65">
        <f t="shared" si="10"/>
        <v>97.000000000000014</v>
      </c>
      <c r="R37" s="65">
        <f t="shared" si="11"/>
        <v>0</v>
      </c>
      <c r="S37" s="65">
        <f t="shared" si="11"/>
        <v>0.19108999999999998</v>
      </c>
      <c r="T37" s="65">
        <f t="shared" si="11"/>
        <v>0</v>
      </c>
      <c r="U37" s="126">
        <f t="shared" si="11"/>
        <v>0</v>
      </c>
    </row>
    <row r="38" spans="1:21" s="48" customFormat="1" ht="13" x14ac:dyDescent="0.35">
      <c r="A38" s="125" t="str">
        <f>J8</f>
        <v>Bigni 8</v>
      </c>
      <c r="B38" s="11">
        <v>235</v>
      </c>
      <c r="C38" s="65">
        <f t="shared" si="6"/>
        <v>77.0471</v>
      </c>
      <c r="D38" s="65">
        <f t="shared" si="7"/>
        <v>62.668013999999999</v>
      </c>
      <c r="E38" s="65">
        <f t="shared" si="8"/>
        <v>4.9057803350000002</v>
      </c>
      <c r="F38" s="65">
        <f t="shared" si="9"/>
        <v>2.94794058</v>
      </c>
      <c r="G38" s="65">
        <f t="shared" si="5"/>
        <v>0.3651759</v>
      </c>
      <c r="H38" s="65">
        <f t="shared" si="5"/>
        <v>0.574434</v>
      </c>
      <c r="I38" s="65">
        <f t="shared" si="5"/>
        <v>0.29040830000000001</v>
      </c>
      <c r="J38" s="65">
        <f t="shared" si="5"/>
        <v>5.1516699999999997E-3</v>
      </c>
      <c r="K38" s="65">
        <f t="shared" si="5"/>
        <v>4.695770000000001E-3</v>
      </c>
      <c r="L38" s="65">
        <f t="shared" si="5"/>
        <v>0.23889160000000004</v>
      </c>
      <c r="M38" s="65">
        <f t="shared" si="5"/>
        <v>0.20150780000000001</v>
      </c>
      <c r="N38" s="65">
        <f t="shared" si="5"/>
        <v>629.14200000000005</v>
      </c>
      <c r="O38" s="65">
        <f t="shared" si="5"/>
        <v>111.6955</v>
      </c>
      <c r="P38" s="65">
        <f t="shared" si="5"/>
        <v>0</v>
      </c>
      <c r="Q38" s="65">
        <f t="shared" si="10"/>
        <v>91.18</v>
      </c>
      <c r="R38" s="65">
        <f t="shared" si="11"/>
        <v>0</v>
      </c>
      <c r="S38" s="65">
        <f t="shared" si="11"/>
        <v>0.1796246</v>
      </c>
      <c r="T38" s="65">
        <f t="shared" si="11"/>
        <v>0</v>
      </c>
      <c r="U38" s="126">
        <f t="shared" si="11"/>
        <v>0</v>
      </c>
    </row>
    <row r="39" spans="1:21" s="48" customFormat="1" ht="13" x14ac:dyDescent="0.35">
      <c r="A39" s="125" t="str">
        <f>K8</f>
        <v>Bigni 9</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Arable</v>
      </c>
      <c r="C58" s="10" t="str">
        <f>D16&amp;" I "&amp;(VLOOKUP(D14,Table24581114[],6,FALSE))</f>
        <v>Medium/Clay I Grass</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Grass</v>
      </c>
      <c r="I58" s="10" t="str">
        <f>J16&amp;" I "&amp;(VLOOKUP(J14,Table24581114[],6,FALSE))</f>
        <v>Medium/Clay I Arable</v>
      </c>
      <c r="J58" s="10" t="str">
        <f>K16&amp;" I "&amp;(VLOOKUP(K14,Table24581114[],6,FALSE))</f>
        <v>Medium/Clay I Arable</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6.7</v>
      </c>
      <c r="C59" s="64">
        <f>VLOOKUP(D$14,Table24581114[],5,FALSE)</f>
        <v>6.2</v>
      </c>
      <c r="D59" s="64">
        <f>VLOOKUP(E$14,Table24581114[],5,FALSE)</f>
        <v>6.7</v>
      </c>
      <c r="E59" s="64">
        <f>VLOOKUP(F$14,Table24581114[],5,FALSE)</f>
        <v>6.7</v>
      </c>
      <c r="F59" s="64">
        <f>VLOOKUP(G$14,Table24581114[],5,FALSE)</f>
        <v>6.7</v>
      </c>
      <c r="G59" s="64">
        <f>VLOOKUP(H$14,Table24581114[],5,FALSE)</f>
        <v>6.7</v>
      </c>
      <c r="H59" s="64">
        <f>VLOOKUP(I$14,Table24581114[],5,FALSE)</f>
        <v>6.2</v>
      </c>
      <c r="I59" s="64">
        <f>VLOOKUP(J$14,Table24581114[],5,FALSE)</f>
        <v>6.7</v>
      </c>
      <c r="J59" s="64">
        <f>VLOOKUP(K$14,Table24581114[],5,FALSE)</f>
        <v>6.7</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250</v>
      </c>
      <c r="I62" s="65">
        <f>B38</f>
        <v>235</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D1"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6.9</v>
      </c>
      <c r="J1" s="131" t="s">
        <v>153</v>
      </c>
      <c r="K1" s="132"/>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78</v>
      </c>
      <c r="G3" s="133" t="s">
        <v>159</v>
      </c>
      <c r="H3" s="134"/>
      <c r="I3" s="110"/>
      <c r="J3" s="135" t="s">
        <v>154</v>
      </c>
      <c r="K3" s="136"/>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10" t="s">
        <v>180</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19.454026500000005</v>
      </c>
      <c r="D18" s="12">
        <f>$D32</f>
        <v>79.761508650000025</v>
      </c>
      <c r="E18" s="12">
        <f>$D33</f>
        <v>62.252884800000011</v>
      </c>
      <c r="F18" s="12">
        <f>$D34</f>
        <v>19.454026500000005</v>
      </c>
      <c r="G18" s="12">
        <f>$D35</f>
        <v>62.252884800000011</v>
      </c>
      <c r="H18" s="12">
        <f>$D36</f>
        <v>62.252884800000011</v>
      </c>
      <c r="I18" s="12">
        <f>$D37</f>
        <v>79.761508650000025</v>
      </c>
      <c r="J18" s="12">
        <f>$D38</f>
        <v>62.252884800000011</v>
      </c>
      <c r="K18" s="12">
        <f>$D39</f>
        <v>62.252884800000011</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-44.295973499999995</v>
      </c>
      <c r="D19" s="12">
        <f t="shared" ref="D19:V19" si="1">D18-D17</f>
        <v>-0.13849134999996693</v>
      </c>
      <c r="E19" s="12">
        <f t="shared" si="1"/>
        <v>-0.74711519999998188</v>
      </c>
      <c r="F19" s="12">
        <f t="shared" si="1"/>
        <v>-44.295973499999995</v>
      </c>
      <c r="G19" s="12">
        <f t="shared" si="1"/>
        <v>-0.74711519999998188</v>
      </c>
      <c r="H19" s="12">
        <f t="shared" si="1"/>
        <v>-0.74711519999998188</v>
      </c>
      <c r="I19" s="12">
        <f t="shared" si="1"/>
        <v>-0.13849134999996693</v>
      </c>
      <c r="J19" s="12">
        <f t="shared" si="1"/>
        <v>-0.74711519999998188</v>
      </c>
      <c r="K19" s="12">
        <f t="shared" si="1"/>
        <v>-0.74711519999998188</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1.0545678000000003</v>
      </c>
      <c r="D22" s="12">
        <f>$E32</f>
        <v>4.323727980000001</v>
      </c>
      <c r="E22" s="12">
        <f>$E33</f>
        <v>3.3746169600000004</v>
      </c>
      <c r="F22" s="12">
        <f>$E34</f>
        <v>1.0545678000000003</v>
      </c>
      <c r="G22" s="12">
        <f>$E35</f>
        <v>3.3746169600000004</v>
      </c>
      <c r="H22" s="12">
        <f>$E36</f>
        <v>3.3746169600000004</v>
      </c>
      <c r="I22" s="12">
        <f>$E37</f>
        <v>4.323727980000001</v>
      </c>
      <c r="J22" s="12">
        <f>$E38</f>
        <v>3.3746169600000004</v>
      </c>
      <c r="K22" s="12">
        <f>$E39</f>
        <v>3.3746169600000004</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-88.945432199999999</v>
      </c>
      <c r="D23" s="12">
        <f t="shared" ref="D23:V23" si="3">D22-D21</f>
        <v>-277.67627202</v>
      </c>
      <c r="E23" s="12">
        <f t="shared" si="3"/>
        <v>-194.62538304000003</v>
      </c>
      <c r="F23" s="12">
        <f t="shared" si="3"/>
        <v>-88.945432199999999</v>
      </c>
      <c r="G23" s="12">
        <f t="shared" si="3"/>
        <v>-194.62538304000003</v>
      </c>
      <c r="H23" s="12">
        <f t="shared" si="3"/>
        <v>-194.62538304000003</v>
      </c>
      <c r="I23" s="12">
        <f t="shared" si="3"/>
        <v>-277.67627202</v>
      </c>
      <c r="J23" s="12">
        <f t="shared" si="3"/>
        <v>-194.62538304000003</v>
      </c>
      <c r="K23" s="12">
        <f t="shared" si="3"/>
        <v>-194.62538304000003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50</v>
      </c>
      <c r="C31" s="65">
        <f>IF(C$27="%w/w SAR",((C$28*10)*$B31),IF(C$27="%w/w DM",(((C$28*10)*($B$28/100))*$B31),IF(C$27="kg/t SAR",(C$28*$B31),IF(C$27="kg/t DM",((C$28*($B$28/100))*$B31),IF(C$27="mg/kg SAR",((C$28*0.001)*$B31),IF(C$27="mg/kg DM",(((C$28*0.001)*($B$28/100))*$B31),0))))))</f>
        <v>14.932800000000002</v>
      </c>
      <c r="D31" s="65">
        <f>(IF(D$27="%w/w SAR",((D$28*10)*$B31),IF(D$27="%w/w DM",(((D$28*10)*($B$28/100))*$B31),IF(D$27="kg/t SAR",(D$28*$B31),IF(D$27="kg/t DM",((D$28*($B$28/100))*$B31),IF(D$27="mg/kg SAR",((D$28*0.001)*$B31),IF(D$27="mg/kg DM",(((D$28*0.001)*($B$28/100))*$B31),"0")))))))*2.291</f>
        <v>19.454026500000005</v>
      </c>
      <c r="E31" s="65">
        <f>(IF(E$27="%w/w SAR",((E$28*10)*$B31),IF(E$27="%w/w DM",(((E$28*10)*($B$28/100))*$B31),IF(E$27="kg/t SAR",(E$28*$B31),IF(E$27="kg/t DM",((E$28*($B$28/100))*$B31),IF(E$27="mg/kg SAR",((E$28*0.001)*$B31),IF(E$27="mg/kg DM",(((E$28*0.001)*($B$28/100))*$B31),"0")))))))*1.205</f>
        <v>1.0545678000000003</v>
      </c>
      <c r="F31" s="65">
        <f>(IF(F$27="%w/w SAR",((F$28*10)*$B31),IF(F$27="%w/w DM",(((F$28*10)*($B$28/100))*$B31),IF(F$27="kg/t SAR",(F$28*$B31),IF(F$27="kg/t DM",((F$28*($B$28/100))*$B31),IF(F$27="mg/kg SAR",((F$28*0.001)*$B31),IF(F$27="mg/kg DM",(((F$28*0.001)*($B$28/100))*$B31),"0")))))))*1.658</f>
        <v>2.1333983399999998</v>
      </c>
      <c r="G31" s="65">
        <f t="shared" ref="G31:P46" si="5">IF(G$27="%w/w SAR",((G$28*10)*$B31),IF(G$27="%w/w DM",(((G$28*10)*($B$28/100))*$B31),IF(G$27="kg/t SAR",(G$28*$B31),IF(G$27="kg/t DM",((G$28*($B$28/100))*$B31),IF(G$27="mg/kg SAR",((G$28*0.001)*$B31),IF(G$27="mg/kg DM",(((G$28*0.001)*($B$28/100))*$B31),0))))))</f>
        <v>7.8489000000000003E-2</v>
      </c>
      <c r="H31" s="65">
        <f t="shared" si="5"/>
        <v>0.20349</v>
      </c>
      <c r="I31" s="65">
        <f t="shared" si="5"/>
        <v>6.2424E-2</v>
      </c>
      <c r="J31" s="65">
        <f t="shared" si="5"/>
        <v>1.1015999999999999E-3</v>
      </c>
      <c r="K31" s="65">
        <f t="shared" si="5"/>
        <v>1.0098000000000002E-3</v>
      </c>
      <c r="L31" s="65">
        <f t="shared" si="5"/>
        <v>5.1255000000000009E-2</v>
      </c>
      <c r="M31" s="65">
        <f t="shared" si="5"/>
        <v>4.3299000000000004E-2</v>
      </c>
      <c r="N31" s="65">
        <f t="shared" si="5"/>
        <v>4.7124000000000006</v>
      </c>
      <c r="O31" s="65">
        <f t="shared" si="5"/>
        <v>480.42000000000007</v>
      </c>
      <c r="P31" s="65">
        <f t="shared" si="5"/>
        <v>0</v>
      </c>
      <c r="Q31" s="65">
        <f>(IF(Q$27="%w/w SAR",((Q$28*10)*$B31),IF(Q$27="%w/w DM",(((Q$28*10)*($B$28/100))*$B31),IF(Q$27="kg/t SAR",(Q$28*$B31),IF(Q$27="kg/t DM",((Q$28*($B$28/100))*$B31),IF(Q$27="mg/kg SAR",((Q$28*0.001)*$B31),IF(Q$27="mg/kg DM",(((Q$28*0.001)*($B$28/100))*$B31),0)))))))*2.5</f>
        <v>12.087000000000003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4.3146000000000004E-2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205</v>
      </c>
      <c r="C32" s="65">
        <f t="shared" ref="C32:C50" si="6">IF(C$27="%w/w SAR",((C$28*10)*$B32),IF(C$27="%w/w DM",(((C$28*10)*($B$28/100))*$B32),IF(C$27="kg/t SAR",(C$28*$B32),IF(C$27="kg/t DM",((C$28*($B$28/100))*$B32),IF(C$27="mg/kg SAR",((C$28*0.001)*$B32),IF(C$27="mg/kg DM",(((C$28*0.001)*($B$28/100))*$B32),0))))))</f>
        <v>61.224480000000007</v>
      </c>
      <c r="D32" s="65">
        <f t="shared" ref="D32:D50" si="7">(IF(D$27="%w/w SAR",((D$28*10)*$B32),IF(D$27="%w/w DM",(((D$28*10)*($B$28/100))*$B32),IF(D$27="kg/t SAR",(D$28*$B32),IF(D$27="kg/t DM",((D$28*($B$28/100))*$B32),IF(D$27="mg/kg SAR",((D$28*0.001)*$B32),IF(D$27="mg/kg DM",(((D$28*0.001)*($B$28/100))*$B32),"0")))))))*2.291</f>
        <v>79.761508650000025</v>
      </c>
      <c r="E32" s="65">
        <f t="shared" ref="E32:E50" si="8">(IF(E$27="%w/w SAR",((E$28*10)*$B32),IF(E$27="%w/w DM",(((E$28*10)*($B$28/100))*$B32),IF(E$27="kg/t SAR",(E$28*$B32),IF(E$27="kg/t DM",((E$28*($B$28/100))*$B32),IF(E$27="mg/kg SAR",((E$28*0.001)*$B32),IF(E$27="mg/kg DM",(((E$28*0.001)*($B$28/100))*$B32),"0")))))))*1.205</f>
        <v>4.323727980000001</v>
      </c>
      <c r="F32" s="65">
        <f t="shared" ref="F32:F50" si="9">(IF(F$27="%w/w SAR",((F$28*10)*$B32),IF(F$27="%w/w DM",(((F$28*10)*($B$28/100))*$B32),IF(F$27="kg/t SAR",(F$28*$B32),IF(F$27="kg/t DM",((F$28*($B$28/100))*$B32),IF(F$27="mg/kg SAR",((F$28*0.001)*$B32),IF(F$27="mg/kg DM",(((F$28*0.001)*($B$28/100))*$B32),"0")))))))*1.658</f>
        <v>8.7469331939999986</v>
      </c>
      <c r="G32" s="65">
        <f t="shared" si="5"/>
        <v>0.3218049</v>
      </c>
      <c r="H32" s="65">
        <f t="shared" si="5"/>
        <v>0.83430900000000008</v>
      </c>
      <c r="I32" s="65">
        <f t="shared" si="5"/>
        <v>0.25593840000000001</v>
      </c>
      <c r="J32" s="65">
        <f t="shared" si="5"/>
        <v>4.5165599999999993E-3</v>
      </c>
      <c r="K32" s="65">
        <f t="shared" si="5"/>
        <v>4.1401800000000002E-3</v>
      </c>
      <c r="L32" s="65">
        <f t="shared" si="5"/>
        <v>0.21014550000000004</v>
      </c>
      <c r="M32" s="65">
        <f t="shared" si="5"/>
        <v>0.17752590000000001</v>
      </c>
      <c r="N32" s="65">
        <f t="shared" si="5"/>
        <v>19.320840000000004</v>
      </c>
      <c r="O32" s="65">
        <f t="shared" si="5"/>
        <v>1969.7220000000002</v>
      </c>
      <c r="P32" s="65">
        <f t="shared" si="5"/>
        <v>0</v>
      </c>
      <c r="Q32" s="65">
        <f t="shared" ref="Q32:Q50" si="10">(IF(Q$27="%w/w SAR",((Q$28*10)*$B32),IF(Q$27="%w/w DM",(((Q$28*10)*($B$28/100))*$B32),IF(Q$27="kg/t SAR",(Q$28*$B32),IF(Q$27="kg/t DM",((Q$28*($B$28/100))*$B32),IF(Q$27="mg/kg SAR",((Q$28*0.001)*$B32),IF(Q$27="mg/kg DM",(((Q$28*0.001)*($B$28/100))*$B32),0)))))))*2.5</f>
        <v>49.556700000000014</v>
      </c>
      <c r="R32" s="65">
        <f t="shared" ref="R32:U50" si="11">IF(R$27="%w/w SAR",((R$28*10)*$B32),IF(R$27="%w/w DM",(((R$28*10)*($B$28/100))*$B32),IF(R$27="kg/t SAR",(R$28*$B32),IF(R$27="kg/t DM",((R$28*($B$28/100))*$B32),IF(R$27="mg/kg SAR",((R$28*0.001)*$B32),IF(R$27="mg/kg DM",(((R$28*0.001)*($B$28/100))*$B32),0))))))</f>
        <v>0</v>
      </c>
      <c r="S32" s="65">
        <f t="shared" si="11"/>
        <v>0.17689860000000002</v>
      </c>
      <c r="T32" s="65">
        <f t="shared" si="11"/>
        <v>0</v>
      </c>
      <c r="U32" s="126">
        <f t="shared" si="11"/>
        <v>0</v>
      </c>
    </row>
    <row r="33" spans="1:21" s="48" customFormat="1" ht="13" x14ac:dyDescent="0.35">
      <c r="A33" s="125" t="str">
        <f>E8</f>
        <v>Trefwtial 18</v>
      </c>
      <c r="B33" s="11">
        <v>160</v>
      </c>
      <c r="C33" s="65">
        <f t="shared" si="6"/>
        <v>47.784960000000005</v>
      </c>
      <c r="D33" s="65">
        <f t="shared" si="7"/>
        <v>62.252884800000011</v>
      </c>
      <c r="E33" s="65">
        <f t="shared" si="8"/>
        <v>3.3746169600000004</v>
      </c>
      <c r="F33" s="65">
        <f t="shared" si="9"/>
        <v>6.8268746880000002</v>
      </c>
      <c r="G33" s="65">
        <f t="shared" si="5"/>
        <v>0.25116480000000002</v>
      </c>
      <c r="H33" s="65">
        <f t="shared" si="5"/>
        <v>0.65116799999999997</v>
      </c>
      <c r="I33" s="65">
        <f t="shared" si="5"/>
        <v>0.19975679999999998</v>
      </c>
      <c r="J33" s="65">
        <f t="shared" si="5"/>
        <v>3.5251199999999996E-3</v>
      </c>
      <c r="K33" s="65">
        <f t="shared" si="5"/>
        <v>3.23136E-3</v>
      </c>
      <c r="L33" s="65">
        <f t="shared" si="5"/>
        <v>0.16401600000000002</v>
      </c>
      <c r="M33" s="65">
        <f t="shared" si="5"/>
        <v>0.13855680000000004</v>
      </c>
      <c r="N33" s="65">
        <f t="shared" si="5"/>
        <v>15.079680000000002</v>
      </c>
      <c r="O33" s="65">
        <f t="shared" si="5"/>
        <v>1537.3440000000003</v>
      </c>
      <c r="P33" s="65">
        <f t="shared" si="5"/>
        <v>0</v>
      </c>
      <c r="Q33" s="65">
        <f t="shared" si="10"/>
        <v>38.678400000000003</v>
      </c>
      <c r="R33" s="65">
        <f t="shared" si="11"/>
        <v>0</v>
      </c>
      <c r="S33" s="65">
        <f t="shared" si="11"/>
        <v>0.1380672</v>
      </c>
      <c r="T33" s="65">
        <f t="shared" si="11"/>
        <v>0</v>
      </c>
      <c r="U33" s="126">
        <f t="shared" si="11"/>
        <v>0</v>
      </c>
    </row>
    <row r="34" spans="1:21" s="48" customFormat="1" ht="13" x14ac:dyDescent="0.35">
      <c r="A34" s="125" t="str">
        <f>F8</f>
        <v>Rhosygadair 4</v>
      </c>
      <c r="B34" s="11">
        <v>50</v>
      </c>
      <c r="C34" s="65">
        <f t="shared" si="6"/>
        <v>14.932800000000002</v>
      </c>
      <c r="D34" s="65">
        <f t="shared" si="7"/>
        <v>19.454026500000005</v>
      </c>
      <c r="E34" s="65">
        <f t="shared" si="8"/>
        <v>1.0545678000000003</v>
      </c>
      <c r="F34" s="65">
        <f t="shared" si="9"/>
        <v>2.1333983399999998</v>
      </c>
      <c r="G34" s="65">
        <f t="shared" si="5"/>
        <v>7.8489000000000003E-2</v>
      </c>
      <c r="H34" s="65">
        <f t="shared" si="5"/>
        <v>0.20349</v>
      </c>
      <c r="I34" s="65">
        <f t="shared" si="5"/>
        <v>6.2424E-2</v>
      </c>
      <c r="J34" s="65">
        <f t="shared" si="5"/>
        <v>1.1015999999999999E-3</v>
      </c>
      <c r="K34" s="65">
        <f t="shared" si="5"/>
        <v>1.0098000000000002E-3</v>
      </c>
      <c r="L34" s="65">
        <f t="shared" si="5"/>
        <v>5.1255000000000009E-2</v>
      </c>
      <c r="M34" s="65">
        <f t="shared" si="5"/>
        <v>4.3299000000000004E-2</v>
      </c>
      <c r="N34" s="65">
        <f t="shared" si="5"/>
        <v>4.7124000000000006</v>
      </c>
      <c r="O34" s="65">
        <f t="shared" si="5"/>
        <v>480.42000000000007</v>
      </c>
      <c r="P34" s="65">
        <f t="shared" si="5"/>
        <v>0</v>
      </c>
      <c r="Q34" s="65">
        <f t="shared" si="10"/>
        <v>12.087000000000003</v>
      </c>
      <c r="R34" s="65">
        <f t="shared" si="11"/>
        <v>0</v>
      </c>
      <c r="S34" s="65">
        <f t="shared" si="11"/>
        <v>4.3146000000000004E-2</v>
      </c>
      <c r="T34" s="65">
        <f t="shared" si="11"/>
        <v>0</v>
      </c>
      <c r="U34" s="126">
        <f t="shared" si="11"/>
        <v>0</v>
      </c>
    </row>
    <row r="35" spans="1:21" s="48" customFormat="1" ht="13" x14ac:dyDescent="0.35">
      <c r="A35" s="125" t="str">
        <f>G8</f>
        <v>Rhosygadair 5</v>
      </c>
      <c r="B35" s="11">
        <v>160</v>
      </c>
      <c r="C35" s="65">
        <f t="shared" si="6"/>
        <v>47.784960000000005</v>
      </c>
      <c r="D35" s="65">
        <f t="shared" si="7"/>
        <v>62.252884800000011</v>
      </c>
      <c r="E35" s="65">
        <f t="shared" si="8"/>
        <v>3.3746169600000004</v>
      </c>
      <c r="F35" s="65">
        <f t="shared" si="9"/>
        <v>6.8268746880000002</v>
      </c>
      <c r="G35" s="65">
        <f t="shared" si="5"/>
        <v>0.25116480000000002</v>
      </c>
      <c r="H35" s="65">
        <f t="shared" si="5"/>
        <v>0.65116799999999997</v>
      </c>
      <c r="I35" s="65">
        <f t="shared" si="5"/>
        <v>0.19975679999999998</v>
      </c>
      <c r="J35" s="65">
        <f t="shared" si="5"/>
        <v>3.5251199999999996E-3</v>
      </c>
      <c r="K35" s="65">
        <f t="shared" si="5"/>
        <v>3.23136E-3</v>
      </c>
      <c r="L35" s="65">
        <f t="shared" si="5"/>
        <v>0.16401600000000002</v>
      </c>
      <c r="M35" s="65">
        <f t="shared" si="5"/>
        <v>0.13855680000000004</v>
      </c>
      <c r="N35" s="65">
        <f t="shared" si="5"/>
        <v>15.079680000000002</v>
      </c>
      <c r="O35" s="65">
        <f t="shared" si="5"/>
        <v>1537.3440000000003</v>
      </c>
      <c r="P35" s="65">
        <f t="shared" si="5"/>
        <v>0</v>
      </c>
      <c r="Q35" s="65">
        <f t="shared" si="10"/>
        <v>38.678400000000003</v>
      </c>
      <c r="R35" s="65">
        <f t="shared" si="11"/>
        <v>0</v>
      </c>
      <c r="S35" s="65">
        <f t="shared" si="11"/>
        <v>0.1380672</v>
      </c>
      <c r="T35" s="65">
        <f t="shared" si="11"/>
        <v>0</v>
      </c>
      <c r="U35" s="126">
        <f t="shared" si="11"/>
        <v>0</v>
      </c>
    </row>
    <row r="36" spans="1:21" s="48" customFormat="1" ht="13" x14ac:dyDescent="0.35">
      <c r="A36" s="125" t="str">
        <f>H8</f>
        <v>Rhosygadair 6</v>
      </c>
      <c r="B36" s="11">
        <v>160</v>
      </c>
      <c r="C36" s="65">
        <f t="shared" si="6"/>
        <v>47.784960000000005</v>
      </c>
      <c r="D36" s="65">
        <f t="shared" si="7"/>
        <v>62.252884800000011</v>
      </c>
      <c r="E36" s="65">
        <f t="shared" si="8"/>
        <v>3.3746169600000004</v>
      </c>
      <c r="F36" s="65">
        <f t="shared" si="9"/>
        <v>6.8268746880000002</v>
      </c>
      <c r="G36" s="65">
        <f t="shared" si="5"/>
        <v>0.25116480000000002</v>
      </c>
      <c r="H36" s="65">
        <f t="shared" si="5"/>
        <v>0.65116799999999997</v>
      </c>
      <c r="I36" s="65">
        <f t="shared" si="5"/>
        <v>0.19975679999999998</v>
      </c>
      <c r="J36" s="65">
        <f t="shared" si="5"/>
        <v>3.5251199999999996E-3</v>
      </c>
      <c r="K36" s="65">
        <f t="shared" si="5"/>
        <v>3.23136E-3</v>
      </c>
      <c r="L36" s="65">
        <f t="shared" si="5"/>
        <v>0.16401600000000002</v>
      </c>
      <c r="M36" s="65">
        <f t="shared" si="5"/>
        <v>0.13855680000000004</v>
      </c>
      <c r="N36" s="65">
        <f t="shared" si="5"/>
        <v>15.079680000000002</v>
      </c>
      <c r="O36" s="65">
        <f t="shared" si="5"/>
        <v>1537.3440000000003</v>
      </c>
      <c r="P36" s="65">
        <f t="shared" si="5"/>
        <v>0</v>
      </c>
      <c r="Q36" s="65">
        <f t="shared" si="10"/>
        <v>38.678400000000003</v>
      </c>
      <c r="R36" s="65">
        <f t="shared" si="11"/>
        <v>0</v>
      </c>
      <c r="S36" s="65">
        <f t="shared" si="11"/>
        <v>0.1380672</v>
      </c>
      <c r="T36" s="65">
        <f t="shared" si="11"/>
        <v>0</v>
      </c>
      <c r="U36" s="126">
        <f t="shared" si="11"/>
        <v>0</v>
      </c>
    </row>
    <row r="37" spans="1:21" s="48" customFormat="1" ht="13" x14ac:dyDescent="0.35">
      <c r="A37" s="125" t="str">
        <f>I8</f>
        <v>Rhosygadair 7</v>
      </c>
      <c r="B37" s="11">
        <v>205</v>
      </c>
      <c r="C37" s="65">
        <f t="shared" si="6"/>
        <v>61.224480000000007</v>
      </c>
      <c r="D37" s="65">
        <f t="shared" si="7"/>
        <v>79.761508650000025</v>
      </c>
      <c r="E37" s="65">
        <f t="shared" si="8"/>
        <v>4.323727980000001</v>
      </c>
      <c r="F37" s="65">
        <f t="shared" si="9"/>
        <v>8.7469331939999986</v>
      </c>
      <c r="G37" s="65">
        <f t="shared" si="5"/>
        <v>0.3218049</v>
      </c>
      <c r="H37" s="65">
        <f t="shared" si="5"/>
        <v>0.83430900000000008</v>
      </c>
      <c r="I37" s="65">
        <f t="shared" si="5"/>
        <v>0.25593840000000001</v>
      </c>
      <c r="J37" s="65">
        <f t="shared" si="5"/>
        <v>4.5165599999999993E-3</v>
      </c>
      <c r="K37" s="65">
        <f t="shared" si="5"/>
        <v>4.1401800000000002E-3</v>
      </c>
      <c r="L37" s="65">
        <f t="shared" si="5"/>
        <v>0.21014550000000004</v>
      </c>
      <c r="M37" s="65">
        <f t="shared" si="5"/>
        <v>0.17752590000000001</v>
      </c>
      <c r="N37" s="65">
        <f t="shared" si="5"/>
        <v>19.320840000000004</v>
      </c>
      <c r="O37" s="65">
        <f t="shared" si="5"/>
        <v>1969.7220000000002</v>
      </c>
      <c r="P37" s="65">
        <f t="shared" si="5"/>
        <v>0</v>
      </c>
      <c r="Q37" s="65">
        <f t="shared" si="10"/>
        <v>49.556700000000014</v>
      </c>
      <c r="R37" s="65">
        <f t="shared" si="11"/>
        <v>0</v>
      </c>
      <c r="S37" s="65">
        <f t="shared" si="11"/>
        <v>0.17689860000000002</v>
      </c>
      <c r="T37" s="65">
        <f t="shared" si="11"/>
        <v>0</v>
      </c>
      <c r="U37" s="126">
        <f t="shared" si="11"/>
        <v>0</v>
      </c>
    </row>
    <row r="38" spans="1:21" s="48" customFormat="1" ht="13" x14ac:dyDescent="0.35">
      <c r="A38" s="125" t="str">
        <f>J8</f>
        <v>Bigni 8</v>
      </c>
      <c r="B38" s="11">
        <v>160</v>
      </c>
      <c r="C38" s="65">
        <f t="shared" si="6"/>
        <v>47.784960000000005</v>
      </c>
      <c r="D38" s="65">
        <f t="shared" si="7"/>
        <v>62.252884800000011</v>
      </c>
      <c r="E38" s="65">
        <f t="shared" si="8"/>
        <v>3.3746169600000004</v>
      </c>
      <c r="F38" s="65">
        <f t="shared" si="9"/>
        <v>6.8268746880000002</v>
      </c>
      <c r="G38" s="65">
        <f t="shared" si="5"/>
        <v>0.25116480000000002</v>
      </c>
      <c r="H38" s="65">
        <f t="shared" si="5"/>
        <v>0.65116799999999997</v>
      </c>
      <c r="I38" s="65">
        <f t="shared" si="5"/>
        <v>0.19975679999999998</v>
      </c>
      <c r="J38" s="65">
        <f t="shared" si="5"/>
        <v>3.5251199999999996E-3</v>
      </c>
      <c r="K38" s="65">
        <f t="shared" si="5"/>
        <v>3.23136E-3</v>
      </c>
      <c r="L38" s="65">
        <f t="shared" si="5"/>
        <v>0.16401600000000002</v>
      </c>
      <c r="M38" s="65">
        <f t="shared" si="5"/>
        <v>0.13855680000000004</v>
      </c>
      <c r="N38" s="65">
        <f t="shared" si="5"/>
        <v>15.079680000000002</v>
      </c>
      <c r="O38" s="65">
        <f t="shared" si="5"/>
        <v>1537.3440000000003</v>
      </c>
      <c r="P38" s="65">
        <f t="shared" si="5"/>
        <v>0</v>
      </c>
      <c r="Q38" s="65">
        <f t="shared" si="10"/>
        <v>38.678400000000003</v>
      </c>
      <c r="R38" s="65">
        <f t="shared" si="11"/>
        <v>0</v>
      </c>
      <c r="S38" s="65">
        <f t="shared" si="11"/>
        <v>0.1380672</v>
      </c>
      <c r="T38" s="65">
        <f t="shared" si="11"/>
        <v>0</v>
      </c>
      <c r="U38" s="126">
        <f t="shared" si="11"/>
        <v>0</v>
      </c>
    </row>
    <row r="39" spans="1:21" s="48" customFormat="1" ht="13" x14ac:dyDescent="0.35">
      <c r="A39" s="125" t="str">
        <f>K8</f>
        <v>Bigni 9</v>
      </c>
      <c r="B39" s="11">
        <v>160</v>
      </c>
      <c r="C39" s="65">
        <f t="shared" si="6"/>
        <v>47.784960000000005</v>
      </c>
      <c r="D39" s="65">
        <f t="shared" si="7"/>
        <v>62.252884800000011</v>
      </c>
      <c r="E39" s="65">
        <f t="shared" si="8"/>
        <v>3.3746169600000004</v>
      </c>
      <c r="F39" s="65">
        <f t="shared" si="9"/>
        <v>6.8268746880000002</v>
      </c>
      <c r="G39" s="65">
        <f t="shared" si="5"/>
        <v>0.25116480000000002</v>
      </c>
      <c r="H39" s="65">
        <f t="shared" si="5"/>
        <v>0.65116799999999997</v>
      </c>
      <c r="I39" s="65">
        <f t="shared" si="5"/>
        <v>0.19975679999999998</v>
      </c>
      <c r="J39" s="65">
        <f t="shared" si="5"/>
        <v>3.5251199999999996E-3</v>
      </c>
      <c r="K39" s="65">
        <f t="shared" si="5"/>
        <v>3.23136E-3</v>
      </c>
      <c r="L39" s="65">
        <f t="shared" si="5"/>
        <v>0.16401600000000002</v>
      </c>
      <c r="M39" s="65">
        <f t="shared" si="5"/>
        <v>0.13855680000000004</v>
      </c>
      <c r="N39" s="65">
        <f t="shared" si="5"/>
        <v>15.079680000000002</v>
      </c>
      <c r="O39" s="65">
        <f t="shared" si="5"/>
        <v>1537.3440000000003</v>
      </c>
      <c r="P39" s="65">
        <f t="shared" si="5"/>
        <v>0</v>
      </c>
      <c r="Q39" s="65">
        <f t="shared" si="10"/>
        <v>38.678400000000003</v>
      </c>
      <c r="R39" s="65">
        <f t="shared" si="11"/>
        <v>0</v>
      </c>
      <c r="S39" s="65">
        <f t="shared" si="11"/>
        <v>0.1380672</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Arable</v>
      </c>
      <c r="C58" s="10" t="str">
        <f>D16&amp;" I "&amp;(VLOOKUP(D14,Table245810[],6,FALSE))</f>
        <v>Medium/Clay I Grass</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Grass</v>
      </c>
      <c r="I58" s="10" t="str">
        <f>J16&amp;" I "&amp;(VLOOKUP(J14,Table245810[],6,FALSE))</f>
        <v>Medium/Clay I Arable</v>
      </c>
      <c r="J58" s="10" t="str">
        <f>K16&amp;" I "&amp;(VLOOKUP(K14,Table245810[],6,FALSE))</f>
        <v>Medium/Clay I Arable</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6.7</v>
      </c>
      <c r="C59" s="64">
        <f>VLOOKUP(D$14,Table245810[],5,FALSE)</f>
        <v>6.2</v>
      </c>
      <c r="D59" s="64">
        <f>VLOOKUP(E$14,Table245810[],5,FALSE)</f>
        <v>6.7</v>
      </c>
      <c r="E59" s="64">
        <f>VLOOKUP(F$14,Table245810[],5,FALSE)</f>
        <v>6.7</v>
      </c>
      <c r="F59" s="64">
        <f>VLOOKUP(G$14,Table245810[],5,FALSE)</f>
        <v>6.7</v>
      </c>
      <c r="G59" s="64">
        <f>VLOOKUP(H$14,Table245810[],5,FALSE)</f>
        <v>6.7</v>
      </c>
      <c r="H59" s="64">
        <f>VLOOKUP(I$14,Table245810[],5,FALSE)</f>
        <v>6.2</v>
      </c>
      <c r="I59" s="64">
        <f>VLOOKUP(J$14,Table245810[],5,FALSE)</f>
        <v>6.7</v>
      </c>
      <c r="J59" s="64">
        <f>VLOOKUP(K$14,Table245810[],5,FALSE)</f>
        <v>6.7</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205</v>
      </c>
      <c r="D62" s="65">
        <f>B33</f>
        <v>160</v>
      </c>
      <c r="E62" s="65">
        <f>B34</f>
        <v>50</v>
      </c>
      <c r="F62" s="65">
        <f>B35</f>
        <v>160</v>
      </c>
      <c r="G62" s="65">
        <f>B36</f>
        <v>160</v>
      </c>
      <c r="H62" s="65">
        <f>B37</f>
        <v>205</v>
      </c>
      <c r="I62" s="65">
        <f>B38</f>
        <v>160</v>
      </c>
      <c r="J62" s="65">
        <f>B39</f>
        <v>160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D1"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6.5</v>
      </c>
      <c r="J1" s="131" t="s">
        <v>153</v>
      </c>
      <c r="K1" s="132"/>
      <c r="L1" s="109">
        <v>209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0.56399999999999995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78</v>
      </c>
      <c r="G3" s="133" t="s">
        <v>159</v>
      </c>
      <c r="H3" s="134"/>
      <c r="I3" s="110"/>
      <c r="J3" s="135" t="s">
        <v>154</v>
      </c>
      <c r="K3" s="136"/>
      <c r="L3" s="110">
        <f>(L1/(L2*10000))*100</f>
        <v>3.7056737588652489</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10" t="s">
        <v>181</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4.2145235999999997</v>
      </c>
      <c r="D18" s="12">
        <f>$D32</f>
        <v>21.072617999999999</v>
      </c>
      <c r="E18" s="12">
        <f>$D33</f>
        <v>21.072617999999999</v>
      </c>
      <c r="F18" s="12">
        <f>$D34</f>
        <v>4.2145235999999997</v>
      </c>
      <c r="G18" s="12">
        <f>$D35</f>
        <v>21.072617999999999</v>
      </c>
      <c r="H18" s="12">
        <f>$D36</f>
        <v>21.072617999999999</v>
      </c>
      <c r="I18" s="12">
        <f>$D37</f>
        <v>21.072617999999999</v>
      </c>
      <c r="J18" s="12">
        <f>$D38</f>
        <v>21.072617999999999</v>
      </c>
      <c r="K18" s="12">
        <f>$D39</f>
        <v>21.072617999999999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-59.5354764</v>
      </c>
      <c r="D19" s="12">
        <f t="shared" ref="D19:V19" si="1">D18-D17</f>
        <v>-58.827381999999993</v>
      </c>
      <c r="E19" s="12">
        <f t="shared" si="1"/>
        <v>-41.927381999999994</v>
      </c>
      <c r="F19" s="12">
        <f t="shared" si="1"/>
        <v>-59.5354764</v>
      </c>
      <c r="G19" s="12">
        <f t="shared" si="1"/>
        <v>-41.927381999999994</v>
      </c>
      <c r="H19" s="12">
        <f t="shared" si="1"/>
        <v>-41.927381999999994</v>
      </c>
      <c r="I19" s="12">
        <f t="shared" si="1"/>
        <v>-58.827381999999993</v>
      </c>
      <c r="J19" s="12">
        <f t="shared" si="1"/>
        <v>-41.927381999999994</v>
      </c>
      <c r="K19" s="12">
        <f t="shared" si="1"/>
        <v>-41.927381999999994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0.8954837000000001</v>
      </c>
      <c r="D22" s="12">
        <f>$E32</f>
        <v>4.4774185000000006</v>
      </c>
      <c r="E22" s="12">
        <f>$E33</f>
        <v>4.4774185000000006</v>
      </c>
      <c r="F22" s="12">
        <f>$E34</f>
        <v>0.8954837000000001</v>
      </c>
      <c r="G22" s="12">
        <f>$E35</f>
        <v>4.4774185000000006</v>
      </c>
      <c r="H22" s="12">
        <f>$E36</f>
        <v>4.4774185000000006</v>
      </c>
      <c r="I22" s="12">
        <f>$E37</f>
        <v>4.4774185000000006</v>
      </c>
      <c r="J22" s="12">
        <f>$E38</f>
        <v>4.4774185000000006</v>
      </c>
      <c r="K22" s="12">
        <f>$E39</f>
        <v>4.4774185000000006</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-89.1045163</v>
      </c>
      <c r="D23" s="12">
        <f t="shared" ref="D23:V23" si="3">D22-D21</f>
        <v>-277.5225815</v>
      </c>
      <c r="E23" s="12">
        <f t="shared" si="3"/>
        <v>-193.52258150000003</v>
      </c>
      <c r="F23" s="12">
        <f t="shared" si="3"/>
        <v>-89.1045163</v>
      </c>
      <c r="G23" s="12">
        <f t="shared" si="3"/>
        <v>-193.52258150000003</v>
      </c>
      <c r="H23" s="12">
        <f t="shared" si="3"/>
        <v>-193.52258150000003</v>
      </c>
      <c r="I23" s="12">
        <f t="shared" si="3"/>
        <v>-277.5225815</v>
      </c>
      <c r="J23" s="12">
        <f t="shared" si="3"/>
        <v>-193.52258150000003</v>
      </c>
      <c r="K23" s="12">
        <f t="shared" si="3"/>
        <v>-193.52258150000003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2.92</v>
      </c>
      <c r="C28" s="11">
        <v>0.56399999999999995</v>
      </c>
      <c r="D28" s="11">
        <v>0.126</v>
      </c>
      <c r="E28" s="11">
        <v>5.0900000000000001E-2</v>
      </c>
      <c r="F28" s="11">
        <v>1460</v>
      </c>
      <c r="G28" s="11">
        <v>12.6</v>
      </c>
      <c r="H28" s="11">
        <v>200</v>
      </c>
      <c r="I28" s="11">
        <v>38</v>
      </c>
      <c r="J28" s="11">
        <v>0.32</v>
      </c>
      <c r="K28" s="15">
        <v>1.38</v>
      </c>
      <c r="L28" s="11">
        <v>17.7</v>
      </c>
      <c r="M28" s="11">
        <v>12.5</v>
      </c>
      <c r="N28" s="11">
        <v>6150</v>
      </c>
      <c r="O28" s="11">
        <v>367000</v>
      </c>
      <c r="P28" s="11"/>
      <c r="Q28" s="11">
        <v>3010</v>
      </c>
      <c r="R28" s="11"/>
      <c r="S28" s="11">
        <v>19.399999999999999</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50</v>
      </c>
      <c r="C31" s="65">
        <f>IF(C$27="%w/w SAR",((C$28*10)*$B31),IF(C$27="%w/w DM",(((C$28*10)*($B$28/100))*$B31),IF(C$27="kg/t SAR",(C$28*$B31),IF(C$27="kg/t DM",((C$28*($B$28/100))*$B31),IF(C$27="mg/kg SAR",((C$28*0.001)*$B31),IF(C$27="mg/kg DM",(((C$28*0.001)*($B$28/100))*$B31),0))))))</f>
        <v>8.2344000000000008</v>
      </c>
      <c r="D31" s="65">
        <f>(IF(D$27="%w/w SAR",((D$28*10)*$B31),IF(D$27="%w/w DM",(((D$28*10)*($B$28/100))*$B31),IF(D$27="kg/t SAR",(D$28*$B31),IF(D$27="kg/t DM",((D$28*($B$28/100))*$B31),IF(D$27="mg/kg SAR",((D$28*0.001)*$B31),IF(D$27="mg/kg DM",(((D$28*0.001)*($B$28/100))*$B31),"0")))))))*2.291</f>
        <v>4.2145235999999997</v>
      </c>
      <c r="E31" s="65">
        <f>(IF(E$27="%w/w SAR",((E$28*10)*$B31),IF(E$27="%w/w DM",(((E$28*10)*($B$28/100))*$B31),IF(E$27="kg/t SAR",(E$28*$B31),IF(E$27="kg/t DM",((E$28*($B$28/100))*$B31),IF(E$27="mg/kg SAR",((E$28*0.001)*$B31),IF(E$27="mg/kg DM",(((E$28*0.001)*($B$28/100))*$B31),"0")))))))*1.205</f>
        <v>0.8954837000000001</v>
      </c>
      <c r="F31" s="65">
        <f>(IF(F$27="%w/w SAR",((F$28*10)*$B31),IF(F$27="%w/w DM",(((F$28*10)*($B$28/100))*$B31),IF(F$27="kg/t SAR",(F$28*$B31),IF(F$27="kg/t DM",((F$28*($B$28/100))*$B31),IF(F$27="mg/kg SAR",((F$28*0.001)*$B31),IF(F$27="mg/kg DM",(((F$28*0.001)*($B$28/100))*$B31),"0")))))))*1.658</f>
        <v>3.5341927999999996</v>
      </c>
      <c r="G31" s="65">
        <f t="shared" ref="G31:P46" si="5">IF(G$27="%w/w SAR",((G$28*10)*$B31),IF(G$27="%w/w DM",(((G$28*10)*($B$28/100))*$B31),IF(G$27="kg/t SAR",(G$28*$B31),IF(G$27="kg/t DM",((G$28*($B$28/100))*$B31),IF(G$27="mg/kg SAR",((G$28*0.001)*$B31),IF(G$27="mg/kg DM",(((G$28*0.001)*($B$28/100))*$B31),0))))))</f>
        <v>1.8395999999999999E-2</v>
      </c>
      <c r="H31" s="65">
        <f t="shared" si="5"/>
        <v>0.29200000000000004</v>
      </c>
      <c r="I31" s="65">
        <f t="shared" si="5"/>
        <v>5.5480000000000002E-2</v>
      </c>
      <c r="J31" s="65">
        <f t="shared" si="5"/>
        <v>4.6720000000000003E-4</v>
      </c>
      <c r="K31" s="65">
        <f t="shared" si="5"/>
        <v>2.0148000000000002E-3</v>
      </c>
      <c r="L31" s="65">
        <f t="shared" si="5"/>
        <v>2.5841999999999997E-2</v>
      </c>
      <c r="M31" s="65">
        <f t="shared" si="5"/>
        <v>1.8250000000000002E-2</v>
      </c>
      <c r="N31" s="65">
        <f t="shared" si="5"/>
        <v>8.979000000000001</v>
      </c>
      <c r="O31" s="65">
        <f t="shared" si="5"/>
        <v>535.82000000000005</v>
      </c>
      <c r="P31" s="65">
        <f t="shared" si="5"/>
        <v>0</v>
      </c>
      <c r="Q31" s="65">
        <f>(IF(Q$27="%w/w SAR",((Q$28*10)*$B31),IF(Q$27="%w/w DM",(((Q$28*10)*($B$28/100))*$B31),IF(Q$27="kg/t SAR",(Q$28*$B31),IF(Q$27="kg/t DM",((Q$28*($B$28/100))*$B31),IF(Q$27="mg/kg SAR",((Q$28*0.001)*$B31),IF(Q$27="mg/kg DM",(((Q$28*0.001)*($B$28/100))*$B31),0)))))))*2.5</f>
        <v>10.986500000000001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2.8324000000000002E-2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250</v>
      </c>
      <c r="C32" s="65">
        <f t="shared" ref="C32:C50" si="6">IF(C$27="%w/w SAR",((C$28*10)*$B32),IF(C$27="%w/w DM",(((C$28*10)*($B$28/100))*$B32),IF(C$27="kg/t SAR",(C$28*$B32),IF(C$27="kg/t DM",((C$28*($B$28/100))*$B32),IF(C$27="mg/kg SAR",((C$28*0.001)*$B32),IF(C$27="mg/kg DM",(((C$28*0.001)*($B$28/100))*$B32),0))))))</f>
        <v>41.171999999999997</v>
      </c>
      <c r="D32" s="65">
        <f t="shared" ref="D32:D50" si="7">(IF(D$27="%w/w SAR",((D$28*10)*$B32),IF(D$27="%w/w DM",(((D$28*10)*($B$28/100))*$B32),IF(D$27="kg/t SAR",(D$28*$B32),IF(D$27="kg/t DM",((D$28*($B$28/100))*$B32),IF(D$27="mg/kg SAR",((D$28*0.001)*$B32),IF(D$27="mg/kg DM",(((D$28*0.001)*($B$28/100))*$B32),"0")))))))*2.291</f>
        <v>21.072617999999999</v>
      </c>
      <c r="E32" s="65">
        <f t="shared" ref="E32:E50" si="8">(IF(E$27="%w/w SAR",((E$28*10)*$B32),IF(E$27="%w/w DM",(((E$28*10)*($B$28/100))*$B32),IF(E$27="kg/t SAR",(E$28*$B32),IF(E$27="kg/t DM",((E$28*($B$28/100))*$B32),IF(E$27="mg/kg SAR",((E$28*0.001)*$B32),IF(E$27="mg/kg DM",(((E$28*0.001)*($B$28/100))*$B32),"0")))))))*1.205</f>
        <v>4.4774185000000006</v>
      </c>
      <c r="F32" s="65">
        <f t="shared" ref="F32:F50" si="9">(IF(F$27="%w/w SAR",((F$28*10)*$B32),IF(F$27="%w/w DM",(((F$28*10)*($B$28/100))*$B32),IF(F$27="kg/t SAR",(F$28*$B32),IF(F$27="kg/t DM",((F$28*($B$28/100))*$B32),IF(F$27="mg/kg SAR",((F$28*0.001)*$B32),IF(F$27="mg/kg DM",(((F$28*0.001)*($B$28/100))*$B32),"0")))))))*1.658</f>
        <v>17.670963999999998</v>
      </c>
      <c r="G32" s="65">
        <f t="shared" si="5"/>
        <v>9.1979999999999992E-2</v>
      </c>
      <c r="H32" s="65">
        <f t="shared" si="5"/>
        <v>1.4600000000000002</v>
      </c>
      <c r="I32" s="65">
        <f t="shared" si="5"/>
        <v>0.27740000000000004</v>
      </c>
      <c r="J32" s="65">
        <f t="shared" si="5"/>
        <v>2.336E-3</v>
      </c>
      <c r="K32" s="65">
        <f t="shared" si="5"/>
        <v>1.0074E-2</v>
      </c>
      <c r="L32" s="65">
        <f t="shared" si="5"/>
        <v>0.12920999999999999</v>
      </c>
      <c r="M32" s="65">
        <f t="shared" si="5"/>
        <v>9.1250000000000012E-2</v>
      </c>
      <c r="N32" s="65">
        <f t="shared" si="5"/>
        <v>44.895000000000003</v>
      </c>
      <c r="O32" s="65">
        <f t="shared" si="5"/>
        <v>2679.1</v>
      </c>
      <c r="P32" s="65">
        <f t="shared" si="5"/>
        <v>0</v>
      </c>
      <c r="Q32" s="65">
        <f t="shared" ref="Q32:Q50" si="10">(IF(Q$27="%w/w SAR",((Q$28*10)*$B32),IF(Q$27="%w/w DM",(((Q$28*10)*($B$28/100))*$B32),IF(Q$27="kg/t SAR",(Q$28*$B32),IF(Q$27="kg/t DM",((Q$28*($B$28/100))*$B32),IF(Q$27="mg/kg SAR",((Q$28*0.001)*$B32),IF(Q$27="mg/kg DM",(((Q$28*0.001)*($B$28/100))*$B32),0)))))))*2.5</f>
        <v>54.932500000000005</v>
      </c>
      <c r="R32" s="65">
        <f t="shared" ref="R32:U50" si="11">IF(R$27="%w/w SAR",((R$28*10)*$B32),IF(R$27="%w/w DM",(((R$28*10)*($B$28/100))*$B32),IF(R$27="kg/t SAR",(R$28*$B32),IF(R$27="kg/t DM",((R$28*($B$28/100))*$B32),IF(R$27="mg/kg SAR",((R$28*0.001)*$B32),IF(R$27="mg/kg DM",(((R$28*0.001)*($B$28/100))*$B32),0))))))</f>
        <v>0</v>
      </c>
      <c r="S32" s="65">
        <f t="shared" si="11"/>
        <v>0.14162000000000002</v>
      </c>
      <c r="T32" s="65">
        <f t="shared" si="11"/>
        <v>0</v>
      </c>
      <c r="U32" s="126">
        <f t="shared" si="11"/>
        <v>0</v>
      </c>
    </row>
    <row r="33" spans="1:21" s="48" customFormat="1" ht="13" x14ac:dyDescent="0.35">
      <c r="A33" s="125" t="str">
        <f>E8</f>
        <v>Trefwtial 18</v>
      </c>
      <c r="B33" s="11">
        <v>250</v>
      </c>
      <c r="C33" s="65">
        <f t="shared" si="6"/>
        <v>41.171999999999997</v>
      </c>
      <c r="D33" s="65">
        <f t="shared" si="7"/>
        <v>21.072617999999999</v>
      </c>
      <c r="E33" s="65">
        <f t="shared" si="8"/>
        <v>4.4774185000000006</v>
      </c>
      <c r="F33" s="65">
        <f t="shared" si="9"/>
        <v>17.670963999999998</v>
      </c>
      <c r="G33" s="65">
        <f t="shared" si="5"/>
        <v>9.1979999999999992E-2</v>
      </c>
      <c r="H33" s="65">
        <f t="shared" si="5"/>
        <v>1.4600000000000002</v>
      </c>
      <c r="I33" s="65">
        <f t="shared" si="5"/>
        <v>0.27740000000000004</v>
      </c>
      <c r="J33" s="65">
        <f t="shared" si="5"/>
        <v>2.336E-3</v>
      </c>
      <c r="K33" s="65">
        <f t="shared" si="5"/>
        <v>1.0074E-2</v>
      </c>
      <c r="L33" s="65">
        <f t="shared" si="5"/>
        <v>0.12920999999999999</v>
      </c>
      <c r="M33" s="65">
        <f t="shared" si="5"/>
        <v>9.1250000000000012E-2</v>
      </c>
      <c r="N33" s="65">
        <f t="shared" si="5"/>
        <v>44.895000000000003</v>
      </c>
      <c r="O33" s="65">
        <f t="shared" si="5"/>
        <v>2679.1</v>
      </c>
      <c r="P33" s="65">
        <f t="shared" si="5"/>
        <v>0</v>
      </c>
      <c r="Q33" s="65">
        <f t="shared" si="10"/>
        <v>54.932500000000005</v>
      </c>
      <c r="R33" s="65">
        <f t="shared" si="11"/>
        <v>0</v>
      </c>
      <c r="S33" s="65">
        <f t="shared" si="11"/>
        <v>0.14162000000000002</v>
      </c>
      <c r="T33" s="65">
        <f t="shared" si="11"/>
        <v>0</v>
      </c>
      <c r="U33" s="126">
        <f t="shared" si="11"/>
        <v>0</v>
      </c>
    </row>
    <row r="34" spans="1:21" s="48" customFormat="1" ht="13" x14ac:dyDescent="0.35">
      <c r="A34" s="125" t="str">
        <f>F8</f>
        <v>Rhosygadair 4</v>
      </c>
      <c r="B34" s="11">
        <v>50</v>
      </c>
      <c r="C34" s="65">
        <f t="shared" si="6"/>
        <v>8.2344000000000008</v>
      </c>
      <c r="D34" s="65">
        <f t="shared" si="7"/>
        <v>4.2145235999999997</v>
      </c>
      <c r="E34" s="65">
        <f t="shared" si="8"/>
        <v>0.8954837000000001</v>
      </c>
      <c r="F34" s="65">
        <f t="shared" si="9"/>
        <v>3.5341927999999996</v>
      </c>
      <c r="G34" s="65">
        <f t="shared" si="5"/>
        <v>1.8395999999999999E-2</v>
      </c>
      <c r="H34" s="65">
        <f t="shared" si="5"/>
        <v>0.29200000000000004</v>
      </c>
      <c r="I34" s="65">
        <f t="shared" si="5"/>
        <v>5.5480000000000002E-2</v>
      </c>
      <c r="J34" s="65">
        <f t="shared" si="5"/>
        <v>4.6720000000000003E-4</v>
      </c>
      <c r="K34" s="65">
        <f t="shared" si="5"/>
        <v>2.0148000000000002E-3</v>
      </c>
      <c r="L34" s="65">
        <f t="shared" si="5"/>
        <v>2.5841999999999997E-2</v>
      </c>
      <c r="M34" s="65">
        <f t="shared" si="5"/>
        <v>1.8250000000000002E-2</v>
      </c>
      <c r="N34" s="65">
        <f t="shared" si="5"/>
        <v>8.979000000000001</v>
      </c>
      <c r="O34" s="65">
        <f t="shared" si="5"/>
        <v>535.82000000000005</v>
      </c>
      <c r="P34" s="65">
        <f t="shared" si="5"/>
        <v>0</v>
      </c>
      <c r="Q34" s="65">
        <f t="shared" si="10"/>
        <v>10.986500000000001</v>
      </c>
      <c r="R34" s="65">
        <f t="shared" si="11"/>
        <v>0</v>
      </c>
      <c r="S34" s="65">
        <f t="shared" si="11"/>
        <v>2.8324000000000002E-2</v>
      </c>
      <c r="T34" s="65">
        <f t="shared" si="11"/>
        <v>0</v>
      </c>
      <c r="U34" s="126">
        <f t="shared" si="11"/>
        <v>0</v>
      </c>
    </row>
    <row r="35" spans="1:21" s="48" customFormat="1" ht="13" x14ac:dyDescent="0.35">
      <c r="A35" s="125" t="str">
        <f>G8</f>
        <v>Rhosygadair 5</v>
      </c>
      <c r="B35" s="11">
        <v>250</v>
      </c>
      <c r="C35" s="65">
        <f t="shared" si="6"/>
        <v>41.171999999999997</v>
      </c>
      <c r="D35" s="65">
        <f t="shared" si="7"/>
        <v>21.072617999999999</v>
      </c>
      <c r="E35" s="65">
        <f t="shared" si="8"/>
        <v>4.4774185000000006</v>
      </c>
      <c r="F35" s="65">
        <f t="shared" si="9"/>
        <v>17.670963999999998</v>
      </c>
      <c r="G35" s="65">
        <f t="shared" si="5"/>
        <v>9.1979999999999992E-2</v>
      </c>
      <c r="H35" s="65">
        <f t="shared" si="5"/>
        <v>1.4600000000000002</v>
      </c>
      <c r="I35" s="65">
        <f t="shared" si="5"/>
        <v>0.27740000000000004</v>
      </c>
      <c r="J35" s="65">
        <f t="shared" si="5"/>
        <v>2.336E-3</v>
      </c>
      <c r="K35" s="65">
        <f t="shared" si="5"/>
        <v>1.0074E-2</v>
      </c>
      <c r="L35" s="65">
        <f t="shared" si="5"/>
        <v>0.12920999999999999</v>
      </c>
      <c r="M35" s="65">
        <f t="shared" si="5"/>
        <v>9.1250000000000012E-2</v>
      </c>
      <c r="N35" s="65">
        <f t="shared" si="5"/>
        <v>44.895000000000003</v>
      </c>
      <c r="O35" s="65">
        <f t="shared" si="5"/>
        <v>2679.1</v>
      </c>
      <c r="P35" s="65">
        <f t="shared" si="5"/>
        <v>0</v>
      </c>
      <c r="Q35" s="65">
        <f t="shared" si="10"/>
        <v>54.932500000000005</v>
      </c>
      <c r="R35" s="65">
        <f t="shared" si="11"/>
        <v>0</v>
      </c>
      <c r="S35" s="65">
        <f t="shared" si="11"/>
        <v>0.14162000000000002</v>
      </c>
      <c r="T35" s="65">
        <f t="shared" si="11"/>
        <v>0</v>
      </c>
      <c r="U35" s="126">
        <f t="shared" si="11"/>
        <v>0</v>
      </c>
    </row>
    <row r="36" spans="1:21" s="48" customFormat="1" ht="13" x14ac:dyDescent="0.35">
      <c r="A36" s="125" t="str">
        <f>H8</f>
        <v>Rhosygadair 6</v>
      </c>
      <c r="B36" s="11">
        <v>250</v>
      </c>
      <c r="C36" s="65">
        <f t="shared" si="6"/>
        <v>41.171999999999997</v>
      </c>
      <c r="D36" s="65">
        <f t="shared" si="7"/>
        <v>21.072617999999999</v>
      </c>
      <c r="E36" s="65">
        <f t="shared" si="8"/>
        <v>4.4774185000000006</v>
      </c>
      <c r="F36" s="65">
        <f t="shared" si="9"/>
        <v>17.670963999999998</v>
      </c>
      <c r="G36" s="65">
        <f t="shared" si="5"/>
        <v>9.1979999999999992E-2</v>
      </c>
      <c r="H36" s="65">
        <f t="shared" si="5"/>
        <v>1.4600000000000002</v>
      </c>
      <c r="I36" s="65">
        <f t="shared" si="5"/>
        <v>0.27740000000000004</v>
      </c>
      <c r="J36" s="65">
        <f t="shared" si="5"/>
        <v>2.336E-3</v>
      </c>
      <c r="K36" s="65">
        <f t="shared" si="5"/>
        <v>1.0074E-2</v>
      </c>
      <c r="L36" s="65">
        <f t="shared" si="5"/>
        <v>0.12920999999999999</v>
      </c>
      <c r="M36" s="65">
        <f t="shared" si="5"/>
        <v>9.1250000000000012E-2</v>
      </c>
      <c r="N36" s="65">
        <f t="shared" si="5"/>
        <v>44.895000000000003</v>
      </c>
      <c r="O36" s="65">
        <f t="shared" si="5"/>
        <v>2679.1</v>
      </c>
      <c r="P36" s="65">
        <f t="shared" si="5"/>
        <v>0</v>
      </c>
      <c r="Q36" s="65">
        <f t="shared" si="10"/>
        <v>54.932500000000005</v>
      </c>
      <c r="R36" s="65">
        <f t="shared" si="11"/>
        <v>0</v>
      </c>
      <c r="S36" s="65">
        <f t="shared" si="11"/>
        <v>0.14162000000000002</v>
      </c>
      <c r="T36" s="65">
        <f t="shared" si="11"/>
        <v>0</v>
      </c>
      <c r="U36" s="126">
        <f t="shared" si="11"/>
        <v>0</v>
      </c>
    </row>
    <row r="37" spans="1:21" s="48" customFormat="1" ht="13" x14ac:dyDescent="0.35">
      <c r="A37" s="125" t="str">
        <f>I8</f>
        <v>Rhosygadair 7</v>
      </c>
      <c r="B37" s="11">
        <v>250</v>
      </c>
      <c r="C37" s="65">
        <f t="shared" si="6"/>
        <v>41.171999999999997</v>
      </c>
      <c r="D37" s="65">
        <f t="shared" si="7"/>
        <v>21.072617999999999</v>
      </c>
      <c r="E37" s="65">
        <f t="shared" si="8"/>
        <v>4.4774185000000006</v>
      </c>
      <c r="F37" s="65">
        <f t="shared" si="9"/>
        <v>17.670963999999998</v>
      </c>
      <c r="G37" s="65">
        <f t="shared" si="5"/>
        <v>9.1979999999999992E-2</v>
      </c>
      <c r="H37" s="65">
        <f t="shared" si="5"/>
        <v>1.4600000000000002</v>
      </c>
      <c r="I37" s="65">
        <f t="shared" si="5"/>
        <v>0.27740000000000004</v>
      </c>
      <c r="J37" s="65">
        <f t="shared" si="5"/>
        <v>2.336E-3</v>
      </c>
      <c r="K37" s="65">
        <f t="shared" si="5"/>
        <v>1.0074E-2</v>
      </c>
      <c r="L37" s="65">
        <f t="shared" si="5"/>
        <v>0.12920999999999999</v>
      </c>
      <c r="M37" s="65">
        <f t="shared" si="5"/>
        <v>9.1250000000000012E-2</v>
      </c>
      <c r="N37" s="65">
        <f t="shared" si="5"/>
        <v>44.895000000000003</v>
      </c>
      <c r="O37" s="65">
        <f t="shared" si="5"/>
        <v>2679.1</v>
      </c>
      <c r="P37" s="65">
        <f t="shared" si="5"/>
        <v>0</v>
      </c>
      <c r="Q37" s="65">
        <f t="shared" si="10"/>
        <v>54.932500000000005</v>
      </c>
      <c r="R37" s="65">
        <f t="shared" si="11"/>
        <v>0</v>
      </c>
      <c r="S37" s="65">
        <f t="shared" si="11"/>
        <v>0.14162000000000002</v>
      </c>
      <c r="T37" s="65">
        <f t="shared" si="11"/>
        <v>0</v>
      </c>
      <c r="U37" s="126">
        <f t="shared" si="11"/>
        <v>0</v>
      </c>
    </row>
    <row r="38" spans="1:21" s="48" customFormat="1" ht="13" x14ac:dyDescent="0.35">
      <c r="A38" s="125" t="str">
        <f>J8</f>
        <v>Bigni 8</v>
      </c>
      <c r="B38" s="11">
        <v>250</v>
      </c>
      <c r="C38" s="65">
        <f t="shared" si="6"/>
        <v>41.171999999999997</v>
      </c>
      <c r="D38" s="65">
        <f t="shared" si="7"/>
        <v>21.072617999999999</v>
      </c>
      <c r="E38" s="65">
        <f t="shared" si="8"/>
        <v>4.4774185000000006</v>
      </c>
      <c r="F38" s="65">
        <f t="shared" si="9"/>
        <v>17.670963999999998</v>
      </c>
      <c r="G38" s="65">
        <f t="shared" si="5"/>
        <v>9.1979999999999992E-2</v>
      </c>
      <c r="H38" s="65">
        <f t="shared" si="5"/>
        <v>1.4600000000000002</v>
      </c>
      <c r="I38" s="65">
        <f t="shared" si="5"/>
        <v>0.27740000000000004</v>
      </c>
      <c r="J38" s="65">
        <f t="shared" si="5"/>
        <v>2.336E-3</v>
      </c>
      <c r="K38" s="65">
        <f t="shared" si="5"/>
        <v>1.0074E-2</v>
      </c>
      <c r="L38" s="65">
        <f t="shared" si="5"/>
        <v>0.12920999999999999</v>
      </c>
      <c r="M38" s="65">
        <f t="shared" si="5"/>
        <v>9.1250000000000012E-2</v>
      </c>
      <c r="N38" s="65">
        <f t="shared" si="5"/>
        <v>44.895000000000003</v>
      </c>
      <c r="O38" s="65">
        <f t="shared" si="5"/>
        <v>2679.1</v>
      </c>
      <c r="P38" s="65">
        <f t="shared" si="5"/>
        <v>0</v>
      </c>
      <c r="Q38" s="65">
        <f t="shared" si="10"/>
        <v>54.932500000000005</v>
      </c>
      <c r="R38" s="65">
        <f t="shared" si="11"/>
        <v>0</v>
      </c>
      <c r="S38" s="65">
        <f t="shared" si="11"/>
        <v>0.14162000000000002</v>
      </c>
      <c r="T38" s="65">
        <f t="shared" si="11"/>
        <v>0</v>
      </c>
      <c r="U38" s="126">
        <f t="shared" si="11"/>
        <v>0</v>
      </c>
    </row>
    <row r="39" spans="1:21" s="48" customFormat="1" ht="13" x14ac:dyDescent="0.35">
      <c r="A39" s="125" t="str">
        <f>K8</f>
        <v>Bigni 9</v>
      </c>
      <c r="B39" s="11">
        <v>250</v>
      </c>
      <c r="C39" s="65">
        <f t="shared" si="6"/>
        <v>41.171999999999997</v>
      </c>
      <c r="D39" s="65">
        <f t="shared" si="7"/>
        <v>21.072617999999999</v>
      </c>
      <c r="E39" s="65">
        <f t="shared" si="8"/>
        <v>4.4774185000000006</v>
      </c>
      <c r="F39" s="65">
        <f t="shared" si="9"/>
        <v>17.670963999999998</v>
      </c>
      <c r="G39" s="65">
        <f t="shared" si="5"/>
        <v>9.1979999999999992E-2</v>
      </c>
      <c r="H39" s="65">
        <f t="shared" si="5"/>
        <v>1.4600000000000002</v>
      </c>
      <c r="I39" s="65">
        <f t="shared" si="5"/>
        <v>0.27740000000000004</v>
      </c>
      <c r="J39" s="65">
        <f t="shared" si="5"/>
        <v>2.336E-3</v>
      </c>
      <c r="K39" s="65">
        <f t="shared" si="5"/>
        <v>1.0074E-2</v>
      </c>
      <c r="L39" s="65">
        <f t="shared" si="5"/>
        <v>0.12920999999999999</v>
      </c>
      <c r="M39" s="65">
        <f t="shared" si="5"/>
        <v>9.1250000000000012E-2</v>
      </c>
      <c r="N39" s="65">
        <f t="shared" si="5"/>
        <v>44.895000000000003</v>
      </c>
      <c r="O39" s="65">
        <f t="shared" si="5"/>
        <v>2679.1</v>
      </c>
      <c r="P39" s="65">
        <f t="shared" si="5"/>
        <v>0</v>
      </c>
      <c r="Q39" s="65">
        <f t="shared" si="10"/>
        <v>54.932500000000005</v>
      </c>
      <c r="R39" s="65">
        <f t="shared" si="11"/>
        <v>0</v>
      </c>
      <c r="S39" s="65">
        <f t="shared" si="11"/>
        <v>0.14162000000000002</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Arable</v>
      </c>
      <c r="C58" s="10" t="str">
        <f>D16&amp;" I "&amp;(VLOOKUP(D14,Table2458[],6,FALSE))</f>
        <v>Medium/Clay I Grass</v>
      </c>
      <c r="D58" s="10" t="str">
        <f>E16&amp;" I "&amp;(VLOOKUP(E14,Table2458[],6,FALSE))</f>
        <v>Medium/Clay I Arable</v>
      </c>
      <c r="E58" s="10" t="str">
        <f>F16&amp;" I "&amp;(VLOOKUP(F14,Table2458[],6,FALSE))</f>
        <v>Medium/Clay I Arable</v>
      </c>
      <c r="F58" s="10" t="str">
        <f>G16&amp;" I "&amp;(VLOOKUP(G14,Table2458[],6,FALSE))</f>
        <v>Medium/Clay I Arable</v>
      </c>
      <c r="G58" s="10" t="str">
        <f>H16&amp;" I "&amp;(VLOOKUP(H14,Table2458[],6,FALSE))</f>
        <v>Medium/Clay I Arable</v>
      </c>
      <c r="H58" s="10" t="str">
        <f>I16&amp;" I "&amp;(VLOOKUP(I14,Table2458[],6,FALSE))</f>
        <v>Medium/Clay I Grass</v>
      </c>
      <c r="I58" s="10" t="str">
        <f>J16&amp;" I "&amp;(VLOOKUP(J14,Table2458[],6,FALSE))</f>
        <v>Medium/Clay I Arable</v>
      </c>
      <c r="J58" s="10" t="str">
        <f>K16&amp;" I "&amp;(VLOOKUP(K14,Table2458[],6,FALSE))</f>
        <v>Medium/Clay I Arable</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6.7</v>
      </c>
      <c r="C59" s="64">
        <f>VLOOKUP(D$14,Table2458[],5,FALSE)</f>
        <v>6.2</v>
      </c>
      <c r="D59" s="64">
        <f>VLOOKUP(E$14,Table2458[],5,FALSE)</f>
        <v>6.7</v>
      </c>
      <c r="E59" s="64">
        <f>VLOOKUP(F$14,Table2458[],5,FALSE)</f>
        <v>6.7</v>
      </c>
      <c r="F59" s="64">
        <f>VLOOKUP(G$14,Table2458[],5,FALSE)</f>
        <v>6.7</v>
      </c>
      <c r="G59" s="64">
        <f>VLOOKUP(H$14,Table2458[],5,FALSE)</f>
        <v>6.7</v>
      </c>
      <c r="H59" s="64">
        <f>VLOOKUP(I$14,Table2458[],5,FALSE)</f>
        <v>6.2</v>
      </c>
      <c r="I59" s="64">
        <f>VLOOKUP(J$14,Table2458[],5,FALSE)</f>
        <v>6.7</v>
      </c>
      <c r="J59" s="64">
        <f>VLOOKUP(K$14,Table2458[],5,FALSE)</f>
        <v>6.7</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250</v>
      </c>
      <c r="D62" s="65">
        <f>B33</f>
        <v>250</v>
      </c>
      <c r="E62" s="65">
        <f>B34</f>
        <v>50</v>
      </c>
      <c r="F62" s="65">
        <f>B35</f>
        <v>250</v>
      </c>
      <c r="G62" s="65">
        <f>B36</f>
        <v>250</v>
      </c>
      <c r="H62" s="65">
        <f>B37</f>
        <v>250</v>
      </c>
      <c r="I62" s="65">
        <f>B38</f>
        <v>250</v>
      </c>
      <c r="J62" s="65">
        <f>B39</f>
        <v>250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F1"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6.6</v>
      </c>
      <c r="J1" s="131" t="s">
        <v>153</v>
      </c>
      <c r="K1" s="132"/>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78</v>
      </c>
      <c r="G3" s="133" t="s">
        <v>159</v>
      </c>
      <c r="H3" s="134"/>
      <c r="I3" s="110"/>
      <c r="J3" s="135" t="s">
        <v>154</v>
      </c>
      <c r="K3" s="136"/>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10" t="s">
        <v>182</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0</v>
      </c>
      <c r="D18" s="12">
        <f>$D32</f>
        <v>0</v>
      </c>
      <c r="E18" s="12">
        <f>$D33</f>
        <v>0</v>
      </c>
      <c r="F18" s="12">
        <f>$D34</f>
        <v>0</v>
      </c>
      <c r="G18" s="12">
        <f>$D35</f>
        <v>0</v>
      </c>
      <c r="H18" s="12">
        <f>$D36</f>
        <v>0</v>
      </c>
      <c r="I18" s="12">
        <f>$D37</f>
        <v>62.397744729999985</v>
      </c>
      <c r="J18" s="12">
        <f>$D38</f>
        <v>62.397744729999985</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-63.75</v>
      </c>
      <c r="D19" s="12">
        <f t="shared" ref="D19:V19" si="1">D18-D17</f>
        <v>-79.899999999999991</v>
      </c>
      <c r="E19" s="12">
        <f t="shared" si="1"/>
        <v>-62.999999999999993</v>
      </c>
      <c r="F19" s="12">
        <f t="shared" si="1"/>
        <v>-63.75</v>
      </c>
      <c r="G19" s="12">
        <f t="shared" si="1"/>
        <v>-62.999999999999993</v>
      </c>
      <c r="H19" s="12">
        <f t="shared" si="1"/>
        <v>-62.999999999999993</v>
      </c>
      <c r="I19" s="12">
        <f t="shared" si="1"/>
        <v>-17.502255270000006</v>
      </c>
      <c r="J19" s="12">
        <f t="shared" si="1"/>
        <v>-0.60225527000000767</v>
      </c>
      <c r="K19" s="12">
        <f t="shared" si="1"/>
        <v>-62.999999999999993</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v>
      </c>
      <c r="D22" s="12">
        <f>$E32</f>
        <v>0</v>
      </c>
      <c r="E22" s="12">
        <f>$E33</f>
        <v>0</v>
      </c>
      <c r="F22" s="12">
        <f>$E34</f>
        <v>0</v>
      </c>
      <c r="G22" s="12">
        <f>$E35</f>
        <v>0</v>
      </c>
      <c r="H22" s="12">
        <f>$E36</f>
        <v>0</v>
      </c>
      <c r="I22" s="12">
        <f>$E37</f>
        <v>8.181208925</v>
      </c>
      <c r="J22" s="12">
        <f>$E38</f>
        <v>8.181208925</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-90</v>
      </c>
      <c r="D23" s="12">
        <f t="shared" ref="D23:V23" si="3">D22-D21</f>
        <v>-282</v>
      </c>
      <c r="E23" s="12">
        <f t="shared" si="3"/>
        <v>-198.00000000000003</v>
      </c>
      <c r="F23" s="12">
        <f t="shared" si="3"/>
        <v>-90</v>
      </c>
      <c r="G23" s="12">
        <f t="shared" si="3"/>
        <v>-198.00000000000003</v>
      </c>
      <c r="H23" s="12">
        <f t="shared" si="3"/>
        <v>-198.00000000000003</v>
      </c>
      <c r="I23" s="12">
        <f t="shared" si="3"/>
        <v>-273.81879107499998</v>
      </c>
      <c r="J23" s="12">
        <f t="shared" si="3"/>
        <v>-189.81879107500004</v>
      </c>
      <c r="K23" s="12">
        <f t="shared" si="3"/>
        <v>-198.00000000000003</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Trefwtial 18</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Rhosygadair 4</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Rhosygadair 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Rhosygadair 6</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Rhosygadair 7</v>
      </c>
      <c r="B37" s="11">
        <v>235</v>
      </c>
      <c r="C37" s="65">
        <f t="shared" si="6"/>
        <v>94.972899999999996</v>
      </c>
      <c r="D37" s="65">
        <f t="shared" si="7"/>
        <v>62.397744729999985</v>
      </c>
      <c r="E37" s="65">
        <f t="shared" si="8"/>
        <v>8.181208925</v>
      </c>
      <c r="F37" s="65">
        <f t="shared" si="9"/>
        <v>19.39032658</v>
      </c>
      <c r="G37" s="65">
        <f t="shared" si="5"/>
        <v>0.47721919999999995</v>
      </c>
      <c r="H37" s="65">
        <f t="shared" si="5"/>
        <v>0.847692</v>
      </c>
      <c r="I37" s="65">
        <f t="shared" si="5"/>
        <v>0.28884320000000002</v>
      </c>
      <c r="J37" s="65">
        <f t="shared" si="5"/>
        <v>5.1018499999999998E-3</v>
      </c>
      <c r="K37" s="65">
        <f t="shared" si="5"/>
        <v>4.6309100000000002E-3</v>
      </c>
      <c r="L37" s="65">
        <f t="shared" si="5"/>
        <v>0.2378247</v>
      </c>
      <c r="M37" s="65">
        <f t="shared" si="5"/>
        <v>0.20014950000000001</v>
      </c>
      <c r="N37" s="65">
        <f t="shared" si="5"/>
        <v>1098.8600000000001</v>
      </c>
      <c r="O37" s="65">
        <f t="shared" si="5"/>
        <v>188.376</v>
      </c>
      <c r="P37" s="65">
        <f t="shared" si="5"/>
        <v>0</v>
      </c>
      <c r="Q37" s="65">
        <f t="shared" si="10"/>
        <v>120.08969999999999</v>
      </c>
      <c r="R37" s="65">
        <f t="shared" si="11"/>
        <v>0</v>
      </c>
      <c r="S37" s="65">
        <f t="shared" si="11"/>
        <v>0.12872359999999997</v>
      </c>
      <c r="T37" s="65">
        <f t="shared" si="11"/>
        <v>0</v>
      </c>
      <c r="U37" s="126">
        <f t="shared" si="11"/>
        <v>0</v>
      </c>
    </row>
    <row r="38" spans="1:21" s="48" customFormat="1" ht="13" x14ac:dyDescent="0.35">
      <c r="A38" s="125" t="str">
        <f>J8</f>
        <v>Bigni 8</v>
      </c>
      <c r="B38" s="11">
        <v>235</v>
      </c>
      <c r="C38" s="65">
        <f t="shared" si="6"/>
        <v>94.972899999999996</v>
      </c>
      <c r="D38" s="65">
        <f t="shared" si="7"/>
        <v>62.397744729999985</v>
      </c>
      <c r="E38" s="65">
        <f t="shared" si="8"/>
        <v>8.181208925</v>
      </c>
      <c r="F38" s="65">
        <f t="shared" si="9"/>
        <v>19.39032658</v>
      </c>
      <c r="G38" s="65">
        <f t="shared" si="5"/>
        <v>0.47721919999999995</v>
      </c>
      <c r="H38" s="65">
        <f t="shared" si="5"/>
        <v>0.847692</v>
      </c>
      <c r="I38" s="65">
        <f t="shared" si="5"/>
        <v>0.28884320000000002</v>
      </c>
      <c r="J38" s="65">
        <f t="shared" si="5"/>
        <v>5.1018499999999998E-3</v>
      </c>
      <c r="K38" s="65">
        <f t="shared" si="5"/>
        <v>4.6309100000000002E-3</v>
      </c>
      <c r="L38" s="65">
        <f t="shared" si="5"/>
        <v>0.2378247</v>
      </c>
      <c r="M38" s="65">
        <f t="shared" si="5"/>
        <v>0.20014950000000001</v>
      </c>
      <c r="N38" s="65">
        <f t="shared" si="5"/>
        <v>1098.8600000000001</v>
      </c>
      <c r="O38" s="65">
        <f t="shared" si="5"/>
        <v>188.376</v>
      </c>
      <c r="P38" s="65">
        <f t="shared" si="5"/>
        <v>0</v>
      </c>
      <c r="Q38" s="65">
        <f t="shared" si="10"/>
        <v>120.08969999999999</v>
      </c>
      <c r="R38" s="65">
        <f t="shared" si="11"/>
        <v>0</v>
      </c>
      <c r="S38" s="65">
        <f t="shared" si="11"/>
        <v>0.12872359999999997</v>
      </c>
      <c r="T38" s="65">
        <f t="shared" si="11"/>
        <v>0</v>
      </c>
      <c r="U38" s="126">
        <f t="shared" si="11"/>
        <v>0</v>
      </c>
    </row>
    <row r="39" spans="1:21" s="48" customFormat="1" ht="13" x14ac:dyDescent="0.35">
      <c r="A39" s="125" t="str">
        <f>K8</f>
        <v>Bigni 9</v>
      </c>
      <c r="B39" s="11">
        <v>0</v>
      </c>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Arable</v>
      </c>
      <c r="C58" s="10" t="str">
        <f>D16&amp;" I "&amp;(VLOOKUP(D14,Table24581113[],6,FALSE))</f>
        <v>Medium/Clay I Grass</v>
      </c>
      <c r="D58" s="10" t="str">
        <f>E16&amp;" I "&amp;(VLOOKUP(E14,Table24581113[],6,FALSE))</f>
        <v>Medium/Clay I Arable</v>
      </c>
      <c r="E58" s="10" t="str">
        <f>F16&amp;" I "&amp;(VLOOKUP(F14,Table24581113[],6,FALSE))</f>
        <v>Medium/Clay I Arable</v>
      </c>
      <c r="F58" s="10" t="str">
        <f>G16&amp;" I "&amp;(VLOOKUP(G14,Table24581113[],6,FALSE))</f>
        <v>Medium/Clay I Arable</v>
      </c>
      <c r="G58" s="10" t="str">
        <f>H16&amp;" I "&amp;(VLOOKUP(H14,Table24581113[],6,FALSE))</f>
        <v>Medium/Clay I Arable</v>
      </c>
      <c r="H58" s="10" t="str">
        <f>I16&amp;" I "&amp;(VLOOKUP(I14,Table24581113[],6,FALSE))</f>
        <v>Medium/Clay I Grass</v>
      </c>
      <c r="I58" s="10" t="str">
        <f>J16&amp;" I "&amp;(VLOOKUP(J14,Table24581113[],6,FALSE))</f>
        <v>Medium/Clay I Arable</v>
      </c>
      <c r="J58" s="10" t="str">
        <f>K16&amp;" I "&amp;(VLOOKUP(K14,Table24581113[],6,FALSE))</f>
        <v>Medium/Clay I Arable</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6.7</v>
      </c>
      <c r="C59" s="64">
        <f>VLOOKUP(D$14,Table24581113[],5,FALSE)</f>
        <v>6.2</v>
      </c>
      <c r="D59" s="64">
        <f>VLOOKUP(E$14,Table24581113[],5,FALSE)</f>
        <v>6.7</v>
      </c>
      <c r="E59" s="64">
        <f>VLOOKUP(F$14,Table24581113[],5,FALSE)</f>
        <v>6.7</v>
      </c>
      <c r="F59" s="64">
        <f>VLOOKUP(G$14,Table24581113[],5,FALSE)</f>
        <v>6.7</v>
      </c>
      <c r="G59" s="64">
        <f>VLOOKUP(H$14,Table24581113[],5,FALSE)</f>
        <v>6.7</v>
      </c>
      <c r="H59" s="64">
        <f>VLOOKUP(I$14,Table24581113[],5,FALSE)</f>
        <v>6.2</v>
      </c>
      <c r="I59" s="64">
        <f>VLOOKUP(J$14,Table24581113[],5,FALSE)</f>
        <v>6.7</v>
      </c>
      <c r="J59" s="64">
        <f>VLOOKUP(K$14,Table24581113[],5,FALSE)</f>
        <v>6.7</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235</v>
      </c>
      <c r="I62" s="65">
        <f>B38</f>
        <v>235</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abSelected="1" topLeftCell="E1" zoomScale="90" zoomScaleNormal="90" workbookViewId="0">
      <selection activeCell="O22" sqref="O2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73" t="str">
        <f>'DCWW Llechryd WTW'!C1:D1</f>
        <v xml:space="preserve"> PAN-031603</v>
      </c>
      <c r="D1" s="174"/>
      <c r="E1" s="106" t="s">
        <v>45</v>
      </c>
      <c r="F1" s="113">
        <f>'DCWW Llechryd WTW'!F1</f>
        <v>48.9</v>
      </c>
      <c r="G1" s="163" t="s">
        <v>43</v>
      </c>
      <c r="H1" s="164"/>
      <c r="I1" s="109">
        <v>6.1</v>
      </c>
      <c r="J1" s="131" t="s">
        <v>153</v>
      </c>
      <c r="K1" s="132"/>
      <c r="L1" s="109">
        <v>269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3" t="s">
        <v>87</v>
      </c>
      <c r="B2" s="134"/>
      <c r="C2" s="169" t="str">
        <f>'DCWW Llechryd WTW'!C2:D2</f>
        <v>EPR/AB3891CX</v>
      </c>
      <c r="D2" s="170"/>
      <c r="E2" s="96" t="s">
        <v>109</v>
      </c>
      <c r="F2" s="110" t="s">
        <v>165</v>
      </c>
      <c r="G2" s="165" t="s">
        <v>110</v>
      </c>
      <c r="H2" s="166"/>
      <c r="I2" s="110"/>
      <c r="J2" s="133" t="s">
        <v>158</v>
      </c>
      <c r="K2" s="134"/>
      <c r="L2" s="110">
        <v>0.68</v>
      </c>
      <c r="AB2" s="22" t="s">
        <v>56</v>
      </c>
      <c r="AC2" s="13"/>
      <c r="AD2" s="22" t="s">
        <v>70</v>
      </c>
      <c r="AE2" s="13"/>
      <c r="AF2" s="13"/>
      <c r="AG2" s="34" t="s">
        <v>76</v>
      </c>
      <c r="AH2" s="13"/>
      <c r="AI2" s="35" t="s">
        <v>126</v>
      </c>
      <c r="AJ2" s="36">
        <v>0</v>
      </c>
      <c r="AK2" s="37">
        <v>0</v>
      </c>
      <c r="AL2" s="7">
        <v>0</v>
      </c>
      <c r="AM2" s="9">
        <v>0</v>
      </c>
      <c r="AN2" s="9">
        <v>0</v>
      </c>
    </row>
    <row r="3" spans="1:41" ht="13" x14ac:dyDescent="0.25">
      <c r="A3" s="135" t="s">
        <v>42</v>
      </c>
      <c r="B3" s="136"/>
      <c r="C3" s="169" t="str">
        <f>'DCWW Llechryd WTW'!C3:D3</f>
        <v>Mr Daniel James and Mrs Carys James</v>
      </c>
      <c r="D3" s="170"/>
      <c r="E3" s="96" t="s">
        <v>108</v>
      </c>
      <c r="F3" s="111" t="s">
        <v>78</v>
      </c>
      <c r="G3" s="133" t="s">
        <v>159</v>
      </c>
      <c r="H3" s="134"/>
      <c r="I3" s="110"/>
      <c r="J3" s="135" t="s">
        <v>154</v>
      </c>
      <c r="K3" s="136"/>
      <c r="L3" s="110">
        <f>(L1/(L2*10000))*100</f>
        <v>3.9558823529411757</v>
      </c>
      <c r="AB3" s="22" t="s">
        <v>57</v>
      </c>
      <c r="AC3" s="13"/>
      <c r="AD3" s="22" t="s">
        <v>71</v>
      </c>
      <c r="AE3" s="13"/>
      <c r="AF3" s="13"/>
      <c r="AG3" s="34" t="s">
        <v>77</v>
      </c>
      <c r="AH3" s="13"/>
      <c r="AI3" s="38" t="s">
        <v>113</v>
      </c>
      <c r="AJ3" s="39">
        <v>1.7</v>
      </c>
      <c r="AK3" s="40">
        <v>6</v>
      </c>
      <c r="AL3" s="41">
        <v>1</v>
      </c>
      <c r="AM3" s="9">
        <v>6.2</v>
      </c>
      <c r="AN3" s="9" t="s">
        <v>112</v>
      </c>
    </row>
    <row r="4" spans="1:41" ht="13" x14ac:dyDescent="0.25">
      <c r="A4" s="133" t="s">
        <v>0</v>
      </c>
      <c r="B4" s="134"/>
      <c r="C4" s="171" t="str">
        <f>'DCWW Llechryd WTW'!C4:D4</f>
        <v>Trefwtial, Blaenannerch, Cardigan, Ceredigion,SA43 2AG</v>
      </c>
      <c r="D4" s="172"/>
      <c r="E4" s="99" t="s">
        <v>1</v>
      </c>
      <c r="F4" s="110" t="s">
        <v>183</v>
      </c>
      <c r="G4" s="135"/>
      <c r="H4" s="136"/>
      <c r="I4" s="115"/>
      <c r="J4" s="135"/>
      <c r="K4" s="136"/>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7" t="s">
        <v>47</v>
      </c>
      <c r="B5" s="148"/>
      <c r="C5" s="167" t="str">
        <f>'DCWW Llechryd WTW'!C5:D5</f>
        <v>Owen Clee</v>
      </c>
      <c r="D5" s="168"/>
      <c r="E5" s="107"/>
      <c r="F5" s="114"/>
      <c r="G5" s="137"/>
      <c r="H5" s="138"/>
      <c r="I5" s="114"/>
      <c r="J5" s="137"/>
      <c r="K5" s="138"/>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9" t="s">
        <v>63</v>
      </c>
      <c r="B7" s="140"/>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3" t="s">
        <v>2</v>
      </c>
      <c r="B8" s="134"/>
      <c r="C8" s="49" t="str">
        <f>'DCWW Llechryd WTW'!C8</f>
        <v>Trefwtial 16</v>
      </c>
      <c r="D8" s="49" t="str">
        <f>'DCWW Llechryd WTW'!D8</f>
        <v>Trefwtial 17</v>
      </c>
      <c r="E8" s="49" t="str">
        <f>'DCWW Llechryd WTW'!E8</f>
        <v>Trefwtial 18</v>
      </c>
      <c r="F8" s="49" t="str">
        <f>'DCWW Llechryd WTW'!F8</f>
        <v>Rhosygadair 4</v>
      </c>
      <c r="G8" s="49" t="str">
        <f>'DCWW Llechryd WTW'!G8</f>
        <v>Rhosygadair 5</v>
      </c>
      <c r="H8" s="49" t="str">
        <f>'DCWW Llechryd WTW'!H8</f>
        <v>Rhosygadair 6</v>
      </c>
      <c r="I8" s="49" t="str">
        <f>'DCWW Llechryd WTW'!I8</f>
        <v>Rhosygadair 7</v>
      </c>
      <c r="J8" s="49" t="str">
        <f>'DCWW Llechryd WTW'!J8</f>
        <v>Bigni 8</v>
      </c>
      <c r="K8" s="49" t="str">
        <f>'DCWW Llechryd WTW'!K8</f>
        <v>Bigni 9</v>
      </c>
      <c r="L8" s="49">
        <f>'DCWW Llechryd WTW'!L8</f>
        <v>0</v>
      </c>
      <c r="M8" s="49">
        <f>'DCWW Llechryd WTW'!M8</f>
        <v>0</v>
      </c>
      <c r="N8" s="49">
        <f>'DCWW Llechryd WTW'!N8</f>
        <v>0</v>
      </c>
      <c r="O8" s="49">
        <f>'DCWW Llechryd WTW'!O8</f>
        <v>0</v>
      </c>
      <c r="P8" s="49">
        <f>'DCWW Llechryd WTW'!P8</f>
        <v>0</v>
      </c>
      <c r="Q8" s="49">
        <f>'DCWW Llechryd WTW'!Q8</f>
        <v>0</v>
      </c>
      <c r="R8" s="49">
        <f>'DCWW Llechryd WTW'!R8</f>
        <v>0</v>
      </c>
      <c r="S8" s="49">
        <f>'DCWW Llechryd WTW'!S8</f>
        <v>0</v>
      </c>
      <c r="T8" s="49">
        <f>'DCWW Llechryd WTW'!T8</f>
        <v>0</v>
      </c>
      <c r="U8" s="49">
        <f>'DCWW Llechryd WTW'!U8</f>
        <v>0</v>
      </c>
      <c r="V8" s="102">
        <f>'DCWW Llechryd WTW'!V8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3" t="s">
        <v>3</v>
      </c>
      <c r="B9" s="134"/>
      <c r="C9" s="49">
        <f>'DCWW Llechryd WTW'!C9</f>
        <v>1</v>
      </c>
      <c r="D9" s="49" t="str">
        <f>'DCWW Llechryd WTW'!D9</f>
        <v xml:space="preserve">Moderate </v>
      </c>
      <c r="E9" s="49">
        <f>'DCWW Llechryd WTW'!E9</f>
        <v>1</v>
      </c>
      <c r="F9" s="49">
        <f>'DCWW Llechryd WTW'!F9</f>
        <v>1</v>
      </c>
      <c r="G9" s="49">
        <f>'DCWW Llechryd WTW'!G9</f>
        <v>1</v>
      </c>
      <c r="H9" s="49">
        <f>'DCWW Llechryd WTW'!H9</f>
        <v>1</v>
      </c>
      <c r="I9" s="49" t="str">
        <f>'DCWW Llechryd WTW'!I9</f>
        <v xml:space="preserve">Moderate </v>
      </c>
      <c r="J9" s="49">
        <f>'DCWW Llechryd WTW'!J9</f>
        <v>1</v>
      </c>
      <c r="K9" s="49">
        <f>'DCWW Llechryd WTW'!K9</f>
        <v>1</v>
      </c>
      <c r="L9" s="49">
        <f>'DCWW Llechryd WTW'!L9</f>
        <v>0</v>
      </c>
      <c r="M9" s="49">
        <f>'DCWW Llechryd WTW'!M9</f>
        <v>0</v>
      </c>
      <c r="N9" s="49">
        <f>'DCWW Llechryd WTW'!N9</f>
        <v>0</v>
      </c>
      <c r="O9" s="49">
        <f>'DCWW Llechryd WTW'!O9</f>
        <v>0</v>
      </c>
      <c r="P9" s="49">
        <f>'DCWW Llechryd WTW'!P9</f>
        <v>0</v>
      </c>
      <c r="Q9" s="49">
        <f>'DCWW Llechryd WTW'!Q9</f>
        <v>0</v>
      </c>
      <c r="R9" s="49">
        <f>'DCWW Llechryd WTW'!R9</f>
        <v>0</v>
      </c>
      <c r="S9" s="49">
        <f>'DCWW Llechryd WTW'!S9</f>
        <v>0</v>
      </c>
      <c r="T9" s="49">
        <f>'DCWW Llechryd WTW'!T9</f>
        <v>0</v>
      </c>
      <c r="U9" s="49">
        <f>'DCWW Llechryd WTW'!U9</f>
        <v>0</v>
      </c>
      <c r="V9" s="102">
        <f>'DCWW Llechryd WTW'!V9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3" t="s">
        <v>4</v>
      </c>
      <c r="B10" s="134"/>
      <c r="C10" s="49">
        <f>'DCWW Llechryd WTW'!C10</f>
        <v>5.7</v>
      </c>
      <c r="D10" s="49">
        <f>'DCWW Llechryd WTW'!D10</f>
        <v>5.7</v>
      </c>
      <c r="E10" s="49">
        <f>'DCWW Llechryd WTW'!E10</f>
        <v>5.7</v>
      </c>
      <c r="F10" s="49">
        <f>'DCWW Llechryd WTW'!F10</f>
        <v>5.7</v>
      </c>
      <c r="G10" s="49">
        <f>'DCWW Llechryd WTW'!G10</f>
        <v>5.9</v>
      </c>
      <c r="H10" s="49">
        <f>'DCWW Llechryd WTW'!H10</f>
        <v>5.8</v>
      </c>
      <c r="I10" s="49">
        <f>'DCWW Llechryd WTW'!I10</f>
        <v>6.5</v>
      </c>
      <c r="J10" s="49">
        <f>'DCWW Llechryd WTW'!J10</f>
        <v>6.3</v>
      </c>
      <c r="K10" s="49">
        <f>'DCWW Llechryd WTW'!K10</f>
        <v>5.8</v>
      </c>
      <c r="L10" s="49">
        <f>'DCWW Llechryd WTW'!L10</f>
        <v>0</v>
      </c>
      <c r="M10" s="49">
        <f>'DCWW Llechryd WTW'!M10</f>
        <v>0</v>
      </c>
      <c r="N10" s="49">
        <f>'DCWW Llechryd WTW'!N10</f>
        <v>0</v>
      </c>
      <c r="O10" s="49">
        <f>'DCWW Llechryd WTW'!O10</f>
        <v>0</v>
      </c>
      <c r="P10" s="49">
        <f>'DCWW Llechryd WTW'!P10</f>
        <v>0</v>
      </c>
      <c r="Q10" s="49">
        <f>'DCWW Llechryd WTW'!Q10</f>
        <v>0</v>
      </c>
      <c r="R10" s="49">
        <f>'DCWW Llechryd WTW'!R10</f>
        <v>0</v>
      </c>
      <c r="S10" s="49">
        <f>'DCWW Llechryd WTW'!S10</f>
        <v>0</v>
      </c>
      <c r="T10" s="49">
        <f>'DCWW Llechryd WTW'!T10</f>
        <v>0</v>
      </c>
      <c r="U10" s="49">
        <f>'DCWW Llechryd WTW'!U10</f>
        <v>0</v>
      </c>
      <c r="V10" s="102">
        <f>'DCWW Llechryd WTW'!V10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3" t="s">
        <v>5</v>
      </c>
      <c r="B11" s="134"/>
      <c r="C11" s="49">
        <f>'DCWW Llechryd WTW'!C11</f>
        <v>3</v>
      </c>
      <c r="D11" s="49">
        <f>'DCWW Llechryd WTW'!D11</f>
        <v>3</v>
      </c>
      <c r="E11" s="49">
        <f>'DCWW Llechryd WTW'!E11</f>
        <v>3</v>
      </c>
      <c r="F11" s="49">
        <f>'DCWW Llechryd WTW'!F11</f>
        <v>3</v>
      </c>
      <c r="G11" s="49">
        <f>'DCWW Llechryd WTW'!G11</f>
        <v>2</v>
      </c>
      <c r="H11" s="49">
        <f>'DCWW Llechryd WTW'!H11</f>
        <v>2</v>
      </c>
      <c r="I11" s="49">
        <f>'DCWW Llechryd WTW'!I11</f>
        <v>2</v>
      </c>
      <c r="J11" s="49">
        <f>'DCWW Llechryd WTW'!J11</f>
        <v>3</v>
      </c>
      <c r="K11" s="49">
        <f>'DCWW Llechryd WTW'!K11</f>
        <v>3</v>
      </c>
      <c r="L11" s="49">
        <f>'DCWW Llechryd WTW'!L11</f>
        <v>0</v>
      </c>
      <c r="M11" s="49">
        <f>'DCWW Llechryd WTW'!M11</f>
        <v>0</v>
      </c>
      <c r="N11" s="49">
        <f>'DCWW Llechryd WTW'!N11</f>
        <v>0</v>
      </c>
      <c r="O11" s="49">
        <f>'DCWW Llechryd WTW'!O11</f>
        <v>0</v>
      </c>
      <c r="P11" s="49">
        <f>'DCWW Llechryd WTW'!P11</f>
        <v>0</v>
      </c>
      <c r="Q11" s="49">
        <f>'DCWW Llechryd WTW'!Q11</f>
        <v>0</v>
      </c>
      <c r="R11" s="49">
        <f>'DCWW Llechryd WTW'!R11</f>
        <v>0</v>
      </c>
      <c r="S11" s="49">
        <f>'DCWW Llechryd WTW'!S11</f>
        <v>0</v>
      </c>
      <c r="T11" s="49">
        <f>'DCWW Llechryd WTW'!T11</f>
        <v>0</v>
      </c>
      <c r="U11" s="49">
        <f>'DCWW Llechryd WTW'!U11</f>
        <v>0</v>
      </c>
      <c r="V11" s="102">
        <f>'DCWW Llechryd WTW'!V11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3" t="s">
        <v>6</v>
      </c>
      <c r="B12" s="134"/>
      <c r="C12" s="49">
        <f>'DCWW Llechryd WTW'!C12</f>
        <v>0</v>
      </c>
      <c r="D12" s="49">
        <f>'DCWW Llechryd WTW'!D12</f>
        <v>1</v>
      </c>
      <c r="E12" s="49">
        <f>'DCWW Llechryd WTW'!E12</f>
        <v>1</v>
      </c>
      <c r="F12" s="49">
        <f>'DCWW Llechryd WTW'!F12</f>
        <v>3</v>
      </c>
      <c r="G12" s="49">
        <f>'DCWW Llechryd WTW'!G12</f>
        <v>2</v>
      </c>
      <c r="H12" s="49">
        <f>'DCWW Llechryd WTW'!H12</f>
        <v>3</v>
      </c>
      <c r="I12" s="49">
        <f>'DCWW Llechryd WTW'!I12</f>
        <v>1</v>
      </c>
      <c r="J12" s="49">
        <f>'DCWW Llechryd WTW'!J12</f>
        <v>2</v>
      </c>
      <c r="K12" s="49">
        <f>'DCWW Llechryd WTW'!K12</f>
        <v>2</v>
      </c>
      <c r="L12" s="49">
        <f>'DCWW Llechryd WTW'!L12</f>
        <v>0</v>
      </c>
      <c r="M12" s="49">
        <f>'DCWW Llechryd WTW'!M12</f>
        <v>0</v>
      </c>
      <c r="N12" s="49">
        <f>'DCWW Llechryd WTW'!N12</f>
        <v>0</v>
      </c>
      <c r="O12" s="49">
        <f>'DCWW Llechryd WTW'!O12</f>
        <v>0</v>
      </c>
      <c r="P12" s="49">
        <f>'DCWW Llechryd WTW'!P12</f>
        <v>0</v>
      </c>
      <c r="Q12" s="49">
        <f>'DCWW Llechryd WTW'!Q12</f>
        <v>0</v>
      </c>
      <c r="R12" s="49">
        <f>'DCWW Llechryd WTW'!R12</f>
        <v>0</v>
      </c>
      <c r="S12" s="49">
        <f>'DCWW Llechryd WTW'!S12</f>
        <v>0</v>
      </c>
      <c r="T12" s="49">
        <f>'DCWW Llechryd WTW'!T12</f>
        <v>0</v>
      </c>
      <c r="U12" s="49">
        <f>'DCWW Llechryd WTW'!U12</f>
        <v>0</v>
      </c>
      <c r="V12" s="102">
        <f>'DCWW Llechryd WTW'!V12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3" t="s">
        <v>7</v>
      </c>
      <c r="B13" s="134"/>
      <c r="C13" s="49">
        <f>'DCWW Llechryd WTW'!C13</f>
        <v>2</v>
      </c>
      <c r="D13" s="49">
        <f>'DCWW Llechryd WTW'!D13</f>
        <v>2</v>
      </c>
      <c r="E13" s="49">
        <f>'DCWW Llechryd WTW'!E13</f>
        <v>2</v>
      </c>
      <c r="F13" s="49">
        <f>'DCWW Llechryd WTW'!F13</f>
        <v>2</v>
      </c>
      <c r="G13" s="49">
        <f>'DCWW Llechryd WTW'!G13</f>
        <v>3</v>
      </c>
      <c r="H13" s="49">
        <f>'DCWW Llechryd WTW'!H13</f>
        <v>2</v>
      </c>
      <c r="I13" s="49">
        <f>'DCWW Llechryd WTW'!I13</f>
        <v>3</v>
      </c>
      <c r="J13" s="49">
        <f>'DCWW Llechryd WTW'!J13</f>
        <v>2</v>
      </c>
      <c r="K13" s="49">
        <f>'DCWW Llechryd WTW'!K13</f>
        <v>2</v>
      </c>
      <c r="L13" s="49">
        <f>'DCWW Llechryd WTW'!L13</f>
        <v>0</v>
      </c>
      <c r="M13" s="49">
        <f>'DCWW Llechryd WTW'!M13</f>
        <v>0</v>
      </c>
      <c r="N13" s="49">
        <f>'DCWW Llechryd WTW'!N13</f>
        <v>0</v>
      </c>
      <c r="O13" s="49">
        <f>'DCWW Llechryd WTW'!O13</f>
        <v>0</v>
      </c>
      <c r="P13" s="49">
        <f>'DCWW Llechryd WTW'!P13</f>
        <v>0</v>
      </c>
      <c r="Q13" s="49">
        <f>'DCWW Llechryd WTW'!Q13</f>
        <v>0</v>
      </c>
      <c r="R13" s="49">
        <f>'DCWW Llechryd WTW'!R13</f>
        <v>0</v>
      </c>
      <c r="S13" s="49">
        <f>'DCWW Llechryd WTW'!S13</f>
        <v>0</v>
      </c>
      <c r="T13" s="49">
        <f>'DCWW Llechryd WTW'!T13</f>
        <v>0</v>
      </c>
      <c r="U13" s="49">
        <f>'DCWW Llechryd WTW'!U13</f>
        <v>0</v>
      </c>
      <c r="V13" s="102">
        <f>'DCWW Llechryd WTW'!V13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1" t="s">
        <v>8</v>
      </c>
      <c r="B14" s="152"/>
      <c r="C14" s="83" t="str">
        <f>'DCWW Llechryd WTW'!C14</f>
        <v>Spring wheat/barley</v>
      </c>
      <c r="D14" s="83" t="str">
        <f>'DCWW Llechryd WTW'!D14</f>
        <v xml:space="preserve">Grass Silage (25% DM) </v>
      </c>
      <c r="E14" s="83" t="str">
        <f>'DCWW Llechryd WTW'!E14</f>
        <v>Maize- Silage (30% DM)</v>
      </c>
      <c r="F14" s="83" t="str">
        <f>'DCWW Llechryd WTW'!F14</f>
        <v>Spring wheat/barley</v>
      </c>
      <c r="G14" s="83" t="str">
        <f>'DCWW Llechryd WTW'!G14</f>
        <v>Maize- Silage (30% DM)</v>
      </c>
      <c r="H14" s="83" t="str">
        <f>'DCWW Llechryd WTW'!H14</f>
        <v>Maize- Silage (30% DM)</v>
      </c>
      <c r="I14" s="83" t="str">
        <f>'DCWW Llechryd WTW'!I14</f>
        <v xml:space="preserve">Grass Silage (25% DM) </v>
      </c>
      <c r="J14" s="83" t="str">
        <f>'DCWW Llechryd WTW'!J14</f>
        <v>Maize- Silage (30% DM)</v>
      </c>
      <c r="K14" s="83" t="str">
        <f>'DCWW Llechryd WTW'!K14</f>
        <v>Maize- Silage (30% DM)</v>
      </c>
      <c r="L14" s="83">
        <f>'DCWW Llechryd WTW'!L14</f>
        <v>0</v>
      </c>
      <c r="M14" s="83">
        <f>'DCWW Llechryd WTW'!M14</f>
        <v>0</v>
      </c>
      <c r="N14" s="83">
        <f>'DCWW Llechryd WTW'!N14</f>
        <v>0</v>
      </c>
      <c r="O14" s="83">
        <f>'DCWW Llechryd WTW'!O14</f>
        <v>0</v>
      </c>
      <c r="P14" s="83">
        <f>'DCWW Llechryd WTW'!P14</f>
        <v>0</v>
      </c>
      <c r="Q14" s="83">
        <f>'DCWW Llechryd WTW'!Q14</f>
        <v>0</v>
      </c>
      <c r="R14" s="83">
        <f>'DCWW Llechryd WTW'!R14</f>
        <v>0</v>
      </c>
      <c r="S14" s="83">
        <f>'DCWW Llechryd WTW'!S14</f>
        <v>0</v>
      </c>
      <c r="T14" s="83">
        <f>'DCWW Llechryd WTW'!T14</f>
        <v>0</v>
      </c>
      <c r="U14" s="83">
        <f>'DCWW Llechryd WTW'!U14</f>
        <v>0</v>
      </c>
      <c r="V14" s="103">
        <f>'DCWW Llechryd WTW'!V14</f>
        <v>0</v>
      </c>
      <c r="AD14" s="22" t="s">
        <v>138</v>
      </c>
      <c r="AE14" s="22">
        <v>6</v>
      </c>
      <c r="AI14" s="43" t="s">
        <v>119</v>
      </c>
      <c r="AJ14" s="44">
        <v>0.8</v>
      </c>
      <c r="AK14" s="45">
        <v>1.7</v>
      </c>
      <c r="AL14" s="9">
        <v>12</v>
      </c>
      <c r="AM14" s="9">
        <v>6.7</v>
      </c>
      <c r="AN14" s="9" t="s">
        <v>135</v>
      </c>
    </row>
    <row r="15" spans="1:41" ht="13" x14ac:dyDescent="0.25">
      <c r="A15" s="149" t="s">
        <v>9</v>
      </c>
      <c r="B15" s="150"/>
      <c r="C15" s="49">
        <f>'DCWW Llechryd WTW'!C15</f>
        <v>7.5</v>
      </c>
      <c r="D15" s="49">
        <f>'DCWW Llechryd WTW'!D15</f>
        <v>47</v>
      </c>
      <c r="E15" s="49">
        <f>'DCWW Llechryd WTW'!E15</f>
        <v>45</v>
      </c>
      <c r="F15" s="49">
        <f>'DCWW Llechryd WTW'!F15</f>
        <v>7.5</v>
      </c>
      <c r="G15" s="49">
        <f>'DCWW Llechryd WTW'!G15</f>
        <v>45</v>
      </c>
      <c r="H15" s="49">
        <f>'DCWW Llechryd WTW'!H15</f>
        <v>45</v>
      </c>
      <c r="I15" s="49">
        <f>'DCWW Llechryd WTW'!I15</f>
        <v>47</v>
      </c>
      <c r="J15" s="49">
        <f>'DCWW Llechryd WTW'!J15</f>
        <v>45</v>
      </c>
      <c r="K15" s="49">
        <f>'DCWW Llechryd WTW'!K15</f>
        <v>45</v>
      </c>
      <c r="L15" s="49">
        <f>'DCWW Llechryd WTW'!L15</f>
        <v>0</v>
      </c>
      <c r="M15" s="49">
        <f>'DCWW Llechryd WTW'!M15</f>
        <v>0</v>
      </c>
      <c r="N15" s="49">
        <f>'DCWW Llechryd WTW'!N15</f>
        <v>0</v>
      </c>
      <c r="O15" s="49">
        <f>'DCWW Llechryd WTW'!O15</f>
        <v>0</v>
      </c>
      <c r="P15" s="49">
        <f>'DCWW Llechryd WTW'!P15</f>
        <v>0</v>
      </c>
      <c r="Q15" s="49">
        <f>'DCWW Llechryd WTW'!Q15</f>
        <v>0</v>
      </c>
      <c r="R15" s="49">
        <f>'DCWW Llechryd WTW'!R15</f>
        <v>0</v>
      </c>
      <c r="S15" s="49">
        <f>'DCWW Llechryd WTW'!S15</f>
        <v>0</v>
      </c>
      <c r="T15" s="49">
        <f>'DCWW Llechryd WTW'!T15</f>
        <v>0</v>
      </c>
      <c r="U15" s="49">
        <f>'DCWW Llechryd WTW'!U15</f>
        <v>0</v>
      </c>
      <c r="V15" s="102">
        <f>'DCWW Llechryd WTW'!V15</f>
        <v>0</v>
      </c>
      <c r="AD15" s="22" t="s">
        <v>144</v>
      </c>
      <c r="AE15" s="22">
        <v>7</v>
      </c>
      <c r="AI15" s="43" t="s">
        <v>101</v>
      </c>
      <c r="AJ15" s="51">
        <v>1.8</v>
      </c>
      <c r="AK15" s="45">
        <v>5.4</v>
      </c>
      <c r="AL15" s="9">
        <v>13</v>
      </c>
      <c r="AM15" s="9">
        <v>6.7</v>
      </c>
      <c r="AN15" s="9" t="s">
        <v>135</v>
      </c>
    </row>
    <row r="16" spans="1:41" ht="13.5" thickBot="1" x14ac:dyDescent="0.3">
      <c r="A16" s="153" t="s">
        <v>44</v>
      </c>
      <c r="B16" s="154"/>
      <c r="C16" s="104" t="str">
        <f>'DCWW Llechryd WTW'!C16</f>
        <v>Medium/Clay</v>
      </c>
      <c r="D16" s="104" t="str">
        <f>'DCWW Llechryd WTW'!D16</f>
        <v>Medium/Clay</v>
      </c>
      <c r="E16" s="104" t="str">
        <f>'DCWW Llechryd WTW'!E16</f>
        <v>Medium/Clay</v>
      </c>
      <c r="F16" s="104" t="str">
        <f>'DCWW Llechryd WTW'!F16</f>
        <v>Medium/Clay</v>
      </c>
      <c r="G16" s="104" t="str">
        <f>'DCWW Llechryd WTW'!G16</f>
        <v>Medium/Clay</v>
      </c>
      <c r="H16" s="104" t="str">
        <f>'DCWW Llechryd WTW'!H16</f>
        <v>Medium/Clay</v>
      </c>
      <c r="I16" s="104" t="str">
        <f>'DCWW Llechryd WTW'!I16</f>
        <v>Medium/Clay</v>
      </c>
      <c r="J16" s="104" t="str">
        <f>'DCWW Llechryd WTW'!J16</f>
        <v>Medium/Clay</v>
      </c>
      <c r="K16" s="104" t="str">
        <f>'DCWW Llechryd WTW'!K16</f>
        <v>Medium/Clay</v>
      </c>
      <c r="L16" s="104">
        <f>'DCWW Llechryd WTW'!L16</f>
        <v>0</v>
      </c>
      <c r="M16" s="104">
        <f>'DCWW Llechryd WTW'!M16</f>
        <v>0</v>
      </c>
      <c r="N16" s="104">
        <f>'DCWW Llechryd WTW'!N16</f>
        <v>0</v>
      </c>
      <c r="O16" s="104">
        <f>'DCWW Llechryd WTW'!O16</f>
        <v>0</v>
      </c>
      <c r="P16" s="104">
        <f>'DCWW Llechryd WTW'!P16</f>
        <v>0</v>
      </c>
      <c r="Q16" s="104">
        <f>'DCWW Llechryd WTW'!Q16</f>
        <v>0</v>
      </c>
      <c r="R16" s="104">
        <f>'DCWW Llechryd WTW'!R16</f>
        <v>0</v>
      </c>
      <c r="S16" s="104">
        <f>'DCWW Llechryd WTW'!S16</f>
        <v>0</v>
      </c>
      <c r="T16" s="104">
        <f>'DCWW Llechryd WTW'!T16</f>
        <v>0</v>
      </c>
      <c r="U16" s="104">
        <f>'DCWW Llechryd WTW'!U16</f>
        <v>0</v>
      </c>
      <c r="V16" s="105">
        <f>'DCWW Llechryd WTW'!V16</f>
        <v>0</v>
      </c>
      <c r="AD16" s="42" t="s">
        <v>145</v>
      </c>
      <c r="AE16" s="22">
        <v>8</v>
      </c>
      <c r="AI16" s="43" t="s">
        <v>118</v>
      </c>
      <c r="AJ16" s="44">
        <v>8</v>
      </c>
      <c r="AK16" s="45">
        <v>5.5</v>
      </c>
      <c r="AL16" s="7">
        <v>14</v>
      </c>
      <c r="AM16" s="9">
        <v>6.7</v>
      </c>
      <c r="AN16" s="9" t="s">
        <v>135</v>
      </c>
    </row>
    <row r="17" spans="1:40" ht="13" x14ac:dyDescent="0.25">
      <c r="A17" s="139" t="s">
        <v>69</v>
      </c>
      <c r="B17" s="140"/>
      <c r="C17" s="20">
        <f>(VLOOKUP(C$14,$AI2:$AK26,2,FALSE))*C$15</f>
        <v>63.75</v>
      </c>
      <c r="D17" s="20">
        <f t="shared" ref="D17:V17" si="0">(VLOOKUP(D$14,$AI2:$AK26,2,FALSE))*D$15</f>
        <v>79.899999999999991</v>
      </c>
      <c r="E17" s="20">
        <f t="shared" si="0"/>
        <v>62.999999999999993</v>
      </c>
      <c r="F17" s="20">
        <f t="shared" si="0"/>
        <v>63.75</v>
      </c>
      <c r="G17" s="20">
        <f t="shared" si="0"/>
        <v>62.999999999999993</v>
      </c>
      <c r="H17" s="20">
        <f t="shared" si="0"/>
        <v>62.999999999999993</v>
      </c>
      <c r="I17" s="20">
        <f t="shared" si="0"/>
        <v>79.899999999999991</v>
      </c>
      <c r="J17" s="20">
        <f t="shared" si="0"/>
        <v>62.999999999999993</v>
      </c>
      <c r="K17" s="20">
        <f t="shared" si="0"/>
        <v>62.999999999999993</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1" t="s">
        <v>23</v>
      </c>
      <c r="B18" s="142"/>
      <c r="C18" s="12">
        <f>$D31</f>
        <v>1.359949055</v>
      </c>
      <c r="D18" s="12">
        <f>$D32</f>
        <v>6.7997452750000003</v>
      </c>
      <c r="E18" s="12">
        <f>$D33</f>
        <v>6.7997452750000003</v>
      </c>
      <c r="F18" s="12">
        <f>$D34</f>
        <v>1.359949055</v>
      </c>
      <c r="G18" s="12">
        <f>$D35</f>
        <v>6.7997452750000003</v>
      </c>
      <c r="H18" s="12">
        <f>$D36</f>
        <v>6.7997452750000003</v>
      </c>
      <c r="I18" s="12">
        <f>$D37</f>
        <v>6.7997452750000003</v>
      </c>
      <c r="J18" s="12">
        <f>$D38</f>
        <v>6.7997452750000003</v>
      </c>
      <c r="K18" s="12">
        <f>$D39</f>
        <v>6.7997452750000003</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1" t="s">
        <v>90</v>
      </c>
      <c r="B19" s="142"/>
      <c r="C19" s="12">
        <f>C18-C17</f>
        <v>-62.390050944999999</v>
      </c>
      <c r="D19" s="12">
        <f t="shared" ref="D19:V19" si="1">D18-D17</f>
        <v>-73.100254724999985</v>
      </c>
      <c r="E19" s="12">
        <f t="shared" si="1"/>
        <v>-56.200254724999994</v>
      </c>
      <c r="F19" s="12">
        <f t="shared" si="1"/>
        <v>-62.390050944999999</v>
      </c>
      <c r="G19" s="12">
        <f t="shared" si="1"/>
        <v>-56.200254724999994</v>
      </c>
      <c r="H19" s="12">
        <f t="shared" si="1"/>
        <v>-56.200254724999994</v>
      </c>
      <c r="I19" s="12">
        <f t="shared" si="1"/>
        <v>-73.100254724999985</v>
      </c>
      <c r="J19" s="12">
        <f t="shared" si="1"/>
        <v>-56.200254724999994</v>
      </c>
      <c r="K19" s="12">
        <f t="shared" si="1"/>
        <v>-56.200254724999994</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3" t="s">
        <v>91</v>
      </c>
      <c r="B20" s="144"/>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9" t="s">
        <v>88</v>
      </c>
      <c r="B21" s="140"/>
      <c r="C21" s="20">
        <f>(VLOOKUP(C$14,$AI2:$AK26,3,FALSE))*C$15</f>
        <v>90</v>
      </c>
      <c r="D21" s="20">
        <f t="shared" ref="D21:V21" si="2">(VLOOKUP(D$14,$AI2:$AK26,3,FALSE))*D$15</f>
        <v>282</v>
      </c>
      <c r="E21" s="20">
        <f t="shared" si="2"/>
        <v>198.00000000000003</v>
      </c>
      <c r="F21" s="20">
        <f t="shared" si="2"/>
        <v>90</v>
      </c>
      <c r="G21" s="20">
        <f t="shared" si="2"/>
        <v>198.00000000000003</v>
      </c>
      <c r="H21" s="20">
        <f t="shared" si="2"/>
        <v>198.00000000000003</v>
      </c>
      <c r="I21" s="20">
        <f t="shared" si="2"/>
        <v>282</v>
      </c>
      <c r="J21" s="20">
        <f t="shared" si="2"/>
        <v>198.00000000000003</v>
      </c>
      <c r="K21" s="20">
        <f t="shared" si="2"/>
        <v>198.00000000000003</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1" t="s">
        <v>89</v>
      </c>
      <c r="B22" s="142"/>
      <c r="C22" s="12">
        <f>$E31</f>
        <v>0.17232705000000004</v>
      </c>
      <c r="D22" s="12">
        <f>$E32</f>
        <v>0.86163525000000019</v>
      </c>
      <c r="E22" s="12">
        <f>$E33</f>
        <v>0.86163525000000019</v>
      </c>
      <c r="F22" s="12">
        <f>$E34</f>
        <v>0.17232705000000004</v>
      </c>
      <c r="G22" s="12">
        <f>$E35</f>
        <v>0.86163525000000019</v>
      </c>
      <c r="H22" s="12">
        <f>$E36</f>
        <v>0.86163525000000019</v>
      </c>
      <c r="I22" s="12">
        <f>$E37</f>
        <v>0.86163525000000019</v>
      </c>
      <c r="J22" s="12">
        <f>$E38</f>
        <v>0.86163525000000019</v>
      </c>
      <c r="K22" s="12">
        <f>$E39</f>
        <v>0.86163525000000019</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1" t="s">
        <v>92</v>
      </c>
      <c r="B23" s="142"/>
      <c r="C23" s="12">
        <f>C22-C21</f>
        <v>-89.827672949999993</v>
      </c>
      <c r="D23" s="12">
        <f t="shared" ref="D23:V23" si="3">D22-D21</f>
        <v>-281.13836474999999</v>
      </c>
      <c r="E23" s="12">
        <f t="shared" si="3"/>
        <v>-197.13836475000002</v>
      </c>
      <c r="F23" s="12">
        <f t="shared" si="3"/>
        <v>-89.827672949999993</v>
      </c>
      <c r="G23" s="12">
        <f t="shared" si="3"/>
        <v>-197.13836475000002</v>
      </c>
      <c r="H23" s="12">
        <f t="shared" si="3"/>
        <v>-197.13836475000002</v>
      </c>
      <c r="I23" s="12">
        <f t="shared" si="3"/>
        <v>-281.13836474999999</v>
      </c>
      <c r="J23" s="12">
        <f t="shared" si="3"/>
        <v>-197.13836475000002</v>
      </c>
      <c r="K23" s="12">
        <f t="shared" si="3"/>
        <v>-197.13836475000002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3" t="s">
        <v>93</v>
      </c>
      <c r="B24" s="144"/>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2.27</v>
      </c>
      <c r="C28" s="11">
        <v>0.68</v>
      </c>
      <c r="D28" s="11">
        <v>5.2299999999999999E-2</v>
      </c>
      <c r="E28" s="11">
        <v>1.26E-2</v>
      </c>
      <c r="F28" s="11">
        <v>399</v>
      </c>
      <c r="G28" s="11">
        <v>14.7</v>
      </c>
      <c r="H28" s="11">
        <v>160</v>
      </c>
      <c r="I28" s="11">
        <v>23.5</v>
      </c>
      <c r="J28" s="11">
        <v>0.41</v>
      </c>
      <c r="K28" s="15">
        <v>1.76</v>
      </c>
      <c r="L28" s="11">
        <v>17.2</v>
      </c>
      <c r="M28" s="11">
        <v>10.9</v>
      </c>
      <c r="N28" s="11">
        <v>2500</v>
      </c>
      <c r="O28" s="11">
        <v>427000</v>
      </c>
      <c r="P28" s="11"/>
      <c r="Q28" s="11">
        <v>9690</v>
      </c>
      <c r="R28" s="11"/>
      <c r="S28" s="11">
        <v>51.8</v>
      </c>
      <c r="T28" s="11"/>
      <c r="U28" s="97"/>
    </row>
    <row r="29" spans="1:40" s="7" customFormat="1" ht="28" x14ac:dyDescent="0.35">
      <c r="A29" s="14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Trefwtial 16</v>
      </c>
      <c r="B31" s="11">
        <v>50</v>
      </c>
      <c r="C31" s="65">
        <f>IF(C$27="%w/w SAR",((C$28*10)*$B31),IF(C$27="%w/w DM",(((C$28*10)*($B$28/100))*$B31),IF(C$27="kg/t SAR",(C$28*$B31),IF(C$27="kg/t DM",((C$28*($B$28/100))*$B31),IF(C$27="mg/kg SAR",((C$28*0.001)*$B31),IF(C$27="mg/kg DM",(((C$28*0.001)*($B$28/100))*$B31),0))))))</f>
        <v>7.7180000000000009</v>
      </c>
      <c r="D31" s="65">
        <f>(IF(D$27="%w/w SAR",((D$28*10)*$B31),IF(D$27="%w/w DM",(((D$28*10)*($B$28/100))*$B31),IF(D$27="kg/t SAR",(D$28*$B31),IF(D$27="kg/t DM",((D$28*($B$28/100))*$B31),IF(D$27="mg/kg SAR",((D$28*0.001)*$B31),IF(D$27="mg/kg DM",(((D$28*0.001)*($B$28/100))*$B31),"0")))))))*2.291</f>
        <v>1.359949055</v>
      </c>
      <c r="E31" s="65">
        <f>(IF(E$27="%w/w SAR",((E$28*10)*$B31),IF(E$27="%w/w DM",(((E$28*10)*($B$28/100))*$B31),IF(E$27="kg/t SAR",(E$28*$B31),IF(E$27="kg/t DM",((E$28*($B$28/100))*$B31),IF(E$27="mg/kg SAR",((E$28*0.001)*$B31),IF(E$27="mg/kg DM",(((E$28*0.001)*($B$28/100))*$B31),"0")))))))*1.205</f>
        <v>0.17232705000000004</v>
      </c>
      <c r="F31" s="65">
        <f>(IF(F$27="%w/w SAR",((F$28*10)*$B31),IF(F$27="%w/w DM",(((F$28*10)*($B$28/100))*$B31),IF(F$27="kg/t SAR",(F$28*$B31),IF(F$27="kg/t DM",((F$28*($B$28/100))*$B31),IF(F$27="mg/kg SAR",((F$28*0.001)*$B31),IF(F$27="mg/kg DM",(((F$28*0.001)*($B$28/100))*$B31),"0")))))))*1.658</f>
        <v>0.75085016999999998</v>
      </c>
      <c r="G31" s="65">
        <f t="shared" ref="G31:P46" si="5">IF(G$27="%w/w SAR",((G$28*10)*$B31),IF(G$27="%w/w DM",(((G$28*10)*($B$28/100))*$B31),IF(G$27="kg/t SAR",(G$28*$B31),IF(G$27="kg/t DM",((G$28*($B$28/100))*$B31),IF(G$27="mg/kg SAR",((G$28*0.001)*$B31),IF(G$27="mg/kg DM",(((G$28*0.001)*($B$28/100))*$B31),0))))))</f>
        <v>1.6684499999999998E-2</v>
      </c>
      <c r="H31" s="65">
        <f t="shared" si="5"/>
        <v>0.18160000000000001</v>
      </c>
      <c r="I31" s="65">
        <f t="shared" si="5"/>
        <v>2.6672499999999998E-2</v>
      </c>
      <c r="J31" s="65">
        <f t="shared" si="5"/>
        <v>4.6535000000000006E-4</v>
      </c>
      <c r="K31" s="65">
        <f t="shared" si="5"/>
        <v>1.9976000000000004E-3</v>
      </c>
      <c r="L31" s="65">
        <f t="shared" si="5"/>
        <v>1.9522000000000001E-2</v>
      </c>
      <c r="M31" s="65">
        <f t="shared" si="5"/>
        <v>1.2371500000000002E-2</v>
      </c>
      <c r="N31" s="65">
        <f t="shared" si="5"/>
        <v>2.8374999999999999</v>
      </c>
      <c r="O31" s="65">
        <f t="shared" si="5"/>
        <v>484.64499999999998</v>
      </c>
      <c r="P31" s="65">
        <f t="shared" si="5"/>
        <v>0</v>
      </c>
      <c r="Q31" s="65">
        <f>(IF(Q$27="%w/w SAR",((Q$28*10)*$B31),IF(Q$27="%w/w DM",(((Q$28*10)*($B$28/100))*$B31),IF(Q$27="kg/t SAR",(Q$28*$B31),IF(Q$27="kg/t DM",((Q$28*($B$28/100))*$B31),IF(Q$27="mg/kg SAR",((Q$28*0.001)*$B31),IF(Q$27="mg/kg DM",(((Q$28*0.001)*($B$28/100))*$B31),0)))))))*2.5</f>
        <v>27.495374999999996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5.8793000000000005E-2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Trefwtial 17</v>
      </c>
      <c r="B32" s="11">
        <v>250</v>
      </c>
      <c r="C32" s="65">
        <f t="shared" ref="C32:C50" si="6">IF(C$27="%w/w SAR",((C$28*10)*$B32),IF(C$27="%w/w DM",(((C$28*10)*($B$28/100))*$B32),IF(C$27="kg/t SAR",(C$28*$B32),IF(C$27="kg/t DM",((C$28*($B$28/100))*$B32),IF(C$27="mg/kg SAR",((C$28*0.001)*$B32),IF(C$27="mg/kg DM",(((C$28*0.001)*($B$28/100))*$B32),0))))))</f>
        <v>38.590000000000003</v>
      </c>
      <c r="D32" s="65">
        <f t="shared" ref="D32:D50" si="7">(IF(D$27="%w/w SAR",((D$28*10)*$B32),IF(D$27="%w/w DM",(((D$28*10)*($B$28/100))*$B32),IF(D$27="kg/t SAR",(D$28*$B32),IF(D$27="kg/t DM",((D$28*($B$28/100))*$B32),IF(D$27="mg/kg SAR",((D$28*0.001)*$B32),IF(D$27="mg/kg DM",(((D$28*0.001)*($B$28/100))*$B32),"0")))))))*2.291</f>
        <v>6.7997452750000003</v>
      </c>
      <c r="E32" s="65">
        <f t="shared" ref="E32:E50" si="8">(IF(E$27="%w/w SAR",((E$28*10)*$B32),IF(E$27="%w/w DM",(((E$28*10)*($B$28/100))*$B32),IF(E$27="kg/t SAR",(E$28*$B32),IF(E$27="kg/t DM",((E$28*($B$28/100))*$B32),IF(E$27="mg/kg SAR",((E$28*0.001)*$B32),IF(E$27="mg/kg DM",(((E$28*0.001)*($B$28/100))*$B32),"0")))))))*1.205</f>
        <v>0.86163525000000019</v>
      </c>
      <c r="F32" s="65">
        <f t="shared" ref="F32:F50" si="9">(IF(F$27="%w/w SAR",((F$28*10)*$B32),IF(F$27="%w/w DM",(((F$28*10)*($B$28/100))*$B32),IF(F$27="kg/t SAR",(F$28*$B32),IF(F$27="kg/t DM",((F$28*($B$28/100))*$B32),IF(F$27="mg/kg SAR",((F$28*0.001)*$B32),IF(F$27="mg/kg DM",(((F$28*0.001)*($B$28/100))*$B32),"0")))))))*1.658</f>
        <v>3.7542508500000005</v>
      </c>
      <c r="G32" s="65">
        <f t="shared" si="5"/>
        <v>8.3422499999999997E-2</v>
      </c>
      <c r="H32" s="65">
        <f t="shared" si="5"/>
        <v>0.90800000000000003</v>
      </c>
      <c r="I32" s="65">
        <f t="shared" si="5"/>
        <v>0.13336249999999999</v>
      </c>
      <c r="J32" s="65">
        <f t="shared" si="5"/>
        <v>2.3267500000000003E-3</v>
      </c>
      <c r="K32" s="65">
        <f t="shared" si="5"/>
        <v>9.9880000000000021E-3</v>
      </c>
      <c r="L32" s="65">
        <f t="shared" si="5"/>
        <v>9.7610000000000002E-2</v>
      </c>
      <c r="M32" s="65">
        <f t="shared" si="5"/>
        <v>6.185750000000001E-2</v>
      </c>
      <c r="N32" s="65">
        <f t="shared" si="5"/>
        <v>14.1875</v>
      </c>
      <c r="O32" s="65">
        <f t="shared" si="5"/>
        <v>2423.2249999999999</v>
      </c>
      <c r="P32" s="65">
        <f t="shared" si="5"/>
        <v>0</v>
      </c>
      <c r="Q32" s="65">
        <f t="shared" ref="Q32:Q50" si="10">(IF(Q$27="%w/w SAR",((Q$28*10)*$B32),IF(Q$27="%w/w DM",(((Q$28*10)*($B$28/100))*$B32),IF(Q$27="kg/t SAR",(Q$28*$B32),IF(Q$27="kg/t DM",((Q$28*($B$28/100))*$B32),IF(Q$27="mg/kg SAR",((Q$28*0.001)*$B32),IF(Q$27="mg/kg DM",(((Q$28*0.001)*($B$28/100))*$B32),0)))))))*2.5</f>
        <v>137.47687500000001</v>
      </c>
      <c r="R32" s="65">
        <f t="shared" ref="R32:U50" si="11">IF(R$27="%w/w SAR",((R$28*10)*$B32),IF(R$27="%w/w DM",(((R$28*10)*($B$28/100))*$B32),IF(R$27="kg/t SAR",(R$28*$B32),IF(R$27="kg/t DM",((R$28*($B$28/100))*$B32),IF(R$27="mg/kg SAR",((R$28*0.001)*$B32),IF(R$27="mg/kg DM",(((R$28*0.001)*($B$28/100))*$B32),0))))))</f>
        <v>0</v>
      </c>
      <c r="S32" s="65">
        <f t="shared" si="11"/>
        <v>0.29396500000000003</v>
      </c>
      <c r="T32" s="65">
        <f t="shared" si="11"/>
        <v>0</v>
      </c>
      <c r="U32" s="126">
        <f t="shared" si="11"/>
        <v>0</v>
      </c>
    </row>
    <row r="33" spans="1:21" s="48" customFormat="1" ht="13" x14ac:dyDescent="0.35">
      <c r="A33" s="125" t="str">
        <f>E8</f>
        <v>Trefwtial 18</v>
      </c>
      <c r="B33" s="11">
        <v>250</v>
      </c>
      <c r="C33" s="65">
        <f t="shared" si="6"/>
        <v>38.590000000000003</v>
      </c>
      <c r="D33" s="65">
        <f t="shared" si="7"/>
        <v>6.7997452750000003</v>
      </c>
      <c r="E33" s="65">
        <f t="shared" si="8"/>
        <v>0.86163525000000019</v>
      </c>
      <c r="F33" s="65">
        <f t="shared" si="9"/>
        <v>3.7542508500000005</v>
      </c>
      <c r="G33" s="65">
        <f t="shared" si="5"/>
        <v>8.3422499999999997E-2</v>
      </c>
      <c r="H33" s="65">
        <f t="shared" si="5"/>
        <v>0.90800000000000003</v>
      </c>
      <c r="I33" s="65">
        <f t="shared" si="5"/>
        <v>0.13336249999999999</v>
      </c>
      <c r="J33" s="65">
        <f t="shared" si="5"/>
        <v>2.3267500000000003E-3</v>
      </c>
      <c r="K33" s="65">
        <f t="shared" si="5"/>
        <v>9.9880000000000021E-3</v>
      </c>
      <c r="L33" s="65">
        <f t="shared" si="5"/>
        <v>9.7610000000000002E-2</v>
      </c>
      <c r="M33" s="65">
        <f t="shared" si="5"/>
        <v>6.185750000000001E-2</v>
      </c>
      <c r="N33" s="65">
        <f t="shared" si="5"/>
        <v>14.1875</v>
      </c>
      <c r="O33" s="65">
        <f t="shared" si="5"/>
        <v>2423.2249999999999</v>
      </c>
      <c r="P33" s="65">
        <f t="shared" si="5"/>
        <v>0</v>
      </c>
      <c r="Q33" s="65">
        <f t="shared" si="10"/>
        <v>137.47687500000001</v>
      </c>
      <c r="R33" s="65">
        <f t="shared" si="11"/>
        <v>0</v>
      </c>
      <c r="S33" s="65">
        <f t="shared" si="11"/>
        <v>0.29396500000000003</v>
      </c>
      <c r="T33" s="65">
        <f t="shared" si="11"/>
        <v>0</v>
      </c>
      <c r="U33" s="126">
        <f t="shared" si="11"/>
        <v>0</v>
      </c>
    </row>
    <row r="34" spans="1:21" s="48" customFormat="1" ht="13" x14ac:dyDescent="0.35">
      <c r="A34" s="125" t="str">
        <f>F8</f>
        <v>Rhosygadair 4</v>
      </c>
      <c r="B34" s="11">
        <v>50</v>
      </c>
      <c r="C34" s="65">
        <f t="shared" si="6"/>
        <v>7.7180000000000009</v>
      </c>
      <c r="D34" s="65">
        <f t="shared" si="7"/>
        <v>1.359949055</v>
      </c>
      <c r="E34" s="65">
        <f t="shared" si="8"/>
        <v>0.17232705000000004</v>
      </c>
      <c r="F34" s="65">
        <f t="shared" si="9"/>
        <v>0.75085016999999998</v>
      </c>
      <c r="G34" s="65">
        <f t="shared" si="5"/>
        <v>1.6684499999999998E-2</v>
      </c>
      <c r="H34" s="65">
        <f t="shared" si="5"/>
        <v>0.18160000000000001</v>
      </c>
      <c r="I34" s="65">
        <f t="shared" si="5"/>
        <v>2.6672499999999998E-2</v>
      </c>
      <c r="J34" s="65">
        <f t="shared" si="5"/>
        <v>4.6535000000000006E-4</v>
      </c>
      <c r="K34" s="65">
        <f t="shared" si="5"/>
        <v>1.9976000000000004E-3</v>
      </c>
      <c r="L34" s="65">
        <f t="shared" si="5"/>
        <v>1.9522000000000001E-2</v>
      </c>
      <c r="M34" s="65">
        <f t="shared" si="5"/>
        <v>1.2371500000000002E-2</v>
      </c>
      <c r="N34" s="65">
        <f t="shared" si="5"/>
        <v>2.8374999999999999</v>
      </c>
      <c r="O34" s="65">
        <f t="shared" si="5"/>
        <v>484.64499999999998</v>
      </c>
      <c r="P34" s="65">
        <f t="shared" si="5"/>
        <v>0</v>
      </c>
      <c r="Q34" s="65">
        <f t="shared" si="10"/>
        <v>27.495374999999996</v>
      </c>
      <c r="R34" s="65">
        <f t="shared" si="11"/>
        <v>0</v>
      </c>
      <c r="S34" s="65">
        <f t="shared" si="11"/>
        <v>5.8793000000000005E-2</v>
      </c>
      <c r="T34" s="65">
        <f t="shared" si="11"/>
        <v>0</v>
      </c>
      <c r="U34" s="126">
        <f t="shared" si="11"/>
        <v>0</v>
      </c>
    </row>
    <row r="35" spans="1:21" s="48" customFormat="1" ht="13" x14ac:dyDescent="0.35">
      <c r="A35" s="125" t="str">
        <f>G8</f>
        <v>Rhosygadair 5</v>
      </c>
      <c r="B35" s="11">
        <v>250</v>
      </c>
      <c r="C35" s="65">
        <f t="shared" si="6"/>
        <v>38.590000000000003</v>
      </c>
      <c r="D35" s="65">
        <f t="shared" si="7"/>
        <v>6.7997452750000003</v>
      </c>
      <c r="E35" s="65">
        <f t="shared" si="8"/>
        <v>0.86163525000000019</v>
      </c>
      <c r="F35" s="65">
        <f t="shared" si="9"/>
        <v>3.7542508500000005</v>
      </c>
      <c r="G35" s="65">
        <f t="shared" si="5"/>
        <v>8.3422499999999997E-2</v>
      </c>
      <c r="H35" s="65">
        <f t="shared" si="5"/>
        <v>0.90800000000000003</v>
      </c>
      <c r="I35" s="65">
        <f t="shared" si="5"/>
        <v>0.13336249999999999</v>
      </c>
      <c r="J35" s="65">
        <f t="shared" si="5"/>
        <v>2.3267500000000003E-3</v>
      </c>
      <c r="K35" s="65">
        <f t="shared" si="5"/>
        <v>9.9880000000000021E-3</v>
      </c>
      <c r="L35" s="65">
        <f t="shared" si="5"/>
        <v>9.7610000000000002E-2</v>
      </c>
      <c r="M35" s="65">
        <f t="shared" si="5"/>
        <v>6.185750000000001E-2</v>
      </c>
      <c r="N35" s="65">
        <f t="shared" si="5"/>
        <v>14.1875</v>
      </c>
      <c r="O35" s="65">
        <f t="shared" si="5"/>
        <v>2423.2249999999999</v>
      </c>
      <c r="P35" s="65">
        <f t="shared" si="5"/>
        <v>0</v>
      </c>
      <c r="Q35" s="65">
        <f t="shared" si="10"/>
        <v>137.47687500000001</v>
      </c>
      <c r="R35" s="65">
        <f t="shared" si="11"/>
        <v>0</v>
      </c>
      <c r="S35" s="65">
        <f t="shared" si="11"/>
        <v>0.29396500000000003</v>
      </c>
      <c r="T35" s="65">
        <f t="shared" si="11"/>
        <v>0</v>
      </c>
      <c r="U35" s="126">
        <f t="shared" si="11"/>
        <v>0</v>
      </c>
    </row>
    <row r="36" spans="1:21" s="48" customFormat="1" ht="13" x14ac:dyDescent="0.35">
      <c r="A36" s="125" t="str">
        <f>H8</f>
        <v>Rhosygadair 6</v>
      </c>
      <c r="B36" s="11">
        <v>250</v>
      </c>
      <c r="C36" s="65">
        <f t="shared" si="6"/>
        <v>38.590000000000003</v>
      </c>
      <c r="D36" s="65">
        <f t="shared" si="7"/>
        <v>6.7997452750000003</v>
      </c>
      <c r="E36" s="65">
        <f t="shared" si="8"/>
        <v>0.86163525000000019</v>
      </c>
      <c r="F36" s="65">
        <f t="shared" si="9"/>
        <v>3.7542508500000005</v>
      </c>
      <c r="G36" s="65">
        <f t="shared" si="5"/>
        <v>8.3422499999999997E-2</v>
      </c>
      <c r="H36" s="65">
        <f t="shared" si="5"/>
        <v>0.90800000000000003</v>
      </c>
      <c r="I36" s="65">
        <f t="shared" si="5"/>
        <v>0.13336249999999999</v>
      </c>
      <c r="J36" s="65">
        <f t="shared" si="5"/>
        <v>2.3267500000000003E-3</v>
      </c>
      <c r="K36" s="65">
        <f t="shared" si="5"/>
        <v>9.9880000000000021E-3</v>
      </c>
      <c r="L36" s="65">
        <f t="shared" si="5"/>
        <v>9.7610000000000002E-2</v>
      </c>
      <c r="M36" s="65">
        <f t="shared" si="5"/>
        <v>6.185750000000001E-2</v>
      </c>
      <c r="N36" s="65">
        <f t="shared" si="5"/>
        <v>14.1875</v>
      </c>
      <c r="O36" s="65">
        <f t="shared" si="5"/>
        <v>2423.2249999999999</v>
      </c>
      <c r="P36" s="65">
        <f t="shared" si="5"/>
        <v>0</v>
      </c>
      <c r="Q36" s="65">
        <f t="shared" si="10"/>
        <v>137.47687500000001</v>
      </c>
      <c r="R36" s="65">
        <f t="shared" si="11"/>
        <v>0</v>
      </c>
      <c r="S36" s="65">
        <f t="shared" si="11"/>
        <v>0.29396500000000003</v>
      </c>
      <c r="T36" s="65">
        <f t="shared" si="11"/>
        <v>0</v>
      </c>
      <c r="U36" s="126">
        <f t="shared" si="11"/>
        <v>0</v>
      </c>
    </row>
    <row r="37" spans="1:21" s="48" customFormat="1" ht="13" x14ac:dyDescent="0.35">
      <c r="A37" s="125" t="str">
        <f>I8</f>
        <v>Rhosygadair 7</v>
      </c>
      <c r="B37" s="11">
        <v>250</v>
      </c>
      <c r="C37" s="65">
        <f t="shared" si="6"/>
        <v>38.590000000000003</v>
      </c>
      <c r="D37" s="65">
        <f t="shared" si="7"/>
        <v>6.7997452750000003</v>
      </c>
      <c r="E37" s="65">
        <f t="shared" si="8"/>
        <v>0.86163525000000019</v>
      </c>
      <c r="F37" s="65">
        <f t="shared" si="9"/>
        <v>3.7542508500000005</v>
      </c>
      <c r="G37" s="65">
        <f t="shared" si="5"/>
        <v>8.3422499999999997E-2</v>
      </c>
      <c r="H37" s="65">
        <f t="shared" si="5"/>
        <v>0.90800000000000003</v>
      </c>
      <c r="I37" s="65">
        <f t="shared" si="5"/>
        <v>0.13336249999999999</v>
      </c>
      <c r="J37" s="65">
        <f t="shared" si="5"/>
        <v>2.3267500000000003E-3</v>
      </c>
      <c r="K37" s="65">
        <f t="shared" si="5"/>
        <v>9.9880000000000021E-3</v>
      </c>
      <c r="L37" s="65">
        <f t="shared" si="5"/>
        <v>9.7610000000000002E-2</v>
      </c>
      <c r="M37" s="65">
        <f t="shared" si="5"/>
        <v>6.185750000000001E-2</v>
      </c>
      <c r="N37" s="65">
        <f t="shared" si="5"/>
        <v>14.1875</v>
      </c>
      <c r="O37" s="65">
        <f t="shared" si="5"/>
        <v>2423.2249999999999</v>
      </c>
      <c r="P37" s="65">
        <f t="shared" si="5"/>
        <v>0</v>
      </c>
      <c r="Q37" s="65">
        <f t="shared" si="10"/>
        <v>137.47687500000001</v>
      </c>
      <c r="R37" s="65">
        <f t="shared" si="11"/>
        <v>0</v>
      </c>
      <c r="S37" s="65">
        <f t="shared" si="11"/>
        <v>0.29396500000000003</v>
      </c>
      <c r="T37" s="65">
        <f t="shared" si="11"/>
        <v>0</v>
      </c>
      <c r="U37" s="126">
        <f t="shared" si="11"/>
        <v>0</v>
      </c>
    </row>
    <row r="38" spans="1:21" s="48" customFormat="1" ht="13" x14ac:dyDescent="0.35">
      <c r="A38" s="125" t="str">
        <f>J8</f>
        <v>Bigni 8</v>
      </c>
      <c r="B38" s="11">
        <v>250</v>
      </c>
      <c r="C38" s="65">
        <f t="shared" si="6"/>
        <v>38.590000000000003</v>
      </c>
      <c r="D38" s="65">
        <f t="shared" si="7"/>
        <v>6.7997452750000003</v>
      </c>
      <c r="E38" s="65">
        <f t="shared" si="8"/>
        <v>0.86163525000000019</v>
      </c>
      <c r="F38" s="65">
        <f t="shared" si="9"/>
        <v>3.7542508500000005</v>
      </c>
      <c r="G38" s="65">
        <f t="shared" si="5"/>
        <v>8.3422499999999997E-2</v>
      </c>
      <c r="H38" s="65">
        <f t="shared" si="5"/>
        <v>0.90800000000000003</v>
      </c>
      <c r="I38" s="65">
        <f t="shared" si="5"/>
        <v>0.13336249999999999</v>
      </c>
      <c r="J38" s="65">
        <f t="shared" si="5"/>
        <v>2.3267500000000003E-3</v>
      </c>
      <c r="K38" s="65">
        <f t="shared" si="5"/>
        <v>9.9880000000000021E-3</v>
      </c>
      <c r="L38" s="65">
        <f t="shared" si="5"/>
        <v>9.7610000000000002E-2</v>
      </c>
      <c r="M38" s="65">
        <f t="shared" si="5"/>
        <v>6.185750000000001E-2</v>
      </c>
      <c r="N38" s="65">
        <f t="shared" si="5"/>
        <v>14.1875</v>
      </c>
      <c r="O38" s="65">
        <f t="shared" si="5"/>
        <v>2423.2249999999999</v>
      </c>
      <c r="P38" s="65">
        <f t="shared" si="5"/>
        <v>0</v>
      </c>
      <c r="Q38" s="65">
        <f t="shared" si="10"/>
        <v>137.47687500000001</v>
      </c>
      <c r="R38" s="65">
        <f t="shared" si="11"/>
        <v>0</v>
      </c>
      <c r="S38" s="65">
        <f t="shared" si="11"/>
        <v>0.29396500000000003</v>
      </c>
      <c r="T38" s="65">
        <f t="shared" si="11"/>
        <v>0</v>
      </c>
      <c r="U38" s="126">
        <f t="shared" si="11"/>
        <v>0</v>
      </c>
    </row>
    <row r="39" spans="1:21" s="48" customFormat="1" ht="13" x14ac:dyDescent="0.35">
      <c r="A39" s="125" t="str">
        <f>K8</f>
        <v>Bigni 9</v>
      </c>
      <c r="B39" s="11">
        <v>250</v>
      </c>
      <c r="C39" s="65">
        <f t="shared" si="6"/>
        <v>38.590000000000003</v>
      </c>
      <c r="D39" s="65">
        <f t="shared" si="7"/>
        <v>6.7997452750000003</v>
      </c>
      <c r="E39" s="65">
        <f t="shared" si="8"/>
        <v>0.86163525000000019</v>
      </c>
      <c r="F39" s="65">
        <f t="shared" si="9"/>
        <v>3.7542508500000005</v>
      </c>
      <c r="G39" s="65">
        <f t="shared" si="5"/>
        <v>8.3422499999999997E-2</v>
      </c>
      <c r="H39" s="65">
        <f t="shared" si="5"/>
        <v>0.90800000000000003</v>
      </c>
      <c r="I39" s="65">
        <f t="shared" si="5"/>
        <v>0.13336249999999999</v>
      </c>
      <c r="J39" s="65">
        <f t="shared" si="5"/>
        <v>2.3267500000000003E-3</v>
      </c>
      <c r="K39" s="65">
        <f t="shared" si="5"/>
        <v>9.9880000000000021E-3</v>
      </c>
      <c r="L39" s="65">
        <f t="shared" si="5"/>
        <v>9.7610000000000002E-2</v>
      </c>
      <c r="M39" s="65">
        <f t="shared" si="5"/>
        <v>6.185750000000001E-2</v>
      </c>
      <c r="N39" s="65">
        <f t="shared" si="5"/>
        <v>14.1875</v>
      </c>
      <c r="O39" s="65">
        <f t="shared" si="5"/>
        <v>2423.2249999999999</v>
      </c>
      <c r="P39" s="65">
        <f t="shared" si="5"/>
        <v>0</v>
      </c>
      <c r="Q39" s="65">
        <f t="shared" si="10"/>
        <v>137.47687500000001</v>
      </c>
      <c r="R39" s="65">
        <f t="shared" si="11"/>
        <v>0</v>
      </c>
      <c r="S39" s="65">
        <f t="shared" si="11"/>
        <v>0.29396500000000003</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Trefwtial 16</v>
      </c>
      <c r="C57" s="8" t="str">
        <f t="shared" ref="C57:U57" si="13">D8</f>
        <v>Trefwtial 17</v>
      </c>
      <c r="D57" s="8" t="str">
        <f t="shared" si="13"/>
        <v>Trefwtial 18</v>
      </c>
      <c r="E57" s="8" t="str">
        <f t="shared" si="13"/>
        <v>Rhosygadair 4</v>
      </c>
      <c r="F57" s="8" t="str">
        <f t="shared" si="13"/>
        <v>Rhosygadair 5</v>
      </c>
      <c r="G57" s="8" t="str">
        <f t="shared" si="13"/>
        <v>Rhosygadair 6</v>
      </c>
      <c r="H57" s="8" t="str">
        <f t="shared" si="13"/>
        <v>Rhosygadair 7</v>
      </c>
      <c r="I57" s="8" t="str">
        <f t="shared" si="13"/>
        <v>Bigni 8</v>
      </c>
      <c r="J57" s="8" t="str">
        <f t="shared" si="13"/>
        <v>Bigni 9</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Arable</v>
      </c>
      <c r="C58" s="10" t="str">
        <f>D16&amp;" I "&amp;(VLOOKUP(D14,Table24567[],6,FALSE))</f>
        <v>Medium/Clay I Grass</v>
      </c>
      <c r="D58" s="10" t="str">
        <f>E16&amp;" I "&amp;(VLOOKUP(E14,Table24567[],6,FALSE))</f>
        <v>Medium/Clay I Arable</v>
      </c>
      <c r="E58" s="10" t="str">
        <f>F16&amp;" I "&amp;(VLOOKUP(F14,Table24567[],6,FALSE))</f>
        <v>Medium/Clay I Arable</v>
      </c>
      <c r="F58" s="10" t="str">
        <f>G16&amp;" I "&amp;(VLOOKUP(G14,Table24567[],6,FALSE))</f>
        <v>Medium/Clay I Arable</v>
      </c>
      <c r="G58" s="10" t="str">
        <f>H16&amp;" I "&amp;(VLOOKUP(H14,Table24567[],6,FALSE))</f>
        <v>Medium/Clay I Arable</v>
      </c>
      <c r="H58" s="10" t="str">
        <f>I16&amp;" I "&amp;(VLOOKUP(I14,Table24567[],6,FALSE))</f>
        <v>Medium/Clay I Grass</v>
      </c>
      <c r="I58" s="10" t="str">
        <f>J16&amp;" I "&amp;(VLOOKUP(J14,Table24567[],6,FALSE))</f>
        <v>Medium/Clay I Arable</v>
      </c>
      <c r="J58" s="10" t="str">
        <f>K16&amp;" I "&amp;(VLOOKUP(K14,Table24567[],6,FALSE))</f>
        <v>Medium/Clay I Arable</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6.7</v>
      </c>
      <c r="C59" s="64">
        <f>VLOOKUP(D$14,Table24567[],5,FALSE)</f>
        <v>6.2</v>
      </c>
      <c r="D59" s="64">
        <f>VLOOKUP(E$14,Table24567[],5,FALSE)</f>
        <v>6.7</v>
      </c>
      <c r="E59" s="64">
        <f>VLOOKUP(F$14,Table24567[],5,FALSE)</f>
        <v>6.7</v>
      </c>
      <c r="F59" s="64">
        <f>VLOOKUP(G$14,Table24567[],5,FALSE)</f>
        <v>6.7</v>
      </c>
      <c r="G59" s="64">
        <f>VLOOKUP(H$14,Table24567[],5,FALSE)</f>
        <v>6.7</v>
      </c>
      <c r="H59" s="64">
        <f>VLOOKUP(I$14,Table24567[],5,FALSE)</f>
        <v>6.2</v>
      </c>
      <c r="I59" s="64">
        <f>VLOOKUP(J$14,Table24567[],5,FALSE)</f>
        <v>6.7</v>
      </c>
      <c r="J59" s="64">
        <f>VLOOKUP(K$14,Table24567[],5,FALSE)</f>
        <v>6.7</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5.7</v>
      </c>
      <c r="C60" s="64">
        <f t="shared" ref="C60:U60" si="14">D10</f>
        <v>5.7</v>
      </c>
      <c r="D60" s="64">
        <f t="shared" si="14"/>
        <v>5.7</v>
      </c>
      <c r="E60" s="64">
        <f t="shared" si="14"/>
        <v>5.7</v>
      </c>
      <c r="F60" s="64">
        <f t="shared" si="14"/>
        <v>5.9</v>
      </c>
      <c r="G60" s="64">
        <f t="shared" si="14"/>
        <v>5.8</v>
      </c>
      <c r="H60" s="64">
        <f t="shared" si="14"/>
        <v>6.5</v>
      </c>
      <c r="I60" s="64">
        <f t="shared" si="14"/>
        <v>6.3</v>
      </c>
      <c r="J60" s="64">
        <f t="shared" si="14"/>
        <v>5.8</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8</v>
      </c>
      <c r="C61" s="64">
        <f t="shared" si="15"/>
        <v>6</v>
      </c>
      <c r="D61" s="64">
        <f t="shared" si="15"/>
        <v>8</v>
      </c>
      <c r="E61" s="64">
        <f t="shared" si="15"/>
        <v>8</v>
      </c>
      <c r="F61" s="64">
        <f t="shared" si="15"/>
        <v>8</v>
      </c>
      <c r="G61" s="64">
        <f t="shared" si="15"/>
        <v>8</v>
      </c>
      <c r="H61" s="64">
        <f t="shared" si="15"/>
        <v>6</v>
      </c>
      <c r="I61" s="64">
        <f t="shared" si="15"/>
        <v>8</v>
      </c>
      <c r="J61" s="64">
        <f t="shared" si="15"/>
        <v>8</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50</v>
      </c>
      <c r="C62" s="65">
        <f>B32</f>
        <v>250</v>
      </c>
      <c r="D62" s="65">
        <f>B33</f>
        <v>250</v>
      </c>
      <c r="E62" s="65">
        <f>B34</f>
        <v>50</v>
      </c>
      <c r="F62" s="65">
        <f>B35</f>
        <v>250</v>
      </c>
      <c r="G62" s="65">
        <f>B36</f>
        <v>250</v>
      </c>
      <c r="H62" s="65">
        <f>B37</f>
        <v>250</v>
      </c>
      <c r="I62" s="65">
        <f>B38</f>
        <v>250</v>
      </c>
      <c r="J62" s="65">
        <f>B39</f>
        <v>250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8</v>
      </c>
      <c r="C64" s="65">
        <f t="shared" ref="C64:U64" si="17">(C59-C60)*C61</f>
        <v>3</v>
      </c>
      <c r="D64" s="65">
        <f t="shared" si="17"/>
        <v>8</v>
      </c>
      <c r="E64" s="65">
        <f t="shared" si="17"/>
        <v>8</v>
      </c>
      <c r="F64" s="65">
        <f t="shared" si="17"/>
        <v>6.3999999999999986</v>
      </c>
      <c r="G64" s="65">
        <f t="shared" si="17"/>
        <v>7.2000000000000028</v>
      </c>
      <c r="H64" s="65">
        <f t="shared" si="17"/>
        <v>-1.7999999999999989</v>
      </c>
      <c r="I64" s="65">
        <f t="shared" si="17"/>
        <v>3.2000000000000028</v>
      </c>
      <c r="J64" s="65">
        <f t="shared" si="17"/>
        <v>7.2000000000000028</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-8</v>
      </c>
      <c r="C65" s="65">
        <f t="shared" ref="C65:U65" si="18">C63-C64</f>
        <v>-3</v>
      </c>
      <c r="D65" s="65">
        <f t="shared" si="18"/>
        <v>-8</v>
      </c>
      <c r="E65" s="65">
        <f t="shared" si="18"/>
        <v>-8</v>
      </c>
      <c r="F65" s="65">
        <f t="shared" si="18"/>
        <v>-6.3999999999999986</v>
      </c>
      <c r="G65" s="65">
        <f t="shared" si="18"/>
        <v>-7.2000000000000028</v>
      </c>
      <c r="H65" s="65">
        <f t="shared" si="18"/>
        <v>1.7999999999999989</v>
      </c>
      <c r="I65" s="65">
        <f t="shared" si="18"/>
        <v>-3.2000000000000028</v>
      </c>
      <c r="J65" s="65">
        <f t="shared" si="18"/>
        <v>-7.2000000000000028</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OVER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Q19" sqref="Q19"/>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5" t="s">
        <v>84</v>
      </c>
      <c r="B1" s="29" t="str">
        <f>'DCWW Llechryd WTW'!B29</f>
        <v>Application Rate</v>
      </c>
      <c r="C1" s="29" t="str">
        <f>'DCWW Llechryd WTW'!C29</f>
        <v>Nitrogen Addition</v>
      </c>
      <c r="D1" s="29" t="str">
        <f>'DCWW Llechryd WTW'!D29</f>
        <v>Phosphate Addition</v>
      </c>
      <c r="E1" s="29" t="str">
        <f>'DCWW Llechryd WTW'!E29</f>
        <v>Potash  Addition</v>
      </c>
      <c r="F1" s="29" t="str">
        <f>'DCWW Llechryd WTW'!F29</f>
        <v>Mg Oxide Addition</v>
      </c>
      <c r="G1" s="29" t="str">
        <f>'DCWW Llechryd WTW'!G29</f>
        <v>Copper Addition</v>
      </c>
      <c r="H1" s="29" t="str">
        <f>'DCWW Llechryd WTW'!H29</f>
        <v>Zinc Addition</v>
      </c>
      <c r="I1" s="29" t="str">
        <f>'DCWW Llechryd WTW'!I29</f>
        <v>Lead Addition</v>
      </c>
      <c r="J1" s="29" t="str">
        <f>'DCWW Llechryd WTW'!J29</f>
        <v>Cadmium Addition</v>
      </c>
      <c r="K1" s="29" t="str">
        <f>'DCWW Llechryd WTW'!K29</f>
        <v>Mercury Addition</v>
      </c>
      <c r="L1" s="29" t="str">
        <f>'DCWW Llechryd WTW'!L29</f>
        <v>Nickel Addition</v>
      </c>
      <c r="M1" s="29" t="str">
        <f>'DCWW Llechryd WTW'!M29</f>
        <v>Chromium Addition</v>
      </c>
      <c r="N1" s="29" t="str">
        <f>'DCWW Llechryd WTW'!N29</f>
        <v>Aluminium Addition</v>
      </c>
      <c r="O1" s="29" t="str">
        <f>'DCWW Llechryd WTW'!O29</f>
        <v>Iron Addition</v>
      </c>
      <c r="P1" s="29" t="str">
        <f>'DCWW Llechryd WTW'!P29</f>
        <v xml:space="preserve">Sodium Addition                 </v>
      </c>
      <c r="Q1" s="29" t="str">
        <f>'DCWW Llechryd WTW'!Q29</f>
        <v>SO3  Addition                             kg/ha</v>
      </c>
      <c r="R1" s="29" t="str">
        <f>'DCWW Llechryd WTW'!R29</f>
        <v xml:space="preserve">Selenium Addition </v>
      </c>
      <c r="S1" s="29" t="str">
        <f>'DCWW Llechryd WTW'!S29</f>
        <v xml:space="preserve">Arsenic  Addition  </v>
      </c>
      <c r="T1" s="29" t="str">
        <f>'DCWW Llechryd WTW'!T29</f>
        <v xml:space="preserve">Molybdenum Addition  </v>
      </c>
      <c r="U1" s="29" t="str">
        <f>'DCWW Llechryd WTW'!U29</f>
        <v xml:space="preserve">Fluoride Addition </v>
      </c>
    </row>
    <row r="2" spans="1:21" ht="25" x14ac:dyDescent="0.25">
      <c r="A2" s="175"/>
      <c r="B2" s="29" t="str">
        <f>'DCWW Llechryd WTW'!B30</f>
        <v>tonnes/ha</v>
      </c>
      <c r="C2" s="29" t="str">
        <f>'DCWW Llechryd WTW'!C30</f>
        <v>kg/ha</v>
      </c>
      <c r="D2" s="29" t="str">
        <f>'DCWW Llechryd WTW'!D30</f>
        <v>P2O5 
kg/ha</v>
      </c>
      <c r="E2" s="29" t="str">
        <f>'DCWW Llechryd WTW'!E30</f>
        <v>K2O 
kg/ha</v>
      </c>
      <c r="F2" s="29" t="str">
        <f>'DCWW Llechryd WTW'!F30</f>
        <v>MgO 
kg/ha</v>
      </c>
      <c r="G2" s="29" t="str">
        <f>'DCWW Llechryd WTW'!G30</f>
        <v>kg/ha</v>
      </c>
      <c r="H2" s="29" t="str">
        <f>'DCWW Llechryd WTW'!H30</f>
        <v>kg/ha</v>
      </c>
      <c r="I2" s="29" t="str">
        <f>'DCWW Llechryd WTW'!I30</f>
        <v>kg/ha</v>
      </c>
      <c r="J2" s="29" t="str">
        <f>'DCWW Llechryd WTW'!J30</f>
        <v>kg/ha</v>
      </c>
      <c r="K2" s="29" t="str">
        <f>'DCWW Llechryd WTW'!K30</f>
        <v>kg/ha</v>
      </c>
      <c r="L2" s="29" t="str">
        <f>'DCWW Llechryd WTW'!L30</f>
        <v>kg/ha</v>
      </c>
      <c r="M2" s="29" t="str">
        <f>'DCWW Llechryd WTW'!M30</f>
        <v>kg/ha</v>
      </c>
      <c r="N2" s="29" t="str">
        <f>'DCWW Llechryd WTW'!N30</f>
        <v>kg/ha</v>
      </c>
      <c r="O2" s="29" t="str">
        <f>'DCWW Llechryd WTW'!O30</f>
        <v>kg/ha</v>
      </c>
      <c r="P2" s="29" t="str">
        <f>'DCWW Llechryd WTW'!P30</f>
        <v>kg/ha</v>
      </c>
      <c r="Q2" s="29" t="str">
        <f>'DCWW Llechryd WTW'!Q30</f>
        <v>kg/ha</v>
      </c>
      <c r="R2" s="29" t="str">
        <f>'DCWW Llechryd WTW'!R30</f>
        <v>kg/ha</v>
      </c>
      <c r="S2" s="29" t="str">
        <f>'DCWW Llechryd WTW'!S30</f>
        <v>kg/ha</v>
      </c>
      <c r="T2" s="29" t="str">
        <f>'DCWW Llechryd WTW'!T30</f>
        <v>kg/ha</v>
      </c>
      <c r="U2" s="29" t="str">
        <f>'DCWW Llechryd WTW'!U30</f>
        <v>kg/ha</v>
      </c>
    </row>
    <row r="3" spans="1:21" x14ac:dyDescent="0.25">
      <c r="A3" s="27">
        <v>1</v>
      </c>
      <c r="B3" s="24">
        <f>'DCWW Llechryd WTW'!B31</f>
        <v>50</v>
      </c>
      <c r="C3" s="24">
        <f>'DCWW Llechryd WTW'!C31</f>
        <v>75.358000000000004</v>
      </c>
      <c r="D3" s="24">
        <f>'DCWW Llechryd WTW'!D31</f>
        <v>60.867287999999995</v>
      </c>
      <c r="E3" s="24">
        <f>'DCWW Llechryd WTW'!E31</f>
        <v>5.4444310000000007</v>
      </c>
      <c r="F3" s="24">
        <f>'DCWW Llechryd WTW'!F31</f>
        <v>19.305751999999995</v>
      </c>
      <c r="G3" s="24">
        <f>'DCWW Llechryd WTW'!G31</f>
        <v>0.31652000000000002</v>
      </c>
      <c r="H3" s="24">
        <f>'DCWW Llechryd WTW'!H31</f>
        <v>1.0331999999999999</v>
      </c>
      <c r="I3" s="24">
        <f>'DCWW Llechryd WTW'!I31</f>
        <v>0.18121999999999999</v>
      </c>
      <c r="J3" s="24">
        <f>'DCWW Llechryd WTW'!J31</f>
        <v>2.7879999999999997E-3</v>
      </c>
      <c r="K3" s="24">
        <f>'DCWW Llechryd WTW'!K31</f>
        <v>2.5419999999999996E-3</v>
      </c>
      <c r="L3" s="24">
        <f>'DCWW Llechryd WTW'!L31</f>
        <v>0.1394</v>
      </c>
      <c r="M3" s="24">
        <f>'DCWW Llechryd WTW'!M31</f>
        <v>0.13366</v>
      </c>
      <c r="N3" s="24">
        <f>'DCWW Llechryd WTW'!N31</f>
        <v>58.875999999999998</v>
      </c>
      <c r="O3" s="24">
        <f>'DCWW Llechryd WTW'!O31</f>
        <v>1533.3999999999999</v>
      </c>
      <c r="P3" s="24">
        <f>'DCWW Llechryd WTW'!P31</f>
        <v>0</v>
      </c>
      <c r="Q3" s="24">
        <f>'DCWW Llechryd WTW'!Q31</f>
        <v>77.489999999999981</v>
      </c>
      <c r="R3" s="24">
        <f>'DCWW Llechryd WTW'!R31</f>
        <v>0</v>
      </c>
      <c r="S3" s="24">
        <f>'DCWW Llechryd WTW'!S31</f>
        <v>0.18121999999999999</v>
      </c>
      <c r="T3" s="24">
        <f>'DCWW Llechryd WTW'!T31</f>
        <v>0</v>
      </c>
      <c r="U3" s="24">
        <f>'DCWW Llechryd WTW'!U31</f>
        <v>0</v>
      </c>
    </row>
    <row r="4" spans="1:21" x14ac:dyDescent="0.25">
      <c r="A4" s="27">
        <v>2</v>
      </c>
      <c r="B4" s="24">
        <f>'DCWW Bontgoch WTW'!B31</f>
        <v>19</v>
      </c>
      <c r="C4" s="24">
        <f>'DCWW Bontgoch WTW'!C31</f>
        <v>55.155099999999997</v>
      </c>
      <c r="D4" s="24">
        <f>'DCWW Bontgoch WTW'!D31</f>
        <v>62.738347700000006</v>
      </c>
      <c r="E4" s="24">
        <f>'DCWW Bontgoch WTW'!E31</f>
        <v>0.97136616500000006</v>
      </c>
      <c r="F4" s="24">
        <f>'DCWW Bontgoch WTW'!F31</f>
        <v>4.4636443880000005</v>
      </c>
      <c r="G4" s="24">
        <f>'DCWW Bontgoch WTW'!G31</f>
        <v>9.6039299999999994E-2</v>
      </c>
      <c r="H4" s="24">
        <f>'DCWW Bontgoch WTW'!H31</f>
        <v>1.8320750000000001</v>
      </c>
      <c r="I4" s="24">
        <f>'DCWW Bontgoch WTW'!I31</f>
        <v>0.42041300000000004</v>
      </c>
      <c r="J4" s="24">
        <f>'DCWW Bontgoch WTW'!J31</f>
        <v>3.7027200000000005E-3</v>
      </c>
      <c r="K4" s="24">
        <f>'DCWW Bontgoch WTW'!K31</f>
        <v>9.2568000000000012E-4</v>
      </c>
      <c r="L4" s="24">
        <f>'DCWW Bontgoch WTW'!L31</f>
        <v>0.10182480000000001</v>
      </c>
      <c r="M4" s="24">
        <f>'DCWW Bontgoch WTW'!M31</f>
        <v>6.5569000000000016E-2</v>
      </c>
      <c r="N4" s="24">
        <f>'DCWW Bontgoch WTW'!N31</f>
        <v>30.894570000000002</v>
      </c>
      <c r="O4" s="24">
        <f>'DCWW Bontgoch WTW'!O31</f>
        <v>1461.8030000000003</v>
      </c>
      <c r="P4" s="24">
        <f>'DCWW Bontgoch WTW'!P31</f>
        <v>0</v>
      </c>
      <c r="Q4" s="24">
        <f>'DCWW Bontgoch WTW'!Q31</f>
        <v>32.398800000000001</v>
      </c>
      <c r="R4" s="24">
        <f>'DCWW Bontgoch WTW'!R31</f>
        <v>0</v>
      </c>
      <c r="S4" s="24">
        <f>'DCWW Bontgoch WTW'!S31</f>
        <v>0.26189030000000002</v>
      </c>
      <c r="T4" s="24">
        <f>'DCWW Bontgoch WTW'!T31</f>
        <v>0</v>
      </c>
      <c r="U4" s="24">
        <f>'DCWW Bontgoch WTW'!U31</f>
        <v>0</v>
      </c>
    </row>
    <row r="5" spans="1:21" x14ac:dyDescent="0.25">
      <c r="A5" s="27">
        <v>3</v>
      </c>
      <c r="B5" s="24">
        <f>'DCWW Bolton Hill WTW cake'!B31</f>
        <v>0</v>
      </c>
      <c r="C5" s="24">
        <f>'DCWW Bolton Hill WTW cake'!C31</f>
        <v>0</v>
      </c>
      <c r="D5" s="24">
        <f>'DCWW Bolton Hill WTW cake'!D31</f>
        <v>0</v>
      </c>
      <c r="E5" s="24">
        <f>'DCWW Bolton Hill WTW cake'!E31</f>
        <v>0</v>
      </c>
      <c r="F5" s="24">
        <f>'DCWW Bolton Hill WTW cake'!F31</f>
        <v>0</v>
      </c>
      <c r="G5" s="24">
        <f>'DCWW Bolton Hill WTW cake'!G31</f>
        <v>0</v>
      </c>
      <c r="H5" s="24">
        <f>'DCWW Bolton Hill WTW cake'!H31</f>
        <v>0</v>
      </c>
      <c r="I5" s="24">
        <f>'DCWW Bolton Hill WTW cake'!I31</f>
        <v>0</v>
      </c>
      <c r="J5" s="24">
        <f>'DCWW Bolton Hill WTW cake'!J31</f>
        <v>0</v>
      </c>
      <c r="K5" s="24">
        <f>'DCWW Bolton Hill WTW cake'!K31</f>
        <v>0</v>
      </c>
      <c r="L5" s="24">
        <f>'DCWW Bolton Hill WTW cake'!L31</f>
        <v>0</v>
      </c>
      <c r="M5" s="24">
        <f>'DCWW Bolton Hill WTW cake'!M31</f>
        <v>0</v>
      </c>
      <c r="N5" s="24">
        <f>'DCWW Bolton Hill WTW cake'!N31</f>
        <v>0</v>
      </c>
      <c r="O5" s="24">
        <f>'DCWW Bolton Hill WTW cake'!O31</f>
        <v>0</v>
      </c>
      <c r="P5" s="24">
        <f>'DCWW Bolton Hill WTW cake'!P31</f>
        <v>0</v>
      </c>
      <c r="Q5" s="24">
        <f>'DCWW Bolton Hill WTW cake'!Q31</f>
        <v>0</v>
      </c>
      <c r="R5" s="24">
        <f>'DCWW Bolton Hill WTW cake'!R31</f>
        <v>0</v>
      </c>
      <c r="S5" s="24">
        <f>'DCWW Bolton Hill WTW cake'!S31</f>
        <v>0</v>
      </c>
      <c r="T5" s="24">
        <f>'DCWW Bolton Hill WTW cake'!T31</f>
        <v>0</v>
      </c>
      <c r="U5" s="24">
        <f>'DCWW Bolton Hill WTW cake'!U31</f>
        <v>0</v>
      </c>
    </row>
    <row r="6" spans="1:21" x14ac:dyDescent="0.25">
      <c r="A6" s="27">
        <v>4</v>
      </c>
      <c r="B6" s="24">
        <f>'DCWW Preseli WTW'!B31</f>
        <v>0</v>
      </c>
      <c r="C6" s="24">
        <f>'DCWW Preseli WTW'!C31</f>
        <v>0</v>
      </c>
      <c r="D6" s="24">
        <f>'DCWW Preseli WTW'!D31</f>
        <v>0</v>
      </c>
      <c r="E6" s="24">
        <f>'DCWW Preseli WTW'!E31</f>
        <v>0</v>
      </c>
      <c r="F6" s="24">
        <f>'DCWW Preseli WTW'!F31</f>
        <v>0</v>
      </c>
      <c r="G6" s="24">
        <f>'DCWW Preseli WTW'!G31</f>
        <v>0</v>
      </c>
      <c r="H6" s="24">
        <f>'DCWW Preseli WTW'!H31</f>
        <v>0</v>
      </c>
      <c r="I6" s="24">
        <f>'DCWW Preseli WTW'!I31</f>
        <v>0</v>
      </c>
      <c r="J6" s="24">
        <f>'DCWW Preseli WTW'!J31</f>
        <v>0</v>
      </c>
      <c r="K6" s="24">
        <f>'DCWW Preseli WTW'!K31</f>
        <v>0</v>
      </c>
      <c r="L6" s="24">
        <f>'DCWW Preseli WTW'!L31</f>
        <v>0</v>
      </c>
      <c r="M6" s="24">
        <f>'DCWW Preseli WTW'!M31</f>
        <v>0</v>
      </c>
      <c r="N6" s="24">
        <f>'DCWW Preseli WTW'!N31</f>
        <v>0</v>
      </c>
      <c r="O6" s="24">
        <f>'DCWW Preseli WTW'!O31</f>
        <v>0</v>
      </c>
      <c r="P6" s="24">
        <f>'DCWW Preseli WTW'!P31</f>
        <v>0</v>
      </c>
      <c r="Q6" s="24">
        <f>'DCWW Preseli WTW'!Q31</f>
        <v>0</v>
      </c>
      <c r="R6" s="24">
        <f>'DCWW Preseli WTW'!R31</f>
        <v>0</v>
      </c>
      <c r="S6" s="24">
        <f>'DCWW Preseli WTW'!S31</f>
        <v>0</v>
      </c>
      <c r="T6" s="24">
        <f>'DCWW Preseli WTW'!T31</f>
        <v>0</v>
      </c>
      <c r="U6" s="24">
        <f>'DCWW Preseli WTW'!U31</f>
        <v>0</v>
      </c>
    </row>
    <row r="7" spans="1:21" x14ac:dyDescent="0.25">
      <c r="A7" s="27">
        <v>5</v>
      </c>
      <c r="B7" s="24">
        <f>'DCWW Strata Florida WTW'!B31</f>
        <v>0</v>
      </c>
      <c r="C7" s="24">
        <f>'DCWW Strata Florida WTW'!C31</f>
        <v>0</v>
      </c>
      <c r="D7" s="24">
        <f>'DCWW Strata Florida WTW'!D31</f>
        <v>0</v>
      </c>
      <c r="E7" s="24">
        <f>'DCWW Strata Florida WTW'!E31</f>
        <v>0</v>
      </c>
      <c r="F7" s="24">
        <f>'DCWW Strata Florida WTW'!F31</f>
        <v>0</v>
      </c>
      <c r="G7" s="24">
        <f>'DCWW Strata Florida WTW'!G31</f>
        <v>0</v>
      </c>
      <c r="H7" s="24">
        <f>'DCWW Strata Florida WTW'!H31</f>
        <v>0</v>
      </c>
      <c r="I7" s="24">
        <f>'DCWW Strata Florida WTW'!I31</f>
        <v>0</v>
      </c>
      <c r="J7" s="24">
        <f>'DCWW Strata Florida WTW'!J31</f>
        <v>0</v>
      </c>
      <c r="K7" s="24">
        <f>'DCWW Strata Florida WTW'!K31</f>
        <v>0</v>
      </c>
      <c r="L7" s="24">
        <f>'DCWW Strata Florida WTW'!L31</f>
        <v>0</v>
      </c>
      <c r="M7" s="24">
        <f>'DCWW Strata Florida WTW'!M31</f>
        <v>0</v>
      </c>
      <c r="N7" s="24">
        <f>'DCWW Strata Florida WTW'!N31</f>
        <v>0</v>
      </c>
      <c r="O7" s="24">
        <f>'DCWW Strata Florida WTW'!O31</f>
        <v>0</v>
      </c>
      <c r="P7" s="24">
        <f>'DCWW Strata Florida WTW'!P31</f>
        <v>0</v>
      </c>
      <c r="Q7" s="24">
        <f>'DCWW Strata Florida WTW'!Q31</f>
        <v>0</v>
      </c>
      <c r="R7" s="24">
        <f>'DCWW Strata Florida WTW'!R31</f>
        <v>0</v>
      </c>
      <c r="S7" s="24">
        <f>'DCWW Strata Florida WTW'!S31</f>
        <v>0</v>
      </c>
      <c r="T7" s="24">
        <f>'DCWW Strata Florida WTW'!T31</f>
        <v>0</v>
      </c>
      <c r="U7" s="24">
        <f>'DCWW Strata Florida WTW'!U31</f>
        <v>0</v>
      </c>
    </row>
    <row r="8" spans="1:21" x14ac:dyDescent="0.25">
      <c r="A8" s="27">
        <v>6</v>
      </c>
      <c r="B8" s="24">
        <f>'DCWW Llechryd 2 WTW sludge'!B31</f>
        <v>50</v>
      </c>
      <c r="C8" s="24">
        <f>'DCWW Llechryd 2 WTW sludge'!C31</f>
        <v>14.932800000000002</v>
      </c>
      <c r="D8" s="24">
        <f>'DCWW Llechryd 2 WTW sludge'!D31</f>
        <v>19.454026500000005</v>
      </c>
      <c r="E8" s="24">
        <f>'DCWW Llechryd 2 WTW sludge'!E31</f>
        <v>1.0545678000000003</v>
      </c>
      <c r="F8" s="24">
        <f>'DCWW Llechryd 2 WTW sludge'!F31</f>
        <v>2.1333983399999998</v>
      </c>
      <c r="G8" s="24">
        <f>'DCWW Llechryd 2 WTW sludge'!G31</f>
        <v>7.8489000000000003E-2</v>
      </c>
      <c r="H8" s="24">
        <f>'DCWW Llechryd 2 WTW sludge'!H31</f>
        <v>0.20349</v>
      </c>
      <c r="I8" s="24">
        <f>'DCWW Llechryd 2 WTW sludge'!I31</f>
        <v>6.2424E-2</v>
      </c>
      <c r="J8" s="24">
        <f>'DCWW Llechryd 2 WTW sludge'!J31</f>
        <v>1.1015999999999999E-3</v>
      </c>
      <c r="K8" s="24">
        <f>'DCWW Llechryd 2 WTW sludge'!K31</f>
        <v>1.0098000000000002E-3</v>
      </c>
      <c r="L8" s="24">
        <f>'DCWW Llechryd 2 WTW sludge'!L31</f>
        <v>5.1255000000000009E-2</v>
      </c>
      <c r="M8" s="24">
        <f>'DCWW Llechryd 2 WTW sludge'!M31</f>
        <v>4.3299000000000004E-2</v>
      </c>
      <c r="N8" s="24">
        <f>'DCWW Llechryd 2 WTW sludge'!N31</f>
        <v>4.7124000000000006</v>
      </c>
      <c r="O8" s="24">
        <f>'DCWW Llechryd 2 WTW sludge'!O31</f>
        <v>480.42000000000007</v>
      </c>
      <c r="P8" s="24">
        <f>'DCWW Llechryd 2 WTW sludge'!P31</f>
        <v>0</v>
      </c>
      <c r="Q8" s="24">
        <f>'DCWW Llechryd 2 WTW sludge'!Q31</f>
        <v>12.087000000000003</v>
      </c>
      <c r="R8" s="24">
        <f>'DCWW Llechryd 2 WTW sludge'!R31</f>
        <v>0</v>
      </c>
      <c r="S8" s="24">
        <f>'DCWW Llechryd 2 WTW sludge'!S31</f>
        <v>4.3146000000000004E-2</v>
      </c>
      <c r="T8" s="24">
        <f>'DCWW Llechryd 2 WTW sludge'!T31</f>
        <v>0</v>
      </c>
      <c r="U8" s="24">
        <f>'DCWW Llechryd 2 WTW sludge'!U31</f>
        <v>0</v>
      </c>
    </row>
    <row r="9" spans="1:21" x14ac:dyDescent="0.25">
      <c r="A9" s="27">
        <v>7</v>
      </c>
      <c r="B9" s="24">
        <f>'DCWW Bryngwyn WTW'!B31</f>
        <v>50</v>
      </c>
      <c r="C9" s="24">
        <f>'DCWW Bryngwyn WTW'!C31</f>
        <v>8.2344000000000008</v>
      </c>
      <c r="D9" s="24">
        <f>'DCWW Bryngwyn WTW'!D31</f>
        <v>4.2145235999999997</v>
      </c>
      <c r="E9" s="24">
        <f>'DCWW Bryngwyn WTW'!E31</f>
        <v>0.8954837000000001</v>
      </c>
      <c r="F9" s="24">
        <f>'DCWW Bryngwyn WTW'!F31</f>
        <v>3.5341927999999996</v>
      </c>
      <c r="G9" s="24">
        <f>'DCWW Bryngwyn WTW'!G31</f>
        <v>1.8395999999999999E-2</v>
      </c>
      <c r="H9" s="24">
        <f>'DCWW Bryngwyn WTW'!H31</f>
        <v>0.29200000000000004</v>
      </c>
      <c r="I9" s="24">
        <f>'DCWW Bryngwyn WTW'!I31</f>
        <v>5.5480000000000002E-2</v>
      </c>
      <c r="J9" s="24">
        <f>'DCWW Bryngwyn WTW'!J31</f>
        <v>4.6720000000000003E-4</v>
      </c>
      <c r="K9" s="24">
        <f>'DCWW Bryngwyn WTW'!K31</f>
        <v>2.0148000000000002E-3</v>
      </c>
      <c r="L9" s="24">
        <f>'DCWW Bryngwyn WTW'!L31</f>
        <v>2.5841999999999997E-2</v>
      </c>
      <c r="M9" s="24">
        <f>'DCWW Bryngwyn WTW'!M31</f>
        <v>1.8250000000000002E-2</v>
      </c>
      <c r="N9" s="24">
        <f>'DCWW Bryngwyn WTW'!N31</f>
        <v>8.979000000000001</v>
      </c>
      <c r="O9" s="24">
        <f>'DCWW Bryngwyn WTW'!O31</f>
        <v>535.82000000000005</v>
      </c>
      <c r="P9" s="24">
        <f>'DCWW Bryngwyn WTW'!P31</f>
        <v>0</v>
      </c>
      <c r="Q9" s="24">
        <f>'DCWW Bryngwyn WTW'!Q31</f>
        <v>10.986500000000001</v>
      </c>
      <c r="R9" s="24">
        <f>'DCWW Bryngwyn WTW'!R31</f>
        <v>0</v>
      </c>
      <c r="S9" s="24">
        <f>'DCWW Bryngwyn WTW'!S31</f>
        <v>2.8324000000000002E-2</v>
      </c>
      <c r="T9" s="24">
        <f>'DCWW Bryngwyn WTW'!T31</f>
        <v>0</v>
      </c>
      <c r="U9" s="24">
        <f>'DCWW Bryngwyn WTW'!U31</f>
        <v>0</v>
      </c>
    </row>
    <row r="10" spans="1:21" x14ac:dyDescent="0.25">
      <c r="A10" s="27">
        <v>8</v>
      </c>
      <c r="B10" s="24">
        <f>'DCWW Bolton Hill 2 WTW sludge '!B31</f>
        <v>0</v>
      </c>
      <c r="C10" s="24">
        <f>'DCWW Bolton Hill 2 WTW sludge '!C31</f>
        <v>0</v>
      </c>
      <c r="D10" s="24">
        <f>'DCWW Bolton Hill 2 WTW sludge '!D31</f>
        <v>0</v>
      </c>
      <c r="E10" s="24">
        <f>'DCWW Bolton Hill 2 WTW sludge '!E31</f>
        <v>0</v>
      </c>
      <c r="F10" s="24">
        <f>'DCWW Bolton Hill 2 WTW sludge '!F31</f>
        <v>0</v>
      </c>
      <c r="G10" s="24">
        <f>'DCWW Bolton Hill 2 WTW sludge '!G31</f>
        <v>0</v>
      </c>
      <c r="H10" s="24">
        <f>'DCWW Bolton Hill 2 WTW sludge '!H31</f>
        <v>0</v>
      </c>
      <c r="I10" s="24">
        <f>'DCWW Bolton Hill 2 WTW sludge '!I31</f>
        <v>0</v>
      </c>
      <c r="J10" s="24">
        <f>'DCWW Bolton Hill 2 WTW sludge '!J31</f>
        <v>0</v>
      </c>
      <c r="K10" s="24">
        <f>'DCWW Bolton Hill 2 WTW sludge '!K31</f>
        <v>0</v>
      </c>
      <c r="L10" s="24">
        <f>'DCWW Bolton Hill 2 WTW sludge '!L31</f>
        <v>0</v>
      </c>
      <c r="M10" s="24">
        <f>'DCWW Bolton Hill 2 WTW sludge '!M31</f>
        <v>0</v>
      </c>
      <c r="N10" s="24">
        <f>'DCWW Bolton Hill 2 WTW sludge '!N31</f>
        <v>0</v>
      </c>
      <c r="O10" s="24">
        <f>'DCWW Bolton Hill 2 WTW sludge '!O31</f>
        <v>0</v>
      </c>
      <c r="P10" s="24">
        <f>'DCWW Bolton Hill 2 WTW sludge '!P31</f>
        <v>0</v>
      </c>
      <c r="Q10" s="24">
        <f>'DCWW Bolton Hill 2 WTW sludge '!Q31</f>
        <v>0</v>
      </c>
      <c r="R10" s="24">
        <f>'DCWW Bolton Hill 2 WTW sludge '!R31</f>
        <v>0</v>
      </c>
      <c r="S10" s="24">
        <f>'DCWW Bolton Hill 2 WTW sludge '!S31</f>
        <v>0</v>
      </c>
      <c r="T10" s="24">
        <f>'DCWW Bolton Hill 2 WTW sludge '!T31</f>
        <v>0</v>
      </c>
      <c r="U10" s="24">
        <f>'DCWW Bolton Hill 2 WTW sludge '!U31</f>
        <v>0</v>
      </c>
    </row>
    <row r="11" spans="1:21" x14ac:dyDescent="0.25">
      <c r="A11" s="27">
        <v>9</v>
      </c>
      <c r="B11" s="24">
        <f>'DCWW Cray WTW '!B31</f>
        <v>50</v>
      </c>
      <c r="C11" s="24">
        <f>'DCWW Cray WTW '!C31</f>
        <v>7.7180000000000009</v>
      </c>
      <c r="D11" s="24">
        <f>'DCWW Cray WTW '!D31</f>
        <v>1.359949055</v>
      </c>
      <c r="E11" s="24">
        <f>'DCWW Cray WTW '!E31</f>
        <v>0.17232705000000004</v>
      </c>
      <c r="F11" s="24">
        <f>'DCWW Cray WTW '!F31</f>
        <v>0.75085016999999998</v>
      </c>
      <c r="G11" s="24">
        <f>'DCWW Cray WTW '!G31</f>
        <v>1.6684499999999998E-2</v>
      </c>
      <c r="H11" s="24">
        <f>'DCWW Cray WTW '!H31</f>
        <v>0.18160000000000001</v>
      </c>
      <c r="I11" s="24">
        <f>'DCWW Cray WTW '!I31</f>
        <v>2.6672499999999998E-2</v>
      </c>
      <c r="J11" s="24">
        <f>'DCWW Cray WTW '!J31</f>
        <v>4.6535000000000006E-4</v>
      </c>
      <c r="K11" s="24">
        <f>'DCWW Cray WTW '!K31</f>
        <v>1.9976000000000004E-3</v>
      </c>
      <c r="L11" s="24">
        <f>'DCWW Cray WTW '!L31</f>
        <v>1.9522000000000001E-2</v>
      </c>
      <c r="M11" s="24">
        <f>'DCWW Cray WTW '!M31</f>
        <v>1.2371500000000002E-2</v>
      </c>
      <c r="N11" s="24">
        <f>'DCWW Cray WTW '!N31</f>
        <v>2.8374999999999999</v>
      </c>
      <c r="O11" s="24">
        <f>'DCWW Cray WTW '!O31</f>
        <v>484.64499999999998</v>
      </c>
      <c r="P11" s="24">
        <f>'DCWW Cray WTW '!P31</f>
        <v>0</v>
      </c>
      <c r="Q11" s="24">
        <f>'DCWW Cray WTW '!Q31</f>
        <v>27.495374999999996</v>
      </c>
      <c r="R11" s="24">
        <f>'DCWW Cray WTW '!R31</f>
        <v>0</v>
      </c>
      <c r="S11" s="24">
        <f>'DCWW Cray WTW '!S31</f>
        <v>5.8793000000000005E-2</v>
      </c>
      <c r="T11" s="24">
        <f>'DCWW Cray WTW '!T31</f>
        <v>0</v>
      </c>
      <c r="U11" s="24">
        <f>'DCWW Cray WTW '!U31</f>
        <v>0</v>
      </c>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219</v>
      </c>
      <c r="C13" s="68">
        <f t="shared" ref="C13:U13" si="0">SUM(C3:C12)</f>
        <v>161.39830000000001</v>
      </c>
      <c r="D13" s="68">
        <f t="shared" si="0"/>
        <v>148.63413485499999</v>
      </c>
      <c r="E13" s="68">
        <f t="shared" si="0"/>
        <v>8.5381757150000013</v>
      </c>
      <c r="F13" s="68">
        <f t="shared" si="0"/>
        <v>30.187837697999996</v>
      </c>
      <c r="G13" s="68">
        <f t="shared" si="0"/>
        <v>0.52612879999999995</v>
      </c>
      <c r="H13" s="68">
        <f t="shared" si="0"/>
        <v>3.5423649999999998</v>
      </c>
      <c r="I13" s="68">
        <f t="shared" si="0"/>
        <v>0.74620950000000008</v>
      </c>
      <c r="J13" s="68">
        <f t="shared" si="0"/>
        <v>8.5248699999999986E-3</v>
      </c>
      <c r="K13" s="68">
        <f t="shared" si="0"/>
        <v>8.48988E-3</v>
      </c>
      <c r="L13" s="68">
        <f t="shared" si="0"/>
        <v>0.33784379999999997</v>
      </c>
      <c r="M13" s="68">
        <f t="shared" si="0"/>
        <v>0.27314949999999999</v>
      </c>
      <c r="N13" s="68">
        <f t="shared" si="0"/>
        <v>106.29947</v>
      </c>
      <c r="O13" s="68">
        <f t="shared" si="0"/>
        <v>4496.0880000000006</v>
      </c>
      <c r="P13" s="68">
        <f t="shared" si="0"/>
        <v>0</v>
      </c>
      <c r="Q13" s="68">
        <f t="shared" si="0"/>
        <v>160.45767499999997</v>
      </c>
      <c r="R13" s="68">
        <f t="shared" si="0"/>
        <v>0</v>
      </c>
      <c r="S13" s="68">
        <f t="shared" si="0"/>
        <v>0.57337329999999997</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AA15" sqref="AA15"/>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6" t="s">
        <v>84</v>
      </c>
      <c r="B1" s="25" t="s">
        <v>152</v>
      </c>
      <c r="C1" s="26" t="str">
        <f>'DCWW Llechryd WTW'!B29</f>
        <v>Application Rate</v>
      </c>
      <c r="D1" s="26" t="str">
        <f>'DCWW Llechryd WTW'!C29</f>
        <v>Nitrogen Addition</v>
      </c>
      <c r="E1" s="26" t="str">
        <f>'DCWW Llechryd WTW'!D29</f>
        <v>Phosphate Addition</v>
      </c>
      <c r="F1" s="26" t="str">
        <f>'DCWW Llechryd WTW'!E29</f>
        <v>Potash  Addition</v>
      </c>
      <c r="G1" s="26" t="str">
        <f>'DCWW Llechryd WTW'!F29</f>
        <v>Mg Oxide Addition</v>
      </c>
      <c r="H1" s="26" t="str">
        <f>'DCWW Llechryd WTW'!G29</f>
        <v>Copper Addition</v>
      </c>
      <c r="I1" s="26" t="str">
        <f>'DCWW Llechryd WTW'!H29</f>
        <v>Zinc Addition</v>
      </c>
      <c r="J1" s="26" t="str">
        <f>'DCWW Llechryd WTW'!I29</f>
        <v>Lead Addition</v>
      </c>
      <c r="K1" s="26" t="str">
        <f>'DCWW Llechryd WTW'!J29</f>
        <v>Cadmium Addition</v>
      </c>
      <c r="L1" s="26" t="str">
        <f>'DCWW Llechryd WTW'!K29</f>
        <v>Mercury Addition</v>
      </c>
      <c r="M1" s="26" t="str">
        <f>'DCWW Llechryd WTW'!L29</f>
        <v>Nickel Addition</v>
      </c>
      <c r="N1" s="26" t="str">
        <f>'DCWW Llechryd WTW'!M29</f>
        <v>Chromium Addition</v>
      </c>
      <c r="O1" s="26" t="str">
        <f>'DCWW Llechryd WTW'!N29</f>
        <v>Aluminium Addition</v>
      </c>
      <c r="P1" s="26" t="str">
        <f>'DCWW Llechryd WTW'!O29</f>
        <v>Iron Addition</v>
      </c>
      <c r="Q1" s="26" t="str">
        <f>'DCWW Llechryd WTW'!P29</f>
        <v xml:space="preserve">Sodium Addition                 </v>
      </c>
      <c r="R1" s="26" t="str">
        <f>'DCWW Llechryd WTW'!Q29</f>
        <v>SO3  Addition                             kg/ha</v>
      </c>
      <c r="S1" s="26" t="str">
        <f>'DCWW Llechryd WTW'!R29</f>
        <v xml:space="preserve">Selenium Addition </v>
      </c>
      <c r="T1" s="26" t="str">
        <f>'DCWW Llechryd WTW'!S29</f>
        <v xml:space="preserve">Arsenic  Addition  </v>
      </c>
      <c r="U1" s="26" t="str">
        <f>'DCWW Llechryd WTW'!T29</f>
        <v xml:space="preserve">Molybdenum Addition  </v>
      </c>
      <c r="V1" s="26" t="str">
        <f>'DCWW Llechryd WTW'!U29</f>
        <v xml:space="preserve">Fluoride Addition </v>
      </c>
    </row>
    <row r="2" spans="1:22" s="70" customFormat="1" ht="25" x14ac:dyDescent="0.35">
      <c r="A2" s="176"/>
      <c r="B2" s="23" t="s">
        <v>46</v>
      </c>
      <c r="C2" s="26" t="str">
        <f>'DCWW Llechryd WTW'!B30</f>
        <v>tonnes/ha</v>
      </c>
      <c r="D2" s="26" t="str">
        <f>'DCWW Llechryd WTW'!C30</f>
        <v>kg/ha</v>
      </c>
      <c r="E2" s="26" t="str">
        <f>'DCWW Llechryd WTW'!D30</f>
        <v>P2O5 
kg/ha</v>
      </c>
      <c r="F2" s="26" t="str">
        <f>'DCWW Llechryd WTW'!E30</f>
        <v>K2O 
kg/ha</v>
      </c>
      <c r="G2" s="26" t="str">
        <f>'DCWW Llechryd WTW'!F30</f>
        <v>MgO 
kg/ha</v>
      </c>
      <c r="H2" s="26" t="str">
        <f>'DCWW Llechryd WTW'!G30</f>
        <v>kg/ha</v>
      </c>
      <c r="I2" s="26" t="str">
        <f>'DCWW Llechryd WTW'!H30</f>
        <v>kg/ha</v>
      </c>
      <c r="J2" s="26" t="str">
        <f>'DCWW Llechryd WTW'!I30</f>
        <v>kg/ha</v>
      </c>
      <c r="K2" s="26" t="str">
        <f>'DCWW Llechryd WTW'!J30</f>
        <v>kg/ha</v>
      </c>
      <c r="L2" s="26" t="str">
        <f>'DCWW Llechryd WTW'!K30</f>
        <v>kg/ha</v>
      </c>
      <c r="M2" s="26" t="str">
        <f>'DCWW Llechryd WTW'!L30</f>
        <v>kg/ha</v>
      </c>
      <c r="N2" s="26" t="str">
        <f>'DCWW Llechryd WTW'!M30</f>
        <v>kg/ha</v>
      </c>
      <c r="O2" s="26" t="str">
        <f>'DCWW Llechryd WTW'!N30</f>
        <v>kg/ha</v>
      </c>
      <c r="P2" s="26" t="str">
        <f>'DCWW Llechryd WTW'!O30</f>
        <v>kg/ha</v>
      </c>
      <c r="Q2" s="26" t="str">
        <f>'DCWW Llechryd WTW'!P30</f>
        <v>kg/ha</v>
      </c>
      <c r="R2" s="26" t="str">
        <f>'DCWW Llechryd WTW'!Q30</f>
        <v>kg/ha</v>
      </c>
      <c r="S2" s="26" t="str">
        <f>'DCWW Llechryd WTW'!R30</f>
        <v>kg/ha</v>
      </c>
      <c r="T2" s="26" t="str">
        <f>'DCWW Llechryd WTW'!S30</f>
        <v>kg/ha</v>
      </c>
      <c r="U2" s="26" t="str">
        <f>'DCWW Llechryd WTW'!T30</f>
        <v>kg/ha</v>
      </c>
      <c r="V2" s="26" t="str">
        <f>'DCWW Llechryd WTW'!U30</f>
        <v>kg/ha</v>
      </c>
    </row>
    <row r="3" spans="1:22" x14ac:dyDescent="0.25">
      <c r="A3" s="27">
        <v>1</v>
      </c>
      <c r="B3" s="78"/>
      <c r="C3" s="24">
        <f>'DCWW Llechryd WTW'!B31</f>
        <v>50</v>
      </c>
      <c r="D3" s="24">
        <f>'DCWW Llechryd WTW'!C31</f>
        <v>75.358000000000004</v>
      </c>
      <c r="E3" s="24">
        <f>'DCWW Llechryd WTW'!D31</f>
        <v>60.867287999999995</v>
      </c>
      <c r="F3" s="24">
        <f>'DCWW Llechryd WTW'!E31</f>
        <v>5.4444310000000007</v>
      </c>
      <c r="G3" s="24">
        <f>'DCWW Llechryd WTW'!F31</f>
        <v>19.305751999999995</v>
      </c>
      <c r="H3" s="24">
        <f>'DCWW Llechryd WTW'!G31</f>
        <v>0.31652000000000002</v>
      </c>
      <c r="I3" s="24">
        <f>'DCWW Llechryd WTW'!H31</f>
        <v>1.0331999999999999</v>
      </c>
      <c r="J3" s="24">
        <f>'DCWW Llechryd WTW'!I31</f>
        <v>0.18121999999999999</v>
      </c>
      <c r="K3" s="24">
        <f>'DCWW Llechryd WTW'!J31</f>
        <v>2.7879999999999997E-3</v>
      </c>
      <c r="L3" s="24">
        <f>'DCWW Llechryd WTW'!K31</f>
        <v>2.5419999999999996E-3</v>
      </c>
      <c r="M3" s="24">
        <f>'DCWW Llechryd WTW'!L31</f>
        <v>0.1394</v>
      </c>
      <c r="N3" s="24">
        <f>'DCWW Llechryd WTW'!M31</f>
        <v>0.13366</v>
      </c>
      <c r="O3" s="24">
        <f>'DCWW Llechryd WTW'!N31</f>
        <v>58.875999999999998</v>
      </c>
      <c r="P3" s="24">
        <f>'DCWW Llechryd WTW'!O31</f>
        <v>1533.3999999999999</v>
      </c>
      <c r="Q3" s="24">
        <f>'DCWW Llechryd WTW'!P31</f>
        <v>0</v>
      </c>
      <c r="R3" s="24">
        <f>'DCWW Llechryd WTW'!Q31</f>
        <v>77.489999999999981</v>
      </c>
      <c r="S3" s="24">
        <f>'DCWW Llechryd WTW'!R31</f>
        <v>0</v>
      </c>
      <c r="T3" s="24">
        <f>'DCWW Llechryd WTW'!S31</f>
        <v>0.18121999999999999</v>
      </c>
      <c r="U3" s="24">
        <f>'DCWW Llechryd WTW'!T31</f>
        <v>0</v>
      </c>
      <c r="V3" s="24">
        <f>'DCWW Llechryd WTW'!U31</f>
        <v>0</v>
      </c>
    </row>
    <row r="4" spans="1:22" x14ac:dyDescent="0.25">
      <c r="A4" s="27">
        <v>2</v>
      </c>
      <c r="B4" s="78"/>
      <c r="C4" s="24">
        <f>'DCWW Bontgoch WTW'!B31</f>
        <v>19</v>
      </c>
      <c r="D4" s="24">
        <f>'DCWW Bontgoch WTW'!C31</f>
        <v>55.155099999999997</v>
      </c>
      <c r="E4" s="24">
        <f>'DCWW Bontgoch WTW'!D31</f>
        <v>62.738347700000006</v>
      </c>
      <c r="F4" s="24">
        <f>'DCWW Bontgoch WTW'!E31</f>
        <v>0.97136616500000006</v>
      </c>
      <c r="G4" s="24">
        <f>'DCWW Bontgoch WTW'!F31</f>
        <v>4.4636443880000005</v>
      </c>
      <c r="H4" s="24">
        <f>'DCWW Bontgoch WTW'!G31</f>
        <v>9.6039299999999994E-2</v>
      </c>
      <c r="I4" s="24">
        <f>'DCWW Bontgoch WTW'!H31</f>
        <v>1.8320750000000001</v>
      </c>
      <c r="J4" s="24">
        <f>'DCWW Bontgoch WTW'!I31</f>
        <v>0.42041300000000004</v>
      </c>
      <c r="K4" s="24">
        <f>'DCWW Bontgoch WTW'!J31</f>
        <v>3.7027200000000005E-3</v>
      </c>
      <c r="L4" s="24">
        <f>'DCWW Bontgoch WTW'!K31</f>
        <v>9.2568000000000012E-4</v>
      </c>
      <c r="M4" s="24">
        <f>'DCWW Bontgoch WTW'!L31</f>
        <v>0.10182480000000001</v>
      </c>
      <c r="N4" s="24">
        <f>'DCWW Bontgoch WTW'!M31</f>
        <v>6.5569000000000016E-2</v>
      </c>
      <c r="O4" s="24">
        <f>'DCWW Bontgoch WTW'!N31</f>
        <v>30.894570000000002</v>
      </c>
      <c r="P4" s="24">
        <f>'DCWW Bontgoch WTW'!O31</f>
        <v>1461.8030000000003</v>
      </c>
      <c r="Q4" s="24">
        <f>'DCWW Bontgoch WTW'!P31</f>
        <v>0</v>
      </c>
      <c r="R4" s="24">
        <f>'DCWW Bontgoch WTW'!Q31</f>
        <v>32.398800000000001</v>
      </c>
      <c r="S4" s="24">
        <f>'DCWW Bontgoch WTW'!R31</f>
        <v>0</v>
      </c>
      <c r="T4" s="24">
        <f>'DCWW Bontgoch WTW'!S31</f>
        <v>0.26189030000000002</v>
      </c>
      <c r="U4" s="24">
        <f>'DCWW Bontgoch WTW'!T31</f>
        <v>0</v>
      </c>
      <c r="V4" s="24">
        <f>'DCWW Bontgoch WTW'!U31</f>
        <v>0</v>
      </c>
    </row>
    <row r="5" spans="1:22" x14ac:dyDescent="0.25">
      <c r="A5" s="27">
        <v>3</v>
      </c>
      <c r="B5" s="78"/>
      <c r="C5" s="24">
        <f>'DCWW Bolton Hill WTW cake'!B31</f>
        <v>0</v>
      </c>
      <c r="D5" s="24">
        <f>'DCWW Bolton Hill WTW cake'!C31</f>
        <v>0</v>
      </c>
      <c r="E5" s="24">
        <f>'DCWW Bolton Hill WTW cake'!D31</f>
        <v>0</v>
      </c>
      <c r="F5" s="24">
        <f>'DCWW Bolton Hill WTW cake'!E31</f>
        <v>0</v>
      </c>
      <c r="G5" s="24">
        <f>'DCWW Bolton Hill WTW cake'!F31</f>
        <v>0</v>
      </c>
      <c r="H5" s="24">
        <f>'DCWW Bolton Hill WTW cake'!G31</f>
        <v>0</v>
      </c>
      <c r="I5" s="24">
        <f>'DCWW Bolton Hill WTW cake'!H31</f>
        <v>0</v>
      </c>
      <c r="J5" s="24">
        <f>'DCWW Bolton Hill WTW cake'!I31</f>
        <v>0</v>
      </c>
      <c r="K5" s="24">
        <f>'DCWW Bolton Hill WTW cake'!J31</f>
        <v>0</v>
      </c>
      <c r="L5" s="24">
        <f>'DCWW Bolton Hill WTW cake'!K31</f>
        <v>0</v>
      </c>
      <c r="M5" s="24">
        <f>'DCWW Bolton Hill WTW cake'!L31</f>
        <v>0</v>
      </c>
      <c r="N5" s="24">
        <f>'DCWW Bolton Hill WTW cake'!M31</f>
        <v>0</v>
      </c>
      <c r="O5" s="24">
        <f>'DCWW Bolton Hill WTW cake'!N31</f>
        <v>0</v>
      </c>
      <c r="P5" s="24">
        <f>'DCWW Bolton Hill WTW cake'!O31</f>
        <v>0</v>
      </c>
      <c r="Q5" s="24">
        <f>'DCWW Bolton Hill WTW cake'!P31</f>
        <v>0</v>
      </c>
      <c r="R5" s="24">
        <f>'DCWW Bolton Hill WTW cake'!Q31</f>
        <v>0</v>
      </c>
      <c r="S5" s="24">
        <f>'DCWW Bolton Hill WTW cake'!R31</f>
        <v>0</v>
      </c>
      <c r="T5" s="24">
        <f>'DCWW Bolton Hill WTW cake'!S31</f>
        <v>0</v>
      </c>
      <c r="U5" s="24">
        <f>'DCWW Bolton Hill WTW cake'!T31</f>
        <v>0</v>
      </c>
      <c r="V5" s="24">
        <f>'DCWW Bolton Hill WTW cake'!U31</f>
        <v>0</v>
      </c>
    </row>
    <row r="6" spans="1:22" x14ac:dyDescent="0.25">
      <c r="A6" s="27">
        <v>4</v>
      </c>
      <c r="B6" s="78"/>
      <c r="C6" s="24">
        <f>'DCWW Preseli WTW'!B31</f>
        <v>0</v>
      </c>
      <c r="D6" s="24">
        <f>'DCWW Preseli WTW'!C31</f>
        <v>0</v>
      </c>
      <c r="E6" s="24">
        <f>'DCWW Preseli WTW'!D31</f>
        <v>0</v>
      </c>
      <c r="F6" s="24">
        <f>'DCWW Preseli WTW'!E31</f>
        <v>0</v>
      </c>
      <c r="G6" s="24">
        <f>'DCWW Preseli WTW'!F31</f>
        <v>0</v>
      </c>
      <c r="H6" s="24">
        <f>'DCWW Preseli WTW'!G31</f>
        <v>0</v>
      </c>
      <c r="I6" s="24">
        <f>'DCWW Preseli WTW'!H31</f>
        <v>0</v>
      </c>
      <c r="J6" s="24">
        <f>'DCWW Preseli WTW'!I31</f>
        <v>0</v>
      </c>
      <c r="K6" s="24">
        <f>'DCWW Preseli WTW'!J31</f>
        <v>0</v>
      </c>
      <c r="L6" s="24">
        <f>'DCWW Preseli WTW'!K31</f>
        <v>0</v>
      </c>
      <c r="M6" s="24">
        <f>'DCWW Preseli WTW'!L31</f>
        <v>0</v>
      </c>
      <c r="N6" s="24">
        <f>'DCWW Preseli WTW'!M31</f>
        <v>0</v>
      </c>
      <c r="O6" s="24">
        <f>'DCWW Preseli WTW'!N31</f>
        <v>0</v>
      </c>
      <c r="P6" s="24">
        <f>'DCWW Preseli WTW'!O31</f>
        <v>0</v>
      </c>
      <c r="Q6" s="24">
        <f>'DCWW Preseli WTW'!P31</f>
        <v>0</v>
      </c>
      <c r="R6" s="24">
        <f>'DCWW Preseli WTW'!Q31</f>
        <v>0</v>
      </c>
      <c r="S6" s="24">
        <f>'DCWW Preseli WTW'!R31</f>
        <v>0</v>
      </c>
      <c r="T6" s="24">
        <f>'DCWW Preseli WTW'!S31</f>
        <v>0</v>
      </c>
      <c r="U6" s="24">
        <f>'DCWW Preseli WTW'!T31</f>
        <v>0</v>
      </c>
      <c r="V6" s="24">
        <f>'DCWW Preseli WTW'!U31</f>
        <v>0</v>
      </c>
    </row>
    <row r="7" spans="1:22" x14ac:dyDescent="0.25">
      <c r="A7" s="27">
        <v>5</v>
      </c>
      <c r="B7" s="78"/>
      <c r="C7" s="24">
        <f>'DCWW Strata Florida WTW'!B31</f>
        <v>0</v>
      </c>
      <c r="D7" s="24">
        <f>'DCWW Strata Florida WTW'!C31</f>
        <v>0</v>
      </c>
      <c r="E7" s="24">
        <f>'DCWW Strata Florida WTW'!D31</f>
        <v>0</v>
      </c>
      <c r="F7" s="24">
        <f>'DCWW Strata Florida WTW'!E31</f>
        <v>0</v>
      </c>
      <c r="G7" s="24">
        <f>'DCWW Strata Florida WTW'!F31</f>
        <v>0</v>
      </c>
      <c r="H7" s="24">
        <f>'DCWW Strata Florida WTW'!G31</f>
        <v>0</v>
      </c>
      <c r="I7" s="24">
        <f>'DCWW Strata Florida WTW'!H31</f>
        <v>0</v>
      </c>
      <c r="J7" s="24">
        <f>'DCWW Strata Florida WTW'!I31</f>
        <v>0</v>
      </c>
      <c r="K7" s="24">
        <f>'DCWW Strata Florida WTW'!J31</f>
        <v>0</v>
      </c>
      <c r="L7" s="24">
        <f>'DCWW Strata Florida WTW'!K31</f>
        <v>0</v>
      </c>
      <c r="M7" s="24">
        <f>'DCWW Strata Florida WTW'!L31</f>
        <v>0</v>
      </c>
      <c r="N7" s="24">
        <f>'DCWW Strata Florida WTW'!M31</f>
        <v>0</v>
      </c>
      <c r="O7" s="24">
        <f>'DCWW Strata Florida WTW'!N31</f>
        <v>0</v>
      </c>
      <c r="P7" s="24">
        <f>'DCWW Strata Florida WTW'!O31</f>
        <v>0</v>
      </c>
      <c r="Q7" s="24">
        <f>'DCWW Strata Florida WTW'!P31</f>
        <v>0</v>
      </c>
      <c r="R7" s="24">
        <f>'DCWW Strata Florida WTW'!Q31</f>
        <v>0</v>
      </c>
      <c r="S7" s="24">
        <f>'DCWW Strata Florida WTW'!R31</f>
        <v>0</v>
      </c>
      <c r="T7" s="24">
        <f>'DCWW Strata Florida WTW'!S31</f>
        <v>0</v>
      </c>
      <c r="U7" s="24">
        <f>'DCWW Strata Florida WTW'!T31</f>
        <v>0</v>
      </c>
      <c r="V7" s="24">
        <f>'DCWW Strata Florida WTW'!U31</f>
        <v>0</v>
      </c>
    </row>
    <row r="8" spans="1:22" x14ac:dyDescent="0.25">
      <c r="A8" s="27">
        <v>6</v>
      </c>
      <c r="B8" s="78"/>
      <c r="C8" s="24">
        <f>'DCWW Llechryd 2 WTW sludge'!B31</f>
        <v>50</v>
      </c>
      <c r="D8" s="24">
        <f>'DCWW Llechryd 2 WTW sludge'!C31</f>
        <v>14.932800000000002</v>
      </c>
      <c r="E8" s="24">
        <f>'DCWW Llechryd 2 WTW sludge'!D31</f>
        <v>19.454026500000005</v>
      </c>
      <c r="F8" s="24">
        <f>'DCWW Llechryd 2 WTW sludge'!E31</f>
        <v>1.0545678000000003</v>
      </c>
      <c r="G8" s="24">
        <f>'DCWW Llechryd 2 WTW sludge'!F31</f>
        <v>2.1333983399999998</v>
      </c>
      <c r="H8" s="24">
        <f>'DCWW Llechryd 2 WTW sludge'!G31</f>
        <v>7.8489000000000003E-2</v>
      </c>
      <c r="I8" s="24">
        <f>'DCWW Llechryd 2 WTW sludge'!H31</f>
        <v>0.20349</v>
      </c>
      <c r="J8" s="24">
        <f>'DCWW Llechryd 2 WTW sludge'!I31</f>
        <v>6.2424E-2</v>
      </c>
      <c r="K8" s="24">
        <f>'DCWW Llechryd 2 WTW sludge'!J31</f>
        <v>1.1015999999999999E-3</v>
      </c>
      <c r="L8" s="24">
        <f>'DCWW Llechryd 2 WTW sludge'!K31</f>
        <v>1.0098000000000002E-3</v>
      </c>
      <c r="M8" s="24">
        <f>'DCWW Llechryd 2 WTW sludge'!L31</f>
        <v>5.1255000000000009E-2</v>
      </c>
      <c r="N8" s="24">
        <f>'DCWW Llechryd 2 WTW sludge'!M31</f>
        <v>4.3299000000000004E-2</v>
      </c>
      <c r="O8" s="24">
        <f>'DCWW Llechryd 2 WTW sludge'!N31</f>
        <v>4.7124000000000006</v>
      </c>
      <c r="P8" s="24">
        <f>'DCWW Llechryd 2 WTW sludge'!O31</f>
        <v>480.42000000000007</v>
      </c>
      <c r="Q8" s="24">
        <f>'DCWW Llechryd 2 WTW sludge'!P31</f>
        <v>0</v>
      </c>
      <c r="R8" s="24">
        <f>'DCWW Llechryd 2 WTW sludge'!Q31</f>
        <v>12.087000000000003</v>
      </c>
      <c r="S8" s="24">
        <f>'DCWW Llechryd 2 WTW sludge'!R31</f>
        <v>0</v>
      </c>
      <c r="T8" s="24">
        <f>'DCWW Llechryd 2 WTW sludge'!S31</f>
        <v>4.3146000000000004E-2</v>
      </c>
      <c r="U8" s="24">
        <f>'DCWW Llechryd 2 WTW sludge'!T31</f>
        <v>0</v>
      </c>
      <c r="V8" s="24">
        <f>'DCWW Llechryd 2 WTW sludge'!U31</f>
        <v>0</v>
      </c>
    </row>
    <row r="9" spans="1:22" x14ac:dyDescent="0.25">
      <c r="A9" s="27">
        <v>7</v>
      </c>
      <c r="B9" s="78"/>
      <c r="C9" s="24">
        <f>'DCWW Bryngwyn WTW'!B31</f>
        <v>50</v>
      </c>
      <c r="D9" s="24">
        <f>'DCWW Bryngwyn WTW'!C31</f>
        <v>8.2344000000000008</v>
      </c>
      <c r="E9" s="24">
        <f>'DCWW Bryngwyn WTW'!D31</f>
        <v>4.2145235999999997</v>
      </c>
      <c r="F9" s="24">
        <f>'DCWW Bryngwyn WTW'!E31</f>
        <v>0.8954837000000001</v>
      </c>
      <c r="G9" s="24">
        <f>'DCWW Bryngwyn WTW'!F31</f>
        <v>3.5341927999999996</v>
      </c>
      <c r="H9" s="24">
        <f>'DCWW Bryngwyn WTW'!G31</f>
        <v>1.8395999999999999E-2</v>
      </c>
      <c r="I9" s="24">
        <f>'DCWW Bryngwyn WTW'!H31</f>
        <v>0.29200000000000004</v>
      </c>
      <c r="J9" s="24">
        <f>'DCWW Bryngwyn WTW'!I31</f>
        <v>5.5480000000000002E-2</v>
      </c>
      <c r="K9" s="24">
        <f>'DCWW Bryngwyn WTW'!J31</f>
        <v>4.6720000000000003E-4</v>
      </c>
      <c r="L9" s="24">
        <f>'DCWW Bryngwyn WTW'!K31</f>
        <v>2.0148000000000002E-3</v>
      </c>
      <c r="M9" s="24">
        <f>'DCWW Bryngwyn WTW'!L31</f>
        <v>2.5841999999999997E-2</v>
      </c>
      <c r="N9" s="24">
        <f>'DCWW Bryngwyn WTW'!M31</f>
        <v>1.8250000000000002E-2</v>
      </c>
      <c r="O9" s="24">
        <f>'DCWW Bryngwyn WTW'!N31</f>
        <v>8.979000000000001</v>
      </c>
      <c r="P9" s="24">
        <f>'DCWW Bryngwyn WTW'!O31</f>
        <v>535.82000000000005</v>
      </c>
      <c r="Q9" s="24">
        <f>'DCWW Bryngwyn WTW'!P31</f>
        <v>0</v>
      </c>
      <c r="R9" s="24">
        <f>'DCWW Bryngwyn WTW'!Q31</f>
        <v>10.986500000000001</v>
      </c>
      <c r="S9" s="24">
        <f>'DCWW Bryngwyn WTW'!R31</f>
        <v>0</v>
      </c>
      <c r="T9" s="24">
        <f>'DCWW Bryngwyn WTW'!S31</f>
        <v>2.8324000000000002E-2</v>
      </c>
      <c r="U9" s="24">
        <f>'DCWW Bryngwyn WTW'!T31</f>
        <v>0</v>
      </c>
      <c r="V9" s="24">
        <f>'DCWW Bryngwyn WTW'!U31</f>
        <v>0</v>
      </c>
    </row>
    <row r="10" spans="1:22" x14ac:dyDescent="0.25">
      <c r="A10" s="27">
        <v>8</v>
      </c>
      <c r="B10" s="78"/>
      <c r="C10" s="24">
        <f>'DCWW Bolton Hill 2 WTW sludge '!B31</f>
        <v>0</v>
      </c>
      <c r="D10" s="24">
        <f>'DCWW Bolton Hill 2 WTW sludge '!C31</f>
        <v>0</v>
      </c>
      <c r="E10" s="24">
        <f>'DCWW Bolton Hill 2 WTW sludge '!D31</f>
        <v>0</v>
      </c>
      <c r="F10" s="24">
        <f>'DCWW Bolton Hill 2 WTW sludge '!E31</f>
        <v>0</v>
      </c>
      <c r="G10" s="24">
        <f>'DCWW Bolton Hill 2 WTW sludge '!F31</f>
        <v>0</v>
      </c>
      <c r="H10" s="24">
        <f>'DCWW Bolton Hill 2 WTW sludge '!G31</f>
        <v>0</v>
      </c>
      <c r="I10" s="24">
        <f>'DCWW Bolton Hill 2 WTW sludge '!H31</f>
        <v>0</v>
      </c>
      <c r="J10" s="24">
        <f>'DCWW Bolton Hill 2 WTW sludge '!I31</f>
        <v>0</v>
      </c>
      <c r="K10" s="24">
        <f>'DCWW Bolton Hill 2 WTW sludge '!J31</f>
        <v>0</v>
      </c>
      <c r="L10" s="24">
        <f>'DCWW Bolton Hill 2 WTW sludge '!K31</f>
        <v>0</v>
      </c>
      <c r="M10" s="24">
        <f>'DCWW Bolton Hill 2 WTW sludge '!L31</f>
        <v>0</v>
      </c>
      <c r="N10" s="24">
        <f>'DCWW Bolton Hill 2 WTW sludge '!M31</f>
        <v>0</v>
      </c>
      <c r="O10" s="24">
        <f>'DCWW Bolton Hill 2 WTW sludge '!N31</f>
        <v>0</v>
      </c>
      <c r="P10" s="24">
        <f>'DCWW Bolton Hill 2 WTW sludge '!O31</f>
        <v>0</v>
      </c>
      <c r="Q10" s="24">
        <f>'DCWW Bolton Hill 2 WTW sludge '!P31</f>
        <v>0</v>
      </c>
      <c r="R10" s="24">
        <f>'DCWW Bolton Hill 2 WTW sludge '!Q31</f>
        <v>0</v>
      </c>
      <c r="S10" s="24">
        <f>'DCWW Bolton Hill 2 WTW sludge '!R31</f>
        <v>0</v>
      </c>
      <c r="T10" s="24">
        <f>'DCWW Bolton Hill 2 WTW sludge '!S31</f>
        <v>0</v>
      </c>
      <c r="U10" s="24">
        <f>'DCWW Bolton Hill 2 WTW sludge '!T31</f>
        <v>0</v>
      </c>
      <c r="V10" s="24">
        <f>'DCWW Bolton Hill 2 WTW sludge '!U31</f>
        <v>0</v>
      </c>
    </row>
    <row r="11" spans="1:22" x14ac:dyDescent="0.25">
      <c r="A11" s="27">
        <v>9</v>
      </c>
      <c r="B11" s="78"/>
      <c r="C11" s="24">
        <f>'DCWW Cray WTW '!B31</f>
        <v>50</v>
      </c>
      <c r="D11" s="24">
        <f>'DCWW Cray WTW '!C31</f>
        <v>7.7180000000000009</v>
      </c>
      <c r="E11" s="24">
        <f>'DCWW Cray WTW '!D31</f>
        <v>1.359949055</v>
      </c>
      <c r="F11" s="24">
        <f>'DCWW Cray WTW '!E31</f>
        <v>0.17232705000000004</v>
      </c>
      <c r="G11" s="24">
        <f>'DCWW Cray WTW '!F31</f>
        <v>0.75085016999999998</v>
      </c>
      <c r="H11" s="24">
        <f>'DCWW Cray WTW '!G31</f>
        <v>1.6684499999999998E-2</v>
      </c>
      <c r="I11" s="24">
        <f>'DCWW Cray WTW '!H31</f>
        <v>0.18160000000000001</v>
      </c>
      <c r="J11" s="24">
        <f>'DCWW Cray WTW '!I31</f>
        <v>2.6672499999999998E-2</v>
      </c>
      <c r="K11" s="24">
        <f>'DCWW Cray WTW '!J31</f>
        <v>4.6535000000000006E-4</v>
      </c>
      <c r="L11" s="24">
        <f>'DCWW Cray WTW '!K31</f>
        <v>1.9976000000000004E-3</v>
      </c>
      <c r="M11" s="24">
        <f>'DCWW Cray WTW '!L31</f>
        <v>1.9522000000000001E-2</v>
      </c>
      <c r="N11" s="24">
        <f>'DCWW Cray WTW '!M31</f>
        <v>1.2371500000000002E-2</v>
      </c>
      <c r="O11" s="24">
        <f>'DCWW Cray WTW '!N31</f>
        <v>2.8374999999999999</v>
      </c>
      <c r="P11" s="24">
        <f>'DCWW Cray WTW '!O31</f>
        <v>484.64499999999998</v>
      </c>
      <c r="Q11" s="24">
        <f>'DCWW Cray WTW '!P31</f>
        <v>0</v>
      </c>
      <c r="R11" s="24">
        <f>'DCWW Cray WTW '!Q31</f>
        <v>27.495374999999996</v>
      </c>
      <c r="S11" s="24">
        <f>'DCWW Cray WTW '!R31</f>
        <v>0</v>
      </c>
      <c r="T11" s="24">
        <f>'DCWW Cray WTW '!S31</f>
        <v>5.8793000000000005E-2</v>
      </c>
      <c r="U11" s="24">
        <f>'DCWW Cray WTW '!T31</f>
        <v>0</v>
      </c>
      <c r="V11" s="24">
        <f>'DCWW Cray WTW '!U31</f>
        <v>0</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5" t="s">
        <v>84</v>
      </c>
      <c r="B15" s="26" t="s">
        <v>152</v>
      </c>
      <c r="C15" s="26">
        <f>'DCWW Llechryd WTW'!B43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5"/>
      <c r="B16" s="23" t="s">
        <v>46</v>
      </c>
      <c r="C16" s="26">
        <f>'DCWW Llechryd WTW'!B44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19</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50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t="e">
        <f t="shared" si="19"/>
        <v>#REF!</v>
      </c>
      <c r="D26" s="75"/>
      <c r="E26" s="75"/>
      <c r="F26" s="75"/>
      <c r="G26" s="75"/>
      <c r="H26" s="75"/>
      <c r="I26" s="75"/>
      <c r="J26" s="75"/>
      <c r="K26" s="75"/>
      <c r="L26" s="75"/>
      <c r="M26" s="75"/>
      <c r="N26" s="75"/>
      <c r="O26" s="75"/>
      <c r="P26" s="75"/>
      <c r="Q26" s="75"/>
      <c r="R26" s="75"/>
      <c r="S26" s="75"/>
      <c r="T26" s="75"/>
      <c r="U26" s="75"/>
      <c r="V26" s="75"/>
    </row>
    <row r="27" spans="1:22" s="77" customFormat="1" ht="15.5" x14ac:dyDescent="0.35">
      <c r="A27" s="177" t="s">
        <v>85</v>
      </c>
      <c r="B27" s="177"/>
      <c r="C27" s="177"/>
      <c r="D27" s="76">
        <f>SUM(D17:D26)</f>
        <v>0</v>
      </c>
      <c r="E27" s="76">
        <f t="shared" ref="E27:V27" si="20">SUM(E17:E26)</f>
        <v>0</v>
      </c>
      <c r="F27" s="76">
        <f t="shared" si="20"/>
        <v>0</v>
      </c>
      <c r="G27" s="76">
        <f t="shared" si="20"/>
        <v>0</v>
      </c>
      <c r="H27" s="76">
        <f t="shared" si="20"/>
        <v>0</v>
      </c>
      <c r="I27" s="76">
        <f t="shared" si="20"/>
        <v>0</v>
      </c>
      <c r="J27" s="76">
        <f t="shared" si="20"/>
        <v>0</v>
      </c>
      <c r="K27" s="76">
        <f t="shared" si="20"/>
        <v>0</v>
      </c>
      <c r="L27" s="76">
        <f t="shared" si="20"/>
        <v>0</v>
      </c>
      <c r="M27" s="76">
        <f t="shared" si="20"/>
        <v>0</v>
      </c>
      <c r="N27" s="76">
        <f t="shared" si="20"/>
        <v>0</v>
      </c>
      <c r="O27" s="76">
        <f t="shared" si="20"/>
        <v>0</v>
      </c>
      <c r="P27" s="76">
        <f t="shared" si="20"/>
        <v>0</v>
      </c>
      <c r="Q27" s="76">
        <f t="shared" si="20"/>
        <v>0</v>
      </c>
      <c r="R27" s="76">
        <f t="shared" si="20"/>
        <v>0</v>
      </c>
      <c r="S27" s="76">
        <f t="shared" si="20"/>
        <v>0</v>
      </c>
      <c r="T27" s="76">
        <f t="shared" si="20"/>
        <v>0</v>
      </c>
      <c r="U27" s="76">
        <f t="shared" si="20"/>
        <v>0</v>
      </c>
      <c r="V27" s="76">
        <f t="shared" si="20"/>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REGU-52773391-495</_dlc_DocId>
    <_dlc_DocIdUrl xmlns="9be56660-2c31-41ef-bc00-23e72f632f2a">
      <Url>https://cyfoethnaturiolcymru.sharepoint.com/teams/Regulatory/Permitting/_layouts/15/DocIdRedir.aspx?ID=REGU-52773391-495</Url>
      <Description>REGU-52773391-495</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2026-03-17T00:00:00+00:00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A21401-9942-4E09-9F43-51C429D36F5C}"/>
</file>

<file path=customXml/itemProps2.xml><?xml version="1.0" encoding="utf-8"?>
<ds:datastoreItem xmlns:ds="http://schemas.openxmlformats.org/officeDocument/2006/customXml" ds:itemID="{91BC88B8-EF38-4F11-AF82-484D8262AB82}"/>
</file>

<file path=customXml/itemProps3.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http://purl.org/dc/terms/"/>
    <ds:schemaRef ds:uri="http://purl.org/dc/dcmitype/"/>
    <ds:schemaRef ds:uri="http://schemas.microsoft.com/office/infopath/2007/PartnerControls"/>
    <ds:schemaRef ds:uri="http://purl.org/dc/elements/1.1/"/>
    <ds:schemaRef ds:uri="9be56660-2c31-41ef-bc00-23e72f632f2a"/>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DCWW Llechryd WTW</vt:lpstr>
      <vt:lpstr>DCWW Bontgoch WTW</vt:lpstr>
      <vt:lpstr>DCWW Bolton Hill WTW cake</vt:lpstr>
      <vt:lpstr>DCWW Preseli WTW</vt:lpstr>
      <vt:lpstr>DCWW Strata Florida WTW</vt:lpstr>
      <vt:lpstr>DCWW Llechryd 2 WTW sludge</vt:lpstr>
      <vt:lpstr>DCWW Bryngwyn WTW</vt:lpstr>
      <vt:lpstr>DCWW Bolton Hill 2 WTW sludge </vt:lpstr>
      <vt:lpstr>DCWW Cray WTW </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keywords>NRW Nutrient Calculator</cp:keywords>
  <cp:lastModifiedBy>Clee, Owen</cp:lastModifiedBy>
  <dcterms:created xsi:type="dcterms:W3CDTF">2016-09-26T10:07:59Z</dcterms:created>
  <dcterms:modified xsi:type="dcterms:W3CDTF">2026-03-11T09:30:20Z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cd0818ad-3abf-4b7c-9254-f7fa4805aa32</vt:lpwstr>
  </property>
</Properties>
</file>