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797 Dan James Med/Issue/"/>
    </mc:Choice>
  </mc:AlternateContent>
  <xr:revisionPtr revIDLastSave="0" documentId="8_{C70264C8-1014-4C4F-8FCF-6F2C317B7F92}" xr6:coauthVersionLast="47" xr6:coauthVersionMax="47" xr10:uidLastSave="{00000000-0000-0000-0000-000000000000}"/>
  <bookViews>
    <workbookView xWindow="33720" yWindow="-120" windowWidth="29040" windowHeight="15720" tabRatio="870" activeTab="3" xr2:uid="{00000000-000D-0000-FFFF-FFFF00000000}"/>
  </bookViews>
  <sheets>
    <sheet name="Field data and Bolton" sheetId="1" r:id="rId1"/>
    <sheet name="Preseli" sheetId="21" r:id="rId2"/>
    <sheet name="Llechryd" sheetId="27" r:id="rId3"/>
    <sheet name="Strata" sheetId="28" r:id="rId4"/>
    <sheet name="Bontgoch" sheetId="30" r:id="rId5"/>
    <sheet name="Bryngwyn" sheetId="26" r:id="rId6"/>
    <sheet name="Capel" sheetId="24" r:id="rId7"/>
    <sheet name="Cray" sheetId="29" r:id="rId8"/>
    <sheet name="Hirwaun" sheetId="23" r:id="rId9"/>
    <sheet name="Cefyn"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K22" i="30"/>
  <c r="V20" i="30"/>
  <c r="U20" i="30"/>
  <c r="T20" i="30"/>
  <c r="S20" i="30"/>
  <c r="R20" i="30"/>
  <c r="Q20" i="30"/>
  <c r="P20" i="30"/>
  <c r="V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Q22" i="29"/>
  <c r="V20" i="29"/>
  <c r="U20" i="29"/>
  <c r="T20" i="29"/>
  <c r="S20" i="29"/>
  <c r="R20" i="29"/>
  <c r="Q20" i="29"/>
  <c r="P20" i="29"/>
  <c r="U18" i="29"/>
  <c r="T18" i="29"/>
  <c r="R18" i="29"/>
  <c r="M18" i="29"/>
  <c r="L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V18" i="28"/>
  <c r="U18" i="28"/>
  <c r="N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U18" i="27"/>
  <c r="S18" i="27"/>
  <c r="R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G22" i="26"/>
  <c r="V20" i="26"/>
  <c r="U20" i="26"/>
  <c r="T20" i="26"/>
  <c r="S20" i="26"/>
  <c r="R20" i="26"/>
  <c r="Q20" i="26"/>
  <c r="P20" i="26"/>
  <c r="V18" i="26"/>
  <c r="T18" i="26"/>
  <c r="S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V18"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S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P20" i="22"/>
  <c r="U18" i="22"/>
  <c r="S18" i="22"/>
  <c r="R18" i="22"/>
  <c r="O18"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21" i="22"/>
  <c r="J23" i="22" s="1"/>
  <c r="J24" i="22" s="1"/>
  <c r="K59" i="23"/>
  <c r="L17" i="23"/>
  <c r="L21" i="23"/>
  <c r="M57" i="21"/>
  <c r="R59" i="21"/>
  <c r="S21" i="21"/>
  <c r="S23" i="21" s="1"/>
  <c r="S24" i="21" s="1"/>
  <c r="S17" i="21"/>
  <c r="J59" i="21"/>
  <c r="K21" i="21"/>
  <c r="K23" i="21" s="1"/>
  <c r="K24" i="21" s="1"/>
  <c r="K17" i="21"/>
  <c r="J59" i="22"/>
  <c r="K17" i="22"/>
  <c r="K19" i="22" s="1"/>
  <c r="K20" i="22" s="1"/>
  <c r="K21" i="22"/>
  <c r="K23" i="22" s="1"/>
  <c r="K24" i="22" s="1"/>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S24" i="28" s="1"/>
  <c r="I59" i="29"/>
  <c r="J17" i="29"/>
  <c r="J21" i="29"/>
  <c r="J23" i="29" s="1"/>
  <c r="J24" i="29" s="1"/>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M59" i="23"/>
  <c r="N21" i="23"/>
  <c r="N23" i="23" s="1"/>
  <c r="N24" i="23" s="1"/>
  <c r="N17" i="23"/>
  <c r="N19" i="23" s="1"/>
  <c r="N20" i="23" s="1"/>
  <c r="U59" i="23"/>
  <c r="V21" i="23"/>
  <c r="V23" i="23" s="1"/>
  <c r="V24" i="23" s="1"/>
  <c r="V17" i="23"/>
  <c r="I17" i="24"/>
  <c r="I19" i="24" s="1"/>
  <c r="I20" i="24" s="1"/>
  <c r="I21" i="24"/>
  <c r="Q17" i="24"/>
  <c r="Q19" i="24" s="1"/>
  <c r="Q21" i="24"/>
  <c r="Q23" i="24" s="1"/>
  <c r="Q24" i="24" s="1"/>
  <c r="D59" i="26"/>
  <c r="E21" i="26"/>
  <c r="E17" i="26"/>
  <c r="E19" i="26" s="1"/>
  <c r="E20" i="26" s="1"/>
  <c r="L59" i="26"/>
  <c r="M21" i="26"/>
  <c r="M23" i="26" s="1"/>
  <c r="M24" i="26" s="1"/>
  <c r="M17" i="26"/>
  <c r="T59" i="26"/>
  <c r="U21" i="26"/>
  <c r="U23" i="26" s="1"/>
  <c r="U24" i="26" s="1"/>
  <c r="U17" i="26"/>
  <c r="U19" i="26" s="1"/>
  <c r="C59" i="27"/>
  <c r="D17" i="27"/>
  <c r="K59" i="27"/>
  <c r="L17" i="27"/>
  <c r="L19" i="27" s="1"/>
  <c r="L20" i="27" s="1"/>
  <c r="S59" i="27"/>
  <c r="T17" i="27"/>
  <c r="T19" i="27" s="1"/>
  <c r="C59" i="28"/>
  <c r="D21" i="28"/>
  <c r="D23" i="28" s="1"/>
  <c r="D24" i="28" s="1"/>
  <c r="D17" i="28"/>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19" i="26" s="1"/>
  <c r="O20" i="26" s="1"/>
  <c r="O21" i="26"/>
  <c r="E59" i="27"/>
  <c r="F17" i="27"/>
  <c r="F19" i="27" s="1"/>
  <c r="F20" i="27" s="1"/>
  <c r="M59" i="27"/>
  <c r="N17" i="27"/>
  <c r="U59" i="27"/>
  <c r="V17" i="27"/>
  <c r="E59" i="28"/>
  <c r="F17" i="28"/>
  <c r="F21" i="28"/>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9" i="21" s="1"/>
  <c r="G20" i="21" s="1"/>
  <c r="G17" i="22"/>
  <c r="G21" i="22"/>
  <c r="O17" i="22"/>
  <c r="O19" i="22" s="1"/>
  <c r="O20"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19" i="29" s="1"/>
  <c r="F20" i="29" s="1"/>
  <c r="F21" i="29"/>
  <c r="F23" i="29" s="1"/>
  <c r="F24" i="29" s="1"/>
  <c r="M59" i="29"/>
  <c r="N17" i="29"/>
  <c r="N21" i="29"/>
  <c r="N23" i="29" s="1"/>
  <c r="N24" i="29" s="1"/>
  <c r="U59" i="29"/>
  <c r="V17" i="29"/>
  <c r="V21" i="29"/>
  <c r="V23" i="29" s="1"/>
  <c r="V24" i="29" s="1"/>
  <c r="D59" i="30"/>
  <c r="E17" i="30"/>
  <c r="E19" i="30" s="1"/>
  <c r="E20" i="30" s="1"/>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17" i="23"/>
  <c r="J19" i="23" s="1"/>
  <c r="J20" i="23" s="1"/>
  <c r="Q59" i="23"/>
  <c r="R21" i="23"/>
  <c r="R17" i="23"/>
  <c r="D59" i="24"/>
  <c r="E17" i="24"/>
  <c r="E19" i="24" s="1"/>
  <c r="E20" i="24" s="1"/>
  <c r="E21" i="24"/>
  <c r="L59" i="24"/>
  <c r="M17" i="24"/>
  <c r="M19" i="24" s="1"/>
  <c r="M20" i="24" s="1"/>
  <c r="M21" i="24"/>
  <c r="M23" i="24" s="1"/>
  <c r="M24" i="24" s="1"/>
  <c r="T59" i="24"/>
  <c r="U21" i="24"/>
  <c r="U17" i="24"/>
  <c r="H59" i="26"/>
  <c r="H64" i="26" s="1"/>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19" i="29" s="1"/>
  <c r="O20" i="29" s="1"/>
  <c r="O21" i="29"/>
  <c r="O23" i="29" s="1"/>
  <c r="O24" i="29" s="1"/>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23" i="30" s="1"/>
  <c r="G24" i="30" s="1"/>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G23" i="22"/>
  <c r="G24" i="22"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I65" i="23" s="1"/>
  <c r="Q58" i="23"/>
  <c r="Q61" i="23" s="1"/>
  <c r="L58" i="29"/>
  <c r="L61" i="29" s="1"/>
  <c r="T58" i="29"/>
  <c r="T61" i="29" s="1"/>
  <c r="T64" i="29" s="1"/>
  <c r="I23" i="30"/>
  <c r="I24" i="30" s="1"/>
  <c r="Q23" i="30"/>
  <c r="Q24" i="30" s="1"/>
  <c r="E23" i="30"/>
  <c r="E24" i="30" s="1"/>
  <c r="U23" i="30"/>
  <c r="U24" i="30" s="1"/>
  <c r="J58" i="28"/>
  <c r="J61" i="28" s="1"/>
  <c r="R58" i="22"/>
  <c r="R61" i="22" s="1"/>
  <c r="R64" i="22" s="1"/>
  <c r="J58" i="23"/>
  <c r="J61" i="23" s="1"/>
  <c r="J58" i="24"/>
  <c r="J61"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Q24" i="22" s="1"/>
  <c r="R21" i="27"/>
  <c r="R23" i="27" s="1"/>
  <c r="R24"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H24" i="22" s="1"/>
  <c r="P23" i="22"/>
  <c r="P24" i="22" s="1"/>
  <c r="C58" i="22"/>
  <c r="C61" i="22" s="1"/>
  <c r="K58" i="22"/>
  <c r="K61" i="22" s="1"/>
  <c r="K64" i="22" s="1"/>
  <c r="K65"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I57" i="30"/>
  <c r="M19" i="21"/>
  <c r="M20" i="21" s="1"/>
  <c r="G57" i="21"/>
  <c r="J19" i="22"/>
  <c r="J20" i="22" s="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N19" i="30"/>
  <c r="N20" i="30" s="1"/>
  <c r="V19" i="30"/>
  <c r="N23" i="30"/>
  <c r="N24" i="30" s="1"/>
  <c r="B63" i="30"/>
  <c r="J63" i="30"/>
  <c r="R63" i="30"/>
  <c r="G19" i="30"/>
  <c r="G20" i="30" s="1"/>
  <c r="A32" i="30"/>
  <c r="A34" i="30"/>
  <c r="A40" i="30"/>
  <c r="A42" i="30"/>
  <c r="A48" i="30"/>
  <c r="A50" i="30"/>
  <c r="C63" i="30"/>
  <c r="K63" i="30"/>
  <c r="S63" i="30"/>
  <c r="P19" i="30"/>
  <c r="D63" i="30"/>
  <c r="L63" i="30"/>
  <c r="T63" i="30"/>
  <c r="H63" i="30"/>
  <c r="Q19" i="30"/>
  <c r="E63" i="30"/>
  <c r="M63" i="30"/>
  <c r="Q23" i="29"/>
  <c r="Q24" i="29" s="1"/>
  <c r="T19" i="29"/>
  <c r="P63" i="29"/>
  <c r="J19" i="29"/>
  <c r="J20" i="29" s="1"/>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N19" i="29"/>
  <c r="N20" i="29" s="1"/>
  <c r="V19" i="29"/>
  <c r="B63" i="29"/>
  <c r="J63" i="29"/>
  <c r="R63" i="29"/>
  <c r="L19" i="29"/>
  <c r="L20" i="29" s="1"/>
  <c r="G19" i="29"/>
  <c r="G20" i="29" s="1"/>
  <c r="A32" i="29"/>
  <c r="A34" i="29"/>
  <c r="A40" i="29"/>
  <c r="A42" i="29"/>
  <c r="A48" i="29"/>
  <c r="A50" i="29"/>
  <c r="C63" i="29"/>
  <c r="K63" i="29"/>
  <c r="S63" i="29"/>
  <c r="H19" i="29"/>
  <c r="H20" i="29" s="1"/>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19" i="28"/>
  <c r="L20"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I57" i="26"/>
  <c r="Q57" i="26"/>
  <c r="I59" i="26"/>
  <c r="Q59" i="26"/>
  <c r="Q64" i="26" s="1"/>
  <c r="I63" i="26"/>
  <c r="Q63" i="26"/>
  <c r="N19" i="26"/>
  <c r="N20" i="26" s="1"/>
  <c r="V23" i="26"/>
  <c r="V24" i="26" s="1"/>
  <c r="B63" i="26"/>
  <c r="J63" i="26"/>
  <c r="R63" i="26"/>
  <c r="G19" i="26"/>
  <c r="G20" i="26" s="1"/>
  <c r="A32" i="26"/>
  <c r="A34" i="26"/>
  <c r="A40" i="26"/>
  <c r="A42" i="26"/>
  <c r="A48" i="26"/>
  <c r="A50" i="26"/>
  <c r="C63" i="26"/>
  <c r="K63" i="26"/>
  <c r="S63" i="26"/>
  <c r="H19" i="26"/>
  <c r="H20" i="26" s="1"/>
  <c r="P19" i="26"/>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Q65" i="24" s="1"/>
  <c r="F23" i="24"/>
  <c r="F24" i="24" s="1"/>
  <c r="V23" i="24"/>
  <c r="V24" i="24" s="1"/>
  <c r="B63" i="24"/>
  <c r="J63" i="24"/>
  <c r="R63" i="24"/>
  <c r="O19" i="24"/>
  <c r="O20" i="24" s="1"/>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O19" i="23"/>
  <c r="O20" i="23" s="1"/>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L23" i="22"/>
  <c r="L24" i="22" s="1"/>
  <c r="T23" i="22"/>
  <c r="T24" i="22" s="1"/>
  <c r="A31" i="22"/>
  <c r="A33" i="22"/>
  <c r="A41" i="22"/>
  <c r="A47" i="22"/>
  <c r="E19" i="22"/>
  <c r="E20" i="22" s="1"/>
  <c r="M19" i="22"/>
  <c r="M20" i="22" s="1"/>
  <c r="E23" i="22"/>
  <c r="E24" i="22" s="1"/>
  <c r="U23" i="22"/>
  <c r="U24" i="22" s="1"/>
  <c r="I57" i="22"/>
  <c r="Q57" i="22"/>
  <c r="A39" i="22"/>
  <c r="A49" i="22"/>
  <c r="N19" i="22"/>
  <c r="N20" i="22" s="1"/>
  <c r="V19" i="22"/>
  <c r="V23" i="22"/>
  <c r="V24" i="22" s="1"/>
  <c r="G19" i="22"/>
  <c r="G20" i="22" s="1"/>
  <c r="A32" i="22"/>
  <c r="A34" i="22"/>
  <c r="A40" i="22"/>
  <c r="A42" i="22"/>
  <c r="A48" i="22"/>
  <c r="A50" i="22"/>
  <c r="P19" i="22"/>
  <c r="P64" i="21"/>
  <c r="N23" i="21"/>
  <c r="N24" i="21" s="1"/>
  <c r="A33" i="21"/>
  <c r="A37" i="21"/>
  <c r="A41" i="21"/>
  <c r="A45" i="21"/>
  <c r="A49" i="21"/>
  <c r="E58" i="21"/>
  <c r="E61" i="21" s="1"/>
  <c r="M58" i="21"/>
  <c r="M61" i="21" s="1"/>
  <c r="U58" i="21"/>
  <c r="U61" i="21" s="1"/>
  <c r="U64" i="21" s="1"/>
  <c r="U66" i="21" s="1"/>
  <c r="S19" i="21"/>
  <c r="I23" i="21"/>
  <c r="I24" i="21" s="1"/>
  <c r="C57" i="21"/>
  <c r="K57" i="21"/>
  <c r="S57" i="21"/>
  <c r="Q19" i="21"/>
  <c r="J23" i="21"/>
  <c r="J24" i="21" s="1"/>
  <c r="R23" i="21"/>
  <c r="R24" i="21" s="1"/>
  <c r="I19" i="21"/>
  <c r="I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2" l="1"/>
  <c r="M65" i="22"/>
  <c r="H65" i="22"/>
  <c r="E65" i="22"/>
  <c r="E65" i="23"/>
  <c r="C65" i="29"/>
  <c r="C19" i="29"/>
  <c r="C20" i="29" s="1"/>
  <c r="L65" i="24"/>
  <c r="B65" i="24"/>
  <c r="H65" i="26"/>
  <c r="L65" i="26"/>
  <c r="L65" i="30"/>
  <c r="K65" i="30"/>
  <c r="I65" i="30"/>
  <c r="E65" i="30"/>
  <c r="D65" i="30"/>
  <c r="C65" i="30"/>
  <c r="K65" i="28"/>
  <c r="I65" i="28"/>
  <c r="D65" i="28"/>
  <c r="D65" i="21"/>
  <c r="L65" i="21"/>
  <c r="K65" i="21"/>
  <c r="K64" i="27"/>
  <c r="K65" i="27" s="1"/>
  <c r="C64" i="22"/>
  <c r="C65" i="22" s="1"/>
  <c r="J64" i="23"/>
  <c r="J65" i="23" s="1"/>
  <c r="C64" i="21"/>
  <c r="C65" i="21" s="1"/>
  <c r="L64" i="23"/>
  <c r="L65" i="23" s="1"/>
  <c r="H64" i="30"/>
  <c r="H65" i="30" s="1"/>
  <c r="J64" i="28"/>
  <c r="J65" i="28" s="1"/>
  <c r="I64" i="26"/>
  <c r="I65" i="26" s="1"/>
  <c r="D64" i="24"/>
  <c r="D65" i="24" s="1"/>
  <c r="J64" i="24"/>
  <c r="J65" i="24" s="1"/>
  <c r="J64" i="27"/>
  <c r="J65" i="27" s="1"/>
  <c r="B64" i="30"/>
  <c r="B65" i="30" s="1"/>
  <c r="L64" i="28"/>
  <c r="L65" i="28" s="1"/>
  <c r="N66" i="21"/>
  <c r="N65" i="21"/>
  <c r="F64" i="26"/>
  <c r="M66" i="26"/>
  <c r="M65" i="26"/>
  <c r="O64" i="21"/>
  <c r="O65" i="21"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G64" i="26"/>
  <c r="G64" i="29"/>
  <c r="F64" i="22"/>
  <c r="O64" i="26"/>
  <c r="R66" i="22"/>
  <c r="T66" i="24"/>
  <c r="U66" i="23"/>
  <c r="P64" i="30"/>
  <c r="P66" i="30" s="1"/>
  <c r="C66" i="23"/>
  <c r="P66" i="23"/>
  <c r="E66" i="22"/>
  <c r="T66" i="23"/>
  <c r="Q66" i="21"/>
  <c r="P66" i="21"/>
  <c r="K66" i="27"/>
  <c r="G64" i="23"/>
  <c r="Q66" i="24"/>
  <c r="R66" i="27"/>
  <c r="C66" i="27"/>
  <c r="H66" i="23"/>
  <c r="G64" i="27"/>
  <c r="G66" i="30"/>
  <c r="J66" i="30"/>
  <c r="F64" i="27"/>
  <c r="T66" i="27"/>
  <c r="L66" i="29"/>
  <c r="Q66" i="22"/>
  <c r="C66" i="22"/>
  <c r="T66" i="21"/>
  <c r="S66" i="23"/>
  <c r="E66" i="30"/>
  <c r="S66" i="24"/>
  <c r="L66" i="21"/>
  <c r="S66" i="26"/>
  <c r="L66" i="26"/>
  <c r="T66" i="30"/>
  <c r="C66" i="29"/>
  <c r="H66" i="22"/>
  <c r="R66" i="28"/>
  <c r="N64" i="26"/>
  <c r="O64" i="29"/>
  <c r="P64" i="29"/>
  <c r="P66" i="29" s="1"/>
  <c r="S64" i="1"/>
  <c r="R66" i="26"/>
  <c r="D66" i="27"/>
  <c r="N64" i="29"/>
  <c r="R66" i="30"/>
  <c r="O66" i="22"/>
  <c r="R64" i="1"/>
  <c r="J66" i="23"/>
  <c r="Q64" i="1"/>
  <c r="U64" i="1"/>
  <c r="P64" i="1"/>
  <c r="E66" i="27"/>
  <c r="J66" i="24"/>
  <c r="Q66" i="29"/>
  <c r="F64" i="29"/>
  <c r="O64" i="23"/>
  <c r="O64" i="30"/>
  <c r="N64" i="24"/>
  <c r="B66" i="24"/>
  <c r="K66" i="30"/>
  <c r="C66" i="30"/>
  <c r="I66" i="30"/>
  <c r="R66" i="29"/>
  <c r="I66" i="29"/>
  <c r="S66" i="29"/>
  <c r="T66" i="28"/>
  <c r="D66" i="28"/>
  <c r="M66" i="28"/>
  <c r="Q66" i="28"/>
  <c r="I66" i="28"/>
  <c r="S66" i="28"/>
  <c r="K66" i="28"/>
  <c r="Q66" i="27"/>
  <c r="I66" i="27"/>
  <c r="P66" i="27"/>
  <c r="Q66" i="26"/>
  <c r="P66" i="26"/>
  <c r="C66" i="26"/>
  <c r="H66" i="26"/>
  <c r="L66" i="24"/>
  <c r="P66" i="24"/>
  <c r="D66" i="24"/>
  <c r="K66" i="24"/>
  <c r="I66" i="23"/>
  <c r="E66" i="23"/>
  <c r="I66" i="22"/>
  <c r="M66" i="22"/>
  <c r="S66" i="22"/>
  <c r="K66" i="22"/>
  <c r="T66" i="22"/>
  <c r="K66" i="21"/>
  <c r="D66" i="21"/>
  <c r="R66" i="21"/>
  <c r="N64" i="1"/>
  <c r="M64" i="1"/>
  <c r="M65" i="1" s="1"/>
  <c r="T64" i="1"/>
  <c r="L64" i="1"/>
  <c r="L65" i="1" s="1"/>
  <c r="J64" i="1"/>
  <c r="J65" i="1" s="1"/>
  <c r="K64" i="1"/>
  <c r="K65" i="1" s="1"/>
  <c r="O64" i="1"/>
  <c r="O65" i="1" s="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F65" i="1" l="1"/>
  <c r="G65" i="1"/>
  <c r="I65" i="1"/>
  <c r="N65" i="1"/>
  <c r="H65" i="1"/>
  <c r="C65" i="1"/>
  <c r="B65" i="1"/>
  <c r="H66" i="30"/>
  <c r="D66" i="26"/>
  <c r="C66" i="21"/>
  <c r="B66" i="30"/>
  <c r="J66" i="28"/>
  <c r="M66" i="24"/>
  <c r="I66" i="26"/>
  <c r="L66" i="23"/>
  <c r="H66" i="21"/>
  <c r="L66" i="28"/>
  <c r="I66" i="24"/>
  <c r="D66" i="23"/>
  <c r="D66" i="22"/>
  <c r="J66" i="26"/>
  <c r="J66" i="27"/>
  <c r="M66" i="29"/>
  <c r="C66" i="28"/>
  <c r="C65" i="28"/>
  <c r="H66" i="24"/>
  <c r="H65" i="24"/>
  <c r="N66" i="26"/>
  <c r="N65" i="26"/>
  <c r="K66" i="26"/>
  <c r="K65" i="26"/>
  <c r="G66" i="24"/>
  <c r="G65" i="24"/>
  <c r="E66" i="28"/>
  <c r="E65" i="28"/>
  <c r="K66" i="23"/>
  <c r="K65" i="23"/>
  <c r="J66" i="21"/>
  <c r="J65" i="21"/>
  <c r="G66" i="27"/>
  <c r="G65" i="27"/>
  <c r="F66" i="24"/>
  <c r="F65" i="24"/>
  <c r="L66" i="22"/>
  <c r="M66" i="21"/>
  <c r="N66" i="23"/>
  <c r="N66" i="30"/>
  <c r="N65" i="30"/>
  <c r="E66" i="29"/>
  <c r="E65" i="29"/>
  <c r="M66" i="30"/>
  <c r="M65" i="30"/>
  <c r="F66" i="30"/>
  <c r="F65" i="30"/>
  <c r="N66" i="28"/>
  <c r="N65" i="28"/>
  <c r="E66" i="26"/>
  <c r="E65" i="26"/>
  <c r="G66" i="28"/>
  <c r="G65" i="28"/>
  <c r="F66" i="21"/>
  <c r="F65" i="21"/>
  <c r="M66" i="23"/>
  <c r="M65" i="23"/>
  <c r="D66" i="29"/>
  <c r="F66" i="23"/>
  <c r="F65" i="23"/>
  <c r="K66" i="29"/>
  <c r="K65" i="29"/>
  <c r="H66" i="27"/>
  <c r="H65" i="27"/>
  <c r="H66" i="28"/>
  <c r="H65" i="28"/>
  <c r="E66" i="21"/>
  <c r="E65" i="21"/>
  <c r="F66" i="26"/>
  <c r="F65" i="26"/>
  <c r="N66" i="24"/>
  <c r="N65" i="24"/>
  <c r="N66" i="29"/>
  <c r="N65" i="29"/>
  <c r="N66" i="27"/>
  <c r="N65" i="27"/>
  <c r="J66" i="29"/>
  <c r="J65" i="29"/>
  <c r="G66" i="22"/>
  <c r="G65" i="22"/>
  <c r="F66" i="27"/>
  <c r="F65" i="27"/>
  <c r="F66" i="22"/>
  <c r="F65" i="22"/>
  <c r="M66" i="27"/>
  <c r="M65" i="27"/>
  <c r="H66" i="29"/>
  <c r="H65" i="29"/>
  <c r="F66" i="29"/>
  <c r="F65" i="29"/>
  <c r="G66" i="23"/>
  <c r="G65" i="23"/>
  <c r="G66" i="29"/>
  <c r="G65" i="29"/>
  <c r="L66" i="27"/>
  <c r="L65" i="27"/>
  <c r="J66" i="22"/>
  <c r="J65" i="22"/>
  <c r="G66" i="21"/>
  <c r="G65" i="21"/>
  <c r="G66" i="26"/>
  <c r="G65" i="26"/>
  <c r="I66" i="21"/>
  <c r="I65" i="21"/>
  <c r="C66" i="24"/>
  <c r="C65" i="24"/>
  <c r="E66" i="24"/>
  <c r="E65" i="24"/>
  <c r="F66" i="28"/>
  <c r="F65" i="28"/>
  <c r="O66" i="27"/>
  <c r="O65" i="27"/>
  <c r="O66" i="26"/>
  <c r="O65" i="26"/>
  <c r="O66" i="30"/>
  <c r="O65" i="30"/>
  <c r="O66" i="24"/>
  <c r="O65" i="24"/>
  <c r="O66" i="23"/>
  <c r="O65" i="23"/>
  <c r="O66" i="29"/>
  <c r="O65" i="29"/>
  <c r="O66" i="28"/>
  <c r="O65" i="28"/>
  <c r="B66" i="29"/>
  <c r="B65" i="29"/>
  <c r="B66" i="26"/>
  <c r="B65" i="26"/>
  <c r="B66" i="27"/>
  <c r="B65" i="27"/>
  <c r="B66" i="23"/>
  <c r="B65" i="23"/>
  <c r="B66" i="28"/>
  <c r="B65" i="28"/>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<sst xmlns="http://schemas.openxmlformats.org/spreadsheetml/2006/main" count="2232" uniqueCount="175">
  <si>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</si>
  <si>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</si>
  <si>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</si>
  <si>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</si>
  <si>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</si>
  <si>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</si>
  <si>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</si>
  <si>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</si>
  <si>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</si>
  <si>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</si>
  <si>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</si>
  <si>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</si>
  <si>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</si>
  <si>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</si>
  <si>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</si>
  <si>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</si>
  <si>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</si>
  <si>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</si>
  <si>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</si>
  <si>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</si>
  <si>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</si>
  <si>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</si>
  <si>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</si>
  <si>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</si>
  <si>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</si>
  <si>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</si>
  <si>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</si>
  <si>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</si>
  <si>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</si>
  <si>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</si>
  <si>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</si>
  <si>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</si>
  <si>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</si>
  <si>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</si>
  <si>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</si>
  <si>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</si>
  <si>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</si>
  <si>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</si>
  <si>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</si>
  <si>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</si>
  <si>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</si>
  <si>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</si>
  <si>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</si>
  <si>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</si>
  <si>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</si>
  <si>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</si>
  <si>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</si>
  <si>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</si>
  <si>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</si>
  <si>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</si>
  <si>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</si>
  <si>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</si>
  <si>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</si>
  <si>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</si>
  <si>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</si>
  <si>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</si>
  <si>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</si>
  <si>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</si>
  <si>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</si>
  <si>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</si>
  <si>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</si>
  <si>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</si>
  <si>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</si>
  <si>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</si>
  <si>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</si>
  <si>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</si>
  <si>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</si>
  <si>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</si>
  <si>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</si>
  <si>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</si>
  <si>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</si>
  <si>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</si>
  <si>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</si>
  <si>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</si>
  <si>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</si>
  <si>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</si>
  <si>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</si>
  <si>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</si>
  <si>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</si>
  <si>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</si>
  <si>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</si>
  <si>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</si>
  <si>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</si>
  <si>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</si>
  <si>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</si>
  <si>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</si>
  <si>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</si>
  <si>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</si>
  <si>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</si>
  <si>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</si>
  <si>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</si>
  <si>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</si>
  <si>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</si>
  <si>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</si>
  <si>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</si>
  <si>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</si>
  <si>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</si>
  <si>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</si>
  <si>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</si>
  <si>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</si>
  <si>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</si>
  <si>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</si>
  <si>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</si>
  <si>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</si>
  <si>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</si>
  <si>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</si>
  <si>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</si>
  <si>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</si>
  <si>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</si>
  <si>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</si>
  <si>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</si>
  <si>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</si>
  <si>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</si>
  <si>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</si>
  <si>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</si>
  <si>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</si>
  <si>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</si>
  <si>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</si>
  <si>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</si>
  <si>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</si>
  <si>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</si>
  <si>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</si>
  <si>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</si>
  <si>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</si>
  <si>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</si>
  <si>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</si>
  <si>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</si>
  <si>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</si>
  <si>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</si>
  <si>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</si>
  <si>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</si>
  <si>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</si>
  <si>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</si>
  <si>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</si>
  <si>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</si>
  <si>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</si>
  <si>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</si>
  <si>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</si>
  <si>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</si>
  <si>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</si>
  <si>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</si>
  <si>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</si>
  <si>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</si>
  <si>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</si>
  <si>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</si>
  <si>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</si>
  <si>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</si>
  <si>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</si>
  <si>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</si>
  <si>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</si>
  <si>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</si>
  <si>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</si>
  <si>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</si>
  <si>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</si>
  <si>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</si>
  <si>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</si>
  <si>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</si>
  <si>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</si>
  <si>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</si>
  <si>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</si>
  <si>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PAN-013797</t>
  </si>
  <si>
    <t>EPR/AB3891CX</t>
  </si>
  <si>
    <t>Mr Daniel James and Mrs Carys James</t>
  </si>
  <si>
    <t>Arnolds Hill Farm, Slebech, Haverfordwest, Pembrokeshire SA62 4BA</t>
  </si>
  <si>
    <t>Bryan Burn</t>
  </si>
  <si>
    <t>Bolton</t>
  </si>
  <si>
    <t>Peseli</t>
  </si>
  <si>
    <t>Llechryd</t>
  </si>
  <si>
    <t>Strata</t>
  </si>
  <si>
    <t>Bontgoch</t>
  </si>
  <si>
    <t>Bryngwyyn</t>
  </si>
  <si>
    <t>Capel</t>
  </si>
  <si>
    <t>Cray</t>
  </si>
  <si>
    <t>Hirwaun</t>
  </si>
  <si>
    <t>Cefyn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</si>
</sst>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50</v>
      </c>
      <c r="G1" s="134" t="s">
        <v>43</v>
      </c>
      <c r="H1" s="135"/>
      <c r="I1" s="109">
        <v>6.6</v>
      </c>
      <c r="J1" s="158" t="s">
        <v>153</v>
      </c>
      <c r="K1" s="159"/>
      <c r="L1" s="109">
        <v>183</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c r="J3" s="160" t="s">
        <v>154</v>
      </c>
      <c r="K3" s="161"/>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6</v>
      </c>
      <c r="I8" s="11">
        <v>7</v>
      </c>
      <c r="J8" s="11">
        <v>8</v>
      </c>
      <c r="K8" s="11">
        <v>9</v>
      </c>
      <c r="L8" s="11">
        <v>10</v>
      </c>
      <c r="M8" s="11">
        <v>11</v>
      </c>
      <c r="N8" s="11">
        <v>14</v>
      </c>
      <c r="O8" s="11">
        <v>15</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v>1</v>
      </c>
      <c r="D9" s="11">
        <v>1</v>
      </c>
      <c r="E9" s="11">
        <v>1</v>
      </c>
      <c r="F9" s="11">
        <v>1</v>
      </c>
      <c r="G9" s="11">
        <v>1</v>
      </c>
      <c r="H9" s="11">
        <v>1</v>
      </c>
      <c r="I9" s="11">
        <v>1</v>
      </c>
      <c r="J9" s="11">
        <v>1</v>
      </c>
      <c r="K9" s="11">
        <v>1</v>
      </c>
      <c r="L9" s="11">
        <v>1</v>
      </c>
      <c r="M9" s="11">
        <v>1</v>
      </c>
      <c r="N9" s="11">
        <v>1</v>
      </c>
      <c r="O9" s="11">
        <v>1</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6.6</v>
      </c>
      <c r="E10" s="11">
        <v>6.9</v>
      </c>
      <c r="F10" s="11">
        <v>6.7</v>
      </c>
      <c r="G10" s="11">
        <v>6.4</v>
      </c>
      <c r="H10" s="11">
        <v>6.3</v>
      </c>
      <c r="I10" s="11">
        <v>6.6</v>
      </c>
      <c r="J10" s="11">
        <v>6.8</v>
      </c>
      <c r="K10" s="11">
        <v>6.5</v>
      </c>
      <c r="L10" s="11">
        <v>6.5</v>
      </c>
      <c r="M10" s="11">
        <v>6.9</v>
      </c>
      <c r="N10" s="11">
        <v>6.1</v>
      </c>
      <c r="O10" s="11">
        <v>6.1</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2</v>
      </c>
      <c r="E11" s="11">
        <v>2</v>
      </c>
      <c r="F11" s="11">
        <v>2</v>
      </c>
      <c r="G11" s="11">
        <v>2</v>
      </c>
      <c r="H11" s="11">
        <v>2</v>
      </c>
      <c r="I11" s="11">
        <v>2</v>
      </c>
      <c r="J11" s="11">
        <v>3</v>
      </c>
      <c r="K11" s="11">
        <v>2</v>
      </c>
      <c r="L11" s="11">
        <v>2</v>
      </c>
      <c r="M11" s="11">
        <v>2</v>
      </c>
      <c r="N11" s="11">
        <v>1</v>
      </c>
      <c r="O11" s="11">
        <v>2</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2</v>
      </c>
      <c r="E12" s="11">
        <v>1</v>
      </c>
      <c r="F12" s="11">
        <v>2</v>
      </c>
      <c r="G12" s="11">
        <v>2</v>
      </c>
      <c r="H12" s="11">
        <v>2</v>
      </c>
      <c r="I12" s="11">
        <v>2</v>
      </c>
      <c r="J12" s="11">
        <v>2</v>
      </c>
      <c r="K12" s="11">
        <v>2</v>
      </c>
      <c r="L12" s="11">
        <v>3</v>
      </c>
      <c r="M12" s="11">
        <v>2</v>
      </c>
      <c r="N12" s="11">
        <v>2</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2</v>
      </c>
      <c r="F13" s="11">
        <v>2</v>
      </c>
      <c r="G13" s="11">
        <v>2</v>
      </c>
      <c r="H13" s="11">
        <v>2</v>
      </c>
      <c r="I13" s="11">
        <v>2</v>
      </c>
      <c r="J13" s="11">
        <v>2</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105</v>
      </c>
      <c r="D14" s="82" t="s">
        <v>105</v>
      </c>
      <c r="E14" s="82" t="s">
        <v>105</v>
      </c>
      <c r="F14" s="82" t="s">
        <v>105</v>
      </c>
      <c r="G14" s="82" t="s">
        <v>105</v>
      </c>
      <c r="H14" s="82" t="s">
        <v>105</v>
      </c>
      <c r="I14" s="82" t="s">
        <v>105</v>
      </c>
      <c r="J14" s="82" t="s">
        <v>105</v>
      </c>
      <c r="K14" s="82" t="s">
        <v>105</v>
      </c>
      <c r="L14" s="82" t="s">
        <v>105</v>
      </c>
      <c r="M14" s="82" t="s">
        <v>105</v>
      </c>
      <c r="N14" s="82" t="s">
        <v>105</v>
      </c>
      <c r="O14" s="82" t="s">
        <v>105</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45</v>
      </c>
      <c r="D15" s="11">
        <v>45</v>
      </c>
      <c r="E15" s="11">
        <v>45</v>
      </c>
      <c r="F15" s="11">
        <v>45</v>
      </c>
      <c r="G15" s="11">
        <v>45</v>
      </c>
      <c r="H15" s="11">
        <v>45</v>
      </c>
      <c r="I15" s="11">
        <v>45</v>
      </c>
      <c r="J15" s="11">
        <v>45</v>
      </c>
      <c r="K15" s="11">
        <v>45</v>
      </c>
      <c r="L15" s="11">
        <v>45</v>
      </c>
      <c r="M15" s="11">
        <v>45</v>
      </c>
      <c r="N15" s="11">
        <v>45</v>
      </c>
      <c r="O15" s="11">
        <v>45</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26.552231799999994</v>
      </c>
      <c r="D18" s="12">
        <f>$D32</f>
        <v>26.552231799999994</v>
      </c>
      <c r="E18" s="12">
        <f>$D33</f>
        <v>26.552231799999994</v>
      </c>
      <c r="F18" s="12">
        <f>$D34</f>
        <v>26.552231799999994</v>
      </c>
      <c r="G18" s="12">
        <f>$D35</f>
        <v>26.552231799999994</v>
      </c>
      <c r="H18" s="12">
        <f>$D36</f>
        <v>26.552231799999994</v>
      </c>
      <c r="I18" s="12">
        <f>$D37</f>
        <v>26.552231799999994</v>
      </c>
      <c r="J18" s="12">
        <f>$D38</f>
        <v>26.552231799999994</v>
      </c>
      <c r="K18" s="12">
        <f>$D39</f>
        <v>26.552231799999994</v>
      </c>
      <c r="L18" s="12">
        <f>$D40</f>
        <v>26.552231799999994</v>
      </c>
      <c r="M18" s="12">
        <f>$D41</f>
        <v>26.552231799999994</v>
      </c>
      <c r="N18" s="12">
        <f>$D42</f>
        <v>26.552231799999994</v>
      </c>
      <c r="O18" s="12">
        <f>$D43</f>
        <v>26.552231799999994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-36.447768199999999</v>
      </c>
      <c r="D19" s="12">
        <f t="shared" ref="D19:V19" si="1">D18-D17</f>
        <v>-36.447768199999999</v>
      </c>
      <c r="E19" s="12">
        <f t="shared" si="1"/>
        <v>-36.447768199999999</v>
      </c>
      <c r="F19" s="12">
        <f t="shared" si="1"/>
        <v>-36.447768199999999</v>
      </c>
      <c r="G19" s="12">
        <f t="shared" si="1"/>
        <v>-36.447768199999999</v>
      </c>
      <c r="H19" s="12">
        <f t="shared" si="1"/>
        <v>-36.447768199999999</v>
      </c>
      <c r="I19" s="12">
        <f t="shared" si="1"/>
        <v>-36.447768199999999</v>
      </c>
      <c r="J19" s="12">
        <f t="shared" si="1"/>
        <v>-36.447768199999999</v>
      </c>
      <c r="K19" s="12">
        <f t="shared" si="1"/>
        <v>-36.447768199999999</v>
      </c>
      <c r="L19" s="12">
        <f t="shared" si="1"/>
        <v>-36.447768199999999</v>
      </c>
      <c r="M19" s="12">
        <f t="shared" si="1"/>
        <v>-36.447768199999999</v>
      </c>
      <c r="N19" s="12">
        <f t="shared" si="1"/>
        <v>-36.447768199999999</v>
      </c>
      <c r="O19" s="12">
        <f t="shared" si="1"/>
        <v>-36.447768199999999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3.4813655000000003</v>
      </c>
      <c r="D22" s="12">
        <f>$E32</f>
        <v>3.4813655000000003</v>
      </c>
      <c r="E22" s="12">
        <f>$E33</f>
        <v>3.4813655000000003</v>
      </c>
      <c r="F22" s="12">
        <f>$E34</f>
        <v>3.4813655000000003</v>
      </c>
      <c r="G22" s="12">
        <f>$E35</f>
        <v>3.4813655000000003</v>
      </c>
      <c r="H22" s="12">
        <f>$E36</f>
        <v>3.4813655000000003</v>
      </c>
      <c r="I22" s="12">
        <f>$E37</f>
        <v>3.4813655000000003</v>
      </c>
      <c r="J22" s="12">
        <f>$E38</f>
        <v>3.4813655000000003</v>
      </c>
      <c r="K22" s="12">
        <f>$E39</f>
        <v>3.4813655000000003</v>
      </c>
      <c r="L22" s="12">
        <f>$E40</f>
        <v>3.4813655000000003</v>
      </c>
      <c r="M22" s="12">
        <f>$E41</f>
        <v>3.4813655000000003</v>
      </c>
      <c r="N22" s="12">
        <f>$E42</f>
        <v>3.4813655000000003</v>
      </c>
      <c r="O22" s="12">
        <f>$E43</f>
        <v>3.4813655000000003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-194.51863450000002</v>
      </c>
      <c r="D23" s="12">
        <f t="shared" ref="D23:V23" si="3">D22-D21</f>
        <v>-194.51863450000002</v>
      </c>
      <c r="E23" s="12">
        <f t="shared" si="3"/>
        <v>-194.51863450000002</v>
      </c>
      <c r="F23" s="12">
        <f t="shared" si="3"/>
        <v>-194.51863450000002</v>
      </c>
      <c r="G23" s="12">
        <f t="shared" si="3"/>
        <v>-194.51863450000002</v>
      </c>
      <c r="H23" s="12">
        <f t="shared" si="3"/>
        <v>-194.51863450000002</v>
      </c>
      <c r="I23" s="12">
        <f t="shared" si="3"/>
        <v>-194.51863450000002</v>
      </c>
      <c r="J23" s="12">
        <f t="shared" si="3"/>
        <v>-194.51863450000002</v>
      </c>
      <c r="K23" s="12">
        <f t="shared" si="3"/>
        <v>-194.51863450000002</v>
      </c>
      <c r="L23" s="12">
        <f t="shared" si="3"/>
        <v>-194.51863450000002</v>
      </c>
      <c r="M23" s="12">
        <f t="shared" si="3"/>
        <v>-194.51863450000002</v>
      </c>
      <c r="N23" s="12">
        <f t="shared" si="3"/>
        <v>-194.51863450000002</v>
      </c>
      <c r="O23" s="12">
        <f t="shared" si="3"/>
        <v>-194.51863450000002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40.414000000000001</v>
      </c>
      <c r="D31" s="65">
        <f>(IF(D$27="%w/w SAR",((D$28*10)*$B31),IF(D$27="%w/w DM",(((D$28*10)*($B$28/100))*$B31),IF(D$27="kg/t SAR",(D$28*$B31),IF(D$27="kg/t DM",((D$28*($B$28/100))*$B31),IF(D$27="mg/kg SAR",((D$28*0.001)*$B31),IF(D$27="mg/kg DM",(((D$28*0.001)*($B$28/100))*$B31),"0")))))))*2.291</f>
        <v>26.552231799999994</v>
      </c>
      <c r="E31" s="65">
        <f>(IF(E$27="%w/w SAR",((E$28*10)*$B31),IF(E$27="%w/w DM",(((E$28*10)*($B$28/100))*$B31),IF(E$27="kg/t SAR",(E$28*$B31),IF(E$27="kg/t DM",((E$28*($B$28/100))*$B31),IF(E$27="mg/kg SAR",((E$28*0.001)*$B31),IF(E$27="mg/kg DM",(((E$28*0.001)*($B$28/100))*$B31),"0")))))))*1.205</f>
        <v>3.4813655000000003</v>
      </c>
      <c r="F31" s="65">
        <f>(IF(F$27="%w/w SAR",((F$28*10)*$B31),IF(F$27="%w/w DM",(((F$28*10)*($B$28/100))*$B31),IF(F$27="kg/t SAR",(F$28*$B31),IF(F$27="kg/t DM",((F$28*($B$28/100))*$B31),IF(F$27="mg/kg SAR",((F$28*0.001)*$B31),IF(F$27="mg/kg DM",(((F$28*0.001)*($B$28/100))*$B31),"0")))))))*1.658</f>
        <v>8.2512027999999979</v>
      </c>
      <c r="G31" s="65">
        <f t="shared" ref="G31:P31" si="5">IF(G$27="%w/w SAR",((G$28*10)*$B31),IF(G$27="%w/w DM",(((G$28*10)*($B$28/100))*$B31),IF(G$27="kg/t SAR",(G$28*$B31),IF(G$27="kg/t DM",((G$28*($B$28/100))*$B31),IF(G$27="mg/kg SAR",((G$28*0.001)*$B31),IF(G$27="mg/kg DM",(((G$28*0.001)*($B$28/100))*$B31),0))))))</f>
        <v>0.20307199999999997</v>
      </c>
      <c r="H31" s="65">
        <f t="shared" si="5"/>
        <v>0.36071999999999999</v>
      </c>
      <c r="I31" s="65">
        <f t="shared" si="5"/>
        <v>0.12291199999999999</v>
      </c>
      <c r="J31" s="65">
        <f t="shared" si="5"/>
        <v>2.1710000000000002E-3</v>
      </c>
      <c r="K31" s="65">
        <f t="shared" si="5"/>
        <v>1.9705999999999999E-3</v>
      </c>
      <c r="L31" s="65">
        <f t="shared" si="5"/>
        <v>0.101202</v>
      </c>
      <c r="M31" s="65">
        <f t="shared" si="5"/>
        <v>8.517000000000001E-2</v>
      </c>
      <c r="N31" s="65">
        <f t="shared" si="5"/>
        <v>467.6</v>
      </c>
      <c r="O31" s="65">
        <f t="shared" si="5"/>
        <v>80.16</v>
      </c>
      <c r="P31" s="65">
        <f t="shared" si="5"/>
        <v>0</v>
      </c>
      <c r="Q31" s="65">
        <f>(IF(Q$27="%w/w SAR",((Q$28*10)*$B31),IF(Q$27="%w/w DM",(((Q$28*10)*($B$28/100))*$B31),IF(Q$27="kg/t SAR",(Q$28*$B31),IF(Q$27="kg/t DM",((Q$28*($B$28/100))*$B31),IF(Q$27="mg/kg SAR",((Q$28*0.001)*$B31),IF(Q$27="mg/kg DM",(((Q$28*0.001)*($B$28/100))*$B31),0)))))))*2.5</f>
        <v>51.101999999999997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5.4775999999999991E-2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40.414000000000001</v>
      </c>
      <c r="D32" s="65">
        <f t="shared" ref="D32:D50" si="7">(IF(D$27="%w/w SAR",((D$28*10)*$B32),IF(D$27="%w/w DM",(((D$28*10)*($B$28/100))*$B32),IF(D$27="kg/t SAR",(D$28*$B32),IF(D$27="kg/t DM",((D$28*($B$28/100))*$B32),IF(D$27="mg/kg SAR",((D$28*0.001)*$B32),IF(D$27="mg/kg DM",(((D$28*0.001)*($B$28/100))*$B32),"0")))))))*2.291</f>
        <v>26.552231799999994</v>
      </c>
      <c r="E32" s="65">
        <f t="shared" ref="E32:E50" si="8">(IF(E$27="%w/w SAR",((E$28*10)*$B32),IF(E$27="%w/w DM",(((E$28*10)*($B$28/100))*$B32),IF(E$27="kg/t SAR",(E$28*$B32),IF(E$27="kg/t DM",((E$28*($B$28/100))*$B32),IF(E$27="mg/kg SAR",((E$28*0.001)*$B32),IF(E$27="mg/kg DM",(((E$28*0.001)*($B$28/100))*$B32),"0")))))))*1.205</f>
        <v>3.4813655000000003</v>
      </c>
      <c r="F32" s="65">
        <f t="shared" ref="F32:F50" si="9">(IF(F$27="%w/w SAR",((F$28*10)*$B32),IF(F$27="%w/w DM",(((F$28*10)*($B$28/100))*$B32),IF(F$27="kg/t SAR",(F$28*$B32),IF(F$27="kg/t DM",((F$28*($B$28/100))*$B32),IF(F$27="mg/kg SAR",((F$28*0.001)*$B32),IF(F$27="mg/kg DM",(((F$28*0.001)*($B$28/100))*$B32),"0")))))))*1.658</f>
        <v>8.2512027999999979</v>
      </c>
      <c r="G32" s="65">
        <f t="shared" ref="G32:P50" si="10">IF(G$27="%w/w SAR",((G$28*10)*$B32),IF(G$27="%w/w DM",(((G$28*10)*($B$28/100))*$B32),IF(G$27="kg/t SAR",(G$28*$B32),IF(G$27="kg/t DM",((G$28*($B$28/100))*$B32),IF(G$27="mg/kg SAR",((G$28*0.001)*$B32),IF(G$27="mg/kg DM",(((G$28*0.001)*($B$28/100))*$B32),0))))))</f>
        <v>0.20307199999999997</v>
      </c>
      <c r="H32" s="65">
        <f t="shared" si="10"/>
        <v>0.36071999999999999</v>
      </c>
      <c r="I32" s="65">
        <f t="shared" si="10"/>
        <v>0.12291199999999999</v>
      </c>
      <c r="J32" s="65">
        <f t="shared" si="10"/>
        <v>2.1710000000000002E-3</v>
      </c>
      <c r="K32" s="65">
        <f t="shared" si="10"/>
        <v>1.9705999999999999E-3</v>
      </c>
      <c r="L32" s="65">
        <f t="shared" si="10"/>
        <v>0.101202</v>
      </c>
      <c r="M32" s="65">
        <f t="shared" si="10"/>
        <v>8.517000000000001E-2</v>
      </c>
      <c r="N32" s="65">
        <f t="shared" si="10"/>
        <v>467.6</v>
      </c>
      <c r="O32" s="65">
        <f t="shared" si="10"/>
        <v>80.16</v>
      </c>
      <c r="P32" s="65">
        <f t="shared" si="10"/>
        <v>0</v>
      </c>
      <c r="Q32" s="65">
        <f t="shared" ref="Q32:Q50" si="11">(IF(Q$27="%w/w SAR",((Q$28*10)*$B32),IF(Q$27="%w/w DM",(((Q$28*10)*($B$28/100))*$B32),IF(Q$27="kg/t SAR",(Q$28*$B32),IF(Q$27="kg/t DM",((Q$28*($B$28/100))*$B32),IF(Q$27="mg/kg SAR",((Q$28*0.001)*$B32),IF(Q$27="mg/kg DM",(((Q$28*0.001)*($B$28/100))*$B32),0)))))))*2.5</f>
        <v>51.101999999999997</v>
      </c>
      <c r="R32" s="65">
        <f t="shared" ref="R32:U50" si="12">IF(R$27="%w/w SAR",((R$28*10)*$B32),IF(R$27="%w/w DM",(((R$28*10)*($B$28/100))*$B32),IF(R$27="kg/t SAR",(R$28*$B32),IF(R$27="kg/t DM",((R$28*($B$28/100))*$B32),IF(R$27="mg/kg SAR",((R$28*0.001)*$B32),IF(R$27="mg/kg DM",(((R$28*0.001)*($B$28/100))*$B32),0))))))</f>
        <v>0</v>
      </c>
      <c r="S32" s="65">
        <f t="shared" si="12"/>
        <v>5.4775999999999991E-2</v>
      </c>
      <c r="T32" s="65">
        <f t="shared" si="12"/>
        <v>0</v>
      </c>
      <c r="U32" s="126">
        <f t="shared" si="12"/>
        <v>0</v>
      </c>
    </row>
    <row r="33" spans="1:21" s="48" customFormat="1" ht="13" x14ac:dyDescent="0.35">
      <c r="A33" s="125">
        <f>E8</f>
        <v>3</v>
      </c>
      <c r="B33" s="11">
        <v>100</v>
      </c>
      <c r="C33" s="65">
        <f t="shared" si="6"/>
        <v>40.414000000000001</v>
      </c>
      <c r="D33" s="65">
        <f t="shared" si="7"/>
        <v>26.552231799999994</v>
      </c>
      <c r="E33" s="65">
        <f t="shared" si="8"/>
        <v>3.4813655000000003</v>
      </c>
      <c r="F33" s="65">
        <f t="shared" si="9"/>
        <v>8.2512027999999979</v>
      </c>
      <c r="G33" s="65">
        <f t="shared" si="10"/>
        <v>0.20307199999999997</v>
      </c>
      <c r="H33" s="65">
        <f t="shared" si="10"/>
        <v>0.36071999999999999</v>
      </c>
      <c r="I33" s="65">
        <f t="shared" si="10"/>
        <v>0.12291199999999999</v>
      </c>
      <c r="J33" s="65">
        <f t="shared" si="10"/>
        <v>2.1710000000000002E-3</v>
      </c>
      <c r="K33" s="65">
        <f t="shared" si="10"/>
        <v>1.9705999999999999E-3</v>
      </c>
      <c r="L33" s="65">
        <f t="shared" si="10"/>
        <v>0.101202</v>
      </c>
      <c r="M33" s="65">
        <f t="shared" si="10"/>
        <v>8.517000000000001E-2</v>
      </c>
      <c r="N33" s="65">
        <f t="shared" si="10"/>
        <v>467.6</v>
      </c>
      <c r="O33" s="65">
        <f t="shared" si="10"/>
        <v>80.16</v>
      </c>
      <c r="P33" s="65">
        <f t="shared" si="10"/>
        <v>0</v>
      </c>
      <c r="Q33" s="65">
        <f t="shared" si="11"/>
        <v>51.101999999999997</v>
      </c>
      <c r="R33" s="65">
        <f t="shared" si="12"/>
        <v>0</v>
      </c>
      <c r="S33" s="65">
        <f t="shared" si="12"/>
        <v>5.4775999999999991E-2</v>
      </c>
      <c r="T33" s="65">
        <f t="shared" si="12"/>
        <v>0</v>
      </c>
      <c r="U33" s="126">
        <f t="shared" si="12"/>
        <v>0</v>
      </c>
    </row>
    <row r="34" spans="1:21" s="48" customFormat="1" ht="13" x14ac:dyDescent="0.35">
      <c r="A34" s="125">
        <f>F8</f>
        <v>4</v>
      </c>
      <c r="B34" s="11">
        <v>100</v>
      </c>
      <c r="C34" s="65">
        <f t="shared" si="6"/>
        <v>40.414000000000001</v>
      </c>
      <c r="D34" s="65">
        <f t="shared" si="7"/>
        <v>26.552231799999994</v>
      </c>
      <c r="E34" s="65">
        <f t="shared" si="8"/>
        <v>3.4813655000000003</v>
      </c>
      <c r="F34" s="65">
        <f t="shared" si="9"/>
        <v>8.2512027999999979</v>
      </c>
      <c r="G34" s="65">
        <f t="shared" si="10"/>
        <v>0.20307199999999997</v>
      </c>
      <c r="H34" s="65">
        <f t="shared" si="10"/>
        <v>0.36071999999999999</v>
      </c>
      <c r="I34" s="65">
        <f t="shared" si="10"/>
        <v>0.12291199999999999</v>
      </c>
      <c r="J34" s="65">
        <f t="shared" si="10"/>
        <v>2.1710000000000002E-3</v>
      </c>
      <c r="K34" s="65">
        <f t="shared" si="10"/>
        <v>1.9705999999999999E-3</v>
      </c>
      <c r="L34" s="65">
        <f t="shared" si="10"/>
        <v>0.101202</v>
      </c>
      <c r="M34" s="65">
        <f t="shared" si="10"/>
        <v>8.517000000000001E-2</v>
      </c>
      <c r="N34" s="65">
        <f t="shared" si="10"/>
        <v>467.6</v>
      </c>
      <c r="O34" s="65">
        <f t="shared" si="10"/>
        <v>80.16</v>
      </c>
      <c r="P34" s="65">
        <f t="shared" si="10"/>
        <v>0</v>
      </c>
      <c r="Q34" s="65">
        <f t="shared" si="11"/>
        <v>51.101999999999997</v>
      </c>
      <c r="R34" s="65">
        <f t="shared" si="12"/>
        <v>0</v>
      </c>
      <c r="S34" s="65">
        <f t="shared" si="12"/>
        <v>5.4775999999999991E-2</v>
      </c>
      <c r="T34" s="65">
        <f t="shared" si="12"/>
        <v>0</v>
      </c>
      <c r="U34" s="126">
        <f t="shared" si="12"/>
        <v>0</v>
      </c>
    </row>
    <row r="35" spans="1:21" s="48" customFormat="1" ht="13" x14ac:dyDescent="0.35">
      <c r="A35" s="125">
        <f>G8</f>
        <v>5</v>
      </c>
      <c r="B35" s="11">
        <v>100</v>
      </c>
      <c r="C35" s="65">
        <f t="shared" si="6"/>
        <v>40.414000000000001</v>
      </c>
      <c r="D35" s="65">
        <f t="shared" si="7"/>
        <v>26.552231799999994</v>
      </c>
      <c r="E35" s="65">
        <f t="shared" si="8"/>
        <v>3.4813655000000003</v>
      </c>
      <c r="F35" s="65">
        <f t="shared" si="9"/>
        <v>8.2512027999999979</v>
      </c>
      <c r="G35" s="65">
        <f t="shared" si="10"/>
        <v>0.20307199999999997</v>
      </c>
      <c r="H35" s="65">
        <f t="shared" si="10"/>
        <v>0.36071999999999999</v>
      </c>
      <c r="I35" s="65">
        <f t="shared" si="10"/>
        <v>0.12291199999999999</v>
      </c>
      <c r="J35" s="65">
        <f t="shared" si="10"/>
        <v>2.1710000000000002E-3</v>
      </c>
      <c r="K35" s="65">
        <f t="shared" si="10"/>
        <v>1.9705999999999999E-3</v>
      </c>
      <c r="L35" s="65">
        <f t="shared" si="10"/>
        <v>0.101202</v>
      </c>
      <c r="M35" s="65">
        <f t="shared" si="10"/>
        <v>8.517000000000001E-2</v>
      </c>
      <c r="N35" s="65">
        <f t="shared" si="10"/>
        <v>467.6</v>
      </c>
      <c r="O35" s="65">
        <f t="shared" si="10"/>
        <v>80.16</v>
      </c>
      <c r="P35" s="65">
        <f t="shared" si="10"/>
        <v>0</v>
      </c>
      <c r="Q35" s="65">
        <f t="shared" si="11"/>
        <v>51.101999999999997</v>
      </c>
      <c r="R35" s="65">
        <f t="shared" si="12"/>
        <v>0</v>
      </c>
      <c r="S35" s="65">
        <f t="shared" si="12"/>
        <v>5.4775999999999991E-2</v>
      </c>
      <c r="T35" s="65">
        <f t="shared" si="12"/>
        <v>0</v>
      </c>
      <c r="U35" s="126">
        <f t="shared" si="12"/>
        <v>0</v>
      </c>
    </row>
    <row r="36" spans="1:21" s="48" customFormat="1" ht="13" x14ac:dyDescent="0.35">
      <c r="A36" s="125">
        <f>H8</f>
        <v>6</v>
      </c>
      <c r="B36" s="11">
        <v>100</v>
      </c>
      <c r="C36" s="65">
        <f t="shared" si="6"/>
        <v>40.414000000000001</v>
      </c>
      <c r="D36" s="65">
        <f t="shared" si="7"/>
        <v>26.552231799999994</v>
      </c>
      <c r="E36" s="65">
        <f t="shared" si="8"/>
        <v>3.4813655000000003</v>
      </c>
      <c r="F36" s="65">
        <f t="shared" si="9"/>
        <v>8.2512027999999979</v>
      </c>
      <c r="G36" s="65">
        <f t="shared" si="10"/>
        <v>0.20307199999999997</v>
      </c>
      <c r="H36" s="65">
        <f t="shared" si="10"/>
        <v>0.36071999999999999</v>
      </c>
      <c r="I36" s="65">
        <f t="shared" si="10"/>
        <v>0.12291199999999999</v>
      </c>
      <c r="J36" s="65">
        <f t="shared" si="10"/>
        <v>2.1710000000000002E-3</v>
      </c>
      <c r="K36" s="65">
        <f t="shared" si="10"/>
        <v>1.9705999999999999E-3</v>
      </c>
      <c r="L36" s="65">
        <f t="shared" si="10"/>
        <v>0.101202</v>
      </c>
      <c r="M36" s="65">
        <f t="shared" si="10"/>
        <v>8.517000000000001E-2</v>
      </c>
      <c r="N36" s="65">
        <f t="shared" si="10"/>
        <v>467.6</v>
      </c>
      <c r="O36" s="65">
        <f t="shared" si="10"/>
        <v>80.16</v>
      </c>
      <c r="P36" s="65">
        <f t="shared" si="10"/>
        <v>0</v>
      </c>
      <c r="Q36" s="65">
        <f t="shared" si="11"/>
        <v>51.101999999999997</v>
      </c>
      <c r="R36" s="65">
        <f t="shared" si="12"/>
        <v>0</v>
      </c>
      <c r="S36" s="65">
        <f t="shared" si="12"/>
        <v>5.4775999999999991E-2</v>
      </c>
      <c r="T36" s="65">
        <f t="shared" si="12"/>
        <v>0</v>
      </c>
      <c r="U36" s="126">
        <f t="shared" si="12"/>
        <v>0</v>
      </c>
    </row>
    <row r="37" spans="1:21" s="48" customFormat="1" ht="13" x14ac:dyDescent="0.35">
      <c r="A37" s="125">
        <f>I8</f>
        <v>7</v>
      </c>
      <c r="B37" s="11">
        <v>100</v>
      </c>
      <c r="C37" s="65">
        <f t="shared" si="6"/>
        <v>40.414000000000001</v>
      </c>
      <c r="D37" s="65">
        <f t="shared" si="7"/>
        <v>26.552231799999994</v>
      </c>
      <c r="E37" s="65">
        <f t="shared" si="8"/>
        <v>3.4813655000000003</v>
      </c>
      <c r="F37" s="65">
        <f t="shared" si="9"/>
        <v>8.2512027999999979</v>
      </c>
      <c r="G37" s="65">
        <f t="shared" si="10"/>
        <v>0.20307199999999997</v>
      </c>
      <c r="H37" s="65">
        <f t="shared" si="10"/>
        <v>0.36071999999999999</v>
      </c>
      <c r="I37" s="65">
        <f t="shared" si="10"/>
        <v>0.12291199999999999</v>
      </c>
      <c r="J37" s="65">
        <f t="shared" si="10"/>
        <v>2.1710000000000002E-3</v>
      </c>
      <c r="K37" s="65">
        <f t="shared" si="10"/>
        <v>1.9705999999999999E-3</v>
      </c>
      <c r="L37" s="65">
        <f t="shared" si="10"/>
        <v>0.101202</v>
      </c>
      <c r="M37" s="65">
        <f t="shared" si="10"/>
        <v>8.517000000000001E-2</v>
      </c>
      <c r="N37" s="65">
        <f t="shared" si="10"/>
        <v>467.6</v>
      </c>
      <c r="O37" s="65">
        <f t="shared" si="10"/>
        <v>80.16</v>
      </c>
      <c r="P37" s="65">
        <f t="shared" si="10"/>
        <v>0</v>
      </c>
      <c r="Q37" s="65">
        <f t="shared" si="11"/>
        <v>51.101999999999997</v>
      </c>
      <c r="R37" s="65">
        <f t="shared" si="12"/>
        <v>0</v>
      </c>
      <c r="S37" s="65">
        <f t="shared" si="12"/>
        <v>5.4775999999999991E-2</v>
      </c>
      <c r="T37" s="65">
        <f t="shared" si="12"/>
        <v>0</v>
      </c>
      <c r="U37" s="126">
        <f t="shared" si="12"/>
        <v>0</v>
      </c>
    </row>
    <row r="38" spans="1:21" s="48" customFormat="1" ht="13" x14ac:dyDescent="0.35">
      <c r="A38" s="125">
        <f>J8</f>
        <v>8</v>
      </c>
      <c r="B38" s="11">
        <v>100</v>
      </c>
      <c r="C38" s="65">
        <f t="shared" si="6"/>
        <v>40.414000000000001</v>
      </c>
      <c r="D38" s="65">
        <f t="shared" si="7"/>
        <v>26.552231799999994</v>
      </c>
      <c r="E38" s="65">
        <f t="shared" si="8"/>
        <v>3.4813655000000003</v>
      </c>
      <c r="F38" s="65">
        <f t="shared" si="9"/>
        <v>8.2512027999999979</v>
      </c>
      <c r="G38" s="65">
        <f t="shared" si="10"/>
        <v>0.20307199999999997</v>
      </c>
      <c r="H38" s="65">
        <f t="shared" si="10"/>
        <v>0.36071999999999999</v>
      </c>
      <c r="I38" s="65">
        <f t="shared" si="10"/>
        <v>0.12291199999999999</v>
      </c>
      <c r="J38" s="65">
        <f t="shared" si="10"/>
        <v>2.1710000000000002E-3</v>
      </c>
      <c r="K38" s="65">
        <f t="shared" si="10"/>
        <v>1.9705999999999999E-3</v>
      </c>
      <c r="L38" s="65">
        <f t="shared" si="10"/>
        <v>0.101202</v>
      </c>
      <c r="M38" s="65">
        <f t="shared" si="10"/>
        <v>8.517000000000001E-2</v>
      </c>
      <c r="N38" s="65">
        <f t="shared" si="10"/>
        <v>467.6</v>
      </c>
      <c r="O38" s="65">
        <f t="shared" si="10"/>
        <v>80.16</v>
      </c>
      <c r="P38" s="65">
        <f t="shared" si="10"/>
        <v>0</v>
      </c>
      <c r="Q38" s="65">
        <f t="shared" si="11"/>
        <v>51.101999999999997</v>
      </c>
      <c r="R38" s="65">
        <f t="shared" si="12"/>
        <v>0</v>
      </c>
      <c r="S38" s="65">
        <f t="shared" si="12"/>
        <v>5.4775999999999991E-2</v>
      </c>
      <c r="T38" s="65">
        <f t="shared" si="12"/>
        <v>0</v>
      </c>
      <c r="U38" s="126">
        <f t="shared" si="12"/>
        <v>0</v>
      </c>
    </row>
    <row r="39" spans="1:21" s="48" customFormat="1" ht="13" x14ac:dyDescent="0.35">
      <c r="A39" s="125">
        <f>K8</f>
        <v>9</v>
      </c>
      <c r="B39" s="11">
        <v>100</v>
      </c>
      <c r="C39" s="65">
        <f t="shared" si="6"/>
        <v>40.414000000000001</v>
      </c>
      <c r="D39" s="65">
        <f t="shared" si="7"/>
        <v>26.552231799999994</v>
      </c>
      <c r="E39" s="65">
        <f t="shared" si="8"/>
        <v>3.4813655000000003</v>
      </c>
      <c r="F39" s="65">
        <f t="shared" si="9"/>
        <v>8.2512027999999979</v>
      </c>
      <c r="G39" s="65">
        <f t="shared" si="10"/>
        <v>0.20307199999999997</v>
      </c>
      <c r="H39" s="65">
        <f t="shared" si="10"/>
        <v>0.36071999999999999</v>
      </c>
      <c r="I39" s="65">
        <f t="shared" si="10"/>
        <v>0.12291199999999999</v>
      </c>
      <c r="J39" s="65">
        <f t="shared" si="10"/>
        <v>2.1710000000000002E-3</v>
      </c>
      <c r="K39" s="65">
        <f t="shared" si="10"/>
        <v>1.9705999999999999E-3</v>
      </c>
      <c r="L39" s="65">
        <f t="shared" si="10"/>
        <v>0.101202</v>
      </c>
      <c r="M39" s="65">
        <f t="shared" si="10"/>
        <v>8.517000000000001E-2</v>
      </c>
      <c r="N39" s="65">
        <f t="shared" si="10"/>
        <v>467.6</v>
      </c>
      <c r="O39" s="65">
        <f t="shared" si="10"/>
        <v>80.16</v>
      </c>
      <c r="P39" s="65">
        <f t="shared" si="10"/>
        <v>0</v>
      </c>
      <c r="Q39" s="65">
        <f t="shared" si="11"/>
        <v>51.101999999999997</v>
      </c>
      <c r="R39" s="65">
        <f t="shared" si="12"/>
        <v>0</v>
      </c>
      <c r="S39" s="65">
        <f t="shared" si="12"/>
        <v>5.4775999999999991E-2</v>
      </c>
      <c r="T39" s="65">
        <f t="shared" si="12"/>
        <v>0</v>
      </c>
      <c r="U39" s="126">
        <f t="shared" si="12"/>
        <v>0</v>
      </c>
    </row>
    <row r="40" spans="1:21" s="48" customFormat="1" ht="13" x14ac:dyDescent="0.35">
      <c r="A40" s="125">
        <f>L8</f>
        <v>10</v>
      </c>
      <c r="B40" s="11">
        <v>100</v>
      </c>
      <c r="C40" s="65">
        <f t="shared" si="6"/>
        <v>40.414000000000001</v>
      </c>
      <c r="D40" s="65">
        <f t="shared" si="7"/>
        <v>26.552231799999994</v>
      </c>
      <c r="E40" s="65">
        <f t="shared" si="8"/>
        <v>3.4813655000000003</v>
      </c>
      <c r="F40" s="65">
        <f t="shared" si="9"/>
        <v>8.2512027999999979</v>
      </c>
      <c r="G40" s="65">
        <f t="shared" si="10"/>
        <v>0.20307199999999997</v>
      </c>
      <c r="H40" s="65">
        <f t="shared" si="10"/>
        <v>0.36071999999999999</v>
      </c>
      <c r="I40" s="65">
        <f t="shared" si="10"/>
        <v>0.12291199999999999</v>
      </c>
      <c r="J40" s="65">
        <f t="shared" si="10"/>
        <v>2.1710000000000002E-3</v>
      </c>
      <c r="K40" s="65">
        <f t="shared" si="10"/>
        <v>1.9705999999999999E-3</v>
      </c>
      <c r="L40" s="65">
        <f t="shared" si="10"/>
        <v>0.101202</v>
      </c>
      <c r="M40" s="65">
        <f t="shared" si="10"/>
        <v>8.517000000000001E-2</v>
      </c>
      <c r="N40" s="65">
        <f t="shared" si="10"/>
        <v>467.6</v>
      </c>
      <c r="O40" s="65">
        <f t="shared" si="10"/>
        <v>80.16</v>
      </c>
      <c r="P40" s="65">
        <f t="shared" si="10"/>
        <v>0</v>
      </c>
      <c r="Q40" s="65">
        <f t="shared" si="11"/>
        <v>51.101999999999997</v>
      </c>
      <c r="R40" s="65">
        <f t="shared" si="12"/>
        <v>0</v>
      </c>
      <c r="S40" s="65">
        <f t="shared" si="12"/>
        <v>5.4775999999999991E-2</v>
      </c>
      <c r="T40" s="65">
        <f t="shared" si="12"/>
        <v>0</v>
      </c>
      <c r="U40" s="126">
        <f t="shared" si="12"/>
        <v>0</v>
      </c>
    </row>
    <row r="41" spans="1:21" s="48" customFormat="1" ht="13" x14ac:dyDescent="0.35">
      <c r="A41" s="125">
        <f>M8</f>
        <v>11</v>
      </c>
      <c r="B41" s="11">
        <v>100</v>
      </c>
      <c r="C41" s="65">
        <f t="shared" si="6"/>
        <v>40.414000000000001</v>
      </c>
      <c r="D41" s="65">
        <f t="shared" si="7"/>
        <v>26.552231799999994</v>
      </c>
      <c r="E41" s="65">
        <f t="shared" si="8"/>
        <v>3.4813655000000003</v>
      </c>
      <c r="F41" s="65">
        <f t="shared" si="9"/>
        <v>8.2512027999999979</v>
      </c>
      <c r="G41" s="65">
        <f t="shared" si="10"/>
        <v>0.20307199999999997</v>
      </c>
      <c r="H41" s="65">
        <f t="shared" si="10"/>
        <v>0.36071999999999999</v>
      </c>
      <c r="I41" s="65">
        <f t="shared" si="10"/>
        <v>0.12291199999999999</v>
      </c>
      <c r="J41" s="65">
        <f t="shared" si="10"/>
        <v>2.1710000000000002E-3</v>
      </c>
      <c r="K41" s="65">
        <f t="shared" si="10"/>
        <v>1.9705999999999999E-3</v>
      </c>
      <c r="L41" s="65">
        <f t="shared" si="10"/>
        <v>0.101202</v>
      </c>
      <c r="M41" s="65">
        <f t="shared" si="10"/>
        <v>8.517000000000001E-2</v>
      </c>
      <c r="N41" s="65">
        <f t="shared" si="10"/>
        <v>467.6</v>
      </c>
      <c r="O41" s="65">
        <f t="shared" si="10"/>
        <v>80.16</v>
      </c>
      <c r="P41" s="65">
        <f t="shared" si="10"/>
        <v>0</v>
      </c>
      <c r="Q41" s="65">
        <f t="shared" si="11"/>
        <v>51.101999999999997</v>
      </c>
      <c r="R41" s="65">
        <f t="shared" si="12"/>
        <v>0</v>
      </c>
      <c r="S41" s="65">
        <f t="shared" si="12"/>
        <v>5.4775999999999991E-2</v>
      </c>
      <c r="T41" s="65">
        <f t="shared" si="12"/>
        <v>0</v>
      </c>
      <c r="U41" s="126">
        <f t="shared" si="12"/>
        <v>0</v>
      </c>
    </row>
    <row r="42" spans="1:21" s="48" customFormat="1" ht="13" x14ac:dyDescent="0.35">
      <c r="A42" s="125">
        <f>N8</f>
        <v>14</v>
      </c>
      <c r="B42" s="11">
        <v>100</v>
      </c>
      <c r="C42" s="65">
        <f t="shared" si="6"/>
        <v>40.414000000000001</v>
      </c>
      <c r="D42" s="65">
        <f t="shared" si="7"/>
        <v>26.552231799999994</v>
      </c>
      <c r="E42" s="65">
        <f t="shared" si="8"/>
        <v>3.4813655000000003</v>
      </c>
      <c r="F42" s="65">
        <f t="shared" si="9"/>
        <v>8.2512027999999979</v>
      </c>
      <c r="G42" s="65">
        <f t="shared" si="10"/>
        <v>0.20307199999999997</v>
      </c>
      <c r="H42" s="65">
        <f t="shared" si="10"/>
        <v>0.36071999999999999</v>
      </c>
      <c r="I42" s="65">
        <f t="shared" si="10"/>
        <v>0.12291199999999999</v>
      </c>
      <c r="J42" s="65">
        <f t="shared" si="10"/>
        <v>2.1710000000000002E-3</v>
      </c>
      <c r="K42" s="65">
        <f t="shared" si="10"/>
        <v>1.9705999999999999E-3</v>
      </c>
      <c r="L42" s="65">
        <f t="shared" si="10"/>
        <v>0.101202</v>
      </c>
      <c r="M42" s="65">
        <f t="shared" si="10"/>
        <v>8.517000000000001E-2</v>
      </c>
      <c r="N42" s="65">
        <f t="shared" si="10"/>
        <v>467.6</v>
      </c>
      <c r="O42" s="65">
        <f t="shared" si="10"/>
        <v>80.16</v>
      </c>
      <c r="P42" s="65">
        <f t="shared" si="10"/>
        <v>0</v>
      </c>
      <c r="Q42" s="65">
        <f t="shared" si="11"/>
        <v>51.101999999999997</v>
      </c>
      <c r="R42" s="65">
        <f t="shared" si="12"/>
        <v>0</v>
      </c>
      <c r="S42" s="65">
        <f t="shared" si="12"/>
        <v>5.4775999999999991E-2</v>
      </c>
      <c r="T42" s="65">
        <f t="shared" si="12"/>
        <v>0</v>
      </c>
      <c r="U42" s="126">
        <f t="shared" si="12"/>
        <v>0</v>
      </c>
    </row>
    <row r="43" spans="1:21" s="48" customFormat="1" ht="13" x14ac:dyDescent="0.35">
      <c r="A43" s="125">
        <f>O8</f>
        <v>15</v>
      </c>
      <c r="B43" s="11">
        <v>100</v>
      </c>
      <c r="C43" s="65">
        <f t="shared" si="6"/>
        <v>40.414000000000001</v>
      </c>
      <c r="D43" s="65">
        <f t="shared" si="7"/>
        <v>26.552231799999994</v>
      </c>
      <c r="E43" s="65">
        <f t="shared" si="8"/>
        <v>3.4813655000000003</v>
      </c>
      <c r="F43" s="65">
        <f t="shared" si="9"/>
        <v>8.2512027999999979</v>
      </c>
      <c r="G43" s="65">
        <f t="shared" si="10"/>
        <v>0.20307199999999997</v>
      </c>
      <c r="H43" s="65">
        <f t="shared" si="10"/>
        <v>0.36071999999999999</v>
      </c>
      <c r="I43" s="65">
        <f t="shared" si="10"/>
        <v>0.12291199999999999</v>
      </c>
      <c r="J43" s="65">
        <f t="shared" si="10"/>
        <v>2.1710000000000002E-3</v>
      </c>
      <c r="K43" s="65">
        <f t="shared" si="10"/>
        <v>1.9705999999999999E-3</v>
      </c>
      <c r="L43" s="65">
        <f t="shared" si="10"/>
        <v>0.101202</v>
      </c>
      <c r="M43" s="65">
        <f t="shared" si="10"/>
        <v>8.517000000000001E-2</v>
      </c>
      <c r="N43" s="65">
        <f t="shared" si="10"/>
        <v>467.6</v>
      </c>
      <c r="O43" s="65">
        <f t="shared" si="10"/>
        <v>80.16</v>
      </c>
      <c r="P43" s="65">
        <f t="shared" si="10"/>
        <v>0</v>
      </c>
      <c r="Q43" s="65">
        <f t="shared" si="11"/>
        <v>51.101999999999997</v>
      </c>
      <c r="R43" s="65">
        <f t="shared" si="12"/>
        <v>0</v>
      </c>
      <c r="S43" s="65">
        <f t="shared" si="12"/>
        <v>5.4775999999999991E-2</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Arable</v>
      </c>
      <c r="J58" s="10" t="str">
        <f>K16&amp;" I "&amp;(VLOOKUP(K14,Table24[],6,FALSE))</f>
        <v>Medium/Clay I Arable</v>
      </c>
      <c r="K58" s="10" t="str">
        <f>L16&amp;" I "&amp;(VLOOKUP(L14,Table24[],6,FALSE))</f>
        <v>Medium/Clay I Arable</v>
      </c>
      <c r="L58" s="10" t="str">
        <f>M16&amp;" I "&amp;(VLOOKUP(M14,Table24[],6,FALSE))</f>
        <v>Medium/Clay I Arable</v>
      </c>
      <c r="M58" s="10" t="str">
        <f>N16&amp;" I "&amp;(VLOOKUP(N14,Table24[],6,FALSE))</f>
        <v>Medium/Clay I Arable</v>
      </c>
      <c r="N58" s="10" t="str">
        <f>O16&amp;" I "&amp;(VLOOKUP(O14,Table24[],6,FALSE))</f>
        <v>Medium/Clay I Arable</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6.7</v>
      </c>
      <c r="D59" s="64">
        <f>VLOOKUP(E$14,Table24[],5,FALSE)</f>
        <v>6.7</v>
      </c>
      <c r="E59" s="64">
        <f>VLOOKUP(F$14,Table24[],5,FALSE)</f>
        <v>6.7</v>
      </c>
      <c r="F59" s="64">
        <f>VLOOKUP(G$14,Table24[],5,FALSE)</f>
        <v>6.7</v>
      </c>
      <c r="G59" s="64">
        <f>VLOOKUP(H$14,Table24[],5,FALSE)</f>
        <v>6.7</v>
      </c>
      <c r="H59" s="64">
        <f>VLOOKUP(I$14,Table24[],5,FALSE)</f>
        <v>6.7</v>
      </c>
      <c r="I59" s="64">
        <f>VLOOKUP(J$14,Table24[],5,FALSE)</f>
        <v>6.7</v>
      </c>
      <c r="J59" s="64">
        <f>VLOOKUP(K$14,Table24[],5,FALSE)</f>
        <v>6.7</v>
      </c>
      <c r="K59" s="64">
        <f>VLOOKUP(L$14,Table24[],5,FALSE)</f>
        <v>6.7</v>
      </c>
      <c r="L59" s="64">
        <f>VLOOKUP(M$14,Table24[],5,FALSE)</f>
        <v>6.7</v>
      </c>
      <c r="M59" s="64">
        <f>VLOOKUP(N$14,Table24[],5,FALSE)</f>
        <v>6.7</v>
      </c>
      <c r="N59" s="64">
        <f>VLOOKUP(O$14,Table24[],5,FALSE)</f>
        <v>6.7</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6.6</v>
      </c>
      <c r="J1" s="158" t="s">
        <v>153</v>
      </c>
      <c r="K1" s="159"/>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1011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2.423343224530168E-3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166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26.919249999999998</v>
      </c>
      <c r="D18" s="12">
        <f>$D32</f>
        <v>26.919249999999998</v>
      </c>
      <c r="E18" s="12">
        <f>$D33</f>
        <v>26.919249999999998</v>
      </c>
      <c r="F18" s="12">
        <f>$D34</f>
        <v>26.919249999999998</v>
      </c>
      <c r="G18" s="12">
        <f>$D35</f>
        <v>26.919249999999998</v>
      </c>
      <c r="H18" s="12">
        <f>$D36</f>
        <v>26.919249999999998</v>
      </c>
      <c r="I18" s="12">
        <f>$D37</f>
        <v>26.919249999999998</v>
      </c>
      <c r="J18" s="12">
        <f>$D38</f>
        <v>26.919249999999998</v>
      </c>
      <c r="K18" s="12">
        <f>$D39</f>
        <v>26.919249999999998</v>
      </c>
      <c r="L18" s="12">
        <f>$D40</f>
        <v>26.919249999999998</v>
      </c>
      <c r="M18" s="12">
        <f>$D41</f>
        <v>26.919249999999998</v>
      </c>
      <c r="N18" s="12">
        <f>$D42</f>
        <v>26.919249999999998</v>
      </c>
      <c r="O18" s="12">
        <f>$D43</f>
        <v>26.919249999999998</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-36.080749999999995</v>
      </c>
      <c r="D19" s="12">
        <f t="shared" ref="D19:V19" si="1">D18-D17</f>
        <v>-36.080749999999995</v>
      </c>
      <c r="E19" s="12">
        <f t="shared" si="1"/>
        <v>-36.080749999999995</v>
      </c>
      <c r="F19" s="12">
        <f t="shared" si="1"/>
        <v>-36.080749999999995</v>
      </c>
      <c r="G19" s="12">
        <f t="shared" si="1"/>
        <v>-36.080749999999995</v>
      </c>
      <c r="H19" s="12">
        <f t="shared" si="1"/>
        <v>-36.080749999999995</v>
      </c>
      <c r="I19" s="12">
        <f t="shared" si="1"/>
        <v>-36.080749999999995</v>
      </c>
      <c r="J19" s="12">
        <f t="shared" si="1"/>
        <v>-36.080749999999995</v>
      </c>
      <c r="K19" s="12">
        <f t="shared" si="1"/>
        <v>-36.080749999999995</v>
      </c>
      <c r="L19" s="12">
        <f t="shared" si="1"/>
        <v>-36.080749999999995</v>
      </c>
      <c r="M19" s="12">
        <f t="shared" si="1"/>
        <v>-36.080749999999995</v>
      </c>
      <c r="N19" s="12">
        <f t="shared" si="1"/>
        <v>-36.080749999999995</v>
      </c>
      <c r="O19" s="12">
        <f t="shared" si="1"/>
        <v>-36.080749999999995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2.3105875000000005</v>
      </c>
      <c r="D22" s="12">
        <f>$E32</f>
        <v>2.3105875000000005</v>
      </c>
      <c r="E22" s="12">
        <f>$E33</f>
        <v>2.3105875000000005</v>
      </c>
      <c r="F22" s="12">
        <f>$E34</f>
        <v>2.3105875000000005</v>
      </c>
      <c r="G22" s="12">
        <f>$E35</f>
        <v>2.3105875000000005</v>
      </c>
      <c r="H22" s="12">
        <f>$E36</f>
        <v>2.3105875000000005</v>
      </c>
      <c r="I22" s="12">
        <f>$E37</f>
        <v>2.3105875000000005</v>
      </c>
      <c r="J22" s="12">
        <f>$E38</f>
        <v>2.3105875000000005</v>
      </c>
      <c r="K22" s="12">
        <f>$E39</f>
        <v>2.3105875000000005</v>
      </c>
      <c r="L22" s="12">
        <f>$E40</f>
        <v>2.3105875000000005</v>
      </c>
      <c r="M22" s="12">
        <f>$E41</f>
        <v>2.3105875000000005</v>
      </c>
      <c r="N22" s="12">
        <f>$E42</f>
        <v>2.3105875000000005</v>
      </c>
      <c r="O22" s="12">
        <f>$E43</f>
        <v>2.3105875000000005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-195.68941250000003</v>
      </c>
      <c r="D23" s="12">
        <f t="shared" ref="D23:V23" si="3">D22-D21</f>
        <v>-195.68941250000003</v>
      </c>
      <c r="E23" s="12">
        <f t="shared" si="3"/>
        <v>-195.68941250000003</v>
      </c>
      <c r="F23" s="12">
        <f t="shared" si="3"/>
        <v>-195.68941250000003</v>
      </c>
      <c r="G23" s="12">
        <f t="shared" si="3"/>
        <v>-195.68941250000003</v>
      </c>
      <c r="H23" s="12">
        <f t="shared" si="3"/>
        <v>-195.68941250000003</v>
      </c>
      <c r="I23" s="12">
        <f t="shared" si="3"/>
        <v>-195.68941250000003</v>
      </c>
      <c r="J23" s="12">
        <f t="shared" si="3"/>
        <v>-195.68941250000003</v>
      </c>
      <c r="K23" s="12">
        <f t="shared" si="3"/>
        <v>-195.68941250000003</v>
      </c>
      <c r="L23" s="12">
        <f t="shared" si="3"/>
        <v>-195.68941250000003</v>
      </c>
      <c r="M23" s="12">
        <f t="shared" si="3"/>
        <v>-195.68941250000003</v>
      </c>
      <c r="N23" s="12">
        <f t="shared" si="3"/>
        <v>-195.68941250000003</v>
      </c>
      <c r="O23" s="12">
        <f t="shared" si="3"/>
        <v>-195.68941250000003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27.750000000000004</v>
      </c>
      <c r="D31" s="65">
        <f>(IF(D$27="%w/w SAR",((D$28*10)*$B31),IF(D$27="%w/w DM",(((D$28*10)*($B$28/100))*$B31),IF(D$27="kg/t SAR",(D$28*$B31),IF(D$27="kg/t DM",((D$28*($B$28/100))*$B31),IF(D$27="mg/kg SAR",((D$28*0.001)*$B31),IF(D$27="mg/kg DM",(((D$28*0.001)*($B$28/100))*$B31),"0")))))))*2.291</f>
        <v>26.919249999999998</v>
      </c>
      <c r="E31" s="65">
        <f>(IF(E$27="%w/w SAR",((E$28*10)*$B31),IF(E$27="%w/w DM",(((E$28*10)*($B$28/100))*$B31),IF(E$27="kg/t SAR",(E$28*$B31),IF(E$27="kg/t DM",((E$28*($B$28/100))*$B31),IF(E$27="mg/kg SAR",((E$28*0.001)*$B31),IF(E$27="mg/kg DM",(((E$28*0.001)*($B$28/100))*$B31),"0")))))))*1.205</f>
        <v>2.3105875000000005</v>
      </c>
      <c r="F31" s="65">
        <f>(IF(F$27="%w/w SAR",((F$28*10)*$B31),IF(F$27="%w/w DM",(((F$28*10)*($B$28/100))*$B31),IF(F$27="kg/t SAR",(F$28*$B31),IF(F$27="kg/t DM",((F$28*($B$28/100))*$B31),IF(F$27="mg/kg SAR",((F$28*0.001)*$B31),IF(F$27="mg/kg DM",(((F$28*0.001)*($B$28/100))*$B31),"0")))))))*1.658</f>
        <v>4.3107999999999995</v>
      </c>
      <c r="G31" s="65">
        <f t="shared" ref="G31:P46" si="5">IF(G$27="%w/w SAR",((G$28*10)*$B31),IF(G$27="%w/w DM",(((G$28*10)*($B$28/100))*$B31),IF(G$27="kg/t SAR",(G$28*$B31),IF(G$27="kg/t DM",((G$28*($B$28/100))*$B31),IF(G$27="mg/kg SAR",((G$28*0.001)*$B31),IF(G$27="mg/kg DM",(((G$28*0.001)*($B$28/100))*$B31),0))))))</f>
        <v>0.1585</v>
      </c>
      <c r="H31" s="65">
        <f t="shared" si="5"/>
        <v>0.29750000000000004</v>
      </c>
      <c r="I31" s="65">
        <f t="shared" si="5"/>
        <v>0.12475000000000001</v>
      </c>
      <c r="J31" s="65">
        <f t="shared" si="5"/>
        <v>2.2000000000000001E-3</v>
      </c>
      <c r="K31" s="65">
        <f t="shared" si="5"/>
        <v>2E-3</v>
      </c>
      <c r="L31" s="65">
        <f t="shared" si="5"/>
        <v>0.10250000000000001</v>
      </c>
      <c r="M31" s="65">
        <f t="shared" si="5"/>
        <v>8.6499999999999994E-2</v>
      </c>
      <c r="N31" s="65">
        <f t="shared" si="5"/>
        <v>395</v>
      </c>
      <c r="O31" s="65">
        <f t="shared" si="5"/>
        <v>38.5</v>
      </c>
      <c r="P31" s="65">
        <f t="shared" si="5"/>
        <v>0</v>
      </c>
      <c r="Q31" s="65">
        <f>(IF(Q$27="%w/w SAR",((Q$28*10)*$B31),IF(Q$27="%w/w DM",(((Q$28*10)*($B$28/100))*$B31),IF(Q$27="kg/t SAR",(Q$28*$B31),IF(Q$27="kg/t DM",((Q$28*($B$28/100))*$B31),IF(Q$27="mg/kg SAR",((Q$28*0.001)*$B31),IF(Q$27="mg/kg DM",(((Q$28*0.001)*($B$28/100))*$B31),0)))))))*2.5</f>
        <v>41.1875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8.6250000000000007E-2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27.750000000000004</v>
      </c>
      <c r="D32" s="65">
        <f t="shared" ref="D32:D50" si="7">(IF(D$27="%w/w SAR",((D$28*10)*$B32),IF(D$27="%w/w DM",(((D$28*10)*($B$28/100))*$B32),IF(D$27="kg/t SAR",(D$28*$B32),IF(D$27="kg/t DM",((D$28*($B$28/100))*$B32),IF(D$27="mg/kg SAR",((D$28*0.001)*$B32),IF(D$27="mg/kg DM",(((D$28*0.001)*($B$28/100))*$B32),"0")))))))*2.291</f>
        <v>26.919249999999998</v>
      </c>
      <c r="E32" s="65">
        <f t="shared" ref="E32:E50" si="8">(IF(E$27="%w/w SAR",((E$28*10)*$B32),IF(E$27="%w/w DM",(((E$28*10)*($B$28/100))*$B32),IF(E$27="kg/t SAR",(E$28*$B32),IF(E$27="kg/t DM",((E$28*($B$28/100))*$B32),IF(E$27="mg/kg SAR",((E$28*0.001)*$B32),IF(E$27="mg/kg DM",(((E$28*0.001)*($B$28/100))*$B32),"0")))))))*1.205</f>
        <v>2.3105875000000005</v>
      </c>
      <c r="F32" s="65">
        <f t="shared" ref="F32:F50" si="9">(IF(F$27="%w/w SAR",((F$28*10)*$B32),IF(F$27="%w/w DM",(((F$28*10)*($B$28/100))*$B32),IF(F$27="kg/t SAR",(F$28*$B32),IF(F$27="kg/t DM",((F$28*($B$28/100))*$B32),IF(F$27="mg/kg SAR",((F$28*0.001)*$B32),IF(F$27="mg/kg DM",(((F$28*0.001)*($B$28/100))*$B32),"0")))))))*1.658</f>
        <v>4.3107999999999995</v>
      </c>
      <c r="G32" s="65">
        <f t="shared" si="5"/>
        <v>0.1585</v>
      </c>
      <c r="H32" s="65">
        <f t="shared" si="5"/>
        <v>0.29750000000000004</v>
      </c>
      <c r="I32" s="65">
        <f t="shared" si="5"/>
        <v>0.12475000000000001</v>
      </c>
      <c r="J32" s="65">
        <f t="shared" si="5"/>
        <v>2.2000000000000001E-3</v>
      </c>
      <c r="K32" s="65">
        <f t="shared" si="5"/>
        <v>2E-3</v>
      </c>
      <c r="L32" s="65">
        <f t="shared" si="5"/>
        <v>0.10250000000000001</v>
      </c>
      <c r="M32" s="65">
        <f t="shared" si="5"/>
        <v>8.6499999999999994E-2</v>
      </c>
      <c r="N32" s="65">
        <f t="shared" si="5"/>
        <v>395</v>
      </c>
      <c r="O32" s="65">
        <f t="shared" si="5"/>
        <v>38.5</v>
      </c>
      <c r="P32" s="65">
        <f t="shared" si="5"/>
        <v>0</v>
      </c>
      <c r="Q32" s="65">
        <f t="shared" ref="Q32:Q50" si="10">(IF(Q$27="%w/w SAR",((Q$28*10)*$B32),IF(Q$27="%w/w DM",(((Q$28*10)*($B$28/100))*$B32),IF(Q$27="kg/t SAR",(Q$28*$B32),IF(Q$27="kg/t DM",((Q$28*($B$28/100))*$B32),IF(Q$27="mg/kg SAR",((Q$28*0.001)*$B32),IF(Q$27="mg/kg DM",(((Q$28*0.001)*($B$28/100))*$B32),0)))))))*2.5</f>
        <v>41.1875</v>
      </c>
      <c r="R32" s="65">
        <f t="shared" ref="R32:U50" si="11">IF(R$27="%w/w SAR",((R$28*10)*$B32),IF(R$27="%w/w DM",(((R$28*10)*($B$28/100))*$B32),IF(R$27="kg/t SAR",(R$28*$B32),IF(R$27="kg/t DM",((R$28*($B$28/100))*$B32),IF(R$27="mg/kg SAR",((R$28*0.001)*$B32),IF(R$27="mg/kg DM",(((R$28*0.001)*($B$28/100))*$B32),0))))))</f>
        <v>0</v>
      </c>
      <c r="S32" s="65">
        <f t="shared" si="11"/>
        <v>8.6250000000000007E-2</v>
      </c>
      <c r="T32" s="65">
        <f t="shared" si="11"/>
        <v>0</v>
      </c>
      <c r="U32" s="126">
        <f t="shared" si="11"/>
        <v>0</v>
      </c>
    </row>
    <row r="33" spans="1:21" s="48" customFormat="1" ht="13" x14ac:dyDescent="0.35">
      <c r="A33" s="125">
        <f>E8</f>
        <v>3</v>
      </c>
      <c r="B33" s="11">
        <v>100</v>
      </c>
      <c r="C33" s="65">
        <f t="shared" si="6"/>
        <v>27.750000000000004</v>
      </c>
      <c r="D33" s="65">
        <f t="shared" si="7"/>
        <v>26.919249999999998</v>
      </c>
      <c r="E33" s="65">
        <f t="shared" si="8"/>
        <v>2.3105875000000005</v>
      </c>
      <c r="F33" s="65">
        <f t="shared" si="9"/>
        <v>4.3107999999999995</v>
      </c>
      <c r="G33" s="65">
        <f t="shared" si="5"/>
        <v>0.1585</v>
      </c>
      <c r="H33" s="65">
        <f t="shared" si="5"/>
        <v>0.29750000000000004</v>
      </c>
      <c r="I33" s="65">
        <f t="shared" si="5"/>
        <v>0.12475000000000001</v>
      </c>
      <c r="J33" s="65">
        <f t="shared" si="5"/>
        <v>2.2000000000000001E-3</v>
      </c>
      <c r="K33" s="65">
        <f t="shared" si="5"/>
        <v>2E-3</v>
      </c>
      <c r="L33" s="65">
        <f t="shared" si="5"/>
        <v>0.10250000000000001</v>
      </c>
      <c r="M33" s="65">
        <f t="shared" si="5"/>
        <v>8.6499999999999994E-2</v>
      </c>
      <c r="N33" s="65">
        <f t="shared" si="5"/>
        <v>395</v>
      </c>
      <c r="O33" s="65">
        <f t="shared" si="5"/>
        <v>38.5</v>
      </c>
      <c r="P33" s="65">
        <f t="shared" si="5"/>
        <v>0</v>
      </c>
      <c r="Q33" s="65">
        <f t="shared" si="10"/>
        <v>41.1875</v>
      </c>
      <c r="R33" s="65">
        <f t="shared" si="11"/>
        <v>0</v>
      </c>
      <c r="S33" s="65">
        <f t="shared" si="11"/>
        <v>8.6250000000000007E-2</v>
      </c>
      <c r="T33" s="65">
        <f t="shared" si="11"/>
        <v>0</v>
      </c>
      <c r="U33" s="126">
        <f t="shared" si="11"/>
        <v>0</v>
      </c>
    </row>
    <row r="34" spans="1:21" s="48" customFormat="1" ht="13" x14ac:dyDescent="0.35">
      <c r="A34" s="125">
        <f>F8</f>
        <v>4</v>
      </c>
      <c r="B34" s="11">
        <v>100</v>
      </c>
      <c r="C34" s="65">
        <f t="shared" si="6"/>
        <v>27.750000000000004</v>
      </c>
      <c r="D34" s="65">
        <f t="shared" si="7"/>
        <v>26.919249999999998</v>
      </c>
      <c r="E34" s="65">
        <f t="shared" si="8"/>
        <v>2.3105875000000005</v>
      </c>
      <c r="F34" s="65">
        <f t="shared" si="9"/>
        <v>4.3107999999999995</v>
      </c>
      <c r="G34" s="65">
        <f t="shared" si="5"/>
        <v>0.1585</v>
      </c>
      <c r="H34" s="65">
        <f t="shared" si="5"/>
        <v>0.29750000000000004</v>
      </c>
      <c r="I34" s="65">
        <f t="shared" si="5"/>
        <v>0.12475000000000001</v>
      </c>
      <c r="J34" s="65">
        <f t="shared" si="5"/>
        <v>2.2000000000000001E-3</v>
      </c>
      <c r="K34" s="65">
        <f t="shared" si="5"/>
        <v>2E-3</v>
      </c>
      <c r="L34" s="65">
        <f t="shared" si="5"/>
        <v>0.10250000000000001</v>
      </c>
      <c r="M34" s="65">
        <f t="shared" si="5"/>
        <v>8.6499999999999994E-2</v>
      </c>
      <c r="N34" s="65">
        <f t="shared" si="5"/>
        <v>395</v>
      </c>
      <c r="O34" s="65">
        <f t="shared" si="5"/>
        <v>38.5</v>
      </c>
      <c r="P34" s="65">
        <f t="shared" si="5"/>
        <v>0</v>
      </c>
      <c r="Q34" s="65">
        <f t="shared" si="10"/>
        <v>41.1875</v>
      </c>
      <c r="R34" s="65">
        <f t="shared" si="11"/>
        <v>0</v>
      </c>
      <c r="S34" s="65">
        <f t="shared" si="11"/>
        <v>8.6250000000000007E-2</v>
      </c>
      <c r="T34" s="65">
        <f t="shared" si="11"/>
        <v>0</v>
      </c>
      <c r="U34" s="126">
        <f t="shared" si="11"/>
        <v>0</v>
      </c>
    </row>
    <row r="35" spans="1:21" s="48" customFormat="1" ht="13" x14ac:dyDescent="0.35">
      <c r="A35" s="125">
        <f>G8</f>
        <v>5</v>
      </c>
      <c r="B35" s="11">
        <v>100</v>
      </c>
      <c r="C35" s="65">
        <f t="shared" si="6"/>
        <v>27.750000000000004</v>
      </c>
      <c r="D35" s="65">
        <f t="shared" si="7"/>
        <v>26.919249999999998</v>
      </c>
      <c r="E35" s="65">
        <f t="shared" si="8"/>
        <v>2.3105875000000005</v>
      </c>
      <c r="F35" s="65">
        <f t="shared" si="9"/>
        <v>4.3107999999999995</v>
      </c>
      <c r="G35" s="65">
        <f t="shared" si="5"/>
        <v>0.1585</v>
      </c>
      <c r="H35" s="65">
        <f t="shared" si="5"/>
        <v>0.29750000000000004</v>
      </c>
      <c r="I35" s="65">
        <f t="shared" si="5"/>
        <v>0.12475000000000001</v>
      </c>
      <c r="J35" s="65">
        <f t="shared" si="5"/>
        <v>2.2000000000000001E-3</v>
      </c>
      <c r="K35" s="65">
        <f t="shared" si="5"/>
        <v>2E-3</v>
      </c>
      <c r="L35" s="65">
        <f t="shared" si="5"/>
        <v>0.10250000000000001</v>
      </c>
      <c r="M35" s="65">
        <f t="shared" si="5"/>
        <v>8.6499999999999994E-2</v>
      </c>
      <c r="N35" s="65">
        <f t="shared" si="5"/>
        <v>395</v>
      </c>
      <c r="O35" s="65">
        <f t="shared" si="5"/>
        <v>38.5</v>
      </c>
      <c r="P35" s="65">
        <f t="shared" si="5"/>
        <v>0</v>
      </c>
      <c r="Q35" s="65">
        <f t="shared" si="10"/>
        <v>41.1875</v>
      </c>
      <c r="R35" s="65">
        <f t="shared" si="11"/>
        <v>0</v>
      </c>
      <c r="S35" s="65">
        <f t="shared" si="11"/>
        <v>8.6250000000000007E-2</v>
      </c>
      <c r="T35" s="65">
        <f t="shared" si="11"/>
        <v>0</v>
      </c>
      <c r="U35" s="126">
        <f t="shared" si="11"/>
        <v>0</v>
      </c>
    </row>
    <row r="36" spans="1:21" s="48" customFormat="1" ht="13" x14ac:dyDescent="0.35">
      <c r="A36" s="125">
        <f>H8</f>
        <v>6</v>
      </c>
      <c r="B36" s="11">
        <v>100</v>
      </c>
      <c r="C36" s="65">
        <f t="shared" si="6"/>
        <v>27.750000000000004</v>
      </c>
      <c r="D36" s="65">
        <f t="shared" si="7"/>
        <v>26.919249999999998</v>
      </c>
      <c r="E36" s="65">
        <f t="shared" si="8"/>
        <v>2.3105875000000005</v>
      </c>
      <c r="F36" s="65">
        <f t="shared" si="9"/>
        <v>4.3107999999999995</v>
      </c>
      <c r="G36" s="65">
        <f t="shared" si="5"/>
        <v>0.1585</v>
      </c>
      <c r="H36" s="65">
        <f t="shared" si="5"/>
        <v>0.29750000000000004</v>
      </c>
      <c r="I36" s="65">
        <f t="shared" si="5"/>
        <v>0.12475000000000001</v>
      </c>
      <c r="J36" s="65">
        <f t="shared" si="5"/>
        <v>2.2000000000000001E-3</v>
      </c>
      <c r="K36" s="65">
        <f t="shared" si="5"/>
        <v>2E-3</v>
      </c>
      <c r="L36" s="65">
        <f t="shared" si="5"/>
        <v>0.10250000000000001</v>
      </c>
      <c r="M36" s="65">
        <f t="shared" si="5"/>
        <v>8.6499999999999994E-2</v>
      </c>
      <c r="N36" s="65">
        <f t="shared" si="5"/>
        <v>395</v>
      </c>
      <c r="O36" s="65">
        <f t="shared" si="5"/>
        <v>38.5</v>
      </c>
      <c r="P36" s="65">
        <f t="shared" si="5"/>
        <v>0</v>
      </c>
      <c r="Q36" s="65">
        <f t="shared" si="10"/>
        <v>41.1875</v>
      </c>
      <c r="R36" s="65">
        <f t="shared" si="11"/>
        <v>0</v>
      </c>
      <c r="S36" s="65">
        <f t="shared" si="11"/>
        <v>8.6250000000000007E-2</v>
      </c>
      <c r="T36" s="65">
        <f t="shared" si="11"/>
        <v>0</v>
      </c>
      <c r="U36" s="126">
        <f t="shared" si="11"/>
        <v>0</v>
      </c>
    </row>
    <row r="37" spans="1:21" s="48" customFormat="1" ht="13" x14ac:dyDescent="0.35">
      <c r="A37" s="125">
        <f>I8</f>
        <v>7</v>
      </c>
      <c r="B37" s="11">
        <v>100</v>
      </c>
      <c r="C37" s="65">
        <f t="shared" si="6"/>
        <v>27.750000000000004</v>
      </c>
      <c r="D37" s="65">
        <f t="shared" si="7"/>
        <v>26.919249999999998</v>
      </c>
      <c r="E37" s="65">
        <f t="shared" si="8"/>
        <v>2.3105875000000005</v>
      </c>
      <c r="F37" s="65">
        <f t="shared" si="9"/>
        <v>4.3107999999999995</v>
      </c>
      <c r="G37" s="65">
        <f t="shared" si="5"/>
        <v>0.1585</v>
      </c>
      <c r="H37" s="65">
        <f t="shared" si="5"/>
        <v>0.29750000000000004</v>
      </c>
      <c r="I37" s="65">
        <f t="shared" si="5"/>
        <v>0.12475000000000001</v>
      </c>
      <c r="J37" s="65">
        <f t="shared" si="5"/>
        <v>2.2000000000000001E-3</v>
      </c>
      <c r="K37" s="65">
        <f t="shared" si="5"/>
        <v>2E-3</v>
      </c>
      <c r="L37" s="65">
        <f t="shared" si="5"/>
        <v>0.10250000000000001</v>
      </c>
      <c r="M37" s="65">
        <f t="shared" si="5"/>
        <v>8.6499999999999994E-2</v>
      </c>
      <c r="N37" s="65">
        <f t="shared" si="5"/>
        <v>395</v>
      </c>
      <c r="O37" s="65">
        <f t="shared" si="5"/>
        <v>38.5</v>
      </c>
      <c r="P37" s="65">
        <f t="shared" si="5"/>
        <v>0</v>
      </c>
      <c r="Q37" s="65">
        <f t="shared" si="10"/>
        <v>41.1875</v>
      </c>
      <c r="R37" s="65">
        <f t="shared" si="11"/>
        <v>0</v>
      </c>
      <c r="S37" s="65">
        <f t="shared" si="11"/>
        <v>8.6250000000000007E-2</v>
      </c>
      <c r="T37" s="65">
        <f t="shared" si="11"/>
        <v>0</v>
      </c>
      <c r="U37" s="126">
        <f t="shared" si="11"/>
        <v>0</v>
      </c>
    </row>
    <row r="38" spans="1:21" s="48" customFormat="1" ht="13" x14ac:dyDescent="0.35">
      <c r="A38" s="125">
        <f>J8</f>
        <v>8</v>
      </c>
      <c r="B38" s="11">
        <v>100</v>
      </c>
      <c r="C38" s="65">
        <f t="shared" si="6"/>
        <v>27.750000000000004</v>
      </c>
      <c r="D38" s="65">
        <f t="shared" si="7"/>
        <v>26.919249999999998</v>
      </c>
      <c r="E38" s="65">
        <f t="shared" si="8"/>
        <v>2.3105875000000005</v>
      </c>
      <c r="F38" s="65">
        <f t="shared" si="9"/>
        <v>4.3107999999999995</v>
      </c>
      <c r="G38" s="65">
        <f t="shared" si="5"/>
        <v>0.1585</v>
      </c>
      <c r="H38" s="65">
        <f t="shared" si="5"/>
        <v>0.29750000000000004</v>
      </c>
      <c r="I38" s="65">
        <f t="shared" si="5"/>
        <v>0.12475000000000001</v>
      </c>
      <c r="J38" s="65">
        <f t="shared" si="5"/>
        <v>2.2000000000000001E-3</v>
      </c>
      <c r="K38" s="65">
        <f t="shared" si="5"/>
        <v>2E-3</v>
      </c>
      <c r="L38" s="65">
        <f t="shared" si="5"/>
        <v>0.10250000000000001</v>
      </c>
      <c r="M38" s="65">
        <f t="shared" si="5"/>
        <v>8.6499999999999994E-2</v>
      </c>
      <c r="N38" s="65">
        <f t="shared" si="5"/>
        <v>395</v>
      </c>
      <c r="O38" s="65">
        <f t="shared" si="5"/>
        <v>38.5</v>
      </c>
      <c r="P38" s="65">
        <f t="shared" si="5"/>
        <v>0</v>
      </c>
      <c r="Q38" s="65">
        <f t="shared" si="10"/>
        <v>41.1875</v>
      </c>
      <c r="R38" s="65">
        <f t="shared" si="11"/>
        <v>0</v>
      </c>
      <c r="S38" s="65">
        <f t="shared" si="11"/>
        <v>8.6250000000000007E-2</v>
      </c>
      <c r="T38" s="65">
        <f t="shared" si="11"/>
        <v>0</v>
      </c>
      <c r="U38" s="126">
        <f t="shared" si="11"/>
        <v>0</v>
      </c>
    </row>
    <row r="39" spans="1:21" s="48" customFormat="1" ht="13" x14ac:dyDescent="0.35">
      <c r="A39" s="125">
        <f>K8</f>
        <v>9</v>
      </c>
      <c r="B39" s="11">
        <v>100</v>
      </c>
      <c r="C39" s="65">
        <f t="shared" si="6"/>
        <v>27.750000000000004</v>
      </c>
      <c r="D39" s="65">
        <f t="shared" si="7"/>
        <v>26.919249999999998</v>
      </c>
      <c r="E39" s="65">
        <f t="shared" si="8"/>
        <v>2.3105875000000005</v>
      </c>
      <c r="F39" s="65">
        <f t="shared" si="9"/>
        <v>4.3107999999999995</v>
      </c>
      <c r="G39" s="65">
        <f t="shared" si="5"/>
        <v>0.1585</v>
      </c>
      <c r="H39" s="65">
        <f t="shared" si="5"/>
        <v>0.29750000000000004</v>
      </c>
      <c r="I39" s="65">
        <f t="shared" si="5"/>
        <v>0.12475000000000001</v>
      </c>
      <c r="J39" s="65">
        <f t="shared" si="5"/>
        <v>2.2000000000000001E-3</v>
      </c>
      <c r="K39" s="65">
        <f t="shared" si="5"/>
        <v>2E-3</v>
      </c>
      <c r="L39" s="65">
        <f t="shared" si="5"/>
        <v>0.10250000000000001</v>
      </c>
      <c r="M39" s="65">
        <f t="shared" si="5"/>
        <v>8.6499999999999994E-2</v>
      </c>
      <c r="N39" s="65">
        <f t="shared" si="5"/>
        <v>395</v>
      </c>
      <c r="O39" s="65">
        <f t="shared" si="5"/>
        <v>38.5</v>
      </c>
      <c r="P39" s="65">
        <f t="shared" si="5"/>
        <v>0</v>
      </c>
      <c r="Q39" s="65">
        <f t="shared" si="10"/>
        <v>41.1875</v>
      </c>
      <c r="R39" s="65">
        <f t="shared" si="11"/>
        <v>0</v>
      </c>
      <c r="S39" s="65">
        <f t="shared" si="11"/>
        <v>8.6250000000000007E-2</v>
      </c>
      <c r="T39" s="65">
        <f t="shared" si="11"/>
        <v>0</v>
      </c>
      <c r="U39" s="126">
        <f t="shared" si="11"/>
        <v>0</v>
      </c>
    </row>
    <row r="40" spans="1:21" s="48" customFormat="1" ht="13" x14ac:dyDescent="0.35">
      <c r="A40" s="125">
        <f>L8</f>
        <v>10</v>
      </c>
      <c r="B40" s="11">
        <v>100</v>
      </c>
      <c r="C40" s="65">
        <f t="shared" si="6"/>
        <v>27.750000000000004</v>
      </c>
      <c r="D40" s="65">
        <f t="shared" si="7"/>
        <v>26.919249999999998</v>
      </c>
      <c r="E40" s="65">
        <f t="shared" si="8"/>
        <v>2.3105875000000005</v>
      </c>
      <c r="F40" s="65">
        <f t="shared" si="9"/>
        <v>4.3107999999999995</v>
      </c>
      <c r="G40" s="65">
        <f t="shared" si="5"/>
        <v>0.1585</v>
      </c>
      <c r="H40" s="65">
        <f t="shared" si="5"/>
        <v>0.29750000000000004</v>
      </c>
      <c r="I40" s="65">
        <f t="shared" si="5"/>
        <v>0.12475000000000001</v>
      </c>
      <c r="J40" s="65">
        <f t="shared" si="5"/>
        <v>2.2000000000000001E-3</v>
      </c>
      <c r="K40" s="65">
        <f t="shared" si="5"/>
        <v>2E-3</v>
      </c>
      <c r="L40" s="65">
        <f t="shared" si="5"/>
        <v>0.10250000000000001</v>
      </c>
      <c r="M40" s="65">
        <f t="shared" si="5"/>
        <v>8.6499999999999994E-2</v>
      </c>
      <c r="N40" s="65">
        <f t="shared" si="5"/>
        <v>395</v>
      </c>
      <c r="O40" s="65">
        <f t="shared" si="5"/>
        <v>38.5</v>
      </c>
      <c r="P40" s="65">
        <f t="shared" si="5"/>
        <v>0</v>
      </c>
      <c r="Q40" s="65">
        <f t="shared" si="10"/>
        <v>41.1875</v>
      </c>
      <c r="R40" s="65">
        <f t="shared" si="11"/>
        <v>0</v>
      </c>
      <c r="S40" s="65">
        <f t="shared" si="11"/>
        <v>8.6250000000000007E-2</v>
      </c>
      <c r="T40" s="65">
        <f t="shared" si="11"/>
        <v>0</v>
      </c>
      <c r="U40" s="126">
        <f t="shared" si="11"/>
        <v>0</v>
      </c>
    </row>
    <row r="41" spans="1:21" s="48" customFormat="1" ht="13" x14ac:dyDescent="0.35">
      <c r="A41" s="125">
        <f>M8</f>
        <v>11</v>
      </c>
      <c r="B41" s="11">
        <v>100</v>
      </c>
      <c r="C41" s="65">
        <f t="shared" si="6"/>
        <v>27.750000000000004</v>
      </c>
      <c r="D41" s="65">
        <f t="shared" si="7"/>
        <v>26.919249999999998</v>
      </c>
      <c r="E41" s="65">
        <f t="shared" si="8"/>
        <v>2.3105875000000005</v>
      </c>
      <c r="F41" s="65">
        <f t="shared" si="9"/>
        <v>4.3107999999999995</v>
      </c>
      <c r="G41" s="65">
        <f t="shared" si="5"/>
        <v>0.1585</v>
      </c>
      <c r="H41" s="65">
        <f t="shared" si="5"/>
        <v>0.29750000000000004</v>
      </c>
      <c r="I41" s="65">
        <f t="shared" si="5"/>
        <v>0.12475000000000001</v>
      </c>
      <c r="J41" s="65">
        <f t="shared" si="5"/>
        <v>2.2000000000000001E-3</v>
      </c>
      <c r="K41" s="65">
        <f t="shared" si="5"/>
        <v>2E-3</v>
      </c>
      <c r="L41" s="65">
        <f t="shared" si="5"/>
        <v>0.10250000000000001</v>
      </c>
      <c r="M41" s="65">
        <f t="shared" si="5"/>
        <v>8.6499999999999994E-2</v>
      </c>
      <c r="N41" s="65">
        <f t="shared" si="5"/>
        <v>395</v>
      </c>
      <c r="O41" s="65">
        <f t="shared" si="5"/>
        <v>38.5</v>
      </c>
      <c r="P41" s="65">
        <f t="shared" si="5"/>
        <v>0</v>
      </c>
      <c r="Q41" s="65">
        <f t="shared" si="10"/>
        <v>41.1875</v>
      </c>
      <c r="R41" s="65">
        <f t="shared" si="11"/>
        <v>0</v>
      </c>
      <c r="S41" s="65">
        <f t="shared" si="11"/>
        <v>8.6250000000000007E-2</v>
      </c>
      <c r="T41" s="65">
        <f t="shared" si="11"/>
        <v>0</v>
      </c>
      <c r="U41" s="126">
        <f t="shared" si="11"/>
        <v>0</v>
      </c>
    </row>
    <row r="42" spans="1:21" s="48" customFormat="1" ht="13" x14ac:dyDescent="0.35">
      <c r="A42" s="125">
        <f>N8</f>
        <v>14</v>
      </c>
      <c r="B42" s="11">
        <v>100</v>
      </c>
      <c r="C42" s="65">
        <f t="shared" si="6"/>
        <v>27.750000000000004</v>
      </c>
      <c r="D42" s="65">
        <f t="shared" si="7"/>
        <v>26.919249999999998</v>
      </c>
      <c r="E42" s="65">
        <f t="shared" si="8"/>
        <v>2.3105875000000005</v>
      </c>
      <c r="F42" s="65">
        <f t="shared" si="9"/>
        <v>4.3107999999999995</v>
      </c>
      <c r="G42" s="65">
        <f t="shared" si="5"/>
        <v>0.1585</v>
      </c>
      <c r="H42" s="65">
        <f t="shared" si="5"/>
        <v>0.29750000000000004</v>
      </c>
      <c r="I42" s="65">
        <f t="shared" si="5"/>
        <v>0.12475000000000001</v>
      </c>
      <c r="J42" s="65">
        <f t="shared" si="5"/>
        <v>2.2000000000000001E-3</v>
      </c>
      <c r="K42" s="65">
        <f t="shared" si="5"/>
        <v>2E-3</v>
      </c>
      <c r="L42" s="65">
        <f t="shared" si="5"/>
        <v>0.10250000000000001</v>
      </c>
      <c r="M42" s="65">
        <f t="shared" si="5"/>
        <v>8.6499999999999994E-2</v>
      </c>
      <c r="N42" s="65">
        <f t="shared" si="5"/>
        <v>395</v>
      </c>
      <c r="O42" s="65">
        <f t="shared" si="5"/>
        <v>38.5</v>
      </c>
      <c r="P42" s="65">
        <f t="shared" si="5"/>
        <v>0</v>
      </c>
      <c r="Q42" s="65">
        <f t="shared" si="10"/>
        <v>41.1875</v>
      </c>
      <c r="R42" s="65">
        <f t="shared" si="11"/>
        <v>0</v>
      </c>
      <c r="S42" s="65">
        <f t="shared" si="11"/>
        <v>8.6250000000000007E-2</v>
      </c>
      <c r="T42" s="65">
        <f t="shared" si="11"/>
        <v>0</v>
      </c>
      <c r="U42" s="126">
        <f t="shared" si="11"/>
        <v>0</v>
      </c>
    </row>
    <row r="43" spans="1:21" s="48" customFormat="1" ht="13" x14ac:dyDescent="0.35">
      <c r="A43" s="125">
        <f>O8</f>
        <v>15</v>
      </c>
      <c r="B43" s="11">
        <v>100</v>
      </c>
      <c r="C43" s="65">
        <f t="shared" si="6"/>
        <v>27.750000000000004</v>
      </c>
      <c r="D43" s="65">
        <f t="shared" si="7"/>
        <v>26.919249999999998</v>
      </c>
      <c r="E43" s="65">
        <f t="shared" si="8"/>
        <v>2.3105875000000005</v>
      </c>
      <c r="F43" s="65">
        <f t="shared" si="9"/>
        <v>4.3107999999999995</v>
      </c>
      <c r="G43" s="65">
        <f t="shared" si="5"/>
        <v>0.1585</v>
      </c>
      <c r="H43" s="65">
        <f t="shared" si="5"/>
        <v>0.29750000000000004</v>
      </c>
      <c r="I43" s="65">
        <f t="shared" si="5"/>
        <v>0.12475000000000001</v>
      </c>
      <c r="J43" s="65">
        <f t="shared" si="5"/>
        <v>2.2000000000000001E-3</v>
      </c>
      <c r="K43" s="65">
        <f t="shared" si="5"/>
        <v>2E-3</v>
      </c>
      <c r="L43" s="65">
        <f t="shared" si="5"/>
        <v>0.10250000000000001</v>
      </c>
      <c r="M43" s="65">
        <f t="shared" si="5"/>
        <v>8.6499999999999994E-2</v>
      </c>
      <c r="N43" s="65">
        <f t="shared" si="5"/>
        <v>395</v>
      </c>
      <c r="O43" s="65">
        <f t="shared" si="5"/>
        <v>38.5</v>
      </c>
      <c r="P43" s="65">
        <f t="shared" si="5"/>
        <v>0</v>
      </c>
      <c r="Q43" s="65">
        <f t="shared" si="10"/>
        <v>41.1875</v>
      </c>
      <c r="R43" s="65">
        <f t="shared" si="11"/>
        <v>0</v>
      </c>
      <c r="S43" s="65">
        <f t="shared" si="11"/>
        <v>8.6250000000000007E-2</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Arable</v>
      </c>
      <c r="J58" s="10" t="str">
        <f>K16&amp;" I "&amp;(VLOOKUP(K14,Table245[],6,FALSE))</f>
        <v>Medium/Clay I Arable</v>
      </c>
      <c r="K58" s="10" t="str">
        <f>L16&amp;" I "&amp;(VLOOKUP(L14,Table245[],6,FALSE))</f>
        <v>Medium/Clay I Arable</v>
      </c>
      <c r="L58" s="10" t="str">
        <f>M16&amp;" I "&amp;(VLOOKUP(M14,Table245[],6,FALSE))</f>
        <v>Medium/Clay I Arable</v>
      </c>
      <c r="M58" s="10" t="str">
        <f>N16&amp;" I "&amp;(VLOOKUP(N14,Table245[],6,FALSE))</f>
        <v>Medium/Clay I Arable</v>
      </c>
      <c r="N58" s="10" t="str">
        <f>O16&amp;" I "&amp;(VLOOKUP(O14,Table245[],6,FALSE))</f>
        <v>Medium/Clay I Arable</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6.7</v>
      </c>
      <c r="D59" s="64">
        <f>VLOOKUP(E$14,Table245[],5,FALSE)</f>
        <v>6.7</v>
      </c>
      <c r="E59" s="64">
        <f>VLOOKUP(F$14,Table245[],5,FALSE)</f>
        <v>6.7</v>
      </c>
      <c r="F59" s="64">
        <f>VLOOKUP(G$14,Table245[],5,FALSE)</f>
        <v>6.7</v>
      </c>
      <c r="G59" s="64">
        <f>VLOOKUP(H$14,Table245[],5,FALSE)</f>
        <v>6.7</v>
      </c>
      <c r="H59" s="64">
        <f>VLOOKUP(I$14,Table245[],5,FALSE)</f>
        <v>6.7</v>
      </c>
      <c r="I59" s="64">
        <f>VLOOKUP(J$14,Table245[],5,FALSE)</f>
        <v>6.7</v>
      </c>
      <c r="J59" s="64">
        <f>VLOOKUP(K$14,Table245[],5,FALSE)</f>
        <v>6.7</v>
      </c>
      <c r="K59" s="64">
        <f>VLOOKUP(L$14,Table245[],5,FALSE)</f>
        <v>6.7</v>
      </c>
      <c r="L59" s="64">
        <f>VLOOKUP(M$14,Table245[],5,FALSE)</f>
        <v>6.7</v>
      </c>
      <c r="M59" s="64">
        <f>VLOOKUP(N$14,Table245[],5,FALSE)</f>
        <v>6.7</v>
      </c>
      <c r="N59" s="64">
        <f>VLOOKUP(O$14,Table245[],5,FALSE)</f>
        <v>6.7</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38.90805300000001</v>
      </c>
      <c r="D18" s="12">
        <f>$D32</f>
        <v>38.90805300000001</v>
      </c>
      <c r="E18" s="12">
        <f>$D33</f>
        <v>38.90805300000001</v>
      </c>
      <c r="F18" s="12">
        <f>$D34</f>
        <v>38.90805300000001</v>
      </c>
      <c r="G18" s="12">
        <f>$D35</f>
        <v>38.90805300000001</v>
      </c>
      <c r="H18" s="12">
        <f>$D36</f>
        <v>38.90805300000001</v>
      </c>
      <c r="I18" s="12">
        <f>$D37</f>
        <v>38.90805300000001</v>
      </c>
      <c r="J18" s="12">
        <f>$D38</f>
        <v>38.90805300000001</v>
      </c>
      <c r="K18" s="12">
        <f>$D39</f>
        <v>38.90805300000001</v>
      </c>
      <c r="L18" s="12">
        <f>$D40</f>
        <v>38.90805300000001</v>
      </c>
      <c r="M18" s="12">
        <f>$D41</f>
        <v>38.90805300000001</v>
      </c>
      <c r="N18" s="12">
        <f>$D42</f>
        <v>38.90805300000001</v>
      </c>
      <c r="O18" s="12">
        <f>$D43</f>
        <v>38.90805300000001</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-24.091946999999983</v>
      </c>
      <c r="D19" s="12">
        <f t="shared" ref="D19:V19" si="1">D18-D17</f>
        <v>-24.091946999999983</v>
      </c>
      <c r="E19" s="12">
        <f t="shared" si="1"/>
        <v>-24.091946999999983</v>
      </c>
      <c r="F19" s="12">
        <f t="shared" si="1"/>
        <v>-24.091946999999983</v>
      </c>
      <c r="G19" s="12">
        <f t="shared" si="1"/>
        <v>-24.091946999999983</v>
      </c>
      <c r="H19" s="12">
        <f t="shared" si="1"/>
        <v>-24.091946999999983</v>
      </c>
      <c r="I19" s="12">
        <f t="shared" si="1"/>
        <v>-24.091946999999983</v>
      </c>
      <c r="J19" s="12">
        <f t="shared" si="1"/>
        <v>-24.091946999999983</v>
      </c>
      <c r="K19" s="12">
        <f t="shared" si="1"/>
        <v>-24.091946999999983</v>
      </c>
      <c r="L19" s="12">
        <f t="shared" si="1"/>
        <v>-24.091946999999983</v>
      </c>
      <c r="M19" s="12">
        <f t="shared" si="1"/>
        <v>-24.091946999999983</v>
      </c>
      <c r="N19" s="12">
        <f t="shared" si="1"/>
        <v>-24.091946999999983</v>
      </c>
      <c r="O19" s="12">
        <f t="shared" si="1"/>
        <v>-24.091946999999983</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(VLOOKUP(D$14,$AI2:$AK24,3,FALSE))*D$15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2.1091356000000006</v>
      </c>
      <c r="D22" s="12">
        <f>$E32</f>
        <v>2.1091356000000006</v>
      </c>
      <c r="E22" s="12">
        <f>$E33</f>
        <v>2.1091356000000006</v>
      </c>
      <c r="F22" s="12">
        <f>$E34</f>
        <v>2.1091356000000006</v>
      </c>
      <c r="G22" s="12">
        <f>$E35</f>
        <v>2.1091356000000006</v>
      </c>
      <c r="H22" s="12">
        <f>$E36</f>
        <v>2.1091356000000006</v>
      </c>
      <c r="I22" s="12">
        <f>$E37</f>
        <v>2.1091356000000006</v>
      </c>
      <c r="J22" s="12">
        <f>$E38</f>
        <v>2.1091356000000006</v>
      </c>
      <c r="K22" s="12">
        <f>$E39</f>
        <v>2.1091356000000006</v>
      </c>
      <c r="L22" s="12">
        <f>$E40</f>
        <v>2.1091356000000006</v>
      </c>
      <c r="M22" s="12">
        <f>$E41</f>
        <v>2.1091356000000006</v>
      </c>
      <c r="N22" s="12">
        <f>$E42</f>
        <v>2.1091356000000006</v>
      </c>
      <c r="O22" s="12">
        <f>$E43</f>
        <v>2.1091356000000006</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-195.89086440000003</v>
      </c>
      <c r="D23" s="12">
        <f t="shared" ref="D23:V23" si="3">D22-D21</f>
        <v>-195.89086440000003</v>
      </c>
      <c r="E23" s="12">
        <f t="shared" si="3"/>
        <v>-195.89086440000003</v>
      </c>
      <c r="F23" s="12">
        <f t="shared" si="3"/>
        <v>-195.89086440000003</v>
      </c>
      <c r="G23" s="12">
        <f t="shared" si="3"/>
        <v>-195.89086440000003</v>
      </c>
      <c r="H23" s="12">
        <f t="shared" si="3"/>
        <v>-195.89086440000003</v>
      </c>
      <c r="I23" s="12">
        <f t="shared" si="3"/>
        <v>-195.89086440000003</v>
      </c>
      <c r="J23" s="12">
        <f t="shared" si="3"/>
        <v>-195.89086440000003</v>
      </c>
      <c r="K23" s="12">
        <f t="shared" si="3"/>
        <v>-195.89086440000003</v>
      </c>
      <c r="L23" s="12">
        <f t="shared" si="3"/>
        <v>-195.89086440000003</v>
      </c>
      <c r="M23" s="12">
        <f t="shared" si="3"/>
        <v>-195.89086440000003</v>
      </c>
      <c r="N23" s="12">
        <f t="shared" si="3"/>
        <v>-195.89086440000003</v>
      </c>
      <c r="O23" s="12">
        <f t="shared" si="3"/>
        <v>-195.89086440000003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29.865600000000004</v>
      </c>
      <c r="D31" s="65">
        <f>(IF(D$27="%w/w SAR",((D$28*10)*$B31),IF(D$27="%w/w DM",(((D$28*10)*($B$28/100))*$B31),IF(D$27="kg/t SAR",(D$28*$B31),IF(D$27="kg/t DM",((D$28*($B$28/100))*$B31),IF(D$27="mg/kg SAR",((D$28*0.001)*$B31),IF(D$27="mg/kg DM",(((D$28*0.001)*($B$28/100))*$B31),"0")))))))*2.291</f>
        <v>38.90805300000001</v>
      </c>
      <c r="E31" s="65">
        <f>(IF(E$27="%w/w SAR",((E$28*10)*$B31),IF(E$27="%w/w DM",(((E$28*10)*($B$28/100))*$B31),IF(E$27="kg/t SAR",(E$28*$B31),IF(E$27="kg/t DM",((E$28*($B$28/100))*$B31),IF(E$27="mg/kg SAR",((E$28*0.001)*$B31),IF(E$27="mg/kg DM",(((E$28*0.001)*($B$28/100))*$B31),"0")))))))*1.205</f>
        <v>2.1091356000000006</v>
      </c>
      <c r="F31" s="65">
        <f>(IF(F$27="%w/w SAR",((F$28*10)*$B31),IF(F$27="%w/w DM",(((F$28*10)*($B$28/100))*$B31),IF(F$27="kg/t SAR",(F$28*$B31),IF(F$27="kg/t DM",((F$28*($B$28/100))*$B31),IF(F$27="mg/kg SAR",((F$28*0.001)*$B31),IF(F$27="mg/kg DM",(((F$28*0.001)*($B$28/100))*$B31),"0")))))))*1.658</f>
        <v>4.2667966799999997</v>
      </c>
      <c r="G31" s="65">
        <f t="shared" ref="G31:P46" si="5">IF(G$27="%w/w SAR",((G$28*10)*$B31),IF(G$27="%w/w DM",(((G$28*10)*($B$28/100))*$B31),IF(G$27="kg/t SAR",(G$28*$B31),IF(G$27="kg/t DM",((G$28*($B$28/100))*$B31),IF(G$27="mg/kg SAR",((G$28*0.001)*$B31),IF(G$27="mg/kg DM",(((G$28*0.001)*($B$28/100))*$B31),0))))))</f>
        <v>0.15697800000000001</v>
      </c>
      <c r="H31" s="65">
        <f t="shared" si="5"/>
        <v>0.40698000000000001</v>
      </c>
      <c r="I31" s="65">
        <f t="shared" si="5"/>
        <v>0.124848</v>
      </c>
      <c r="J31" s="65">
        <f t="shared" si="5"/>
        <v>2.2031999999999998E-3</v>
      </c>
      <c r="K31" s="65">
        <f t="shared" si="5"/>
        <v>2.0196000000000003E-3</v>
      </c>
      <c r="L31" s="65">
        <f t="shared" si="5"/>
        <v>0.10251000000000002</v>
      </c>
      <c r="M31" s="65">
        <f t="shared" si="5"/>
        <v>8.6598000000000008E-2</v>
      </c>
      <c r="N31" s="65">
        <f t="shared" si="5"/>
        <v>9.4248000000000012</v>
      </c>
      <c r="O31" s="65">
        <f t="shared" si="5"/>
        <v>960.84000000000015</v>
      </c>
      <c r="P31" s="65">
        <f t="shared" si="5"/>
        <v>0</v>
      </c>
      <c r="Q31" s="65">
        <f>(IF(Q$27="%w/w SAR",((Q$28*10)*$B31),IF(Q$27="%w/w DM",(((Q$28*10)*($B$28/100))*$B31),IF(Q$27="kg/t SAR",(Q$28*$B31),IF(Q$27="kg/t DM",((Q$28*($B$28/100))*$B31),IF(Q$27="mg/kg SAR",((Q$28*0.001)*$B31),IF(Q$27="mg/kg DM",(((Q$28*0.001)*($B$28/100))*$B31),0)))))))*2.5</f>
        <v>24.174000000000007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8.6292000000000008E-2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29.865600000000004</v>
      </c>
      <c r="D32" s="65">
        <f t="shared" ref="D32:D50" si="7">(IF(D$27="%w/w SAR",((D$28*10)*$B32),IF(D$27="%w/w DM",(((D$28*10)*($B$28/100))*$B32),IF(D$27="kg/t SAR",(D$28*$B32),IF(D$27="kg/t DM",((D$28*($B$28/100))*$B32),IF(D$27="mg/kg SAR",((D$28*0.001)*$B32),IF(D$27="mg/kg DM",(((D$28*0.001)*($B$28/100))*$B32),"0")))))))*2.291</f>
        <v>38.90805300000001</v>
      </c>
      <c r="E32" s="65">
        <f t="shared" ref="E32:E50" si="8">(IF(E$27="%w/w SAR",((E$28*10)*$B32),IF(E$27="%w/w DM",(((E$28*10)*($B$28/100))*$B32),IF(E$27="kg/t SAR",(E$28*$B32),IF(E$27="kg/t DM",((E$28*($B$28/100))*$B32),IF(E$27="mg/kg SAR",((E$28*0.001)*$B32),IF(E$27="mg/kg DM",(((E$28*0.001)*($B$28/100))*$B32),"0")))))))*1.205</f>
        <v>2.1091356000000006</v>
      </c>
      <c r="F32" s="65">
        <f t="shared" ref="F32:F50" si="9">(IF(F$27="%w/w SAR",((F$28*10)*$B32),IF(F$27="%w/w DM",(((F$28*10)*($B$28/100))*$B32),IF(F$27="kg/t SAR",(F$28*$B32),IF(F$27="kg/t DM",((F$28*($B$28/100))*$B32),IF(F$27="mg/kg SAR",((F$28*0.001)*$B32),IF(F$27="mg/kg DM",(((F$28*0.001)*($B$28/100))*$B32),"0")))))))*1.658</f>
        <v>4.2667966799999997</v>
      </c>
      <c r="G32" s="65">
        <f t="shared" si="5"/>
        <v>0.15697800000000001</v>
      </c>
      <c r="H32" s="65">
        <f t="shared" si="5"/>
        <v>0.40698000000000001</v>
      </c>
      <c r="I32" s="65">
        <f t="shared" si="5"/>
        <v>0.124848</v>
      </c>
      <c r="J32" s="65">
        <f t="shared" si="5"/>
        <v>2.2031999999999998E-3</v>
      </c>
      <c r="K32" s="65">
        <f t="shared" si="5"/>
        <v>2.0196000000000003E-3</v>
      </c>
      <c r="L32" s="65">
        <f t="shared" si="5"/>
        <v>0.10251000000000002</v>
      </c>
      <c r="M32" s="65">
        <f t="shared" si="5"/>
        <v>8.6598000000000008E-2</v>
      </c>
      <c r="N32" s="65">
        <f t="shared" si="5"/>
        <v>9.4248000000000012</v>
      </c>
      <c r="O32" s="65">
        <f t="shared" si="5"/>
        <v>960.84000000000015</v>
      </c>
      <c r="P32" s="65">
        <f t="shared" si="5"/>
        <v>0</v>
      </c>
      <c r="Q32" s="65">
        <f t="shared" ref="Q32:Q50" si="10">(IF(Q$27="%w/w SAR",((Q$28*10)*$B32),IF(Q$27="%w/w DM",(((Q$28*10)*($B$28/100))*$B32),IF(Q$27="kg/t SAR",(Q$28*$B32),IF(Q$27="kg/t DM",((Q$28*($B$28/100))*$B32),IF(Q$27="mg/kg SAR",((Q$28*0.001)*$B32),IF(Q$27="mg/kg DM",(((Q$28*0.001)*($B$28/100))*$B32),0)))))))*2.5</f>
        <v>24.174000000000007</v>
      </c>
      <c r="R32" s="65">
        <f t="shared" ref="R32:U50" si="11">IF(R$27="%w/w SAR",((R$28*10)*$B32),IF(R$27="%w/w DM",(((R$28*10)*($B$28/100))*$B32),IF(R$27="kg/t SAR",(R$28*$B32),IF(R$27="kg/t DM",((R$28*($B$28/100))*$B32),IF(R$27="mg/kg SAR",((R$28*0.001)*$B32),IF(R$27="mg/kg DM",(((R$28*0.001)*($B$28/100))*$B32),0))))))</f>
        <v>0</v>
      </c>
      <c r="S32" s="65">
        <f t="shared" si="11"/>
        <v>8.6292000000000008E-2</v>
      </c>
      <c r="T32" s="65">
        <f t="shared" si="11"/>
        <v>0</v>
      </c>
      <c r="U32" s="126">
        <f t="shared" si="11"/>
        <v>0</v>
      </c>
    </row>
    <row r="33" spans="1:21" s="48" customFormat="1" ht="13" x14ac:dyDescent="0.35">
      <c r="A33" s="125">
        <f>E8</f>
        <v>3</v>
      </c>
      <c r="B33" s="11">
        <v>100</v>
      </c>
      <c r="C33" s="65">
        <f t="shared" si="6"/>
        <v>29.865600000000004</v>
      </c>
      <c r="D33" s="65">
        <f t="shared" si="7"/>
        <v>38.90805300000001</v>
      </c>
      <c r="E33" s="65">
        <f t="shared" si="8"/>
        <v>2.1091356000000006</v>
      </c>
      <c r="F33" s="65">
        <f t="shared" si="9"/>
        <v>4.2667966799999997</v>
      </c>
      <c r="G33" s="65">
        <f t="shared" si="5"/>
        <v>0.15697800000000001</v>
      </c>
      <c r="H33" s="65">
        <f t="shared" si="5"/>
        <v>0.40698000000000001</v>
      </c>
      <c r="I33" s="65">
        <f t="shared" si="5"/>
        <v>0.124848</v>
      </c>
      <c r="J33" s="65">
        <f t="shared" si="5"/>
        <v>2.2031999999999998E-3</v>
      </c>
      <c r="K33" s="65">
        <f t="shared" si="5"/>
        <v>2.0196000000000003E-3</v>
      </c>
      <c r="L33" s="65">
        <f t="shared" si="5"/>
        <v>0.10251000000000002</v>
      </c>
      <c r="M33" s="65">
        <f t="shared" si="5"/>
        <v>8.6598000000000008E-2</v>
      </c>
      <c r="N33" s="65">
        <f t="shared" si="5"/>
        <v>9.4248000000000012</v>
      </c>
      <c r="O33" s="65">
        <f t="shared" si="5"/>
        <v>960.84000000000015</v>
      </c>
      <c r="P33" s="65">
        <f t="shared" si="5"/>
        <v>0</v>
      </c>
      <c r="Q33" s="65">
        <f t="shared" si="10"/>
        <v>24.174000000000007</v>
      </c>
      <c r="R33" s="65">
        <f t="shared" si="11"/>
        <v>0</v>
      </c>
      <c r="S33" s="65">
        <f t="shared" si="11"/>
        <v>8.6292000000000008E-2</v>
      </c>
      <c r="T33" s="65">
        <f t="shared" si="11"/>
        <v>0</v>
      </c>
      <c r="U33" s="126">
        <f t="shared" si="11"/>
        <v>0</v>
      </c>
    </row>
    <row r="34" spans="1:21" s="48" customFormat="1" ht="13" x14ac:dyDescent="0.35">
      <c r="A34" s="125">
        <f>F8</f>
        <v>4</v>
      </c>
      <c r="B34" s="11">
        <v>100</v>
      </c>
      <c r="C34" s="65">
        <f t="shared" si="6"/>
        <v>29.865600000000004</v>
      </c>
      <c r="D34" s="65">
        <f t="shared" si="7"/>
        <v>38.90805300000001</v>
      </c>
      <c r="E34" s="65">
        <f t="shared" si="8"/>
        <v>2.1091356000000006</v>
      </c>
      <c r="F34" s="65">
        <f t="shared" si="9"/>
        <v>4.2667966799999997</v>
      </c>
      <c r="G34" s="65">
        <f t="shared" si="5"/>
        <v>0.15697800000000001</v>
      </c>
      <c r="H34" s="65">
        <f t="shared" si="5"/>
        <v>0.40698000000000001</v>
      </c>
      <c r="I34" s="65">
        <f t="shared" si="5"/>
        <v>0.124848</v>
      </c>
      <c r="J34" s="65">
        <f t="shared" si="5"/>
        <v>2.2031999999999998E-3</v>
      </c>
      <c r="K34" s="65">
        <f t="shared" si="5"/>
        <v>2.0196000000000003E-3</v>
      </c>
      <c r="L34" s="65">
        <f t="shared" si="5"/>
        <v>0.10251000000000002</v>
      </c>
      <c r="M34" s="65">
        <f t="shared" si="5"/>
        <v>8.6598000000000008E-2</v>
      </c>
      <c r="N34" s="65">
        <f t="shared" si="5"/>
        <v>9.4248000000000012</v>
      </c>
      <c r="O34" s="65">
        <f t="shared" si="5"/>
        <v>960.84000000000015</v>
      </c>
      <c r="P34" s="65">
        <f t="shared" si="5"/>
        <v>0</v>
      </c>
      <c r="Q34" s="65">
        <f t="shared" si="10"/>
        <v>24.174000000000007</v>
      </c>
      <c r="R34" s="65">
        <f t="shared" si="11"/>
        <v>0</v>
      </c>
      <c r="S34" s="65">
        <f t="shared" si="11"/>
        <v>8.6292000000000008E-2</v>
      </c>
      <c r="T34" s="65">
        <f t="shared" si="11"/>
        <v>0</v>
      </c>
      <c r="U34" s="126">
        <f t="shared" si="11"/>
        <v>0</v>
      </c>
    </row>
    <row r="35" spans="1:21" s="48" customFormat="1" ht="13" x14ac:dyDescent="0.35">
      <c r="A35" s="125">
        <f>G8</f>
        <v>5</v>
      </c>
      <c r="B35" s="11">
        <v>100</v>
      </c>
      <c r="C35" s="65">
        <f t="shared" si="6"/>
        <v>29.865600000000004</v>
      </c>
      <c r="D35" s="65">
        <f t="shared" si="7"/>
        <v>38.90805300000001</v>
      </c>
      <c r="E35" s="65">
        <f t="shared" si="8"/>
        <v>2.1091356000000006</v>
      </c>
      <c r="F35" s="65">
        <f t="shared" si="9"/>
        <v>4.2667966799999997</v>
      </c>
      <c r="G35" s="65">
        <f t="shared" si="5"/>
        <v>0.15697800000000001</v>
      </c>
      <c r="H35" s="65">
        <f t="shared" si="5"/>
        <v>0.40698000000000001</v>
      </c>
      <c r="I35" s="65">
        <f t="shared" si="5"/>
        <v>0.124848</v>
      </c>
      <c r="J35" s="65">
        <f t="shared" si="5"/>
        <v>2.2031999999999998E-3</v>
      </c>
      <c r="K35" s="65">
        <f t="shared" si="5"/>
        <v>2.0196000000000003E-3</v>
      </c>
      <c r="L35" s="65">
        <f t="shared" si="5"/>
        <v>0.10251000000000002</v>
      </c>
      <c r="M35" s="65">
        <f t="shared" si="5"/>
        <v>8.6598000000000008E-2</v>
      </c>
      <c r="N35" s="65">
        <f t="shared" si="5"/>
        <v>9.4248000000000012</v>
      </c>
      <c r="O35" s="65">
        <f t="shared" si="5"/>
        <v>960.84000000000015</v>
      </c>
      <c r="P35" s="65">
        <f t="shared" si="5"/>
        <v>0</v>
      </c>
      <c r="Q35" s="65">
        <f t="shared" si="10"/>
        <v>24.174000000000007</v>
      </c>
      <c r="R35" s="65">
        <f t="shared" si="11"/>
        <v>0</v>
      </c>
      <c r="S35" s="65">
        <f t="shared" si="11"/>
        <v>8.6292000000000008E-2</v>
      </c>
      <c r="T35" s="65">
        <f t="shared" si="11"/>
        <v>0</v>
      </c>
      <c r="U35" s="126">
        <f t="shared" si="11"/>
        <v>0</v>
      </c>
    </row>
    <row r="36" spans="1:21" s="48" customFormat="1" ht="13" x14ac:dyDescent="0.35">
      <c r="A36" s="125">
        <f>H8</f>
        <v>6</v>
      </c>
      <c r="B36" s="11">
        <v>100</v>
      </c>
      <c r="C36" s="65">
        <f t="shared" si="6"/>
        <v>29.865600000000004</v>
      </c>
      <c r="D36" s="65">
        <f t="shared" si="7"/>
        <v>38.90805300000001</v>
      </c>
      <c r="E36" s="65">
        <f t="shared" si="8"/>
        <v>2.1091356000000006</v>
      </c>
      <c r="F36" s="65">
        <f t="shared" si="9"/>
        <v>4.2667966799999997</v>
      </c>
      <c r="G36" s="65">
        <f t="shared" si="5"/>
        <v>0.15697800000000001</v>
      </c>
      <c r="H36" s="65">
        <f t="shared" si="5"/>
        <v>0.40698000000000001</v>
      </c>
      <c r="I36" s="65">
        <f t="shared" si="5"/>
        <v>0.124848</v>
      </c>
      <c r="J36" s="65">
        <f t="shared" si="5"/>
        <v>2.2031999999999998E-3</v>
      </c>
      <c r="K36" s="65">
        <f t="shared" si="5"/>
        <v>2.0196000000000003E-3</v>
      </c>
      <c r="L36" s="65">
        <f t="shared" si="5"/>
        <v>0.10251000000000002</v>
      </c>
      <c r="M36" s="65">
        <f t="shared" si="5"/>
        <v>8.6598000000000008E-2</v>
      </c>
      <c r="N36" s="65">
        <f t="shared" si="5"/>
        <v>9.4248000000000012</v>
      </c>
      <c r="O36" s="65">
        <f t="shared" si="5"/>
        <v>960.84000000000015</v>
      </c>
      <c r="P36" s="65">
        <f t="shared" si="5"/>
        <v>0</v>
      </c>
      <c r="Q36" s="65">
        <f t="shared" si="10"/>
        <v>24.174000000000007</v>
      </c>
      <c r="R36" s="65">
        <f t="shared" si="11"/>
        <v>0</v>
      </c>
      <c r="S36" s="65">
        <f t="shared" si="11"/>
        <v>8.6292000000000008E-2</v>
      </c>
      <c r="T36" s="65">
        <f t="shared" si="11"/>
        <v>0</v>
      </c>
      <c r="U36" s="126">
        <f t="shared" si="11"/>
        <v>0</v>
      </c>
    </row>
    <row r="37" spans="1:21" s="48" customFormat="1" ht="13" x14ac:dyDescent="0.35">
      <c r="A37" s="125">
        <f>I8</f>
        <v>7</v>
      </c>
      <c r="B37" s="11">
        <v>100</v>
      </c>
      <c r="C37" s="65">
        <f t="shared" si="6"/>
        <v>29.865600000000004</v>
      </c>
      <c r="D37" s="65">
        <f t="shared" si="7"/>
        <v>38.90805300000001</v>
      </c>
      <c r="E37" s="65">
        <f t="shared" si="8"/>
        <v>2.1091356000000006</v>
      </c>
      <c r="F37" s="65">
        <f t="shared" si="9"/>
        <v>4.2667966799999997</v>
      </c>
      <c r="G37" s="65">
        <f t="shared" si="5"/>
        <v>0.15697800000000001</v>
      </c>
      <c r="H37" s="65">
        <f t="shared" si="5"/>
        <v>0.40698000000000001</v>
      </c>
      <c r="I37" s="65">
        <f t="shared" si="5"/>
        <v>0.124848</v>
      </c>
      <c r="J37" s="65">
        <f t="shared" si="5"/>
        <v>2.2031999999999998E-3</v>
      </c>
      <c r="K37" s="65">
        <f t="shared" si="5"/>
        <v>2.0196000000000003E-3</v>
      </c>
      <c r="L37" s="65">
        <f t="shared" si="5"/>
        <v>0.10251000000000002</v>
      </c>
      <c r="M37" s="65">
        <f t="shared" si="5"/>
        <v>8.6598000000000008E-2</v>
      </c>
      <c r="N37" s="65">
        <f t="shared" si="5"/>
        <v>9.4248000000000012</v>
      </c>
      <c r="O37" s="65">
        <f t="shared" si="5"/>
        <v>960.84000000000015</v>
      </c>
      <c r="P37" s="65">
        <f t="shared" si="5"/>
        <v>0</v>
      </c>
      <c r="Q37" s="65">
        <f t="shared" si="10"/>
        <v>24.174000000000007</v>
      </c>
      <c r="R37" s="65">
        <f t="shared" si="11"/>
        <v>0</v>
      </c>
      <c r="S37" s="65">
        <f t="shared" si="11"/>
        <v>8.6292000000000008E-2</v>
      </c>
      <c r="T37" s="65">
        <f t="shared" si="11"/>
        <v>0</v>
      </c>
      <c r="U37" s="126">
        <f t="shared" si="11"/>
        <v>0</v>
      </c>
    </row>
    <row r="38" spans="1:21" s="48" customFormat="1" ht="13" x14ac:dyDescent="0.35">
      <c r="A38" s="125">
        <f>J8</f>
        <v>8</v>
      </c>
      <c r="B38" s="11">
        <v>100</v>
      </c>
      <c r="C38" s="65">
        <f t="shared" si="6"/>
        <v>29.865600000000004</v>
      </c>
      <c r="D38" s="65">
        <f t="shared" si="7"/>
        <v>38.90805300000001</v>
      </c>
      <c r="E38" s="65">
        <f t="shared" si="8"/>
        <v>2.1091356000000006</v>
      </c>
      <c r="F38" s="65">
        <f t="shared" si="9"/>
        <v>4.2667966799999997</v>
      </c>
      <c r="G38" s="65">
        <f t="shared" si="5"/>
        <v>0.15697800000000001</v>
      </c>
      <c r="H38" s="65">
        <f t="shared" si="5"/>
        <v>0.40698000000000001</v>
      </c>
      <c r="I38" s="65">
        <f t="shared" si="5"/>
        <v>0.124848</v>
      </c>
      <c r="J38" s="65">
        <f t="shared" si="5"/>
        <v>2.2031999999999998E-3</v>
      </c>
      <c r="K38" s="65">
        <f t="shared" si="5"/>
        <v>2.0196000000000003E-3</v>
      </c>
      <c r="L38" s="65">
        <f t="shared" si="5"/>
        <v>0.10251000000000002</v>
      </c>
      <c r="M38" s="65">
        <f t="shared" si="5"/>
        <v>8.6598000000000008E-2</v>
      </c>
      <c r="N38" s="65">
        <f t="shared" si="5"/>
        <v>9.4248000000000012</v>
      </c>
      <c r="O38" s="65">
        <f t="shared" si="5"/>
        <v>960.84000000000015</v>
      </c>
      <c r="P38" s="65">
        <f t="shared" si="5"/>
        <v>0</v>
      </c>
      <c r="Q38" s="65">
        <f t="shared" si="10"/>
        <v>24.174000000000007</v>
      </c>
      <c r="R38" s="65">
        <f t="shared" si="11"/>
        <v>0</v>
      </c>
      <c r="S38" s="65">
        <f t="shared" si="11"/>
        <v>8.6292000000000008E-2</v>
      </c>
      <c r="T38" s="65">
        <f t="shared" si="11"/>
        <v>0</v>
      </c>
      <c r="U38" s="126">
        <f t="shared" si="11"/>
        <v>0</v>
      </c>
    </row>
    <row r="39" spans="1:21" s="48" customFormat="1" ht="13" x14ac:dyDescent="0.35">
      <c r="A39" s="125">
        <f>K8</f>
        <v>9</v>
      </c>
      <c r="B39" s="11">
        <v>100</v>
      </c>
      <c r="C39" s="65">
        <f t="shared" si="6"/>
        <v>29.865600000000004</v>
      </c>
      <c r="D39" s="65">
        <f t="shared" si="7"/>
        <v>38.90805300000001</v>
      </c>
      <c r="E39" s="65">
        <f t="shared" si="8"/>
        <v>2.1091356000000006</v>
      </c>
      <c r="F39" s="65">
        <f t="shared" si="9"/>
        <v>4.2667966799999997</v>
      </c>
      <c r="G39" s="65">
        <f t="shared" si="5"/>
        <v>0.15697800000000001</v>
      </c>
      <c r="H39" s="65">
        <f t="shared" si="5"/>
        <v>0.40698000000000001</v>
      </c>
      <c r="I39" s="65">
        <f t="shared" si="5"/>
        <v>0.124848</v>
      </c>
      <c r="J39" s="65">
        <f t="shared" si="5"/>
        <v>2.2031999999999998E-3</v>
      </c>
      <c r="K39" s="65">
        <f t="shared" si="5"/>
        <v>2.0196000000000003E-3</v>
      </c>
      <c r="L39" s="65">
        <f t="shared" si="5"/>
        <v>0.10251000000000002</v>
      </c>
      <c r="M39" s="65">
        <f t="shared" si="5"/>
        <v>8.6598000000000008E-2</v>
      </c>
      <c r="N39" s="65">
        <f t="shared" si="5"/>
        <v>9.4248000000000012</v>
      </c>
      <c r="O39" s="65">
        <f t="shared" si="5"/>
        <v>960.84000000000015</v>
      </c>
      <c r="P39" s="65">
        <f t="shared" si="5"/>
        <v>0</v>
      </c>
      <c r="Q39" s="65">
        <f t="shared" si="10"/>
        <v>24.174000000000007</v>
      </c>
      <c r="R39" s="65">
        <f t="shared" si="11"/>
        <v>0</v>
      </c>
      <c r="S39" s="65">
        <f t="shared" si="11"/>
        <v>8.6292000000000008E-2</v>
      </c>
      <c r="T39" s="65">
        <f t="shared" si="11"/>
        <v>0</v>
      </c>
      <c r="U39" s="126">
        <f t="shared" si="11"/>
        <v>0</v>
      </c>
    </row>
    <row r="40" spans="1:21" s="48" customFormat="1" ht="13" x14ac:dyDescent="0.35">
      <c r="A40" s="125">
        <f>L8</f>
        <v>10</v>
      </c>
      <c r="B40" s="11">
        <v>100</v>
      </c>
      <c r="C40" s="65">
        <f t="shared" si="6"/>
        <v>29.865600000000004</v>
      </c>
      <c r="D40" s="65">
        <f t="shared" si="7"/>
        <v>38.90805300000001</v>
      </c>
      <c r="E40" s="65">
        <f t="shared" si="8"/>
        <v>2.1091356000000006</v>
      </c>
      <c r="F40" s="65">
        <f t="shared" si="9"/>
        <v>4.2667966799999997</v>
      </c>
      <c r="G40" s="65">
        <f t="shared" si="5"/>
        <v>0.15697800000000001</v>
      </c>
      <c r="H40" s="65">
        <f t="shared" si="5"/>
        <v>0.40698000000000001</v>
      </c>
      <c r="I40" s="65">
        <f t="shared" si="5"/>
        <v>0.124848</v>
      </c>
      <c r="J40" s="65">
        <f t="shared" si="5"/>
        <v>2.2031999999999998E-3</v>
      </c>
      <c r="K40" s="65">
        <f t="shared" si="5"/>
        <v>2.0196000000000003E-3</v>
      </c>
      <c r="L40" s="65">
        <f t="shared" si="5"/>
        <v>0.10251000000000002</v>
      </c>
      <c r="M40" s="65">
        <f t="shared" si="5"/>
        <v>8.6598000000000008E-2</v>
      </c>
      <c r="N40" s="65">
        <f t="shared" si="5"/>
        <v>9.4248000000000012</v>
      </c>
      <c r="O40" s="65">
        <f t="shared" si="5"/>
        <v>960.84000000000015</v>
      </c>
      <c r="P40" s="65">
        <f t="shared" si="5"/>
        <v>0</v>
      </c>
      <c r="Q40" s="65">
        <f t="shared" si="10"/>
        <v>24.174000000000007</v>
      </c>
      <c r="R40" s="65">
        <f t="shared" si="11"/>
        <v>0</v>
      </c>
      <c r="S40" s="65">
        <f t="shared" si="11"/>
        <v>8.6292000000000008E-2</v>
      </c>
      <c r="T40" s="65">
        <f t="shared" si="11"/>
        <v>0</v>
      </c>
      <c r="U40" s="126">
        <f t="shared" si="11"/>
        <v>0</v>
      </c>
    </row>
    <row r="41" spans="1:21" s="48" customFormat="1" ht="13" x14ac:dyDescent="0.35">
      <c r="A41" s="125">
        <f>M8</f>
        <v>11</v>
      </c>
      <c r="B41" s="11">
        <v>100</v>
      </c>
      <c r="C41" s="65">
        <f t="shared" si="6"/>
        <v>29.865600000000004</v>
      </c>
      <c r="D41" s="65">
        <f t="shared" si="7"/>
        <v>38.90805300000001</v>
      </c>
      <c r="E41" s="65">
        <f t="shared" si="8"/>
        <v>2.1091356000000006</v>
      </c>
      <c r="F41" s="65">
        <f t="shared" si="9"/>
        <v>4.2667966799999997</v>
      </c>
      <c r="G41" s="65">
        <f t="shared" si="5"/>
        <v>0.15697800000000001</v>
      </c>
      <c r="H41" s="65">
        <f t="shared" si="5"/>
        <v>0.40698000000000001</v>
      </c>
      <c r="I41" s="65">
        <f t="shared" si="5"/>
        <v>0.124848</v>
      </c>
      <c r="J41" s="65">
        <f t="shared" si="5"/>
        <v>2.2031999999999998E-3</v>
      </c>
      <c r="K41" s="65">
        <f t="shared" si="5"/>
        <v>2.0196000000000003E-3</v>
      </c>
      <c r="L41" s="65">
        <f t="shared" si="5"/>
        <v>0.10251000000000002</v>
      </c>
      <c r="M41" s="65">
        <f t="shared" si="5"/>
        <v>8.6598000000000008E-2</v>
      </c>
      <c r="N41" s="65">
        <f t="shared" si="5"/>
        <v>9.4248000000000012</v>
      </c>
      <c r="O41" s="65">
        <f t="shared" si="5"/>
        <v>960.84000000000015</v>
      </c>
      <c r="P41" s="65">
        <f t="shared" si="5"/>
        <v>0</v>
      </c>
      <c r="Q41" s="65">
        <f t="shared" si="10"/>
        <v>24.174000000000007</v>
      </c>
      <c r="R41" s="65">
        <f t="shared" si="11"/>
        <v>0</v>
      </c>
      <c r="S41" s="65">
        <f t="shared" si="11"/>
        <v>8.6292000000000008E-2</v>
      </c>
      <c r="T41" s="65">
        <f t="shared" si="11"/>
        <v>0</v>
      </c>
      <c r="U41" s="126">
        <f t="shared" si="11"/>
        <v>0</v>
      </c>
    </row>
    <row r="42" spans="1:21" s="48" customFormat="1" ht="13" x14ac:dyDescent="0.35">
      <c r="A42" s="125">
        <f>N8</f>
        <v>14</v>
      </c>
      <c r="B42" s="11">
        <v>100</v>
      </c>
      <c r="C42" s="65">
        <f t="shared" si="6"/>
        <v>29.865600000000004</v>
      </c>
      <c r="D42" s="65">
        <f t="shared" si="7"/>
        <v>38.90805300000001</v>
      </c>
      <c r="E42" s="65">
        <f t="shared" si="8"/>
        <v>2.1091356000000006</v>
      </c>
      <c r="F42" s="65">
        <f t="shared" si="9"/>
        <v>4.2667966799999997</v>
      </c>
      <c r="G42" s="65">
        <f t="shared" si="5"/>
        <v>0.15697800000000001</v>
      </c>
      <c r="H42" s="65">
        <f t="shared" si="5"/>
        <v>0.40698000000000001</v>
      </c>
      <c r="I42" s="65">
        <f t="shared" si="5"/>
        <v>0.124848</v>
      </c>
      <c r="J42" s="65">
        <f t="shared" si="5"/>
        <v>2.2031999999999998E-3</v>
      </c>
      <c r="K42" s="65">
        <f t="shared" si="5"/>
        <v>2.0196000000000003E-3</v>
      </c>
      <c r="L42" s="65">
        <f t="shared" si="5"/>
        <v>0.10251000000000002</v>
      </c>
      <c r="M42" s="65">
        <f t="shared" si="5"/>
        <v>8.6598000000000008E-2</v>
      </c>
      <c r="N42" s="65">
        <f t="shared" si="5"/>
        <v>9.4248000000000012</v>
      </c>
      <c r="O42" s="65">
        <f t="shared" si="5"/>
        <v>960.84000000000015</v>
      </c>
      <c r="P42" s="65">
        <f t="shared" si="5"/>
        <v>0</v>
      </c>
      <c r="Q42" s="65">
        <f t="shared" si="10"/>
        <v>24.174000000000007</v>
      </c>
      <c r="R42" s="65">
        <f t="shared" si="11"/>
        <v>0</v>
      </c>
      <c r="S42" s="65">
        <f t="shared" si="11"/>
        <v>8.6292000000000008E-2</v>
      </c>
      <c r="T42" s="65">
        <f t="shared" si="11"/>
        <v>0</v>
      </c>
      <c r="U42" s="126">
        <f t="shared" si="11"/>
        <v>0</v>
      </c>
    </row>
    <row r="43" spans="1:21" s="48" customFormat="1" ht="13" x14ac:dyDescent="0.35">
      <c r="A43" s="125">
        <f>O8</f>
        <v>15</v>
      </c>
      <c r="B43" s="11">
        <v>100</v>
      </c>
      <c r="C43" s="65">
        <f t="shared" si="6"/>
        <v>29.865600000000004</v>
      </c>
      <c r="D43" s="65">
        <f t="shared" si="7"/>
        <v>38.90805300000001</v>
      </c>
      <c r="E43" s="65">
        <f t="shared" si="8"/>
        <v>2.1091356000000006</v>
      </c>
      <c r="F43" s="65">
        <f t="shared" si="9"/>
        <v>4.2667966799999997</v>
      </c>
      <c r="G43" s="65">
        <f t="shared" si="5"/>
        <v>0.15697800000000001</v>
      </c>
      <c r="H43" s="65">
        <f t="shared" si="5"/>
        <v>0.40698000000000001</v>
      </c>
      <c r="I43" s="65">
        <f t="shared" si="5"/>
        <v>0.124848</v>
      </c>
      <c r="J43" s="65">
        <f t="shared" si="5"/>
        <v>2.2031999999999998E-3</v>
      </c>
      <c r="K43" s="65">
        <f t="shared" si="5"/>
        <v>2.0196000000000003E-3</v>
      </c>
      <c r="L43" s="65">
        <f t="shared" si="5"/>
        <v>0.10251000000000002</v>
      </c>
      <c r="M43" s="65">
        <f t="shared" si="5"/>
        <v>8.6598000000000008E-2</v>
      </c>
      <c r="N43" s="65">
        <f t="shared" si="5"/>
        <v>9.4248000000000012</v>
      </c>
      <c r="O43" s="65">
        <f t="shared" si="5"/>
        <v>960.84000000000015</v>
      </c>
      <c r="P43" s="65">
        <f t="shared" si="5"/>
        <v>0</v>
      </c>
      <c r="Q43" s="65">
        <f t="shared" si="10"/>
        <v>24.174000000000007</v>
      </c>
      <c r="R43" s="65">
        <f t="shared" si="11"/>
        <v>0</v>
      </c>
      <c r="S43" s="65">
        <f t="shared" si="11"/>
        <v>8.6292000000000008E-2</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Arable</v>
      </c>
      <c r="J58" s="10" t="str">
        <f>K16&amp;" I "&amp;(VLOOKUP(K14,Table245811[],6,FALSE))</f>
        <v>Medium/Clay I Arable</v>
      </c>
      <c r="K58" s="10" t="str">
        <f>L16&amp;" I "&amp;(VLOOKUP(L14,Table245811[],6,FALSE))</f>
        <v>Medium/Clay I Arable</v>
      </c>
      <c r="L58" s="10" t="str">
        <f>M16&amp;" I "&amp;(VLOOKUP(M14,Table245811[],6,FALSE))</f>
        <v>Medium/Clay I Arable</v>
      </c>
      <c r="M58" s="10" t="str">
        <f>N16&amp;" I "&amp;(VLOOKUP(N14,Table245811[],6,FALSE))</f>
        <v>Medium/Clay I Arable</v>
      </c>
      <c r="N58" s="10" t="str">
        <f>O16&amp;" I "&amp;(VLOOKUP(O14,Table245811[],6,FALSE))</f>
        <v>Medium/Clay I Arable</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6.7</v>
      </c>
      <c r="D59" s="64">
        <f>VLOOKUP(E$14,Table245811[],5,FALSE)</f>
        <v>6.7</v>
      </c>
      <c r="E59" s="64">
        <f>VLOOKUP(F$14,Table245811[],5,FALSE)</f>
        <v>6.7</v>
      </c>
      <c r="F59" s="64">
        <f>VLOOKUP(G$14,Table245811[],5,FALSE)</f>
        <v>6.7</v>
      </c>
      <c r="G59" s="64">
        <f>VLOOKUP(H$14,Table245811[],5,FALSE)</f>
        <v>6.7</v>
      </c>
      <c r="H59" s="64">
        <f>VLOOKUP(I$14,Table245811[],5,FALSE)</f>
        <v>6.7</v>
      </c>
      <c r="I59" s="64">
        <f>VLOOKUP(J$14,Table245811[],5,FALSE)</f>
        <v>6.7</v>
      </c>
      <c r="J59" s="64">
        <f>VLOOKUP(K$14,Table245811[],5,FALSE)</f>
        <v>6.7</v>
      </c>
      <c r="K59" s="64">
        <f>VLOOKUP(L$14,Table245811[],5,FALSE)</f>
        <v>6.7</v>
      </c>
      <c r="L59" s="64">
        <f>VLOOKUP(M$14,Table245811[],5,FALSE)</f>
        <v>6.7</v>
      </c>
      <c r="M59" s="64">
        <f>VLOOKUP(N$14,Table245811[],5,FALSE)</f>
        <v>6.7</v>
      </c>
      <c r="N59" s="64">
        <f>VLOOKUP(O$14,Table245811[],5,FALSE)</f>
        <v>6.7</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6.3</v>
      </c>
      <c r="J1" s="158" t="s">
        <v>153</v>
      </c>
      <c r="K1" s="159"/>
      <c r="L1" s="109">
        <v>316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1.69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1.8698224852071006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26.66724</v>
      </c>
      <c r="D18" s="12">
        <f>$D32</f>
        <v>26.66724</v>
      </c>
      <c r="E18" s="12">
        <f>$D33</f>
        <v>26.66724</v>
      </c>
      <c r="F18" s="12">
        <f>$D34</f>
        <v>26.66724</v>
      </c>
      <c r="G18" s="12">
        <f>$D35</f>
        <v>26.66724</v>
      </c>
      <c r="H18" s="12">
        <f>$D36</f>
        <v>26.66724</v>
      </c>
      <c r="I18" s="12">
        <f>$D37</f>
        <v>26.66724</v>
      </c>
      <c r="J18" s="12">
        <f>$D38</f>
        <v>26.66724</v>
      </c>
      <c r="K18" s="12">
        <f>$D39</f>
        <v>26.66724</v>
      </c>
      <c r="L18" s="12">
        <f>$D40</f>
        <v>26.66724</v>
      </c>
      <c r="M18" s="12">
        <f>$D41</f>
        <v>26.66724</v>
      </c>
      <c r="N18" s="12">
        <f>$D42</f>
        <v>26.66724</v>
      </c>
      <c r="O18" s="12">
        <f>$D43</f>
        <v>26.66724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-36.332759999999993</v>
      </c>
      <c r="D19" s="12">
        <f t="shared" ref="D19:V19" si="1">D18-D17</f>
        <v>-36.332759999999993</v>
      </c>
      <c r="E19" s="12">
        <f t="shared" si="1"/>
        <v>-36.332759999999993</v>
      </c>
      <c r="F19" s="12">
        <f t="shared" si="1"/>
        <v>-36.332759999999993</v>
      </c>
      <c r="G19" s="12">
        <f t="shared" si="1"/>
        <v>-36.332759999999993</v>
      </c>
      <c r="H19" s="12">
        <f t="shared" si="1"/>
        <v>-36.332759999999993</v>
      </c>
      <c r="I19" s="12">
        <f t="shared" si="1"/>
        <v>-36.332759999999993</v>
      </c>
      <c r="J19" s="12">
        <f t="shared" si="1"/>
        <v>-36.332759999999993</v>
      </c>
      <c r="K19" s="12">
        <f t="shared" si="1"/>
        <v>-36.332759999999993</v>
      </c>
      <c r="L19" s="12">
        <f t="shared" si="1"/>
        <v>-36.332759999999993</v>
      </c>
      <c r="M19" s="12">
        <f t="shared" si="1"/>
        <v>-36.332759999999993</v>
      </c>
      <c r="N19" s="12">
        <f t="shared" si="1"/>
        <v>-36.332759999999993</v>
      </c>
      <c r="O19" s="12">
        <f t="shared" si="1"/>
        <v>-36.332759999999993</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2.0875661000000001</v>
      </c>
      <c r="D22" s="12">
        <f>$E32</f>
        <v>2.0875661000000001</v>
      </c>
      <c r="E22" s="12">
        <f>$E33</f>
        <v>2.0875661000000001</v>
      </c>
      <c r="F22" s="12">
        <f>$E34</f>
        <v>2.0875661000000001</v>
      </c>
      <c r="G22" s="12">
        <f>$E35</f>
        <v>2.0875661000000001</v>
      </c>
      <c r="H22" s="12">
        <f>$E36</f>
        <v>2.0875661000000001</v>
      </c>
      <c r="I22" s="12">
        <f>$E37</f>
        <v>2.0875661000000001</v>
      </c>
      <c r="J22" s="12">
        <f>$E38</f>
        <v>2.0875661000000001</v>
      </c>
      <c r="K22" s="12">
        <f>$E39</f>
        <v>2.0875661000000001</v>
      </c>
      <c r="L22" s="12">
        <f>$E40</f>
        <v>2.0875661000000001</v>
      </c>
      <c r="M22" s="12">
        <f>$E41</f>
        <v>2.0875661000000001</v>
      </c>
      <c r="N22" s="12">
        <f>$E42</f>
        <v>2.0875661000000001</v>
      </c>
      <c r="O22" s="12">
        <f>$E43</f>
        <v>2.0875661000000001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-195.91243390000002</v>
      </c>
      <c r="D23" s="12">
        <f t="shared" ref="D23:V23" si="3">D22-D21</f>
        <v>-195.91243390000002</v>
      </c>
      <c r="E23" s="12">
        <f t="shared" si="3"/>
        <v>-195.91243390000002</v>
      </c>
      <c r="F23" s="12">
        <f t="shared" si="3"/>
        <v>-195.91243390000002</v>
      </c>
      <c r="G23" s="12">
        <f t="shared" si="3"/>
        <v>-195.91243390000002</v>
      </c>
      <c r="H23" s="12">
        <f t="shared" si="3"/>
        <v>-195.91243390000002</v>
      </c>
      <c r="I23" s="12">
        <f t="shared" si="3"/>
        <v>-195.91243390000002</v>
      </c>
      <c r="J23" s="12">
        <f t="shared" si="3"/>
        <v>-195.91243390000002</v>
      </c>
      <c r="K23" s="12">
        <f t="shared" si="3"/>
        <v>-195.91243390000002</v>
      </c>
      <c r="L23" s="12">
        <f t="shared" si="3"/>
        <v>-195.91243390000002</v>
      </c>
      <c r="M23" s="12">
        <f t="shared" si="3"/>
        <v>-195.91243390000002</v>
      </c>
      <c r="N23" s="12">
        <f t="shared" si="3"/>
        <v>-195.91243390000002</v>
      </c>
      <c r="O23" s="12">
        <f t="shared" si="3"/>
        <v>-195.91243390000002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1.94</v>
      </c>
      <c r="C28" s="11">
        <v>1.69</v>
      </c>
      <c r="D28" s="11">
        <v>0.6</v>
      </c>
      <c r="E28" s="11">
        <v>8.9300000000000004E-2</v>
      </c>
      <c r="F28" s="11">
        <v>390</v>
      </c>
      <c r="G28" s="11">
        <v>80.099999999999994</v>
      </c>
      <c r="H28" s="11">
        <v>126</v>
      </c>
      <c r="I28" s="11">
        <v>63.7</v>
      </c>
      <c r="J28" s="11">
        <v>1.1299999999999999</v>
      </c>
      <c r="K28" s="15">
        <v>1.03</v>
      </c>
      <c r="L28" s="11">
        <v>52.4</v>
      </c>
      <c r="M28" s="11">
        <v>44.2</v>
      </c>
      <c r="N28" s="11">
        <v>138000</v>
      </c>
      <c r="O28" s="11">
        <v>24500</v>
      </c>
      <c r="P28" s="11"/>
      <c r="Q28" s="11">
        <v>8000</v>
      </c>
      <c r="R28" s="11"/>
      <c r="S28" s="11">
        <v>39.4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32.786000000000001</v>
      </c>
      <c r="D31" s="65">
        <f>(IF(D$27="%w/w SAR",((D$28*10)*$B31),IF(D$27="%w/w DM",(((D$28*10)*($B$28/100))*$B31),IF(D$27="kg/t SAR",(D$28*$B31),IF(D$27="kg/t DM",((D$28*($B$28/100))*$B31),IF(D$27="mg/kg SAR",((D$28*0.001)*$B31),IF(D$27="mg/kg DM",(((D$28*0.001)*($B$28/100))*$B31),"0")))))))*2.291</f>
        <v>26.66724</v>
      </c>
      <c r="E31" s="65">
        <f>(IF(E$27="%w/w SAR",((E$28*10)*$B31),IF(E$27="%w/w DM",(((E$28*10)*($B$28/100))*$B31),IF(E$27="kg/t SAR",(E$28*$B31),IF(E$27="kg/t DM",((E$28*($B$28/100))*$B31),IF(E$27="mg/kg SAR",((E$28*0.001)*$B31),IF(E$27="mg/kg DM",(((E$28*0.001)*($B$28/100))*$B31),"0")))))))*1.205</f>
        <v>2.0875661000000001</v>
      </c>
      <c r="F31" s="65">
        <f>(IF(F$27="%w/w SAR",((F$28*10)*$B31),IF(F$27="%w/w DM",(((F$28*10)*($B$28/100))*$B31),IF(F$27="kg/t SAR",(F$28*$B31),IF(F$27="kg/t DM",((F$28*($B$28/100))*$B31),IF(F$27="mg/kg SAR",((F$28*0.001)*$B31),IF(F$27="mg/kg DM",(((F$28*0.001)*($B$28/100))*$B31),"0")))))))*1.658</f>
        <v>1.2544428000000001</v>
      </c>
      <c r="G31" s="65">
        <f t="shared" ref="G31:P46" si="5">IF(G$27="%w/w SAR",((G$28*10)*$B31),IF(G$27="%w/w DM",(((G$28*10)*($B$28/100))*$B31),IF(G$27="kg/t SAR",(G$28*$B31),IF(G$27="kg/t DM",((G$28*($B$28/100))*$B31),IF(G$27="mg/kg SAR",((G$28*0.001)*$B31),IF(G$27="mg/kg DM",(((G$28*0.001)*($B$28/100))*$B31),0))))))</f>
        <v>0.155394</v>
      </c>
      <c r="H31" s="65">
        <f t="shared" si="5"/>
        <v>0.24444000000000002</v>
      </c>
      <c r="I31" s="65">
        <f t="shared" si="5"/>
        <v>0.12357800000000001</v>
      </c>
      <c r="J31" s="65">
        <f t="shared" si="5"/>
        <v>2.1921999999999996E-3</v>
      </c>
      <c r="K31" s="65">
        <f t="shared" si="5"/>
        <v>1.9982000000000003E-3</v>
      </c>
      <c r="L31" s="65">
        <f t="shared" si="5"/>
        <v>0.10165600000000001</v>
      </c>
      <c r="M31" s="65">
        <f t="shared" si="5"/>
        <v>8.5748000000000005E-2</v>
      </c>
      <c r="N31" s="65">
        <f t="shared" si="5"/>
        <v>267.72000000000003</v>
      </c>
      <c r="O31" s="65">
        <f t="shared" si="5"/>
        <v>47.53</v>
      </c>
      <c r="P31" s="65">
        <f t="shared" si="5"/>
        <v>0</v>
      </c>
      <c r="Q31" s="65">
        <f>(IF(Q$27="%w/w SAR",((Q$28*10)*$B31),IF(Q$27="%w/w DM",(((Q$28*10)*($B$28/100))*$B31),IF(Q$27="kg/t SAR",(Q$28*$B31),IF(Q$27="kg/t DM",((Q$28*($B$28/100))*$B31),IF(Q$27="mg/kg SAR",((Q$28*0.001)*$B31),IF(Q$27="mg/kg DM",(((Q$28*0.001)*($B$28/100))*$B31),0)))))))*2.5</f>
        <v>38.799999999999997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7.643599999999999E-2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32.786000000000001</v>
      </c>
      <c r="D32" s="65">
        <f t="shared" ref="D32:D50" si="7">(IF(D$27="%w/w SAR",((D$28*10)*$B32),IF(D$27="%w/w DM",(((D$28*10)*($B$28/100))*$B32),IF(D$27="kg/t SAR",(D$28*$B32),IF(D$27="kg/t DM",((D$28*($B$28/100))*$B32),IF(D$27="mg/kg SAR",((D$28*0.001)*$B32),IF(D$27="mg/kg DM",(((D$28*0.001)*($B$28/100))*$B32),"0")))))))*2.291</f>
        <v>26.66724</v>
      </c>
      <c r="E32" s="65">
        <f t="shared" ref="E32:E50" si="8">(IF(E$27="%w/w SAR",((E$28*10)*$B32),IF(E$27="%w/w DM",(((E$28*10)*($B$28/100))*$B32),IF(E$27="kg/t SAR",(E$28*$B32),IF(E$27="kg/t DM",((E$28*($B$28/100))*$B32),IF(E$27="mg/kg SAR",((E$28*0.001)*$B32),IF(E$27="mg/kg DM",(((E$28*0.001)*($B$28/100))*$B32),"0")))))))*1.205</f>
        <v>2.0875661000000001</v>
      </c>
      <c r="F32" s="65">
        <f t="shared" ref="F32:F50" si="9">(IF(F$27="%w/w SAR",((F$28*10)*$B32),IF(F$27="%w/w DM",(((F$28*10)*($B$28/100))*$B32),IF(F$27="kg/t SAR",(F$28*$B32),IF(F$27="kg/t DM",((F$28*($B$28/100))*$B32),IF(F$27="mg/kg SAR",((F$28*0.001)*$B32),IF(F$27="mg/kg DM",(((F$28*0.001)*($B$28/100))*$B32),"0")))))))*1.658</f>
        <v>1.2544428000000001</v>
      </c>
      <c r="G32" s="65">
        <f t="shared" si="5"/>
        <v>0.155394</v>
      </c>
      <c r="H32" s="65">
        <f t="shared" si="5"/>
        <v>0.24444000000000002</v>
      </c>
      <c r="I32" s="65">
        <f t="shared" si="5"/>
        <v>0.12357800000000001</v>
      </c>
      <c r="J32" s="65">
        <f t="shared" si="5"/>
        <v>2.1921999999999996E-3</v>
      </c>
      <c r="K32" s="65">
        <f t="shared" si="5"/>
        <v>1.9982000000000003E-3</v>
      </c>
      <c r="L32" s="65">
        <f t="shared" si="5"/>
        <v>0.10165600000000001</v>
      </c>
      <c r="M32" s="65">
        <f t="shared" si="5"/>
        <v>8.5748000000000005E-2</v>
      </c>
      <c r="N32" s="65">
        <f t="shared" si="5"/>
        <v>267.72000000000003</v>
      </c>
      <c r="O32" s="65">
        <f t="shared" si="5"/>
        <v>47.53</v>
      </c>
      <c r="P32" s="65">
        <f t="shared" si="5"/>
        <v>0</v>
      </c>
      <c r="Q32" s="65">
        <f t="shared" ref="Q32:Q50" si="10">(IF(Q$27="%w/w SAR",((Q$28*10)*$B32),IF(Q$27="%w/w DM",(((Q$28*10)*($B$28/100))*$B32),IF(Q$27="kg/t SAR",(Q$28*$B32),IF(Q$27="kg/t DM",((Q$28*($B$28/100))*$B32),IF(Q$27="mg/kg SAR",((Q$28*0.001)*$B32),IF(Q$27="mg/kg DM",(((Q$28*0.001)*($B$28/100))*$B32),0)))))))*2.5</f>
        <v>38.799999999999997</v>
      </c>
      <c r="R32" s="65">
        <f t="shared" ref="R32:U50" si="11">IF(R$27="%w/w SAR",((R$28*10)*$B32),IF(R$27="%w/w DM",(((R$28*10)*($B$28/100))*$B32),IF(R$27="kg/t SAR",(R$28*$B32),IF(R$27="kg/t DM",((R$28*($B$28/100))*$B32),IF(R$27="mg/kg SAR",((R$28*0.001)*$B32),IF(R$27="mg/kg DM",(((R$28*0.001)*($B$28/100))*$B32),0))))))</f>
        <v>0</v>
      </c>
      <c r="S32" s="65">
        <f t="shared" si="11"/>
        <v>7.643599999999999E-2</v>
      </c>
      <c r="T32" s="65">
        <f t="shared" si="11"/>
        <v>0</v>
      </c>
      <c r="U32" s="126">
        <f t="shared" si="11"/>
        <v>0</v>
      </c>
    </row>
    <row r="33" spans="1:21" s="48" customFormat="1" ht="13" x14ac:dyDescent="0.35">
      <c r="A33" s="125">
        <f>E8</f>
        <v>3</v>
      </c>
      <c r="B33" s="11">
        <v>100</v>
      </c>
      <c r="C33" s="65">
        <f t="shared" si="6"/>
        <v>32.786000000000001</v>
      </c>
      <c r="D33" s="65">
        <f t="shared" si="7"/>
        <v>26.66724</v>
      </c>
      <c r="E33" s="65">
        <f t="shared" si="8"/>
        <v>2.0875661000000001</v>
      </c>
      <c r="F33" s="65">
        <f t="shared" si="9"/>
        <v>1.2544428000000001</v>
      </c>
      <c r="G33" s="65">
        <f t="shared" si="5"/>
        <v>0.155394</v>
      </c>
      <c r="H33" s="65">
        <f t="shared" si="5"/>
        <v>0.24444000000000002</v>
      </c>
      <c r="I33" s="65">
        <f t="shared" si="5"/>
        <v>0.12357800000000001</v>
      </c>
      <c r="J33" s="65">
        <f t="shared" si="5"/>
        <v>2.1921999999999996E-3</v>
      </c>
      <c r="K33" s="65">
        <f t="shared" si="5"/>
        <v>1.9982000000000003E-3</v>
      </c>
      <c r="L33" s="65">
        <f t="shared" si="5"/>
        <v>0.10165600000000001</v>
      </c>
      <c r="M33" s="65">
        <f t="shared" si="5"/>
        <v>8.5748000000000005E-2</v>
      </c>
      <c r="N33" s="65">
        <f t="shared" si="5"/>
        <v>267.72000000000003</v>
      </c>
      <c r="O33" s="65">
        <f t="shared" si="5"/>
        <v>47.53</v>
      </c>
      <c r="P33" s="65">
        <f t="shared" si="5"/>
        <v>0</v>
      </c>
      <c r="Q33" s="65">
        <f t="shared" si="10"/>
        <v>38.799999999999997</v>
      </c>
      <c r="R33" s="65">
        <f t="shared" si="11"/>
        <v>0</v>
      </c>
      <c r="S33" s="65">
        <f t="shared" si="11"/>
        <v>7.643599999999999E-2</v>
      </c>
      <c r="T33" s="65">
        <f t="shared" si="11"/>
        <v>0</v>
      </c>
      <c r="U33" s="126">
        <f t="shared" si="11"/>
        <v>0</v>
      </c>
    </row>
    <row r="34" spans="1:21" s="48" customFormat="1" ht="13" x14ac:dyDescent="0.35">
      <c r="A34" s="125">
        <f>F8</f>
        <v>4</v>
      </c>
      <c r="B34" s="11">
        <v>100</v>
      </c>
      <c r="C34" s="65">
        <f t="shared" si="6"/>
        <v>32.786000000000001</v>
      </c>
      <c r="D34" s="65">
        <f t="shared" si="7"/>
        <v>26.66724</v>
      </c>
      <c r="E34" s="65">
        <f t="shared" si="8"/>
        <v>2.0875661000000001</v>
      </c>
      <c r="F34" s="65">
        <f t="shared" si="9"/>
        <v>1.2544428000000001</v>
      </c>
      <c r="G34" s="65">
        <f t="shared" si="5"/>
        <v>0.155394</v>
      </c>
      <c r="H34" s="65">
        <f t="shared" si="5"/>
        <v>0.24444000000000002</v>
      </c>
      <c r="I34" s="65">
        <f t="shared" si="5"/>
        <v>0.12357800000000001</v>
      </c>
      <c r="J34" s="65">
        <f t="shared" si="5"/>
        <v>2.1921999999999996E-3</v>
      </c>
      <c r="K34" s="65">
        <f t="shared" si="5"/>
        <v>1.9982000000000003E-3</v>
      </c>
      <c r="L34" s="65">
        <f t="shared" si="5"/>
        <v>0.10165600000000001</v>
      </c>
      <c r="M34" s="65">
        <f t="shared" si="5"/>
        <v>8.5748000000000005E-2</v>
      </c>
      <c r="N34" s="65">
        <f t="shared" si="5"/>
        <v>267.72000000000003</v>
      </c>
      <c r="O34" s="65">
        <f t="shared" si="5"/>
        <v>47.53</v>
      </c>
      <c r="P34" s="65">
        <f t="shared" si="5"/>
        <v>0</v>
      </c>
      <c r="Q34" s="65">
        <f t="shared" si="10"/>
        <v>38.799999999999997</v>
      </c>
      <c r="R34" s="65">
        <f t="shared" si="11"/>
        <v>0</v>
      </c>
      <c r="S34" s="65">
        <f t="shared" si="11"/>
        <v>7.643599999999999E-2</v>
      </c>
      <c r="T34" s="65">
        <f t="shared" si="11"/>
        <v>0</v>
      </c>
      <c r="U34" s="126">
        <f t="shared" si="11"/>
        <v>0</v>
      </c>
    </row>
    <row r="35" spans="1:21" s="48" customFormat="1" ht="13" x14ac:dyDescent="0.35">
      <c r="A35" s="125">
        <f>G8</f>
        <v>5</v>
      </c>
      <c r="B35" s="11">
        <v>100</v>
      </c>
      <c r="C35" s="65">
        <f t="shared" si="6"/>
        <v>32.786000000000001</v>
      </c>
      <c r="D35" s="65">
        <f t="shared" si="7"/>
        <v>26.66724</v>
      </c>
      <c r="E35" s="65">
        <f t="shared" si="8"/>
        <v>2.0875661000000001</v>
      </c>
      <c r="F35" s="65">
        <f t="shared" si="9"/>
        <v>1.2544428000000001</v>
      </c>
      <c r="G35" s="65">
        <f t="shared" si="5"/>
        <v>0.155394</v>
      </c>
      <c r="H35" s="65">
        <f t="shared" si="5"/>
        <v>0.24444000000000002</v>
      </c>
      <c r="I35" s="65">
        <f t="shared" si="5"/>
        <v>0.12357800000000001</v>
      </c>
      <c r="J35" s="65">
        <f t="shared" si="5"/>
        <v>2.1921999999999996E-3</v>
      </c>
      <c r="K35" s="65">
        <f t="shared" si="5"/>
        <v>1.9982000000000003E-3</v>
      </c>
      <c r="L35" s="65">
        <f t="shared" si="5"/>
        <v>0.10165600000000001</v>
      </c>
      <c r="M35" s="65">
        <f t="shared" si="5"/>
        <v>8.5748000000000005E-2</v>
      </c>
      <c r="N35" s="65">
        <f t="shared" si="5"/>
        <v>267.72000000000003</v>
      </c>
      <c r="O35" s="65">
        <f t="shared" si="5"/>
        <v>47.53</v>
      </c>
      <c r="P35" s="65">
        <f t="shared" si="5"/>
        <v>0</v>
      </c>
      <c r="Q35" s="65">
        <f t="shared" si="10"/>
        <v>38.799999999999997</v>
      </c>
      <c r="R35" s="65">
        <f t="shared" si="11"/>
        <v>0</v>
      </c>
      <c r="S35" s="65">
        <f t="shared" si="11"/>
        <v>7.643599999999999E-2</v>
      </c>
      <c r="T35" s="65">
        <f t="shared" si="11"/>
        <v>0</v>
      </c>
      <c r="U35" s="126">
        <f t="shared" si="11"/>
        <v>0</v>
      </c>
    </row>
    <row r="36" spans="1:21" s="48" customFormat="1" ht="13" x14ac:dyDescent="0.35">
      <c r="A36" s="125">
        <f>H8</f>
        <v>6</v>
      </c>
      <c r="B36" s="11">
        <v>100</v>
      </c>
      <c r="C36" s="65">
        <f t="shared" si="6"/>
        <v>32.786000000000001</v>
      </c>
      <c r="D36" s="65">
        <f t="shared" si="7"/>
        <v>26.66724</v>
      </c>
      <c r="E36" s="65">
        <f t="shared" si="8"/>
        <v>2.0875661000000001</v>
      </c>
      <c r="F36" s="65">
        <f t="shared" si="9"/>
        <v>1.2544428000000001</v>
      </c>
      <c r="G36" s="65">
        <f t="shared" si="5"/>
        <v>0.155394</v>
      </c>
      <c r="H36" s="65">
        <f t="shared" si="5"/>
        <v>0.24444000000000002</v>
      </c>
      <c r="I36" s="65">
        <f t="shared" si="5"/>
        <v>0.12357800000000001</v>
      </c>
      <c r="J36" s="65">
        <f t="shared" si="5"/>
        <v>2.1921999999999996E-3</v>
      </c>
      <c r="K36" s="65">
        <f t="shared" si="5"/>
        <v>1.9982000000000003E-3</v>
      </c>
      <c r="L36" s="65">
        <f t="shared" si="5"/>
        <v>0.10165600000000001</v>
      </c>
      <c r="M36" s="65">
        <f t="shared" si="5"/>
        <v>8.5748000000000005E-2</v>
      </c>
      <c r="N36" s="65">
        <f t="shared" si="5"/>
        <v>267.72000000000003</v>
      </c>
      <c r="O36" s="65">
        <f t="shared" si="5"/>
        <v>47.53</v>
      </c>
      <c r="P36" s="65">
        <f t="shared" si="5"/>
        <v>0</v>
      </c>
      <c r="Q36" s="65">
        <f t="shared" si="10"/>
        <v>38.799999999999997</v>
      </c>
      <c r="R36" s="65">
        <f t="shared" si="11"/>
        <v>0</v>
      </c>
      <c r="S36" s="65">
        <f t="shared" si="11"/>
        <v>7.643599999999999E-2</v>
      </c>
      <c r="T36" s="65">
        <f t="shared" si="11"/>
        <v>0</v>
      </c>
      <c r="U36" s="126">
        <f t="shared" si="11"/>
        <v>0</v>
      </c>
    </row>
    <row r="37" spans="1:21" s="48" customFormat="1" ht="13" x14ac:dyDescent="0.35">
      <c r="A37" s="125">
        <f>I8</f>
        <v>7</v>
      </c>
      <c r="B37" s="11">
        <v>100</v>
      </c>
      <c r="C37" s="65">
        <f t="shared" si="6"/>
        <v>32.786000000000001</v>
      </c>
      <c r="D37" s="65">
        <f t="shared" si="7"/>
        <v>26.66724</v>
      </c>
      <c r="E37" s="65">
        <f t="shared" si="8"/>
        <v>2.0875661000000001</v>
      </c>
      <c r="F37" s="65">
        <f t="shared" si="9"/>
        <v>1.2544428000000001</v>
      </c>
      <c r="G37" s="65">
        <f t="shared" si="5"/>
        <v>0.155394</v>
      </c>
      <c r="H37" s="65">
        <f t="shared" si="5"/>
        <v>0.24444000000000002</v>
      </c>
      <c r="I37" s="65">
        <f t="shared" si="5"/>
        <v>0.12357800000000001</v>
      </c>
      <c r="J37" s="65">
        <f t="shared" si="5"/>
        <v>2.1921999999999996E-3</v>
      </c>
      <c r="K37" s="65">
        <f t="shared" si="5"/>
        <v>1.9982000000000003E-3</v>
      </c>
      <c r="L37" s="65">
        <f t="shared" si="5"/>
        <v>0.10165600000000001</v>
      </c>
      <c r="M37" s="65">
        <f t="shared" si="5"/>
        <v>8.5748000000000005E-2</v>
      </c>
      <c r="N37" s="65">
        <f t="shared" si="5"/>
        <v>267.72000000000003</v>
      </c>
      <c r="O37" s="65">
        <f t="shared" si="5"/>
        <v>47.53</v>
      </c>
      <c r="P37" s="65">
        <f t="shared" si="5"/>
        <v>0</v>
      </c>
      <c r="Q37" s="65">
        <f t="shared" si="10"/>
        <v>38.799999999999997</v>
      </c>
      <c r="R37" s="65">
        <f t="shared" si="11"/>
        <v>0</v>
      </c>
      <c r="S37" s="65">
        <f t="shared" si="11"/>
        <v>7.643599999999999E-2</v>
      </c>
      <c r="T37" s="65">
        <f t="shared" si="11"/>
        <v>0</v>
      </c>
      <c r="U37" s="126">
        <f t="shared" si="11"/>
        <v>0</v>
      </c>
    </row>
    <row r="38" spans="1:21" s="48" customFormat="1" ht="13" x14ac:dyDescent="0.35">
      <c r="A38" s="125">
        <f>J8</f>
        <v>8</v>
      </c>
      <c r="B38" s="11">
        <v>100</v>
      </c>
      <c r="C38" s="65">
        <f t="shared" si="6"/>
        <v>32.786000000000001</v>
      </c>
      <c r="D38" s="65">
        <f t="shared" si="7"/>
        <v>26.66724</v>
      </c>
      <c r="E38" s="65">
        <f t="shared" si="8"/>
        <v>2.0875661000000001</v>
      </c>
      <c r="F38" s="65">
        <f t="shared" si="9"/>
        <v>1.2544428000000001</v>
      </c>
      <c r="G38" s="65">
        <f t="shared" si="5"/>
        <v>0.155394</v>
      </c>
      <c r="H38" s="65">
        <f t="shared" si="5"/>
        <v>0.24444000000000002</v>
      </c>
      <c r="I38" s="65">
        <f t="shared" si="5"/>
        <v>0.12357800000000001</v>
      </c>
      <c r="J38" s="65">
        <f t="shared" si="5"/>
        <v>2.1921999999999996E-3</v>
      </c>
      <c r="K38" s="65">
        <f t="shared" si="5"/>
        <v>1.9982000000000003E-3</v>
      </c>
      <c r="L38" s="65">
        <f t="shared" si="5"/>
        <v>0.10165600000000001</v>
      </c>
      <c r="M38" s="65">
        <f t="shared" si="5"/>
        <v>8.5748000000000005E-2</v>
      </c>
      <c r="N38" s="65">
        <f t="shared" si="5"/>
        <v>267.72000000000003</v>
      </c>
      <c r="O38" s="65">
        <f t="shared" si="5"/>
        <v>47.53</v>
      </c>
      <c r="P38" s="65">
        <f t="shared" si="5"/>
        <v>0</v>
      </c>
      <c r="Q38" s="65">
        <f t="shared" si="10"/>
        <v>38.799999999999997</v>
      </c>
      <c r="R38" s="65">
        <f t="shared" si="11"/>
        <v>0</v>
      </c>
      <c r="S38" s="65">
        <f t="shared" si="11"/>
        <v>7.643599999999999E-2</v>
      </c>
      <c r="T38" s="65">
        <f t="shared" si="11"/>
        <v>0</v>
      </c>
      <c r="U38" s="126">
        <f t="shared" si="11"/>
        <v>0</v>
      </c>
    </row>
    <row r="39" spans="1:21" s="48" customFormat="1" ht="13" x14ac:dyDescent="0.35">
      <c r="A39" s="125">
        <f>K8</f>
        <v>9</v>
      </c>
      <c r="B39" s="11">
        <v>100</v>
      </c>
      <c r="C39" s="65">
        <f t="shared" si="6"/>
        <v>32.786000000000001</v>
      </c>
      <c r="D39" s="65">
        <f t="shared" si="7"/>
        <v>26.66724</v>
      </c>
      <c r="E39" s="65">
        <f t="shared" si="8"/>
        <v>2.0875661000000001</v>
      </c>
      <c r="F39" s="65">
        <f t="shared" si="9"/>
        <v>1.2544428000000001</v>
      </c>
      <c r="G39" s="65">
        <f t="shared" si="5"/>
        <v>0.155394</v>
      </c>
      <c r="H39" s="65">
        <f t="shared" si="5"/>
        <v>0.24444000000000002</v>
      </c>
      <c r="I39" s="65">
        <f t="shared" si="5"/>
        <v>0.12357800000000001</v>
      </c>
      <c r="J39" s="65">
        <f t="shared" si="5"/>
        <v>2.1921999999999996E-3</v>
      </c>
      <c r="K39" s="65">
        <f t="shared" si="5"/>
        <v>1.9982000000000003E-3</v>
      </c>
      <c r="L39" s="65">
        <f t="shared" si="5"/>
        <v>0.10165600000000001</v>
      </c>
      <c r="M39" s="65">
        <f t="shared" si="5"/>
        <v>8.5748000000000005E-2</v>
      </c>
      <c r="N39" s="65">
        <f t="shared" si="5"/>
        <v>267.72000000000003</v>
      </c>
      <c r="O39" s="65">
        <f t="shared" si="5"/>
        <v>47.53</v>
      </c>
      <c r="P39" s="65">
        <f t="shared" si="5"/>
        <v>0</v>
      </c>
      <c r="Q39" s="65">
        <f t="shared" si="10"/>
        <v>38.799999999999997</v>
      </c>
      <c r="R39" s="65">
        <f t="shared" si="11"/>
        <v>0</v>
      </c>
      <c r="S39" s="65">
        <f t="shared" si="11"/>
        <v>7.643599999999999E-2</v>
      </c>
      <c r="T39" s="65">
        <f t="shared" si="11"/>
        <v>0</v>
      </c>
      <c r="U39" s="126">
        <f t="shared" si="11"/>
        <v>0</v>
      </c>
    </row>
    <row r="40" spans="1:21" s="48" customFormat="1" ht="13" x14ac:dyDescent="0.35">
      <c r="A40" s="125">
        <f>L8</f>
        <v>10</v>
      </c>
      <c r="B40" s="11">
        <v>100</v>
      </c>
      <c r="C40" s="65">
        <f t="shared" si="6"/>
        <v>32.786000000000001</v>
      </c>
      <c r="D40" s="65">
        <f t="shared" si="7"/>
        <v>26.66724</v>
      </c>
      <c r="E40" s="65">
        <f t="shared" si="8"/>
        <v>2.0875661000000001</v>
      </c>
      <c r="F40" s="65">
        <f t="shared" si="9"/>
        <v>1.2544428000000001</v>
      </c>
      <c r="G40" s="65">
        <f t="shared" si="5"/>
        <v>0.155394</v>
      </c>
      <c r="H40" s="65">
        <f t="shared" si="5"/>
        <v>0.24444000000000002</v>
      </c>
      <c r="I40" s="65">
        <f t="shared" si="5"/>
        <v>0.12357800000000001</v>
      </c>
      <c r="J40" s="65">
        <f t="shared" si="5"/>
        <v>2.1921999999999996E-3</v>
      </c>
      <c r="K40" s="65">
        <f t="shared" si="5"/>
        <v>1.9982000000000003E-3</v>
      </c>
      <c r="L40" s="65">
        <f t="shared" si="5"/>
        <v>0.10165600000000001</v>
      </c>
      <c r="M40" s="65">
        <f t="shared" si="5"/>
        <v>8.5748000000000005E-2</v>
      </c>
      <c r="N40" s="65">
        <f t="shared" si="5"/>
        <v>267.72000000000003</v>
      </c>
      <c r="O40" s="65">
        <f t="shared" si="5"/>
        <v>47.53</v>
      </c>
      <c r="P40" s="65">
        <f t="shared" si="5"/>
        <v>0</v>
      </c>
      <c r="Q40" s="65">
        <f t="shared" si="10"/>
        <v>38.799999999999997</v>
      </c>
      <c r="R40" s="65">
        <f t="shared" si="11"/>
        <v>0</v>
      </c>
      <c r="S40" s="65">
        <f t="shared" si="11"/>
        <v>7.643599999999999E-2</v>
      </c>
      <c r="T40" s="65">
        <f t="shared" si="11"/>
        <v>0</v>
      </c>
      <c r="U40" s="126">
        <f t="shared" si="11"/>
        <v>0</v>
      </c>
    </row>
    <row r="41" spans="1:21" s="48" customFormat="1" ht="13" x14ac:dyDescent="0.35">
      <c r="A41" s="125">
        <f>M8</f>
        <v>11</v>
      </c>
      <c r="B41" s="11">
        <v>100</v>
      </c>
      <c r="C41" s="65">
        <f t="shared" si="6"/>
        <v>32.786000000000001</v>
      </c>
      <c r="D41" s="65">
        <f t="shared" si="7"/>
        <v>26.66724</v>
      </c>
      <c r="E41" s="65">
        <f t="shared" si="8"/>
        <v>2.0875661000000001</v>
      </c>
      <c r="F41" s="65">
        <f t="shared" si="9"/>
        <v>1.2544428000000001</v>
      </c>
      <c r="G41" s="65">
        <f t="shared" si="5"/>
        <v>0.155394</v>
      </c>
      <c r="H41" s="65">
        <f t="shared" si="5"/>
        <v>0.24444000000000002</v>
      </c>
      <c r="I41" s="65">
        <f t="shared" si="5"/>
        <v>0.12357800000000001</v>
      </c>
      <c r="J41" s="65">
        <f t="shared" si="5"/>
        <v>2.1921999999999996E-3</v>
      </c>
      <c r="K41" s="65">
        <f t="shared" si="5"/>
        <v>1.9982000000000003E-3</v>
      </c>
      <c r="L41" s="65">
        <f t="shared" si="5"/>
        <v>0.10165600000000001</v>
      </c>
      <c r="M41" s="65">
        <f t="shared" si="5"/>
        <v>8.5748000000000005E-2</v>
      </c>
      <c r="N41" s="65">
        <f t="shared" si="5"/>
        <v>267.72000000000003</v>
      </c>
      <c r="O41" s="65">
        <f t="shared" si="5"/>
        <v>47.53</v>
      </c>
      <c r="P41" s="65">
        <f t="shared" si="5"/>
        <v>0</v>
      </c>
      <c r="Q41" s="65">
        <f t="shared" si="10"/>
        <v>38.799999999999997</v>
      </c>
      <c r="R41" s="65">
        <f t="shared" si="11"/>
        <v>0</v>
      </c>
      <c r="S41" s="65">
        <f t="shared" si="11"/>
        <v>7.643599999999999E-2</v>
      </c>
      <c r="T41" s="65">
        <f t="shared" si="11"/>
        <v>0</v>
      </c>
      <c r="U41" s="126">
        <f t="shared" si="11"/>
        <v>0</v>
      </c>
    </row>
    <row r="42" spans="1:21" s="48" customFormat="1" ht="13" x14ac:dyDescent="0.35">
      <c r="A42" s="125">
        <f>N8</f>
        <v>14</v>
      </c>
      <c r="B42" s="11">
        <v>100</v>
      </c>
      <c r="C42" s="65">
        <f t="shared" si="6"/>
        <v>32.786000000000001</v>
      </c>
      <c r="D42" s="65">
        <f t="shared" si="7"/>
        <v>26.66724</v>
      </c>
      <c r="E42" s="65">
        <f t="shared" si="8"/>
        <v>2.0875661000000001</v>
      </c>
      <c r="F42" s="65">
        <f t="shared" si="9"/>
        <v>1.2544428000000001</v>
      </c>
      <c r="G42" s="65">
        <f t="shared" si="5"/>
        <v>0.155394</v>
      </c>
      <c r="H42" s="65">
        <f t="shared" si="5"/>
        <v>0.24444000000000002</v>
      </c>
      <c r="I42" s="65">
        <f t="shared" si="5"/>
        <v>0.12357800000000001</v>
      </c>
      <c r="J42" s="65">
        <f t="shared" si="5"/>
        <v>2.1921999999999996E-3</v>
      </c>
      <c r="K42" s="65">
        <f t="shared" si="5"/>
        <v>1.9982000000000003E-3</v>
      </c>
      <c r="L42" s="65">
        <f t="shared" si="5"/>
        <v>0.10165600000000001</v>
      </c>
      <c r="M42" s="65">
        <f t="shared" si="5"/>
        <v>8.5748000000000005E-2</v>
      </c>
      <c r="N42" s="65">
        <f t="shared" si="5"/>
        <v>267.72000000000003</v>
      </c>
      <c r="O42" s="65">
        <f t="shared" si="5"/>
        <v>47.53</v>
      </c>
      <c r="P42" s="65">
        <f t="shared" si="5"/>
        <v>0</v>
      </c>
      <c r="Q42" s="65">
        <f t="shared" si="10"/>
        <v>38.799999999999997</v>
      </c>
      <c r="R42" s="65">
        <f t="shared" si="11"/>
        <v>0</v>
      </c>
      <c r="S42" s="65">
        <f t="shared" si="11"/>
        <v>7.643599999999999E-2</v>
      </c>
      <c r="T42" s="65">
        <f t="shared" si="11"/>
        <v>0</v>
      </c>
      <c r="U42" s="126">
        <f t="shared" si="11"/>
        <v>0</v>
      </c>
    </row>
    <row r="43" spans="1:21" s="48" customFormat="1" ht="13" x14ac:dyDescent="0.35">
      <c r="A43" s="125">
        <f>O8</f>
        <v>15</v>
      </c>
      <c r="B43" s="11">
        <v>100</v>
      </c>
      <c r="C43" s="65">
        <f t="shared" si="6"/>
        <v>32.786000000000001</v>
      </c>
      <c r="D43" s="65">
        <f t="shared" si="7"/>
        <v>26.66724</v>
      </c>
      <c r="E43" s="65">
        <f t="shared" si="8"/>
        <v>2.0875661000000001</v>
      </c>
      <c r="F43" s="65">
        <f t="shared" si="9"/>
        <v>1.2544428000000001</v>
      </c>
      <c r="G43" s="65">
        <f t="shared" si="5"/>
        <v>0.155394</v>
      </c>
      <c r="H43" s="65">
        <f t="shared" si="5"/>
        <v>0.24444000000000002</v>
      </c>
      <c r="I43" s="65">
        <f t="shared" si="5"/>
        <v>0.12357800000000001</v>
      </c>
      <c r="J43" s="65">
        <f t="shared" si="5"/>
        <v>2.1921999999999996E-3</v>
      </c>
      <c r="K43" s="65">
        <f t="shared" si="5"/>
        <v>1.9982000000000003E-3</v>
      </c>
      <c r="L43" s="65">
        <f t="shared" si="5"/>
        <v>0.10165600000000001</v>
      </c>
      <c r="M43" s="65">
        <f t="shared" si="5"/>
        <v>8.5748000000000005E-2</v>
      </c>
      <c r="N43" s="65">
        <f t="shared" si="5"/>
        <v>267.72000000000003</v>
      </c>
      <c r="O43" s="65">
        <f t="shared" si="5"/>
        <v>47.53</v>
      </c>
      <c r="P43" s="65">
        <f t="shared" si="5"/>
        <v>0</v>
      </c>
      <c r="Q43" s="65">
        <f t="shared" si="10"/>
        <v>38.799999999999997</v>
      </c>
      <c r="R43" s="65">
        <f t="shared" si="11"/>
        <v>0</v>
      </c>
      <c r="S43" s="65">
        <f t="shared" si="11"/>
        <v>7.643599999999999E-2</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Arable</v>
      </c>
      <c r="J58" s="10" t="str">
        <f>K16&amp;" I "&amp;(VLOOKUP(K14,Table24581112[],6,FALSE))</f>
        <v>Medium/Clay I Arable</v>
      </c>
      <c r="K58" s="10" t="str">
        <f>L16&amp;" I "&amp;(VLOOKUP(L14,Table24581112[],6,FALSE))</f>
        <v>Medium/Clay I Arable</v>
      </c>
      <c r="L58" s="10" t="str">
        <f>M16&amp;" I "&amp;(VLOOKUP(M14,Table24581112[],6,FALSE))</f>
        <v>Medium/Clay I Arable</v>
      </c>
      <c r="M58" s="10" t="str">
        <f>N16&amp;" I "&amp;(VLOOKUP(N14,Table24581112[],6,FALSE))</f>
        <v>Medium/Clay I Arable</v>
      </c>
      <c r="N58" s="10" t="str">
        <f>O16&amp;" I "&amp;(VLOOKUP(O14,Table24581112[],6,FALSE))</f>
        <v>Medium/Clay I Arable</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f>VLOOKUP(H$14,Table24581112[],5,FALSE)</f>
        <v>6.7</v>
      </c>
      <c r="H59" s="64">
        <f>VLOOKUP(I$14,Table24581112[],5,FALSE)</f>
        <v>6.7</v>
      </c>
      <c r="I59" s="64">
        <f>VLOOKUP(J$14,Table24581112[],5,FALSE)</f>
        <v>6.7</v>
      </c>
      <c r="J59" s="64">
        <f>VLOOKUP(K$14,Table24581112[],5,FALSE)</f>
        <v>6.7</v>
      </c>
      <c r="K59" s="64">
        <f>VLOOKUP(L$14,Table24581112[],5,FALSE)</f>
        <v>6.7</v>
      </c>
      <c r="L59" s="64">
        <f>VLOOKUP(M$14,Table24581112[],5,FALSE)</f>
        <v>6.7</v>
      </c>
      <c r="M59" s="64">
        <f>VLOOKUP(N$14,Table24581112[],5,FALSE)</f>
        <v>6.7</v>
      </c>
      <c r="N59" s="64">
        <f>VLOOKUP(O$14,Table24581112[],5,FALSE)</f>
        <v>6.7</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C27" sqref="C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7.8</v>
      </c>
      <c r="J1" s="158" t="s">
        <v>153</v>
      </c>
      <c r="K1" s="159"/>
      <c r="L1" s="109">
        <v>973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8.0413223140495873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37.938959999999994</v>
      </c>
      <c r="D18" s="12">
        <f>$D32</f>
        <v>37.938959999999994</v>
      </c>
      <c r="E18" s="12">
        <f>$D33</f>
        <v>37.938959999999994</v>
      </c>
      <c r="F18" s="12">
        <f>$D34</f>
        <v>37.938959999999994</v>
      </c>
      <c r="G18" s="12">
        <f>$D35</f>
        <v>37.938959999999994</v>
      </c>
      <c r="H18" s="12">
        <f>$D36</f>
        <v>37.938959999999994</v>
      </c>
      <c r="I18" s="12">
        <f>$D37</f>
        <v>37.938959999999994</v>
      </c>
      <c r="J18" s="12">
        <f>$D38</f>
        <v>37.938959999999994</v>
      </c>
      <c r="K18" s="12">
        <f>$D39</f>
        <v>37.938959999999994</v>
      </c>
      <c r="L18" s="12">
        <f>$D40</f>
        <v>37.938959999999994</v>
      </c>
      <c r="M18" s="12">
        <f>$D41</f>
        <v>37.938959999999994</v>
      </c>
      <c r="N18" s="12">
        <f>$D42</f>
        <v>37.938959999999994</v>
      </c>
      <c r="O18" s="12">
        <f>$D43</f>
        <v>37.938959999999994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-25.061039999999998</v>
      </c>
      <c r="D19" s="12">
        <f t="shared" ref="D19:V19" si="1">D18-D17</f>
        <v>-25.061039999999998</v>
      </c>
      <c r="E19" s="12">
        <f t="shared" si="1"/>
        <v>-25.061039999999998</v>
      </c>
      <c r="F19" s="12">
        <f t="shared" si="1"/>
        <v>-25.061039999999998</v>
      </c>
      <c r="G19" s="12">
        <f t="shared" si="1"/>
        <v>-25.061039999999998</v>
      </c>
      <c r="H19" s="12">
        <f t="shared" si="1"/>
        <v>-25.061039999999998</v>
      </c>
      <c r="I19" s="12">
        <f t="shared" si="1"/>
        <v>-25.061039999999998</v>
      </c>
      <c r="J19" s="12">
        <f t="shared" si="1"/>
        <v>-25.061039999999998</v>
      </c>
      <c r="K19" s="12">
        <f t="shared" si="1"/>
        <v>-25.061039999999998</v>
      </c>
      <c r="L19" s="12">
        <f t="shared" si="1"/>
        <v>-25.061039999999998</v>
      </c>
      <c r="M19" s="12">
        <f t="shared" si="1"/>
        <v>-25.061039999999998</v>
      </c>
      <c r="N19" s="12">
        <f t="shared" si="1"/>
        <v>-25.061039999999998</v>
      </c>
      <c r="O19" s="12">
        <f t="shared" si="1"/>
        <v>-25.061039999999998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1.0426383000000001</v>
      </c>
      <c r="D22" s="12">
        <f>$E32</f>
        <v>1.0426383000000001</v>
      </c>
      <c r="E22" s="12">
        <f>$E33</f>
        <v>1.0426383000000001</v>
      </c>
      <c r="F22" s="12">
        <f>$E34</f>
        <v>1.0426383000000001</v>
      </c>
      <c r="G22" s="12">
        <f>$E35</f>
        <v>1.0426383000000001</v>
      </c>
      <c r="H22" s="12">
        <f>$E36</f>
        <v>1.0426383000000001</v>
      </c>
      <c r="I22" s="12">
        <f>$E37</f>
        <v>1.0426383000000001</v>
      </c>
      <c r="J22" s="12">
        <f>$E38</f>
        <v>1.0426383000000001</v>
      </c>
      <c r="K22" s="12">
        <f>$E39</f>
        <v>1.0426383000000001</v>
      </c>
      <c r="L22" s="12">
        <f>$E40</f>
        <v>1.0426383000000001</v>
      </c>
      <c r="M22" s="12">
        <f>$E41</f>
        <v>1.0426383000000001</v>
      </c>
      <c r="N22" s="12">
        <f>$E42</f>
        <v>1.0426383000000001</v>
      </c>
      <c r="O22" s="12">
        <f>$E43</f>
        <v>1.0426383000000001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-196.95736170000004</v>
      </c>
      <c r="D23" s="12">
        <f t="shared" ref="D23:V23" si="3">D22-D21</f>
        <v>-196.95736170000004</v>
      </c>
      <c r="E23" s="12">
        <f t="shared" si="3"/>
        <v>-196.95736170000004</v>
      </c>
      <c r="F23" s="12">
        <f t="shared" si="3"/>
        <v>-196.95736170000004</v>
      </c>
      <c r="G23" s="12">
        <f t="shared" si="3"/>
        <v>-196.95736170000004</v>
      </c>
      <c r="H23" s="12">
        <f t="shared" si="3"/>
        <v>-196.95736170000004</v>
      </c>
      <c r="I23" s="12">
        <f t="shared" si="3"/>
        <v>-196.95736170000004</v>
      </c>
      <c r="J23" s="12">
        <f t="shared" si="3"/>
        <v>-196.95736170000004</v>
      </c>
      <c r="K23" s="12">
        <f t="shared" si="3"/>
        <v>-196.95736170000004</v>
      </c>
      <c r="L23" s="12">
        <f t="shared" si="3"/>
        <v>-196.95736170000004</v>
      </c>
      <c r="M23" s="12">
        <f t="shared" si="3"/>
        <v>-196.95736170000004</v>
      </c>
      <c r="N23" s="12">
        <f t="shared" si="3"/>
        <v>-196.95736170000004</v>
      </c>
      <c r="O23" s="12">
        <f t="shared" si="3"/>
        <v>-196.95736170000004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4.1399999999999997</v>
      </c>
      <c r="C28" s="11">
        <v>1.21</v>
      </c>
      <c r="D28" s="11">
        <v>0.8</v>
      </c>
      <c r="E28" s="11">
        <v>4.1799999999999997E-2</v>
      </c>
      <c r="F28" s="11">
        <v>973</v>
      </c>
      <c r="G28" s="11">
        <v>37.4</v>
      </c>
      <c r="H28" s="11">
        <v>547</v>
      </c>
      <c r="I28" s="11">
        <v>102</v>
      </c>
      <c r="J28" s="11">
        <v>1.06</v>
      </c>
      <c r="K28" s="15">
        <v>0.48</v>
      </c>
      <c r="L28" s="11">
        <v>26.3</v>
      </c>
      <c r="M28" s="11">
        <v>20.6</v>
      </c>
      <c r="N28" s="11">
        <v>7990</v>
      </c>
      <c r="O28" s="11">
        <v>394000</v>
      </c>
      <c r="P28" s="11"/>
      <c r="Q28" s="11">
        <v>3370</v>
      </c>
      <c r="R28" s="11"/>
      <c r="S28" s="11">
        <v>60.8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50</v>
      </c>
      <c r="C31" s="65">
        <f>IF(C$27="%w/w SAR",((C$28*10)*$B31),IF(C$27="%w/w DM",(((C$28*10)*($B$28/100))*$B31),IF(C$27="kg/t SAR",(C$28*$B31),IF(C$27="kg/t DM",((C$28*($B$28/100))*$B31),IF(C$27="mg/kg SAR",((C$28*0.001)*$B31),IF(C$27="mg/kg DM",(((C$28*0.001)*($B$28/100))*$B31),0))))))</f>
        <v>25.046999999999997</v>
      </c>
      <c r="D31" s="65">
        <f>(IF(D$27="%w/w SAR",((D$28*10)*$B31),IF(D$27="%w/w DM",(((D$28*10)*($B$28/100))*$B31),IF(D$27="kg/t SAR",(D$28*$B31),IF(D$27="kg/t DM",((D$28*($B$28/100))*$B31),IF(D$27="mg/kg SAR",((D$28*0.001)*$B31),IF(D$27="mg/kg DM",(((D$28*0.001)*($B$28/100))*$B31),"0")))))))*2.291</f>
        <v>37.938959999999994</v>
      </c>
      <c r="E31" s="65">
        <f>(IF(E$27="%w/w SAR",((E$28*10)*$B31),IF(E$27="%w/w DM",(((E$28*10)*($B$28/100))*$B31),IF(E$27="kg/t SAR",(E$28*$B31),IF(E$27="kg/t DM",((E$28*($B$28/100))*$B31),IF(E$27="mg/kg SAR",((E$28*0.001)*$B31),IF(E$27="mg/kg DM",(((E$28*0.001)*($B$28/100))*$B31),"0")))))))*1.205</f>
        <v>1.0426383000000001</v>
      </c>
      <c r="F31" s="65">
        <f>(IF(F$27="%w/w SAR",((F$28*10)*$B31),IF(F$27="%w/w DM",(((F$28*10)*($B$28/100))*$B31),IF(F$27="kg/t SAR",(F$28*$B31),IF(F$27="kg/t DM",((F$28*($B$28/100))*$B31),IF(F$27="mg/kg SAR",((F$28*0.001)*$B31),IF(F$27="mg/kg DM",(((F$28*0.001)*($B$28/100))*$B31),"0")))))))*1.658</f>
        <v>3.3393943799999999</v>
      </c>
      <c r="G31" s="65">
        <f t="shared" ref="G31:P46" si="5">IF(G$27="%w/w SAR",((G$28*10)*$B31),IF(G$27="%w/w DM",(((G$28*10)*($B$28/100))*$B31),IF(G$27="kg/t SAR",(G$28*$B31),IF(G$27="kg/t DM",((G$28*($B$28/100))*$B31),IF(G$27="mg/kg SAR",((G$28*0.001)*$B31),IF(G$27="mg/kg DM",(((G$28*0.001)*($B$28/100))*$B31),0))))))</f>
        <v>7.7418000000000001E-2</v>
      </c>
      <c r="H31" s="65">
        <f t="shared" si="5"/>
        <v>1.13229</v>
      </c>
      <c r="I31" s="65">
        <f t="shared" si="5"/>
        <v>0.21114000000000002</v>
      </c>
      <c r="J31" s="65">
        <f t="shared" si="5"/>
        <v>2.1942000000000003E-3</v>
      </c>
      <c r="K31" s="65">
        <f t="shared" si="5"/>
        <v>9.9359999999999987E-4</v>
      </c>
      <c r="L31" s="65">
        <f t="shared" si="5"/>
        <v>5.4441000000000003E-2</v>
      </c>
      <c r="M31" s="65">
        <f t="shared" si="5"/>
        <v>4.2641999999999999E-2</v>
      </c>
      <c r="N31" s="65">
        <f t="shared" si="5"/>
        <v>16.539300000000001</v>
      </c>
      <c r="O31" s="65">
        <f t="shared" si="5"/>
        <v>815.57999999999993</v>
      </c>
      <c r="P31" s="65">
        <f t="shared" si="5"/>
        <v>0</v>
      </c>
      <c r="Q31" s="65">
        <f>(IF(Q$27="%w/w SAR",((Q$28*10)*$B31),IF(Q$27="%w/w DM",(((Q$28*10)*($B$28/100))*$B31),IF(Q$27="kg/t SAR",(Q$28*$B31),IF(Q$27="kg/t DM",((Q$28*($B$28/100))*$B31),IF(Q$27="mg/kg SAR",((Q$28*0.001)*$B31),IF(Q$27="mg/kg DM",(((Q$28*0.001)*($B$28/100))*$B31),0)))))))*2.5</f>
        <v>17.43975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0.125856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50</v>
      </c>
      <c r="C32" s="65">
        <f t="shared" ref="C32:C50" si="6">IF(C$27="%w/w SAR",((C$28*10)*$B32),IF(C$27="%w/w DM",(((C$28*10)*($B$28/100))*$B32),IF(C$27="kg/t SAR",(C$28*$B32),IF(C$27="kg/t DM",((C$28*($B$28/100))*$B32),IF(C$27="mg/kg SAR",((C$28*0.001)*$B32),IF(C$27="mg/kg DM",(((C$28*0.001)*($B$28/100))*$B32),0))))))</f>
        <v>25.046999999999997</v>
      </c>
      <c r="D32" s="65">
        <f t="shared" ref="D32:D50" si="7">(IF(D$27="%w/w SAR",((D$28*10)*$B32),IF(D$27="%w/w DM",(((D$28*10)*($B$28/100))*$B32),IF(D$27="kg/t SAR",(D$28*$B32),IF(D$27="kg/t DM",((D$28*($B$28/100))*$B32),IF(D$27="mg/kg SAR",((D$28*0.001)*$B32),IF(D$27="mg/kg DM",(((D$28*0.001)*($B$28/100))*$B32),"0")))))))*2.291</f>
        <v>37.938959999999994</v>
      </c>
      <c r="E32" s="65">
        <f t="shared" ref="E32:E50" si="8">(IF(E$27="%w/w SAR",((E$28*10)*$B32),IF(E$27="%w/w DM",(((E$28*10)*($B$28/100))*$B32),IF(E$27="kg/t SAR",(E$28*$B32),IF(E$27="kg/t DM",((E$28*($B$28/100))*$B32),IF(E$27="mg/kg SAR",((E$28*0.001)*$B32),IF(E$27="mg/kg DM",(((E$28*0.001)*($B$28/100))*$B32),"0")))))))*1.205</f>
        <v>1.0426383000000001</v>
      </c>
      <c r="F32" s="65">
        <f t="shared" ref="F32:F50" si="9">(IF(F$27="%w/w SAR",((F$28*10)*$B32),IF(F$27="%w/w DM",(((F$28*10)*($B$28/100))*$B32),IF(F$27="kg/t SAR",(F$28*$B32),IF(F$27="kg/t DM",((F$28*($B$28/100))*$B32),IF(F$27="mg/kg SAR",((F$28*0.001)*$B32),IF(F$27="mg/kg DM",(((F$28*0.001)*($B$28/100))*$B32),"0")))))))*1.658</f>
        <v>3.3393943799999999</v>
      </c>
      <c r="G32" s="65">
        <f t="shared" si="5"/>
        <v>7.7418000000000001E-2</v>
      </c>
      <c r="H32" s="65">
        <f t="shared" si="5"/>
        <v>1.13229</v>
      </c>
      <c r="I32" s="65">
        <f t="shared" si="5"/>
        <v>0.21114000000000002</v>
      </c>
      <c r="J32" s="65">
        <f t="shared" si="5"/>
        <v>2.1942000000000003E-3</v>
      </c>
      <c r="K32" s="65">
        <f t="shared" si="5"/>
        <v>9.9359999999999987E-4</v>
      </c>
      <c r="L32" s="65">
        <f t="shared" si="5"/>
        <v>5.4441000000000003E-2</v>
      </c>
      <c r="M32" s="65">
        <f t="shared" si="5"/>
        <v>4.2641999999999999E-2</v>
      </c>
      <c r="N32" s="65">
        <f t="shared" si="5"/>
        <v>16.539300000000001</v>
      </c>
      <c r="O32" s="65">
        <f t="shared" si="5"/>
        <v>815.57999999999993</v>
      </c>
      <c r="P32" s="65">
        <f t="shared" si="5"/>
        <v>0</v>
      </c>
      <c r="Q32" s="65">
        <f t="shared" ref="Q32:Q50" si="10">(IF(Q$27="%w/w SAR",((Q$28*10)*$B32),IF(Q$27="%w/w DM",(((Q$28*10)*($B$28/100))*$B32),IF(Q$27="kg/t SAR",(Q$28*$B32),IF(Q$27="kg/t DM",((Q$28*($B$28/100))*$B32),IF(Q$27="mg/kg SAR",((Q$28*0.001)*$B32),IF(Q$27="mg/kg DM",(((Q$28*0.001)*($B$28/100))*$B32),0)))))))*2.5</f>
        <v>17.43975</v>
      </c>
      <c r="R32" s="65">
        <f t="shared" ref="R32:U50" si="11">IF(R$27="%w/w SAR",((R$28*10)*$B32),IF(R$27="%w/w DM",(((R$28*10)*($B$28/100))*$B32),IF(R$27="kg/t SAR",(R$28*$B32),IF(R$27="kg/t DM",((R$28*($B$28/100))*$B32),IF(R$27="mg/kg SAR",((R$28*0.001)*$B32),IF(R$27="mg/kg DM",(((R$28*0.001)*($B$28/100))*$B32),0))))))</f>
        <v>0</v>
      </c>
      <c r="S32" s="65">
        <f t="shared" si="11"/>
        <v>0.125856</v>
      </c>
      <c r="T32" s="65">
        <f t="shared" si="11"/>
        <v>0</v>
      </c>
      <c r="U32" s="126">
        <f t="shared" si="11"/>
        <v>0</v>
      </c>
    </row>
    <row r="33" spans="1:21" s="48" customFormat="1" ht="13" x14ac:dyDescent="0.35">
      <c r="A33" s="125">
        <f>E8</f>
        <v>3</v>
      </c>
      <c r="B33" s="11">
        <v>50</v>
      </c>
      <c r="C33" s="65">
        <f t="shared" si="6"/>
        <v>25.046999999999997</v>
      </c>
      <c r="D33" s="65">
        <f t="shared" si="7"/>
        <v>37.938959999999994</v>
      </c>
      <c r="E33" s="65">
        <f t="shared" si="8"/>
        <v>1.0426383000000001</v>
      </c>
      <c r="F33" s="65">
        <f t="shared" si="9"/>
        <v>3.3393943799999999</v>
      </c>
      <c r="G33" s="65">
        <f t="shared" si="5"/>
        <v>7.7418000000000001E-2</v>
      </c>
      <c r="H33" s="65">
        <f t="shared" si="5"/>
        <v>1.13229</v>
      </c>
      <c r="I33" s="65">
        <f t="shared" si="5"/>
        <v>0.21114000000000002</v>
      </c>
      <c r="J33" s="65">
        <f t="shared" si="5"/>
        <v>2.1942000000000003E-3</v>
      </c>
      <c r="K33" s="65">
        <f t="shared" si="5"/>
        <v>9.9359999999999987E-4</v>
      </c>
      <c r="L33" s="65">
        <f t="shared" si="5"/>
        <v>5.4441000000000003E-2</v>
      </c>
      <c r="M33" s="65">
        <f t="shared" si="5"/>
        <v>4.2641999999999999E-2</v>
      </c>
      <c r="N33" s="65">
        <f t="shared" si="5"/>
        <v>16.539300000000001</v>
      </c>
      <c r="O33" s="65">
        <f t="shared" si="5"/>
        <v>815.57999999999993</v>
      </c>
      <c r="P33" s="65">
        <f t="shared" si="5"/>
        <v>0</v>
      </c>
      <c r="Q33" s="65">
        <f t="shared" si="10"/>
        <v>17.43975</v>
      </c>
      <c r="R33" s="65">
        <f t="shared" si="11"/>
        <v>0</v>
      </c>
      <c r="S33" s="65">
        <f t="shared" si="11"/>
        <v>0.125856</v>
      </c>
      <c r="T33" s="65">
        <f t="shared" si="11"/>
        <v>0</v>
      </c>
      <c r="U33" s="126">
        <f t="shared" si="11"/>
        <v>0</v>
      </c>
    </row>
    <row r="34" spans="1:21" s="48" customFormat="1" ht="13" x14ac:dyDescent="0.35">
      <c r="A34" s="125">
        <f>F8</f>
        <v>4</v>
      </c>
      <c r="B34" s="11">
        <v>50</v>
      </c>
      <c r="C34" s="65">
        <f t="shared" si="6"/>
        <v>25.046999999999997</v>
      </c>
      <c r="D34" s="65">
        <f t="shared" si="7"/>
        <v>37.938959999999994</v>
      </c>
      <c r="E34" s="65">
        <f t="shared" si="8"/>
        <v>1.0426383000000001</v>
      </c>
      <c r="F34" s="65">
        <f t="shared" si="9"/>
        <v>3.3393943799999999</v>
      </c>
      <c r="G34" s="65">
        <f t="shared" si="5"/>
        <v>7.7418000000000001E-2</v>
      </c>
      <c r="H34" s="65">
        <f t="shared" si="5"/>
        <v>1.13229</v>
      </c>
      <c r="I34" s="65">
        <f t="shared" si="5"/>
        <v>0.21114000000000002</v>
      </c>
      <c r="J34" s="65">
        <f t="shared" si="5"/>
        <v>2.1942000000000003E-3</v>
      </c>
      <c r="K34" s="65">
        <f t="shared" si="5"/>
        <v>9.9359999999999987E-4</v>
      </c>
      <c r="L34" s="65">
        <f t="shared" si="5"/>
        <v>5.4441000000000003E-2</v>
      </c>
      <c r="M34" s="65">
        <f t="shared" si="5"/>
        <v>4.2641999999999999E-2</v>
      </c>
      <c r="N34" s="65">
        <f t="shared" si="5"/>
        <v>16.539300000000001</v>
      </c>
      <c r="O34" s="65">
        <f t="shared" si="5"/>
        <v>815.57999999999993</v>
      </c>
      <c r="P34" s="65">
        <f t="shared" si="5"/>
        <v>0</v>
      </c>
      <c r="Q34" s="65">
        <f t="shared" si="10"/>
        <v>17.43975</v>
      </c>
      <c r="R34" s="65">
        <f t="shared" si="11"/>
        <v>0</v>
      </c>
      <c r="S34" s="65">
        <f t="shared" si="11"/>
        <v>0.125856</v>
      </c>
      <c r="T34" s="65">
        <f t="shared" si="11"/>
        <v>0</v>
      </c>
      <c r="U34" s="126">
        <f t="shared" si="11"/>
        <v>0</v>
      </c>
    </row>
    <row r="35" spans="1:21" s="48" customFormat="1" ht="13" x14ac:dyDescent="0.35">
      <c r="A35" s="125">
        <f>G8</f>
        <v>5</v>
      </c>
      <c r="B35" s="11">
        <v>50</v>
      </c>
      <c r="C35" s="65">
        <f t="shared" si="6"/>
        <v>25.046999999999997</v>
      </c>
      <c r="D35" s="65">
        <f t="shared" si="7"/>
        <v>37.938959999999994</v>
      </c>
      <c r="E35" s="65">
        <f t="shared" si="8"/>
        <v>1.0426383000000001</v>
      </c>
      <c r="F35" s="65">
        <f t="shared" si="9"/>
        <v>3.3393943799999999</v>
      </c>
      <c r="G35" s="65">
        <f t="shared" si="5"/>
        <v>7.7418000000000001E-2</v>
      </c>
      <c r="H35" s="65">
        <f t="shared" si="5"/>
        <v>1.13229</v>
      </c>
      <c r="I35" s="65">
        <f t="shared" si="5"/>
        <v>0.21114000000000002</v>
      </c>
      <c r="J35" s="65">
        <f t="shared" si="5"/>
        <v>2.1942000000000003E-3</v>
      </c>
      <c r="K35" s="65">
        <f t="shared" si="5"/>
        <v>9.9359999999999987E-4</v>
      </c>
      <c r="L35" s="65">
        <f t="shared" si="5"/>
        <v>5.4441000000000003E-2</v>
      </c>
      <c r="M35" s="65">
        <f t="shared" si="5"/>
        <v>4.2641999999999999E-2</v>
      </c>
      <c r="N35" s="65">
        <f t="shared" si="5"/>
        <v>16.539300000000001</v>
      </c>
      <c r="O35" s="65">
        <f t="shared" si="5"/>
        <v>815.57999999999993</v>
      </c>
      <c r="P35" s="65">
        <f t="shared" si="5"/>
        <v>0</v>
      </c>
      <c r="Q35" s="65">
        <f t="shared" si="10"/>
        <v>17.43975</v>
      </c>
      <c r="R35" s="65">
        <f t="shared" si="11"/>
        <v>0</v>
      </c>
      <c r="S35" s="65">
        <f t="shared" si="11"/>
        <v>0.125856</v>
      </c>
      <c r="T35" s="65">
        <f t="shared" si="11"/>
        <v>0</v>
      </c>
      <c r="U35" s="126">
        <f t="shared" si="11"/>
        <v>0</v>
      </c>
    </row>
    <row r="36" spans="1:21" s="48" customFormat="1" ht="13" x14ac:dyDescent="0.35">
      <c r="A36" s="125">
        <f>H8</f>
        <v>6</v>
      </c>
      <c r="B36" s="11">
        <v>50</v>
      </c>
      <c r="C36" s="65">
        <f t="shared" si="6"/>
        <v>25.046999999999997</v>
      </c>
      <c r="D36" s="65">
        <f t="shared" si="7"/>
        <v>37.938959999999994</v>
      </c>
      <c r="E36" s="65">
        <f t="shared" si="8"/>
        <v>1.0426383000000001</v>
      </c>
      <c r="F36" s="65">
        <f t="shared" si="9"/>
        <v>3.3393943799999999</v>
      </c>
      <c r="G36" s="65">
        <f t="shared" si="5"/>
        <v>7.7418000000000001E-2</v>
      </c>
      <c r="H36" s="65">
        <f t="shared" si="5"/>
        <v>1.13229</v>
      </c>
      <c r="I36" s="65">
        <f t="shared" si="5"/>
        <v>0.21114000000000002</v>
      </c>
      <c r="J36" s="65">
        <f t="shared" si="5"/>
        <v>2.1942000000000003E-3</v>
      </c>
      <c r="K36" s="65">
        <f t="shared" si="5"/>
        <v>9.9359999999999987E-4</v>
      </c>
      <c r="L36" s="65">
        <f t="shared" si="5"/>
        <v>5.4441000000000003E-2</v>
      </c>
      <c r="M36" s="65">
        <f t="shared" si="5"/>
        <v>4.2641999999999999E-2</v>
      </c>
      <c r="N36" s="65">
        <f t="shared" si="5"/>
        <v>16.539300000000001</v>
      </c>
      <c r="O36" s="65">
        <f t="shared" si="5"/>
        <v>815.57999999999993</v>
      </c>
      <c r="P36" s="65">
        <f t="shared" si="5"/>
        <v>0</v>
      </c>
      <c r="Q36" s="65">
        <f t="shared" si="10"/>
        <v>17.43975</v>
      </c>
      <c r="R36" s="65">
        <f t="shared" si="11"/>
        <v>0</v>
      </c>
      <c r="S36" s="65">
        <f t="shared" si="11"/>
        <v>0.125856</v>
      </c>
      <c r="T36" s="65">
        <f t="shared" si="11"/>
        <v>0</v>
      </c>
      <c r="U36" s="126">
        <f t="shared" si="11"/>
        <v>0</v>
      </c>
    </row>
    <row r="37" spans="1:21" s="48" customFormat="1" ht="13" x14ac:dyDescent="0.35">
      <c r="A37" s="125">
        <f>I8</f>
        <v>7</v>
      </c>
      <c r="B37" s="11">
        <v>50</v>
      </c>
      <c r="C37" s="65">
        <f t="shared" si="6"/>
        <v>25.046999999999997</v>
      </c>
      <c r="D37" s="65">
        <f t="shared" si="7"/>
        <v>37.938959999999994</v>
      </c>
      <c r="E37" s="65">
        <f t="shared" si="8"/>
        <v>1.0426383000000001</v>
      </c>
      <c r="F37" s="65">
        <f t="shared" si="9"/>
        <v>3.3393943799999999</v>
      </c>
      <c r="G37" s="65">
        <f t="shared" si="5"/>
        <v>7.7418000000000001E-2</v>
      </c>
      <c r="H37" s="65">
        <f t="shared" si="5"/>
        <v>1.13229</v>
      </c>
      <c r="I37" s="65">
        <f t="shared" si="5"/>
        <v>0.21114000000000002</v>
      </c>
      <c r="J37" s="65">
        <f t="shared" si="5"/>
        <v>2.1942000000000003E-3</v>
      </c>
      <c r="K37" s="65">
        <f t="shared" si="5"/>
        <v>9.9359999999999987E-4</v>
      </c>
      <c r="L37" s="65">
        <f t="shared" si="5"/>
        <v>5.4441000000000003E-2</v>
      </c>
      <c r="M37" s="65">
        <f t="shared" si="5"/>
        <v>4.2641999999999999E-2</v>
      </c>
      <c r="N37" s="65">
        <f t="shared" si="5"/>
        <v>16.539300000000001</v>
      </c>
      <c r="O37" s="65">
        <f t="shared" si="5"/>
        <v>815.57999999999993</v>
      </c>
      <c r="P37" s="65">
        <f t="shared" si="5"/>
        <v>0</v>
      </c>
      <c r="Q37" s="65">
        <f t="shared" si="10"/>
        <v>17.43975</v>
      </c>
      <c r="R37" s="65">
        <f t="shared" si="11"/>
        <v>0</v>
      </c>
      <c r="S37" s="65">
        <f t="shared" si="11"/>
        <v>0.125856</v>
      </c>
      <c r="T37" s="65">
        <f t="shared" si="11"/>
        <v>0</v>
      </c>
      <c r="U37" s="126">
        <f t="shared" si="11"/>
        <v>0</v>
      </c>
    </row>
    <row r="38" spans="1:21" s="48" customFormat="1" ht="13" x14ac:dyDescent="0.35">
      <c r="A38" s="125">
        <f>J8</f>
        <v>8</v>
      </c>
      <c r="B38" s="11">
        <v>50</v>
      </c>
      <c r="C38" s="65">
        <f t="shared" si="6"/>
        <v>25.046999999999997</v>
      </c>
      <c r="D38" s="65">
        <f t="shared" si="7"/>
        <v>37.938959999999994</v>
      </c>
      <c r="E38" s="65">
        <f t="shared" si="8"/>
        <v>1.0426383000000001</v>
      </c>
      <c r="F38" s="65">
        <f t="shared" si="9"/>
        <v>3.3393943799999999</v>
      </c>
      <c r="G38" s="65">
        <f t="shared" si="5"/>
        <v>7.7418000000000001E-2</v>
      </c>
      <c r="H38" s="65">
        <f t="shared" si="5"/>
        <v>1.13229</v>
      </c>
      <c r="I38" s="65">
        <f t="shared" si="5"/>
        <v>0.21114000000000002</v>
      </c>
      <c r="J38" s="65">
        <f t="shared" si="5"/>
        <v>2.1942000000000003E-3</v>
      </c>
      <c r="K38" s="65">
        <f t="shared" si="5"/>
        <v>9.9359999999999987E-4</v>
      </c>
      <c r="L38" s="65">
        <f t="shared" si="5"/>
        <v>5.4441000000000003E-2</v>
      </c>
      <c r="M38" s="65">
        <f t="shared" si="5"/>
        <v>4.2641999999999999E-2</v>
      </c>
      <c r="N38" s="65">
        <f t="shared" si="5"/>
        <v>16.539300000000001</v>
      </c>
      <c r="O38" s="65">
        <f t="shared" si="5"/>
        <v>815.57999999999993</v>
      </c>
      <c r="P38" s="65">
        <f t="shared" si="5"/>
        <v>0</v>
      </c>
      <c r="Q38" s="65">
        <f t="shared" si="10"/>
        <v>17.43975</v>
      </c>
      <c r="R38" s="65">
        <f t="shared" si="11"/>
        <v>0</v>
      </c>
      <c r="S38" s="65">
        <f t="shared" si="11"/>
        <v>0.125856</v>
      </c>
      <c r="T38" s="65">
        <f t="shared" si="11"/>
        <v>0</v>
      </c>
      <c r="U38" s="126">
        <f t="shared" si="11"/>
        <v>0</v>
      </c>
    </row>
    <row r="39" spans="1:21" s="48" customFormat="1" ht="13" x14ac:dyDescent="0.35">
      <c r="A39" s="125">
        <f>K8</f>
        <v>9</v>
      </c>
      <c r="B39" s="11">
        <v>50</v>
      </c>
      <c r="C39" s="65">
        <f t="shared" si="6"/>
        <v>25.046999999999997</v>
      </c>
      <c r="D39" s="65">
        <f t="shared" si="7"/>
        <v>37.938959999999994</v>
      </c>
      <c r="E39" s="65">
        <f t="shared" si="8"/>
        <v>1.0426383000000001</v>
      </c>
      <c r="F39" s="65">
        <f t="shared" si="9"/>
        <v>3.3393943799999999</v>
      </c>
      <c r="G39" s="65">
        <f t="shared" si="5"/>
        <v>7.7418000000000001E-2</v>
      </c>
      <c r="H39" s="65">
        <f t="shared" si="5"/>
        <v>1.13229</v>
      </c>
      <c r="I39" s="65">
        <f t="shared" si="5"/>
        <v>0.21114000000000002</v>
      </c>
      <c r="J39" s="65">
        <f t="shared" si="5"/>
        <v>2.1942000000000003E-3</v>
      </c>
      <c r="K39" s="65">
        <f t="shared" si="5"/>
        <v>9.9359999999999987E-4</v>
      </c>
      <c r="L39" s="65">
        <f t="shared" si="5"/>
        <v>5.4441000000000003E-2</v>
      </c>
      <c r="M39" s="65">
        <f t="shared" si="5"/>
        <v>4.2641999999999999E-2</v>
      </c>
      <c r="N39" s="65">
        <f t="shared" si="5"/>
        <v>16.539300000000001</v>
      </c>
      <c r="O39" s="65">
        <f t="shared" si="5"/>
        <v>815.57999999999993</v>
      </c>
      <c r="P39" s="65">
        <f t="shared" si="5"/>
        <v>0</v>
      </c>
      <c r="Q39" s="65">
        <f t="shared" si="10"/>
        <v>17.43975</v>
      </c>
      <c r="R39" s="65">
        <f t="shared" si="11"/>
        <v>0</v>
      </c>
      <c r="S39" s="65">
        <f t="shared" si="11"/>
        <v>0.125856</v>
      </c>
      <c r="T39" s="65">
        <f t="shared" si="11"/>
        <v>0</v>
      </c>
      <c r="U39" s="126">
        <f t="shared" si="11"/>
        <v>0</v>
      </c>
    </row>
    <row r="40" spans="1:21" s="48" customFormat="1" ht="13" x14ac:dyDescent="0.35">
      <c r="A40" s="125">
        <f>L8</f>
        <v>10</v>
      </c>
      <c r="B40" s="11">
        <v>50</v>
      </c>
      <c r="C40" s="65">
        <f t="shared" si="6"/>
        <v>25.046999999999997</v>
      </c>
      <c r="D40" s="65">
        <f t="shared" si="7"/>
        <v>37.938959999999994</v>
      </c>
      <c r="E40" s="65">
        <f t="shared" si="8"/>
        <v>1.0426383000000001</v>
      </c>
      <c r="F40" s="65">
        <f t="shared" si="9"/>
        <v>3.3393943799999999</v>
      </c>
      <c r="G40" s="65">
        <f t="shared" si="5"/>
        <v>7.7418000000000001E-2</v>
      </c>
      <c r="H40" s="65">
        <f t="shared" si="5"/>
        <v>1.13229</v>
      </c>
      <c r="I40" s="65">
        <f t="shared" si="5"/>
        <v>0.21114000000000002</v>
      </c>
      <c r="J40" s="65">
        <f t="shared" si="5"/>
        <v>2.1942000000000003E-3</v>
      </c>
      <c r="K40" s="65">
        <f t="shared" si="5"/>
        <v>9.9359999999999987E-4</v>
      </c>
      <c r="L40" s="65">
        <f t="shared" si="5"/>
        <v>5.4441000000000003E-2</v>
      </c>
      <c r="M40" s="65">
        <f t="shared" si="5"/>
        <v>4.2641999999999999E-2</v>
      </c>
      <c r="N40" s="65">
        <f t="shared" si="5"/>
        <v>16.539300000000001</v>
      </c>
      <c r="O40" s="65">
        <f t="shared" si="5"/>
        <v>815.57999999999993</v>
      </c>
      <c r="P40" s="65">
        <f t="shared" si="5"/>
        <v>0</v>
      </c>
      <c r="Q40" s="65">
        <f t="shared" si="10"/>
        <v>17.43975</v>
      </c>
      <c r="R40" s="65">
        <f t="shared" si="11"/>
        <v>0</v>
      </c>
      <c r="S40" s="65">
        <f t="shared" si="11"/>
        <v>0.125856</v>
      </c>
      <c r="T40" s="65">
        <f t="shared" si="11"/>
        <v>0</v>
      </c>
      <c r="U40" s="126">
        <f t="shared" si="11"/>
        <v>0</v>
      </c>
    </row>
    <row r="41" spans="1:21" s="48" customFormat="1" ht="13" x14ac:dyDescent="0.35">
      <c r="A41" s="125">
        <f>M8</f>
        <v>11</v>
      </c>
      <c r="B41" s="11">
        <v>50</v>
      </c>
      <c r="C41" s="65">
        <f t="shared" si="6"/>
        <v>25.046999999999997</v>
      </c>
      <c r="D41" s="65">
        <f t="shared" si="7"/>
        <v>37.938959999999994</v>
      </c>
      <c r="E41" s="65">
        <f t="shared" si="8"/>
        <v>1.0426383000000001</v>
      </c>
      <c r="F41" s="65">
        <f t="shared" si="9"/>
        <v>3.3393943799999999</v>
      </c>
      <c r="G41" s="65">
        <f t="shared" si="5"/>
        <v>7.7418000000000001E-2</v>
      </c>
      <c r="H41" s="65">
        <f t="shared" si="5"/>
        <v>1.13229</v>
      </c>
      <c r="I41" s="65">
        <f t="shared" si="5"/>
        <v>0.21114000000000002</v>
      </c>
      <c r="J41" s="65">
        <f t="shared" si="5"/>
        <v>2.1942000000000003E-3</v>
      </c>
      <c r="K41" s="65">
        <f t="shared" si="5"/>
        <v>9.9359999999999987E-4</v>
      </c>
      <c r="L41" s="65">
        <f t="shared" si="5"/>
        <v>5.4441000000000003E-2</v>
      </c>
      <c r="M41" s="65">
        <f t="shared" si="5"/>
        <v>4.2641999999999999E-2</v>
      </c>
      <c r="N41" s="65">
        <f t="shared" si="5"/>
        <v>16.539300000000001</v>
      </c>
      <c r="O41" s="65">
        <f t="shared" si="5"/>
        <v>815.57999999999993</v>
      </c>
      <c r="P41" s="65">
        <f t="shared" si="5"/>
        <v>0</v>
      </c>
      <c r="Q41" s="65">
        <f t="shared" si="10"/>
        <v>17.43975</v>
      </c>
      <c r="R41" s="65">
        <f t="shared" si="11"/>
        <v>0</v>
      </c>
      <c r="S41" s="65">
        <f t="shared" si="11"/>
        <v>0.125856</v>
      </c>
      <c r="T41" s="65">
        <f t="shared" si="11"/>
        <v>0</v>
      </c>
      <c r="U41" s="126">
        <f t="shared" si="11"/>
        <v>0</v>
      </c>
    </row>
    <row r="42" spans="1:21" s="48" customFormat="1" ht="13" x14ac:dyDescent="0.35">
      <c r="A42" s="125">
        <f>N8</f>
        <v>14</v>
      </c>
      <c r="B42" s="11">
        <v>50</v>
      </c>
      <c r="C42" s="65">
        <f t="shared" si="6"/>
        <v>25.046999999999997</v>
      </c>
      <c r="D42" s="65">
        <f t="shared" si="7"/>
        <v>37.938959999999994</v>
      </c>
      <c r="E42" s="65">
        <f t="shared" si="8"/>
        <v>1.0426383000000001</v>
      </c>
      <c r="F42" s="65">
        <f t="shared" si="9"/>
        <v>3.3393943799999999</v>
      </c>
      <c r="G42" s="65">
        <f t="shared" si="5"/>
        <v>7.7418000000000001E-2</v>
      </c>
      <c r="H42" s="65">
        <f t="shared" si="5"/>
        <v>1.13229</v>
      </c>
      <c r="I42" s="65">
        <f t="shared" si="5"/>
        <v>0.21114000000000002</v>
      </c>
      <c r="J42" s="65">
        <f t="shared" si="5"/>
        <v>2.1942000000000003E-3</v>
      </c>
      <c r="K42" s="65">
        <f t="shared" si="5"/>
        <v>9.9359999999999987E-4</v>
      </c>
      <c r="L42" s="65">
        <f t="shared" si="5"/>
        <v>5.4441000000000003E-2</v>
      </c>
      <c r="M42" s="65">
        <f t="shared" si="5"/>
        <v>4.2641999999999999E-2</v>
      </c>
      <c r="N42" s="65">
        <f t="shared" si="5"/>
        <v>16.539300000000001</v>
      </c>
      <c r="O42" s="65">
        <f t="shared" si="5"/>
        <v>815.57999999999993</v>
      </c>
      <c r="P42" s="65">
        <f t="shared" si="5"/>
        <v>0</v>
      </c>
      <c r="Q42" s="65">
        <f t="shared" si="10"/>
        <v>17.43975</v>
      </c>
      <c r="R42" s="65">
        <f t="shared" si="11"/>
        <v>0</v>
      </c>
      <c r="S42" s="65">
        <f t="shared" si="11"/>
        <v>0.125856</v>
      </c>
      <c r="T42" s="65">
        <f t="shared" si="11"/>
        <v>0</v>
      </c>
      <c r="U42" s="126">
        <f t="shared" si="11"/>
        <v>0</v>
      </c>
    </row>
    <row r="43" spans="1:21" s="48" customFormat="1" ht="13" x14ac:dyDescent="0.35">
      <c r="A43" s="125">
        <f>O8</f>
        <v>15</v>
      </c>
      <c r="B43" s="11">
        <v>50</v>
      </c>
      <c r="C43" s="65">
        <f t="shared" si="6"/>
        <v>25.046999999999997</v>
      </c>
      <c r="D43" s="65">
        <f t="shared" si="7"/>
        <v>37.938959999999994</v>
      </c>
      <c r="E43" s="65">
        <f t="shared" si="8"/>
        <v>1.0426383000000001</v>
      </c>
      <c r="F43" s="65">
        <f t="shared" si="9"/>
        <v>3.3393943799999999</v>
      </c>
      <c r="G43" s="65">
        <f t="shared" si="5"/>
        <v>7.7418000000000001E-2</v>
      </c>
      <c r="H43" s="65">
        <f t="shared" si="5"/>
        <v>1.13229</v>
      </c>
      <c r="I43" s="65">
        <f t="shared" si="5"/>
        <v>0.21114000000000002</v>
      </c>
      <c r="J43" s="65">
        <f t="shared" si="5"/>
        <v>2.1942000000000003E-3</v>
      </c>
      <c r="K43" s="65">
        <f t="shared" si="5"/>
        <v>9.9359999999999987E-4</v>
      </c>
      <c r="L43" s="65">
        <f t="shared" si="5"/>
        <v>5.4441000000000003E-2</v>
      </c>
      <c r="M43" s="65">
        <f t="shared" si="5"/>
        <v>4.2641999999999999E-2</v>
      </c>
      <c r="N43" s="65">
        <f t="shared" si="5"/>
        <v>16.539300000000001</v>
      </c>
      <c r="O43" s="65">
        <f t="shared" si="5"/>
        <v>815.57999999999993</v>
      </c>
      <c r="P43" s="65">
        <f t="shared" si="5"/>
        <v>0</v>
      </c>
      <c r="Q43" s="65">
        <f t="shared" si="10"/>
        <v>17.43975</v>
      </c>
      <c r="R43" s="65">
        <f t="shared" si="11"/>
        <v>0</v>
      </c>
      <c r="S43" s="65">
        <f t="shared" si="11"/>
        <v>0.125856</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Arable</v>
      </c>
      <c r="J58" s="10" t="str">
        <f>K16&amp;" I "&amp;(VLOOKUP(K14,Table24581114[],6,FALSE))</f>
        <v>Medium/Clay I Arable</v>
      </c>
      <c r="K58" s="10" t="str">
        <f>L16&amp;" I "&amp;(VLOOKUP(L14,Table24581114[],6,FALSE))</f>
        <v>Medium/Clay I Arable</v>
      </c>
      <c r="L58" s="10" t="str">
        <f>M16&amp;" I "&amp;(VLOOKUP(M14,Table24581114[],6,FALSE))</f>
        <v>Medium/Clay I Arable</v>
      </c>
      <c r="M58" s="10" t="str">
        <f>N16&amp;" I "&amp;(VLOOKUP(N14,Table24581114[],6,FALSE))</f>
        <v>Medium/Clay I Arable</v>
      </c>
      <c r="N58" s="10" t="str">
        <f>O16&amp;" I "&amp;(VLOOKUP(O14,Table24581114[],6,FALSE))</f>
        <v>Medium/Clay I Arable</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f>VLOOKUP(H$14,Table24581114[],5,FALSE)</f>
        <v>6.7</v>
      </c>
      <c r="H59" s="64">
        <f>VLOOKUP(I$14,Table24581114[],5,FALSE)</f>
        <v>6.7</v>
      </c>
      <c r="I59" s="64">
        <f>VLOOKUP(J$14,Table24581114[],5,FALSE)</f>
        <v>6.7</v>
      </c>
      <c r="J59" s="64">
        <f>VLOOKUP(K$14,Table24581114[],5,FALSE)</f>
        <v>6.7</v>
      </c>
      <c r="K59" s="64">
        <f>VLOOKUP(L$14,Table24581114[],5,FALSE)</f>
        <v>6.7</v>
      </c>
      <c r="L59" s="64">
        <f>VLOOKUP(M$14,Table24581114[],5,FALSE)</f>
        <v>6.7</v>
      </c>
      <c r="M59" s="64">
        <f>VLOOKUP(N$14,Table24581114[],5,FALSE)</f>
        <v>6.7</v>
      </c>
      <c r="N59" s="64">
        <f>VLOOKUP(O$14,Table24581114[],5,FALSE)</f>
        <v>6.7</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50</v>
      </c>
      <c r="F62" s="65">
        <f>B35</f>
        <v>50</v>
      </c>
      <c r="G62" s="65">
        <f>B36</f>
        <v>50</v>
      </c>
      <c r="H62" s="65">
        <f>B37</f>
        <v>50</v>
      </c>
      <c r="I62" s="65">
        <f>B38</f>
        <v>50</v>
      </c>
      <c r="J62" s="65">
        <f>B39</f>
        <v>50</v>
      </c>
      <c r="K62" s="65">
        <f>B40</f>
        <v>50</v>
      </c>
      <c r="L62" s="65">
        <f>B41</f>
        <v>50</v>
      </c>
      <c r="M62" s="65">
        <f>B42</f>
        <v>50</v>
      </c>
      <c r="N62" s="65">
        <f>B43</f>
        <v>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6.7</v>
      </c>
      <c r="J1" s="158" t="s">
        <v>153</v>
      </c>
      <c r="K1" s="159"/>
      <c r="L1" s="109">
        <v>109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0.58599999999999997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1.8600682593856654</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26.942159999999998</v>
      </c>
      <c r="D18" s="12">
        <f>$D32</f>
        <v>26.942159999999998</v>
      </c>
      <c r="E18" s="12">
        <f>$D33</f>
        <v>26.942159999999998</v>
      </c>
      <c r="F18" s="12">
        <f>$D34</f>
        <v>26.942159999999998</v>
      </c>
      <c r="G18" s="12">
        <f>$D35</f>
        <v>26.942159999999998</v>
      </c>
      <c r="H18" s="12">
        <f>$D36</f>
        <v>26.942159999999998</v>
      </c>
      <c r="I18" s="12">
        <f>$D37</f>
        <v>26.942159999999998</v>
      </c>
      <c r="J18" s="12">
        <f>$D38</f>
        <v>26.942159999999998</v>
      </c>
      <c r="K18" s="12">
        <f>$D39</f>
        <v>26.942159999999998</v>
      </c>
      <c r="L18" s="12">
        <f>$D40</f>
        <v>26.942159999999998</v>
      </c>
      <c r="M18" s="12">
        <f>$D41</f>
        <v>26.942159999999998</v>
      </c>
      <c r="N18" s="12">
        <f>$D42</f>
        <v>26.942159999999998</v>
      </c>
      <c r="O18" s="12">
        <f>$D43</f>
        <v>26.942159999999998</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-36.057839999999999</v>
      </c>
      <c r="D19" s="12">
        <f t="shared" ref="D19:V19" si="1">D18-D17</f>
        <v>-36.057839999999999</v>
      </c>
      <c r="E19" s="12">
        <f t="shared" si="1"/>
        <v>-36.057839999999999</v>
      </c>
      <c r="F19" s="12">
        <f t="shared" si="1"/>
        <v>-36.057839999999999</v>
      </c>
      <c r="G19" s="12">
        <f t="shared" si="1"/>
        <v>-36.057839999999999</v>
      </c>
      <c r="H19" s="12">
        <f t="shared" si="1"/>
        <v>-36.057839999999999</v>
      </c>
      <c r="I19" s="12">
        <f t="shared" si="1"/>
        <v>-36.057839999999999</v>
      </c>
      <c r="J19" s="12">
        <f t="shared" si="1"/>
        <v>-36.057839999999999</v>
      </c>
      <c r="K19" s="12">
        <f t="shared" si="1"/>
        <v>-36.057839999999999</v>
      </c>
      <c r="L19" s="12">
        <f t="shared" si="1"/>
        <v>-36.057839999999999</v>
      </c>
      <c r="M19" s="12">
        <f t="shared" si="1"/>
        <v>-36.057839999999999</v>
      </c>
      <c r="N19" s="12">
        <f t="shared" si="1"/>
        <v>-36.057839999999999</v>
      </c>
      <c r="O19" s="12">
        <f t="shared" si="1"/>
        <v>-36.057839999999999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2.1121240000000001</v>
      </c>
      <c r="D22" s="12">
        <f>$E32</f>
        <v>2.1121240000000001</v>
      </c>
      <c r="E22" s="12">
        <f>$E33</f>
        <v>2.1121240000000001</v>
      </c>
      <c r="F22" s="12">
        <f>$E34</f>
        <v>2.1121240000000001</v>
      </c>
      <c r="G22" s="12">
        <f>$E35</f>
        <v>2.1121240000000001</v>
      </c>
      <c r="H22" s="12">
        <f>$E36</f>
        <v>2.1121240000000001</v>
      </c>
      <c r="I22" s="12">
        <f>$E37</f>
        <v>2.1121240000000001</v>
      </c>
      <c r="J22" s="12">
        <f>$E38</f>
        <v>2.1121240000000001</v>
      </c>
      <c r="K22" s="12">
        <f>$E39</f>
        <v>2.1121240000000001</v>
      </c>
      <c r="L22" s="12">
        <f>$E40</f>
        <v>2.1121240000000001</v>
      </c>
      <c r="M22" s="12">
        <f>$E41</f>
        <v>2.1121240000000001</v>
      </c>
      <c r="N22" s="12">
        <f>$E42</f>
        <v>2.1121240000000001</v>
      </c>
      <c r="O22" s="12">
        <f>$E43</f>
        <v>2.1121240000000001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-195.88787600000003</v>
      </c>
      <c r="D23" s="12">
        <f t="shared" ref="D23:V23" si="3">D22-D21</f>
        <v>-195.88787600000003</v>
      </c>
      <c r="E23" s="12">
        <f t="shared" si="3"/>
        <v>-195.88787600000003</v>
      </c>
      <c r="F23" s="12">
        <f t="shared" si="3"/>
        <v>-195.88787600000003</v>
      </c>
      <c r="G23" s="12">
        <f t="shared" si="3"/>
        <v>-195.88787600000003</v>
      </c>
      <c r="H23" s="12">
        <f t="shared" si="3"/>
        <v>-195.88787600000003</v>
      </c>
      <c r="I23" s="12">
        <f t="shared" si="3"/>
        <v>-195.88787600000003</v>
      </c>
      <c r="J23" s="12">
        <f t="shared" si="3"/>
        <v>-195.88787600000003</v>
      </c>
      <c r="K23" s="12">
        <f t="shared" si="3"/>
        <v>-195.88787600000003</v>
      </c>
      <c r="L23" s="12">
        <f t="shared" si="3"/>
        <v>-195.88787600000003</v>
      </c>
      <c r="M23" s="12">
        <f t="shared" si="3"/>
        <v>-195.88787600000003</v>
      </c>
      <c r="N23" s="12">
        <f t="shared" si="3"/>
        <v>-195.88787600000003</v>
      </c>
      <c r="O23" s="12">
        <f t="shared" si="3"/>
        <v>-195.88787600000003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5.6</v>
      </c>
      <c r="C28" s="11">
        <v>0.58599999999999997</v>
      </c>
      <c r="D28" s="11">
        <v>0.21</v>
      </c>
      <c r="E28" s="11">
        <v>3.1300000000000001E-2</v>
      </c>
      <c r="F28" s="11">
        <v>653</v>
      </c>
      <c r="G28" s="11">
        <v>28.1</v>
      </c>
      <c r="H28" s="11">
        <v>181</v>
      </c>
      <c r="I28" s="11">
        <v>38.200000000000003</v>
      </c>
      <c r="J28" s="11">
        <v>0.4</v>
      </c>
      <c r="K28" s="15">
        <v>0.36</v>
      </c>
      <c r="L28" s="11">
        <v>18.399999999999999</v>
      </c>
      <c r="M28" s="11">
        <v>29.5</v>
      </c>
      <c r="N28" s="11">
        <v>2930</v>
      </c>
      <c r="O28" s="11">
        <v>420000</v>
      </c>
      <c r="P28" s="11"/>
      <c r="Q28" s="11">
        <v>2570</v>
      </c>
      <c r="R28" s="11"/>
      <c r="S28" s="11">
        <v>15.4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32.815999999999995</v>
      </c>
      <c r="D31" s="65">
        <f>(IF(D$27="%w/w SAR",((D$28*10)*$B31),IF(D$27="%w/w DM",(((D$28*10)*($B$28/100))*$B31),IF(D$27="kg/t SAR",(D$28*$B31),IF(D$27="kg/t DM",((D$28*($B$28/100))*$B31),IF(D$27="mg/kg SAR",((D$28*0.001)*$B31),IF(D$27="mg/kg DM",(((D$28*0.001)*($B$28/100))*$B31),"0")))))))*2.291</f>
        <v>26.942159999999998</v>
      </c>
      <c r="E31" s="65">
        <f>(IF(E$27="%w/w SAR",((E$28*10)*$B31),IF(E$27="%w/w DM",(((E$28*10)*($B$28/100))*$B31),IF(E$27="kg/t SAR",(E$28*$B31),IF(E$27="kg/t DM",((E$28*($B$28/100))*$B31),IF(E$27="mg/kg SAR",((E$28*0.001)*$B31),IF(E$27="mg/kg DM",(((E$28*0.001)*($B$28/100))*$B31),"0")))))))*1.205</f>
        <v>2.1121240000000001</v>
      </c>
      <c r="F31" s="65">
        <f>(IF(F$27="%w/w SAR",((F$28*10)*$B31),IF(F$27="%w/w DM",(((F$28*10)*($B$28/100))*$B31),IF(F$27="kg/t SAR",(F$28*$B31),IF(F$27="kg/t DM",((F$28*($B$28/100))*$B31),IF(F$27="mg/kg SAR",((F$28*0.001)*$B31),IF(F$27="mg/kg DM",(((F$28*0.001)*($B$28/100))*$B31),"0")))))))*1.658</f>
        <v>6.062974399999999</v>
      </c>
      <c r="G31" s="65">
        <f t="shared" ref="G31:P46" si="5">IF(G$27="%w/w SAR",((G$28*10)*$B31),IF(G$27="%w/w DM",(((G$28*10)*($B$28/100))*$B31),IF(G$27="kg/t SAR",(G$28*$B31),IF(G$27="kg/t DM",((G$28*($B$28/100))*$B31),IF(G$27="mg/kg SAR",((G$28*0.001)*$B31),IF(G$27="mg/kg DM",(((G$28*0.001)*($B$28/100))*$B31),0))))))</f>
        <v>0.15736</v>
      </c>
      <c r="H31" s="65">
        <f t="shared" si="5"/>
        <v>1.0135999999999998</v>
      </c>
      <c r="I31" s="65">
        <f t="shared" si="5"/>
        <v>0.21392</v>
      </c>
      <c r="J31" s="65">
        <f t="shared" si="5"/>
        <v>2.2399999999999998E-3</v>
      </c>
      <c r="K31" s="65">
        <f t="shared" si="5"/>
        <v>2.0159999999999996E-3</v>
      </c>
      <c r="L31" s="65">
        <f t="shared" si="5"/>
        <v>0.10303999999999999</v>
      </c>
      <c r="M31" s="65">
        <f t="shared" si="5"/>
        <v>0.16520000000000001</v>
      </c>
      <c r="N31" s="65">
        <f t="shared" si="5"/>
        <v>16.408000000000001</v>
      </c>
      <c r="O31" s="65">
        <f t="shared" si="5"/>
        <v>2351.9999999999995</v>
      </c>
      <c r="P31" s="65">
        <f t="shared" si="5"/>
        <v>0</v>
      </c>
      <c r="Q31" s="65">
        <f>(IF(Q$27="%w/w SAR",((Q$28*10)*$B31),IF(Q$27="%w/w DM",(((Q$28*10)*($B$28/100))*$B31),IF(Q$27="kg/t SAR",(Q$28*$B31),IF(Q$27="kg/t DM",((Q$28*($B$28/100))*$B31),IF(Q$27="mg/kg SAR",((Q$28*0.001)*$B31),IF(Q$27="mg/kg DM",(((Q$28*0.001)*($B$28/100))*$B31),0)))))))*2.5</f>
        <v>35.97999999999999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8.6239999999999997E-2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32.815999999999995</v>
      </c>
      <c r="D32" s="65">
        <f t="shared" ref="D32:D50" si="7">(IF(D$27="%w/w SAR",((D$28*10)*$B32),IF(D$27="%w/w DM",(((D$28*10)*($B$28/100))*$B32),IF(D$27="kg/t SAR",(D$28*$B32),IF(D$27="kg/t DM",((D$28*($B$28/100))*$B32),IF(D$27="mg/kg SAR",((D$28*0.001)*$B32),IF(D$27="mg/kg DM",(((D$28*0.001)*($B$28/100))*$B32),"0")))))))*2.291</f>
        <v>26.942159999999998</v>
      </c>
      <c r="E32" s="65">
        <f t="shared" ref="E32:E50" si="8">(IF(E$27="%w/w SAR",((E$28*10)*$B32),IF(E$27="%w/w DM",(((E$28*10)*($B$28/100))*$B32),IF(E$27="kg/t SAR",(E$28*$B32),IF(E$27="kg/t DM",((E$28*($B$28/100))*$B32),IF(E$27="mg/kg SAR",((E$28*0.001)*$B32),IF(E$27="mg/kg DM",(((E$28*0.001)*($B$28/100))*$B32),"0")))))))*1.205</f>
        <v>2.1121240000000001</v>
      </c>
      <c r="F32" s="65">
        <f t="shared" ref="F32:F50" si="9">(IF(F$27="%w/w SAR",((F$28*10)*$B32),IF(F$27="%w/w DM",(((F$28*10)*($B$28/100))*$B32),IF(F$27="kg/t SAR",(F$28*$B32),IF(F$27="kg/t DM",((F$28*($B$28/100))*$B32),IF(F$27="mg/kg SAR",((F$28*0.001)*$B32),IF(F$27="mg/kg DM",(((F$28*0.001)*($B$28/100))*$B32),"0")))))))*1.658</f>
        <v>6.062974399999999</v>
      </c>
      <c r="G32" s="65">
        <f t="shared" si="5"/>
        <v>0.15736</v>
      </c>
      <c r="H32" s="65">
        <f t="shared" si="5"/>
        <v>1.0135999999999998</v>
      </c>
      <c r="I32" s="65">
        <f t="shared" si="5"/>
        <v>0.21392</v>
      </c>
      <c r="J32" s="65">
        <f t="shared" si="5"/>
        <v>2.2399999999999998E-3</v>
      </c>
      <c r="K32" s="65">
        <f t="shared" si="5"/>
        <v>2.0159999999999996E-3</v>
      </c>
      <c r="L32" s="65">
        <f t="shared" si="5"/>
        <v>0.10303999999999999</v>
      </c>
      <c r="M32" s="65">
        <f t="shared" si="5"/>
        <v>0.16520000000000001</v>
      </c>
      <c r="N32" s="65">
        <f t="shared" si="5"/>
        <v>16.408000000000001</v>
      </c>
      <c r="O32" s="65">
        <f t="shared" si="5"/>
        <v>2351.9999999999995</v>
      </c>
      <c r="P32" s="65">
        <f t="shared" si="5"/>
        <v>0</v>
      </c>
      <c r="Q32" s="65">
        <f t="shared" ref="Q32:Q50" si="10">(IF(Q$27="%w/w SAR",((Q$28*10)*$B32),IF(Q$27="%w/w DM",(((Q$28*10)*($B$28/100))*$B32),IF(Q$27="kg/t SAR",(Q$28*$B32),IF(Q$27="kg/t DM",((Q$28*($B$28/100))*$B32),IF(Q$27="mg/kg SAR",((Q$28*0.001)*$B32),IF(Q$27="mg/kg DM",(((Q$28*0.001)*($B$28/100))*$B32),0)))))))*2.5</f>
        <v>35.97999999999999</v>
      </c>
      <c r="R32" s="65">
        <f t="shared" ref="R32:U50" si="11">IF(R$27="%w/w SAR",((R$28*10)*$B32),IF(R$27="%w/w DM",(((R$28*10)*($B$28/100))*$B32),IF(R$27="kg/t SAR",(R$28*$B32),IF(R$27="kg/t DM",((R$28*($B$28/100))*$B32),IF(R$27="mg/kg SAR",((R$28*0.001)*$B32),IF(R$27="mg/kg DM",(((R$28*0.001)*($B$28/100))*$B32),0))))))</f>
        <v>0</v>
      </c>
      <c r="S32" s="65">
        <f t="shared" si="11"/>
        <v>8.6239999999999997E-2</v>
      </c>
      <c r="T32" s="65">
        <f t="shared" si="11"/>
        <v>0</v>
      </c>
      <c r="U32" s="126">
        <f t="shared" si="11"/>
        <v>0</v>
      </c>
    </row>
    <row r="33" spans="1:21" s="48" customFormat="1" ht="13" x14ac:dyDescent="0.35">
      <c r="A33" s="125">
        <f>E8</f>
        <v>3</v>
      </c>
      <c r="B33" s="11">
        <v>100</v>
      </c>
      <c r="C33" s="65">
        <f t="shared" si="6"/>
        <v>32.815999999999995</v>
      </c>
      <c r="D33" s="65">
        <f t="shared" si="7"/>
        <v>26.942159999999998</v>
      </c>
      <c r="E33" s="65">
        <f t="shared" si="8"/>
        <v>2.1121240000000001</v>
      </c>
      <c r="F33" s="65">
        <f t="shared" si="9"/>
        <v>6.062974399999999</v>
      </c>
      <c r="G33" s="65">
        <f t="shared" si="5"/>
        <v>0.15736</v>
      </c>
      <c r="H33" s="65">
        <f t="shared" si="5"/>
        <v>1.0135999999999998</v>
      </c>
      <c r="I33" s="65">
        <f t="shared" si="5"/>
        <v>0.21392</v>
      </c>
      <c r="J33" s="65">
        <f t="shared" si="5"/>
        <v>2.2399999999999998E-3</v>
      </c>
      <c r="K33" s="65">
        <f t="shared" si="5"/>
        <v>2.0159999999999996E-3</v>
      </c>
      <c r="L33" s="65">
        <f t="shared" si="5"/>
        <v>0.10303999999999999</v>
      </c>
      <c r="M33" s="65">
        <f t="shared" si="5"/>
        <v>0.16520000000000001</v>
      </c>
      <c r="N33" s="65">
        <f t="shared" si="5"/>
        <v>16.408000000000001</v>
      </c>
      <c r="O33" s="65">
        <f t="shared" si="5"/>
        <v>2351.9999999999995</v>
      </c>
      <c r="P33" s="65">
        <f t="shared" si="5"/>
        <v>0</v>
      </c>
      <c r="Q33" s="65">
        <f t="shared" si="10"/>
        <v>35.97999999999999</v>
      </c>
      <c r="R33" s="65">
        <f t="shared" si="11"/>
        <v>0</v>
      </c>
      <c r="S33" s="65">
        <f t="shared" si="11"/>
        <v>8.6239999999999997E-2</v>
      </c>
      <c r="T33" s="65">
        <f t="shared" si="11"/>
        <v>0</v>
      </c>
      <c r="U33" s="126">
        <f t="shared" si="11"/>
        <v>0</v>
      </c>
    </row>
    <row r="34" spans="1:21" s="48" customFormat="1" ht="13" x14ac:dyDescent="0.35">
      <c r="A34" s="125">
        <f>F8</f>
        <v>4</v>
      </c>
      <c r="B34" s="11">
        <v>100</v>
      </c>
      <c r="C34" s="65">
        <f t="shared" si="6"/>
        <v>32.815999999999995</v>
      </c>
      <c r="D34" s="65">
        <f t="shared" si="7"/>
        <v>26.942159999999998</v>
      </c>
      <c r="E34" s="65">
        <f t="shared" si="8"/>
        <v>2.1121240000000001</v>
      </c>
      <c r="F34" s="65">
        <f t="shared" si="9"/>
        <v>6.062974399999999</v>
      </c>
      <c r="G34" s="65">
        <f t="shared" si="5"/>
        <v>0.15736</v>
      </c>
      <c r="H34" s="65">
        <f t="shared" si="5"/>
        <v>1.0135999999999998</v>
      </c>
      <c r="I34" s="65">
        <f t="shared" si="5"/>
        <v>0.21392</v>
      </c>
      <c r="J34" s="65">
        <f t="shared" si="5"/>
        <v>2.2399999999999998E-3</v>
      </c>
      <c r="K34" s="65">
        <f t="shared" si="5"/>
        <v>2.0159999999999996E-3</v>
      </c>
      <c r="L34" s="65">
        <f t="shared" si="5"/>
        <v>0.10303999999999999</v>
      </c>
      <c r="M34" s="65">
        <f t="shared" si="5"/>
        <v>0.16520000000000001</v>
      </c>
      <c r="N34" s="65">
        <f t="shared" si="5"/>
        <v>16.408000000000001</v>
      </c>
      <c r="O34" s="65">
        <f t="shared" si="5"/>
        <v>2351.9999999999995</v>
      </c>
      <c r="P34" s="65">
        <f t="shared" si="5"/>
        <v>0</v>
      </c>
      <c r="Q34" s="65">
        <f t="shared" si="10"/>
        <v>35.97999999999999</v>
      </c>
      <c r="R34" s="65">
        <f t="shared" si="11"/>
        <v>0</v>
      </c>
      <c r="S34" s="65">
        <f t="shared" si="11"/>
        <v>8.6239999999999997E-2</v>
      </c>
      <c r="T34" s="65">
        <f t="shared" si="11"/>
        <v>0</v>
      </c>
      <c r="U34" s="126">
        <f t="shared" si="11"/>
        <v>0</v>
      </c>
    </row>
    <row r="35" spans="1:21" s="48" customFormat="1" ht="13" x14ac:dyDescent="0.35">
      <c r="A35" s="125">
        <f>G8</f>
        <v>5</v>
      </c>
      <c r="B35" s="11">
        <v>100</v>
      </c>
      <c r="C35" s="65">
        <f t="shared" si="6"/>
        <v>32.815999999999995</v>
      </c>
      <c r="D35" s="65">
        <f t="shared" si="7"/>
        <v>26.942159999999998</v>
      </c>
      <c r="E35" s="65">
        <f t="shared" si="8"/>
        <v>2.1121240000000001</v>
      </c>
      <c r="F35" s="65">
        <f t="shared" si="9"/>
        <v>6.062974399999999</v>
      </c>
      <c r="G35" s="65">
        <f t="shared" si="5"/>
        <v>0.15736</v>
      </c>
      <c r="H35" s="65">
        <f t="shared" si="5"/>
        <v>1.0135999999999998</v>
      </c>
      <c r="I35" s="65">
        <f t="shared" si="5"/>
        <v>0.21392</v>
      </c>
      <c r="J35" s="65">
        <f t="shared" si="5"/>
        <v>2.2399999999999998E-3</v>
      </c>
      <c r="K35" s="65">
        <f t="shared" si="5"/>
        <v>2.0159999999999996E-3</v>
      </c>
      <c r="L35" s="65">
        <f t="shared" si="5"/>
        <v>0.10303999999999999</v>
      </c>
      <c r="M35" s="65">
        <f t="shared" si="5"/>
        <v>0.16520000000000001</v>
      </c>
      <c r="N35" s="65">
        <f t="shared" si="5"/>
        <v>16.408000000000001</v>
      </c>
      <c r="O35" s="65">
        <f t="shared" si="5"/>
        <v>2351.9999999999995</v>
      </c>
      <c r="P35" s="65">
        <f t="shared" si="5"/>
        <v>0</v>
      </c>
      <c r="Q35" s="65">
        <f t="shared" si="10"/>
        <v>35.97999999999999</v>
      </c>
      <c r="R35" s="65">
        <f t="shared" si="11"/>
        <v>0</v>
      </c>
      <c r="S35" s="65">
        <f t="shared" si="11"/>
        <v>8.6239999999999997E-2</v>
      </c>
      <c r="T35" s="65">
        <f t="shared" si="11"/>
        <v>0</v>
      </c>
      <c r="U35" s="126">
        <f t="shared" si="11"/>
        <v>0</v>
      </c>
    </row>
    <row r="36" spans="1:21" s="48" customFormat="1" ht="13" x14ac:dyDescent="0.35">
      <c r="A36" s="125">
        <f>H8</f>
        <v>6</v>
      </c>
      <c r="B36" s="11">
        <v>100</v>
      </c>
      <c r="C36" s="65">
        <f t="shared" si="6"/>
        <v>32.815999999999995</v>
      </c>
      <c r="D36" s="65">
        <f t="shared" si="7"/>
        <v>26.942159999999998</v>
      </c>
      <c r="E36" s="65">
        <f t="shared" si="8"/>
        <v>2.1121240000000001</v>
      </c>
      <c r="F36" s="65">
        <f t="shared" si="9"/>
        <v>6.062974399999999</v>
      </c>
      <c r="G36" s="65">
        <f t="shared" si="5"/>
        <v>0.15736</v>
      </c>
      <c r="H36" s="65">
        <f t="shared" si="5"/>
        <v>1.0135999999999998</v>
      </c>
      <c r="I36" s="65">
        <f t="shared" si="5"/>
        <v>0.21392</v>
      </c>
      <c r="J36" s="65">
        <f t="shared" si="5"/>
        <v>2.2399999999999998E-3</v>
      </c>
      <c r="K36" s="65">
        <f t="shared" si="5"/>
        <v>2.0159999999999996E-3</v>
      </c>
      <c r="L36" s="65">
        <f t="shared" si="5"/>
        <v>0.10303999999999999</v>
      </c>
      <c r="M36" s="65">
        <f t="shared" si="5"/>
        <v>0.16520000000000001</v>
      </c>
      <c r="N36" s="65">
        <f t="shared" si="5"/>
        <v>16.408000000000001</v>
      </c>
      <c r="O36" s="65">
        <f t="shared" si="5"/>
        <v>2351.9999999999995</v>
      </c>
      <c r="P36" s="65">
        <f t="shared" si="5"/>
        <v>0</v>
      </c>
      <c r="Q36" s="65">
        <f t="shared" si="10"/>
        <v>35.97999999999999</v>
      </c>
      <c r="R36" s="65">
        <f t="shared" si="11"/>
        <v>0</v>
      </c>
      <c r="S36" s="65">
        <f t="shared" si="11"/>
        <v>8.6239999999999997E-2</v>
      </c>
      <c r="T36" s="65">
        <f t="shared" si="11"/>
        <v>0</v>
      </c>
      <c r="U36" s="126">
        <f t="shared" si="11"/>
        <v>0</v>
      </c>
    </row>
    <row r="37" spans="1:21" s="48" customFormat="1" ht="13" x14ac:dyDescent="0.35">
      <c r="A37" s="125">
        <f>I8</f>
        <v>7</v>
      </c>
      <c r="B37" s="11">
        <v>100</v>
      </c>
      <c r="C37" s="65">
        <f t="shared" si="6"/>
        <v>32.815999999999995</v>
      </c>
      <c r="D37" s="65">
        <f t="shared" si="7"/>
        <v>26.942159999999998</v>
      </c>
      <c r="E37" s="65">
        <f t="shared" si="8"/>
        <v>2.1121240000000001</v>
      </c>
      <c r="F37" s="65">
        <f t="shared" si="9"/>
        <v>6.062974399999999</v>
      </c>
      <c r="G37" s="65">
        <f t="shared" si="5"/>
        <v>0.15736</v>
      </c>
      <c r="H37" s="65">
        <f t="shared" si="5"/>
        <v>1.0135999999999998</v>
      </c>
      <c r="I37" s="65">
        <f t="shared" si="5"/>
        <v>0.21392</v>
      </c>
      <c r="J37" s="65">
        <f t="shared" si="5"/>
        <v>2.2399999999999998E-3</v>
      </c>
      <c r="K37" s="65">
        <f t="shared" si="5"/>
        <v>2.0159999999999996E-3</v>
      </c>
      <c r="L37" s="65">
        <f t="shared" si="5"/>
        <v>0.10303999999999999</v>
      </c>
      <c r="M37" s="65">
        <f t="shared" si="5"/>
        <v>0.16520000000000001</v>
      </c>
      <c r="N37" s="65">
        <f t="shared" si="5"/>
        <v>16.408000000000001</v>
      </c>
      <c r="O37" s="65">
        <f t="shared" si="5"/>
        <v>2351.9999999999995</v>
      </c>
      <c r="P37" s="65">
        <f t="shared" si="5"/>
        <v>0</v>
      </c>
      <c r="Q37" s="65">
        <f t="shared" si="10"/>
        <v>35.97999999999999</v>
      </c>
      <c r="R37" s="65">
        <f t="shared" si="11"/>
        <v>0</v>
      </c>
      <c r="S37" s="65">
        <f t="shared" si="11"/>
        <v>8.6239999999999997E-2</v>
      </c>
      <c r="T37" s="65">
        <f t="shared" si="11"/>
        <v>0</v>
      </c>
      <c r="U37" s="126">
        <f t="shared" si="11"/>
        <v>0</v>
      </c>
    </row>
    <row r="38" spans="1:21" s="48" customFormat="1" ht="13" x14ac:dyDescent="0.35">
      <c r="A38" s="125">
        <f>J8</f>
        <v>8</v>
      </c>
      <c r="B38" s="11">
        <v>100</v>
      </c>
      <c r="C38" s="65">
        <f t="shared" si="6"/>
        <v>32.815999999999995</v>
      </c>
      <c r="D38" s="65">
        <f t="shared" si="7"/>
        <v>26.942159999999998</v>
      </c>
      <c r="E38" s="65">
        <f t="shared" si="8"/>
        <v>2.1121240000000001</v>
      </c>
      <c r="F38" s="65">
        <f t="shared" si="9"/>
        <v>6.062974399999999</v>
      </c>
      <c r="G38" s="65">
        <f t="shared" si="5"/>
        <v>0.15736</v>
      </c>
      <c r="H38" s="65">
        <f t="shared" si="5"/>
        <v>1.0135999999999998</v>
      </c>
      <c r="I38" s="65">
        <f t="shared" si="5"/>
        <v>0.21392</v>
      </c>
      <c r="J38" s="65">
        <f t="shared" si="5"/>
        <v>2.2399999999999998E-3</v>
      </c>
      <c r="K38" s="65">
        <f t="shared" si="5"/>
        <v>2.0159999999999996E-3</v>
      </c>
      <c r="L38" s="65">
        <f t="shared" si="5"/>
        <v>0.10303999999999999</v>
      </c>
      <c r="M38" s="65">
        <f t="shared" si="5"/>
        <v>0.16520000000000001</v>
      </c>
      <c r="N38" s="65">
        <f t="shared" si="5"/>
        <v>16.408000000000001</v>
      </c>
      <c r="O38" s="65">
        <f t="shared" si="5"/>
        <v>2351.9999999999995</v>
      </c>
      <c r="P38" s="65">
        <f t="shared" si="5"/>
        <v>0</v>
      </c>
      <c r="Q38" s="65">
        <f t="shared" si="10"/>
        <v>35.97999999999999</v>
      </c>
      <c r="R38" s="65">
        <f t="shared" si="11"/>
        <v>0</v>
      </c>
      <c r="S38" s="65">
        <f t="shared" si="11"/>
        <v>8.6239999999999997E-2</v>
      </c>
      <c r="T38" s="65">
        <f t="shared" si="11"/>
        <v>0</v>
      </c>
      <c r="U38" s="126">
        <f t="shared" si="11"/>
        <v>0</v>
      </c>
    </row>
    <row r="39" spans="1:21" s="48" customFormat="1" ht="13" x14ac:dyDescent="0.35">
      <c r="A39" s="125">
        <f>K8</f>
        <v>9</v>
      </c>
      <c r="B39" s="11">
        <v>100</v>
      </c>
      <c r="C39" s="65">
        <f t="shared" si="6"/>
        <v>32.815999999999995</v>
      </c>
      <c r="D39" s="65">
        <f t="shared" si="7"/>
        <v>26.942159999999998</v>
      </c>
      <c r="E39" s="65">
        <f t="shared" si="8"/>
        <v>2.1121240000000001</v>
      </c>
      <c r="F39" s="65">
        <f t="shared" si="9"/>
        <v>6.062974399999999</v>
      </c>
      <c r="G39" s="65">
        <f t="shared" si="5"/>
        <v>0.15736</v>
      </c>
      <c r="H39" s="65">
        <f t="shared" si="5"/>
        <v>1.0135999999999998</v>
      </c>
      <c r="I39" s="65">
        <f t="shared" si="5"/>
        <v>0.21392</v>
      </c>
      <c r="J39" s="65">
        <f t="shared" si="5"/>
        <v>2.2399999999999998E-3</v>
      </c>
      <c r="K39" s="65">
        <f t="shared" si="5"/>
        <v>2.0159999999999996E-3</v>
      </c>
      <c r="L39" s="65">
        <f t="shared" si="5"/>
        <v>0.10303999999999999</v>
      </c>
      <c r="M39" s="65">
        <f t="shared" si="5"/>
        <v>0.16520000000000001</v>
      </c>
      <c r="N39" s="65">
        <f t="shared" si="5"/>
        <v>16.408000000000001</v>
      </c>
      <c r="O39" s="65">
        <f t="shared" si="5"/>
        <v>2351.9999999999995</v>
      </c>
      <c r="P39" s="65">
        <f t="shared" si="5"/>
        <v>0</v>
      </c>
      <c r="Q39" s="65">
        <f t="shared" si="10"/>
        <v>35.97999999999999</v>
      </c>
      <c r="R39" s="65">
        <f t="shared" si="11"/>
        <v>0</v>
      </c>
      <c r="S39" s="65">
        <f t="shared" si="11"/>
        <v>8.6239999999999997E-2</v>
      </c>
      <c r="T39" s="65">
        <f t="shared" si="11"/>
        <v>0</v>
      </c>
      <c r="U39" s="126">
        <f t="shared" si="11"/>
        <v>0</v>
      </c>
    </row>
    <row r="40" spans="1:21" s="48" customFormat="1" ht="13" x14ac:dyDescent="0.35">
      <c r="A40" s="125">
        <f>L8</f>
        <v>10</v>
      </c>
      <c r="B40" s="11">
        <v>100</v>
      </c>
      <c r="C40" s="65">
        <f t="shared" si="6"/>
        <v>32.815999999999995</v>
      </c>
      <c r="D40" s="65">
        <f t="shared" si="7"/>
        <v>26.942159999999998</v>
      </c>
      <c r="E40" s="65">
        <f t="shared" si="8"/>
        <v>2.1121240000000001</v>
      </c>
      <c r="F40" s="65">
        <f t="shared" si="9"/>
        <v>6.062974399999999</v>
      </c>
      <c r="G40" s="65">
        <f t="shared" si="5"/>
        <v>0.15736</v>
      </c>
      <c r="H40" s="65">
        <f t="shared" si="5"/>
        <v>1.0135999999999998</v>
      </c>
      <c r="I40" s="65">
        <f t="shared" si="5"/>
        <v>0.21392</v>
      </c>
      <c r="J40" s="65">
        <f t="shared" si="5"/>
        <v>2.2399999999999998E-3</v>
      </c>
      <c r="K40" s="65">
        <f t="shared" si="5"/>
        <v>2.0159999999999996E-3</v>
      </c>
      <c r="L40" s="65">
        <f t="shared" si="5"/>
        <v>0.10303999999999999</v>
      </c>
      <c r="M40" s="65">
        <f t="shared" si="5"/>
        <v>0.16520000000000001</v>
      </c>
      <c r="N40" s="65">
        <f t="shared" si="5"/>
        <v>16.408000000000001</v>
      </c>
      <c r="O40" s="65">
        <f t="shared" si="5"/>
        <v>2351.9999999999995</v>
      </c>
      <c r="P40" s="65">
        <f t="shared" si="5"/>
        <v>0</v>
      </c>
      <c r="Q40" s="65">
        <f t="shared" si="10"/>
        <v>35.97999999999999</v>
      </c>
      <c r="R40" s="65">
        <f t="shared" si="11"/>
        <v>0</v>
      </c>
      <c r="S40" s="65">
        <f t="shared" si="11"/>
        <v>8.6239999999999997E-2</v>
      </c>
      <c r="T40" s="65">
        <f t="shared" si="11"/>
        <v>0</v>
      </c>
      <c r="U40" s="126">
        <f t="shared" si="11"/>
        <v>0</v>
      </c>
    </row>
    <row r="41" spans="1:21" s="48" customFormat="1" ht="13" x14ac:dyDescent="0.35">
      <c r="A41" s="125">
        <f>M8</f>
        <v>11</v>
      </c>
      <c r="B41" s="11">
        <v>100</v>
      </c>
      <c r="C41" s="65">
        <f t="shared" si="6"/>
        <v>32.815999999999995</v>
      </c>
      <c r="D41" s="65">
        <f t="shared" si="7"/>
        <v>26.942159999999998</v>
      </c>
      <c r="E41" s="65">
        <f t="shared" si="8"/>
        <v>2.1121240000000001</v>
      </c>
      <c r="F41" s="65">
        <f t="shared" si="9"/>
        <v>6.062974399999999</v>
      </c>
      <c r="G41" s="65">
        <f t="shared" si="5"/>
        <v>0.15736</v>
      </c>
      <c r="H41" s="65">
        <f t="shared" si="5"/>
        <v>1.0135999999999998</v>
      </c>
      <c r="I41" s="65">
        <f t="shared" si="5"/>
        <v>0.21392</v>
      </c>
      <c r="J41" s="65">
        <f t="shared" si="5"/>
        <v>2.2399999999999998E-3</v>
      </c>
      <c r="K41" s="65">
        <f t="shared" si="5"/>
        <v>2.0159999999999996E-3</v>
      </c>
      <c r="L41" s="65">
        <f t="shared" si="5"/>
        <v>0.10303999999999999</v>
      </c>
      <c r="M41" s="65">
        <f t="shared" si="5"/>
        <v>0.16520000000000001</v>
      </c>
      <c r="N41" s="65">
        <f t="shared" si="5"/>
        <v>16.408000000000001</v>
      </c>
      <c r="O41" s="65">
        <f t="shared" si="5"/>
        <v>2351.9999999999995</v>
      </c>
      <c r="P41" s="65">
        <f t="shared" si="5"/>
        <v>0</v>
      </c>
      <c r="Q41" s="65">
        <f t="shared" si="10"/>
        <v>35.97999999999999</v>
      </c>
      <c r="R41" s="65">
        <f t="shared" si="11"/>
        <v>0</v>
      </c>
      <c r="S41" s="65">
        <f t="shared" si="11"/>
        <v>8.6239999999999997E-2</v>
      </c>
      <c r="T41" s="65">
        <f t="shared" si="11"/>
        <v>0</v>
      </c>
      <c r="U41" s="126">
        <f t="shared" si="11"/>
        <v>0</v>
      </c>
    </row>
    <row r="42" spans="1:21" s="48" customFormat="1" ht="13" x14ac:dyDescent="0.35">
      <c r="A42" s="125">
        <f>N8</f>
        <v>14</v>
      </c>
      <c r="B42" s="11">
        <v>100</v>
      </c>
      <c r="C42" s="65">
        <f t="shared" si="6"/>
        <v>32.815999999999995</v>
      </c>
      <c r="D42" s="65">
        <f t="shared" si="7"/>
        <v>26.942159999999998</v>
      </c>
      <c r="E42" s="65">
        <f t="shared" si="8"/>
        <v>2.1121240000000001</v>
      </c>
      <c r="F42" s="65">
        <f t="shared" si="9"/>
        <v>6.062974399999999</v>
      </c>
      <c r="G42" s="65">
        <f t="shared" si="5"/>
        <v>0.15736</v>
      </c>
      <c r="H42" s="65">
        <f t="shared" si="5"/>
        <v>1.0135999999999998</v>
      </c>
      <c r="I42" s="65">
        <f t="shared" si="5"/>
        <v>0.21392</v>
      </c>
      <c r="J42" s="65">
        <f t="shared" si="5"/>
        <v>2.2399999999999998E-3</v>
      </c>
      <c r="K42" s="65">
        <f t="shared" si="5"/>
        <v>2.0159999999999996E-3</v>
      </c>
      <c r="L42" s="65">
        <f t="shared" si="5"/>
        <v>0.10303999999999999</v>
      </c>
      <c r="M42" s="65">
        <f t="shared" si="5"/>
        <v>0.16520000000000001</v>
      </c>
      <c r="N42" s="65">
        <f t="shared" si="5"/>
        <v>16.408000000000001</v>
      </c>
      <c r="O42" s="65">
        <f t="shared" si="5"/>
        <v>2351.9999999999995</v>
      </c>
      <c r="P42" s="65">
        <f t="shared" si="5"/>
        <v>0</v>
      </c>
      <c r="Q42" s="65">
        <f t="shared" si="10"/>
        <v>35.97999999999999</v>
      </c>
      <c r="R42" s="65">
        <f t="shared" si="11"/>
        <v>0</v>
      </c>
      <c r="S42" s="65">
        <f t="shared" si="11"/>
        <v>8.6239999999999997E-2</v>
      </c>
      <c r="T42" s="65">
        <f t="shared" si="11"/>
        <v>0</v>
      </c>
      <c r="U42" s="126">
        <f t="shared" si="11"/>
        <v>0</v>
      </c>
    </row>
    <row r="43" spans="1:21" s="48" customFormat="1" ht="13" x14ac:dyDescent="0.35">
      <c r="A43" s="125">
        <f>O8</f>
        <v>15</v>
      </c>
      <c r="B43" s="11">
        <v>100</v>
      </c>
      <c r="C43" s="65">
        <f t="shared" si="6"/>
        <v>32.815999999999995</v>
      </c>
      <c r="D43" s="65">
        <f t="shared" si="7"/>
        <v>26.942159999999998</v>
      </c>
      <c r="E43" s="65">
        <f t="shared" si="8"/>
        <v>2.1121240000000001</v>
      </c>
      <c r="F43" s="65">
        <f t="shared" si="9"/>
        <v>6.062974399999999</v>
      </c>
      <c r="G43" s="65">
        <f t="shared" si="5"/>
        <v>0.15736</v>
      </c>
      <c r="H43" s="65">
        <f t="shared" si="5"/>
        <v>1.0135999999999998</v>
      </c>
      <c r="I43" s="65">
        <f t="shared" si="5"/>
        <v>0.21392</v>
      </c>
      <c r="J43" s="65">
        <f t="shared" si="5"/>
        <v>2.2399999999999998E-3</v>
      </c>
      <c r="K43" s="65">
        <f t="shared" si="5"/>
        <v>2.0159999999999996E-3</v>
      </c>
      <c r="L43" s="65">
        <f t="shared" si="5"/>
        <v>0.10303999999999999</v>
      </c>
      <c r="M43" s="65">
        <f t="shared" si="5"/>
        <v>0.16520000000000001</v>
      </c>
      <c r="N43" s="65">
        <f t="shared" si="5"/>
        <v>16.408000000000001</v>
      </c>
      <c r="O43" s="65">
        <f t="shared" si="5"/>
        <v>2351.9999999999995</v>
      </c>
      <c r="P43" s="65">
        <f t="shared" si="5"/>
        <v>0</v>
      </c>
      <c r="Q43" s="65">
        <f t="shared" si="10"/>
        <v>35.97999999999999</v>
      </c>
      <c r="R43" s="65">
        <f t="shared" si="11"/>
        <v>0</v>
      </c>
      <c r="S43" s="65">
        <f t="shared" si="11"/>
        <v>8.6239999999999997E-2</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Arable</v>
      </c>
      <c r="J58" s="10" t="str">
        <f>K16&amp;" I "&amp;(VLOOKUP(K14,Table245810[],6,FALSE))</f>
        <v>Medium/Clay I Arable</v>
      </c>
      <c r="K58" s="10" t="str">
        <f>L16&amp;" I "&amp;(VLOOKUP(L14,Table245810[],6,FALSE))</f>
        <v>Medium/Clay I Arable</v>
      </c>
      <c r="L58" s="10" t="str">
        <f>M16&amp;" I "&amp;(VLOOKUP(M14,Table245810[],6,FALSE))</f>
        <v>Medium/Clay I Arable</v>
      </c>
      <c r="M58" s="10" t="str">
        <f>N16&amp;" I "&amp;(VLOOKUP(N14,Table245810[],6,FALSE))</f>
        <v>Medium/Clay I Arable</v>
      </c>
      <c r="N58" s="10" t="str">
        <f>O16&amp;" I "&amp;(VLOOKUP(O14,Table245810[],6,FALSE))</f>
        <v>Medium/Clay I Arable</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6.7</v>
      </c>
      <c r="D59" s="64">
        <f>VLOOKUP(E$14,Table245810[],5,FALSE)</f>
        <v>6.7</v>
      </c>
      <c r="E59" s="64">
        <f>VLOOKUP(F$14,Table245810[],5,FALSE)</f>
        <v>6.7</v>
      </c>
      <c r="F59" s="64">
        <f>VLOOKUP(G$14,Table245810[],5,FALSE)</f>
        <v>6.7</v>
      </c>
      <c r="G59" s="64">
        <f>VLOOKUP(H$14,Table245810[],5,FALSE)</f>
        <v>6.7</v>
      </c>
      <c r="H59" s="64">
        <f>VLOOKUP(I$14,Table245810[],5,FALSE)</f>
        <v>6.7</v>
      </c>
      <c r="I59" s="64">
        <f>VLOOKUP(J$14,Table245810[],5,FALSE)</f>
        <v>6.7</v>
      </c>
      <c r="J59" s="64">
        <f>VLOOKUP(K$14,Table245810[],5,FALSE)</f>
        <v>6.7</v>
      </c>
      <c r="K59" s="64">
        <f>VLOOKUP(L$14,Table245810[],5,FALSE)</f>
        <v>6.7</v>
      </c>
      <c r="L59" s="64">
        <f>VLOOKUP(M$14,Table245810[],5,FALSE)</f>
        <v>6.7</v>
      </c>
      <c r="M59" s="64">
        <f>VLOOKUP(N$14,Table245810[],5,FALSE)</f>
        <v>6.7</v>
      </c>
      <c r="N59" s="64">
        <f>VLOOKUP(O$14,Table245810[],5,FALSE)</f>
        <v>6.7</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6.2</v>
      </c>
      <c r="J1" s="158" t="s">
        <v>153</v>
      </c>
      <c r="K1" s="159"/>
      <c r="L1" s="109">
        <v>131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2.3688969258589507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171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26.690149999999999</v>
      </c>
      <c r="D18" s="12">
        <f>$D32</f>
        <v>26.690149999999999</v>
      </c>
      <c r="E18" s="12">
        <f>$D33</f>
        <v>26.690149999999999</v>
      </c>
      <c r="F18" s="12">
        <f>$D34</f>
        <v>26.690149999999999</v>
      </c>
      <c r="G18" s="12">
        <f>$D35</f>
        <v>26.690149999999999</v>
      </c>
      <c r="H18" s="12">
        <f>$D36</f>
        <v>26.690149999999999</v>
      </c>
      <c r="I18" s="12">
        <f>$D37</f>
        <v>26.690149999999999</v>
      </c>
      <c r="J18" s="12">
        <f>$D38</f>
        <v>26.690149999999999</v>
      </c>
      <c r="K18" s="12">
        <f>$D39</f>
        <v>26.690149999999999</v>
      </c>
      <c r="L18" s="12">
        <f>$D40</f>
        <v>26.690149999999999</v>
      </c>
      <c r="M18" s="12">
        <f>$D41</f>
        <v>26.690149999999999</v>
      </c>
      <c r="N18" s="12">
        <f>$D42</f>
        <v>26.690149999999999</v>
      </c>
      <c r="O18" s="12">
        <f>$D43</f>
        <v>26.690149999999999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-36.309849999999997</v>
      </c>
      <c r="D19" s="12">
        <f t="shared" ref="D19:V19" si="1">D18-D17</f>
        <v>-36.309849999999997</v>
      </c>
      <c r="E19" s="12">
        <f t="shared" si="1"/>
        <v>-36.309849999999997</v>
      </c>
      <c r="F19" s="12">
        <f t="shared" si="1"/>
        <v>-36.309849999999997</v>
      </c>
      <c r="G19" s="12">
        <f t="shared" si="1"/>
        <v>-36.309849999999997</v>
      </c>
      <c r="H19" s="12">
        <f t="shared" si="1"/>
        <v>-36.309849999999997</v>
      </c>
      <c r="I19" s="12">
        <f t="shared" si="1"/>
        <v>-36.309849999999997</v>
      </c>
      <c r="J19" s="12">
        <f t="shared" si="1"/>
        <v>-36.309849999999997</v>
      </c>
      <c r="K19" s="12">
        <f t="shared" si="1"/>
        <v>-36.309849999999997</v>
      </c>
      <c r="L19" s="12">
        <f t="shared" si="1"/>
        <v>-36.309849999999997</v>
      </c>
      <c r="M19" s="12">
        <f t="shared" si="1"/>
        <v>-36.309849999999997</v>
      </c>
      <c r="N19" s="12">
        <f t="shared" si="1"/>
        <v>-36.309849999999997</v>
      </c>
      <c r="O19" s="12">
        <f t="shared" si="1"/>
        <v>-36.309849999999997</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2.2292741000000005</v>
      </c>
      <c r="D22" s="12">
        <f>$E32</f>
        <v>2.2292741000000005</v>
      </c>
      <c r="E22" s="12">
        <f>$E33</f>
        <v>2.2292741000000005</v>
      </c>
      <c r="F22" s="12">
        <f>$E34</f>
        <v>2.2292741000000005</v>
      </c>
      <c r="G22" s="12">
        <f>$E35</f>
        <v>2.2292741000000005</v>
      </c>
      <c r="H22" s="12">
        <f>$E36</f>
        <v>2.2292741000000005</v>
      </c>
      <c r="I22" s="12">
        <f>$E37</f>
        <v>2.2292741000000005</v>
      </c>
      <c r="J22" s="12">
        <f>$E38</f>
        <v>2.2292741000000005</v>
      </c>
      <c r="K22" s="12">
        <f>$E39</f>
        <v>2.2292741000000005</v>
      </c>
      <c r="L22" s="12">
        <f>$E40</f>
        <v>2.2292741000000005</v>
      </c>
      <c r="M22" s="12">
        <f>$E41</f>
        <v>2.2292741000000005</v>
      </c>
      <c r="N22" s="12">
        <f>$E42</f>
        <v>2.2292741000000005</v>
      </c>
      <c r="O22" s="12">
        <f>$E43</f>
        <v>2.2292741000000005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-195.77072590000003</v>
      </c>
      <c r="D23" s="12">
        <f t="shared" ref="D23:V23" si="3">D22-D21</f>
        <v>-195.77072590000003</v>
      </c>
      <c r="E23" s="12">
        <f t="shared" si="3"/>
        <v>-195.77072590000003</v>
      </c>
      <c r="F23" s="12">
        <f t="shared" si="3"/>
        <v>-195.77072590000003</v>
      </c>
      <c r="G23" s="12">
        <f t="shared" si="3"/>
        <v>-195.77072590000003</v>
      </c>
      <c r="H23" s="12">
        <f t="shared" si="3"/>
        <v>-195.77072590000003</v>
      </c>
      <c r="I23" s="12">
        <f t="shared" si="3"/>
        <v>-195.77072590000003</v>
      </c>
      <c r="J23" s="12">
        <f t="shared" si="3"/>
        <v>-195.77072590000003</v>
      </c>
      <c r="K23" s="12">
        <f t="shared" si="3"/>
        <v>-195.77072590000003</v>
      </c>
      <c r="L23" s="12">
        <f t="shared" si="3"/>
        <v>-195.77072590000003</v>
      </c>
      <c r="M23" s="12">
        <f t="shared" si="3"/>
        <v>-195.77072590000003</v>
      </c>
      <c r="N23" s="12">
        <f t="shared" si="3"/>
        <v>-195.77072590000003</v>
      </c>
      <c r="O23" s="12">
        <f t="shared" si="3"/>
        <v>-195.77072590000003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4.66</v>
      </c>
      <c r="C28" s="11">
        <v>0.55300000000000005</v>
      </c>
      <c r="D28" s="11">
        <v>0.25</v>
      </c>
      <c r="E28" s="11">
        <v>3.9699999999999999E-2</v>
      </c>
      <c r="F28" s="11">
        <v>1160</v>
      </c>
      <c r="G28" s="11">
        <v>39.700000000000003</v>
      </c>
      <c r="H28" s="11">
        <v>196</v>
      </c>
      <c r="I28" s="11">
        <v>55</v>
      </c>
      <c r="J28" s="11">
        <v>0.47</v>
      </c>
      <c r="K28" s="15">
        <v>0.43</v>
      </c>
      <c r="L28" s="11">
        <v>21.8</v>
      </c>
      <c r="M28" s="11">
        <v>38.299999999999997</v>
      </c>
      <c r="N28" s="11">
        <v>4740</v>
      </c>
      <c r="O28" s="11">
        <v>450000</v>
      </c>
      <c r="P28" s="11"/>
      <c r="Q28" s="11">
        <v>2330</v>
      </c>
      <c r="R28" s="11"/>
      <c r="S28" s="11">
        <v>23.8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25.769800000000004</v>
      </c>
      <c r="D31" s="65">
        <f>(IF(D$27="%w/w SAR",((D$28*10)*$B31),IF(D$27="%w/w DM",(((D$28*10)*($B$28/100))*$B31),IF(D$27="kg/t SAR",(D$28*$B31),IF(D$27="kg/t DM",((D$28*($B$28/100))*$B31),IF(D$27="mg/kg SAR",((D$28*0.001)*$B31),IF(D$27="mg/kg DM",(((D$28*0.001)*($B$28/100))*$B31),"0")))))))*2.291</f>
        <v>26.690149999999999</v>
      </c>
      <c r="E31" s="65">
        <f>(IF(E$27="%w/w SAR",((E$28*10)*$B31),IF(E$27="%w/w DM",(((E$28*10)*($B$28/100))*$B31),IF(E$27="kg/t SAR",(E$28*$B31),IF(E$27="kg/t DM",((E$28*($B$28/100))*$B31),IF(E$27="mg/kg SAR",((E$28*0.001)*$B31),IF(E$27="mg/kg DM",(((E$28*0.001)*($B$28/100))*$B31),"0")))))))*1.205</f>
        <v>2.2292741000000005</v>
      </c>
      <c r="F31" s="65">
        <f>(IF(F$27="%w/w SAR",((F$28*10)*$B31),IF(F$27="%w/w DM",(((F$28*10)*($B$28/100))*$B31),IF(F$27="kg/t SAR",(F$28*$B31),IF(F$27="kg/t DM",((F$28*($B$28/100))*$B31),IF(F$27="mg/kg SAR",((F$28*0.001)*$B31),IF(F$27="mg/kg DM",(((F$28*0.001)*($B$28/100))*$B31),"0")))))))*1.658</f>
        <v>8.9624847999999986</v>
      </c>
      <c r="G31" s="65">
        <f t="shared" ref="G31:P46" si="5">IF(G$27="%w/w SAR",((G$28*10)*$B31),IF(G$27="%w/w DM",(((G$28*10)*($B$28/100))*$B31),IF(G$27="kg/t SAR",(G$28*$B31),IF(G$27="kg/t DM",((G$28*($B$28/100))*$B31),IF(G$27="mg/kg SAR",((G$28*0.001)*$B31),IF(G$27="mg/kg DM",(((G$28*0.001)*($B$28/100))*$B31),0))))))</f>
        <v>0.18500200000000003</v>
      </c>
      <c r="H31" s="65">
        <f t="shared" si="5"/>
        <v>0.91336000000000006</v>
      </c>
      <c r="I31" s="65">
        <f t="shared" si="5"/>
        <v>0.25630000000000003</v>
      </c>
      <c r="J31" s="65">
        <f t="shared" si="5"/>
        <v>2.1902000000000002E-3</v>
      </c>
      <c r="K31" s="65">
        <f t="shared" si="5"/>
        <v>2.0038E-3</v>
      </c>
      <c r="L31" s="65">
        <f t="shared" si="5"/>
        <v>0.101588</v>
      </c>
      <c r="M31" s="65">
        <f t="shared" si="5"/>
        <v>0.17847800000000003</v>
      </c>
      <c r="N31" s="65">
        <f t="shared" si="5"/>
        <v>22.088400000000004</v>
      </c>
      <c r="O31" s="65">
        <f t="shared" si="5"/>
        <v>2097.0000000000005</v>
      </c>
      <c r="P31" s="65">
        <f t="shared" si="5"/>
        <v>0</v>
      </c>
      <c r="Q31" s="65">
        <f>(IF(Q$27="%w/w SAR",((Q$28*10)*$B31),IF(Q$27="%w/w DM",(((Q$28*10)*($B$28/100))*$B31),IF(Q$27="kg/t SAR",(Q$28*$B31),IF(Q$27="kg/t DM",((Q$28*($B$28/100))*$B31),IF(Q$27="mg/kg SAR",((Q$28*0.001)*$B31),IF(Q$27="mg/kg DM",(((Q$28*0.001)*($B$28/100))*$B31),0)))))))*2.5</f>
        <v>27.144500000000001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0.11090800000000001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25.769800000000004</v>
      </c>
      <c r="D32" s="65">
        <f t="shared" ref="D32:D50" si="7">(IF(D$27="%w/w SAR",((D$28*10)*$B32),IF(D$27="%w/w DM",(((D$28*10)*($B$28/100))*$B32),IF(D$27="kg/t SAR",(D$28*$B32),IF(D$27="kg/t DM",((D$28*($B$28/100))*$B32),IF(D$27="mg/kg SAR",((D$28*0.001)*$B32),IF(D$27="mg/kg DM",(((D$28*0.001)*($B$28/100))*$B32),"0")))))))*2.291</f>
        <v>26.690149999999999</v>
      </c>
      <c r="E32" s="65">
        <f t="shared" ref="E32:E50" si="8">(IF(E$27="%w/w SAR",((E$28*10)*$B32),IF(E$27="%w/w DM",(((E$28*10)*($B$28/100))*$B32),IF(E$27="kg/t SAR",(E$28*$B32),IF(E$27="kg/t DM",((E$28*($B$28/100))*$B32),IF(E$27="mg/kg SAR",((E$28*0.001)*$B32),IF(E$27="mg/kg DM",(((E$28*0.001)*($B$28/100))*$B32),"0")))))))*1.205</f>
        <v>2.2292741000000005</v>
      </c>
      <c r="F32" s="65">
        <f t="shared" ref="F32:F50" si="9">(IF(F$27="%w/w SAR",((F$28*10)*$B32),IF(F$27="%w/w DM",(((F$28*10)*($B$28/100))*$B32),IF(F$27="kg/t SAR",(F$28*$B32),IF(F$27="kg/t DM",((F$28*($B$28/100))*$B32),IF(F$27="mg/kg SAR",((F$28*0.001)*$B32),IF(F$27="mg/kg DM",(((F$28*0.001)*($B$28/100))*$B32),"0")))))))*1.658</f>
        <v>8.9624847999999986</v>
      </c>
      <c r="G32" s="65">
        <f t="shared" si="5"/>
        <v>0.18500200000000003</v>
      </c>
      <c r="H32" s="65">
        <f t="shared" si="5"/>
        <v>0.91336000000000006</v>
      </c>
      <c r="I32" s="65">
        <f t="shared" si="5"/>
        <v>0.25630000000000003</v>
      </c>
      <c r="J32" s="65">
        <f t="shared" si="5"/>
        <v>2.1902000000000002E-3</v>
      </c>
      <c r="K32" s="65">
        <f t="shared" si="5"/>
        <v>2.0038E-3</v>
      </c>
      <c r="L32" s="65">
        <f t="shared" si="5"/>
        <v>0.101588</v>
      </c>
      <c r="M32" s="65">
        <f t="shared" si="5"/>
        <v>0.17847800000000003</v>
      </c>
      <c r="N32" s="65">
        <f t="shared" si="5"/>
        <v>22.088400000000004</v>
      </c>
      <c r="O32" s="65">
        <f t="shared" si="5"/>
        <v>2097.0000000000005</v>
      </c>
      <c r="P32" s="65">
        <f t="shared" si="5"/>
        <v>0</v>
      </c>
      <c r="Q32" s="65">
        <f t="shared" ref="Q32:Q50" si="10">(IF(Q$27="%w/w SAR",((Q$28*10)*$B32),IF(Q$27="%w/w DM",(((Q$28*10)*($B$28/100))*$B32),IF(Q$27="kg/t SAR",(Q$28*$B32),IF(Q$27="kg/t DM",((Q$28*($B$28/100))*$B32),IF(Q$27="mg/kg SAR",((Q$28*0.001)*$B32),IF(Q$27="mg/kg DM",(((Q$28*0.001)*($B$28/100))*$B32),0)))))))*2.5</f>
        <v>27.144500000000001</v>
      </c>
      <c r="R32" s="65">
        <f t="shared" ref="R32:U50" si="11">IF(R$27="%w/w SAR",((R$28*10)*$B32),IF(R$27="%w/w DM",(((R$28*10)*($B$28/100))*$B32),IF(R$27="kg/t SAR",(R$28*$B32),IF(R$27="kg/t DM",((R$28*($B$28/100))*$B32),IF(R$27="mg/kg SAR",((R$28*0.001)*$B32),IF(R$27="mg/kg DM",(((R$28*0.001)*($B$28/100))*$B32),0))))))</f>
        <v>0</v>
      </c>
      <c r="S32" s="65">
        <f t="shared" si="11"/>
        <v>0.11090800000000001</v>
      </c>
      <c r="T32" s="65">
        <f t="shared" si="11"/>
        <v>0</v>
      </c>
      <c r="U32" s="126">
        <f t="shared" si="11"/>
        <v>0</v>
      </c>
    </row>
    <row r="33" spans="1:21" s="48" customFormat="1" ht="13" x14ac:dyDescent="0.35">
      <c r="A33" s="125">
        <f>E8</f>
        <v>3</v>
      </c>
      <c r="B33" s="11">
        <v>100</v>
      </c>
      <c r="C33" s="65">
        <f t="shared" si="6"/>
        <v>25.769800000000004</v>
      </c>
      <c r="D33" s="65">
        <f t="shared" si="7"/>
        <v>26.690149999999999</v>
      </c>
      <c r="E33" s="65">
        <f t="shared" si="8"/>
        <v>2.2292741000000005</v>
      </c>
      <c r="F33" s="65">
        <f t="shared" si="9"/>
        <v>8.9624847999999986</v>
      </c>
      <c r="G33" s="65">
        <f t="shared" si="5"/>
        <v>0.18500200000000003</v>
      </c>
      <c r="H33" s="65">
        <f t="shared" si="5"/>
        <v>0.91336000000000006</v>
      </c>
      <c r="I33" s="65">
        <f t="shared" si="5"/>
        <v>0.25630000000000003</v>
      </c>
      <c r="J33" s="65">
        <f t="shared" si="5"/>
        <v>2.1902000000000002E-3</v>
      </c>
      <c r="K33" s="65">
        <f t="shared" si="5"/>
        <v>2.0038E-3</v>
      </c>
      <c r="L33" s="65">
        <f t="shared" si="5"/>
        <v>0.101588</v>
      </c>
      <c r="M33" s="65">
        <f t="shared" si="5"/>
        <v>0.17847800000000003</v>
      </c>
      <c r="N33" s="65">
        <f t="shared" si="5"/>
        <v>22.088400000000004</v>
      </c>
      <c r="O33" s="65">
        <f t="shared" si="5"/>
        <v>2097.0000000000005</v>
      </c>
      <c r="P33" s="65">
        <f t="shared" si="5"/>
        <v>0</v>
      </c>
      <c r="Q33" s="65">
        <f t="shared" si="10"/>
        <v>27.144500000000001</v>
      </c>
      <c r="R33" s="65">
        <f t="shared" si="11"/>
        <v>0</v>
      </c>
      <c r="S33" s="65">
        <f t="shared" si="11"/>
        <v>0.11090800000000001</v>
      </c>
      <c r="T33" s="65">
        <f t="shared" si="11"/>
        <v>0</v>
      </c>
      <c r="U33" s="126">
        <f t="shared" si="11"/>
        <v>0</v>
      </c>
    </row>
    <row r="34" spans="1:21" s="48" customFormat="1" ht="13" x14ac:dyDescent="0.35">
      <c r="A34" s="125">
        <f>F8</f>
        <v>4</v>
      </c>
      <c r="B34" s="11">
        <v>100</v>
      </c>
      <c r="C34" s="65">
        <f t="shared" si="6"/>
        <v>25.769800000000004</v>
      </c>
      <c r="D34" s="65">
        <f t="shared" si="7"/>
        <v>26.690149999999999</v>
      </c>
      <c r="E34" s="65">
        <f t="shared" si="8"/>
        <v>2.2292741000000005</v>
      </c>
      <c r="F34" s="65">
        <f t="shared" si="9"/>
        <v>8.9624847999999986</v>
      </c>
      <c r="G34" s="65">
        <f t="shared" si="5"/>
        <v>0.18500200000000003</v>
      </c>
      <c r="H34" s="65">
        <f t="shared" si="5"/>
        <v>0.91336000000000006</v>
      </c>
      <c r="I34" s="65">
        <f t="shared" si="5"/>
        <v>0.25630000000000003</v>
      </c>
      <c r="J34" s="65">
        <f t="shared" si="5"/>
        <v>2.1902000000000002E-3</v>
      </c>
      <c r="K34" s="65">
        <f t="shared" si="5"/>
        <v>2.0038E-3</v>
      </c>
      <c r="L34" s="65">
        <f t="shared" si="5"/>
        <v>0.101588</v>
      </c>
      <c r="M34" s="65">
        <f t="shared" si="5"/>
        <v>0.17847800000000003</v>
      </c>
      <c r="N34" s="65">
        <f t="shared" si="5"/>
        <v>22.088400000000004</v>
      </c>
      <c r="O34" s="65">
        <f t="shared" si="5"/>
        <v>2097.0000000000005</v>
      </c>
      <c r="P34" s="65">
        <f t="shared" si="5"/>
        <v>0</v>
      </c>
      <c r="Q34" s="65">
        <f t="shared" si="10"/>
        <v>27.144500000000001</v>
      </c>
      <c r="R34" s="65">
        <f t="shared" si="11"/>
        <v>0</v>
      </c>
      <c r="S34" s="65">
        <f t="shared" si="11"/>
        <v>0.11090800000000001</v>
      </c>
      <c r="T34" s="65">
        <f t="shared" si="11"/>
        <v>0</v>
      </c>
      <c r="U34" s="126">
        <f t="shared" si="11"/>
        <v>0</v>
      </c>
    </row>
    <row r="35" spans="1:21" s="48" customFormat="1" ht="13" x14ac:dyDescent="0.35">
      <c r="A35" s="125">
        <f>G8</f>
        <v>5</v>
      </c>
      <c r="B35" s="11">
        <v>100</v>
      </c>
      <c r="C35" s="65">
        <f t="shared" si="6"/>
        <v>25.769800000000004</v>
      </c>
      <c r="D35" s="65">
        <f t="shared" si="7"/>
        <v>26.690149999999999</v>
      </c>
      <c r="E35" s="65">
        <f t="shared" si="8"/>
        <v>2.2292741000000005</v>
      </c>
      <c r="F35" s="65">
        <f t="shared" si="9"/>
        <v>8.9624847999999986</v>
      </c>
      <c r="G35" s="65">
        <f t="shared" si="5"/>
        <v>0.18500200000000003</v>
      </c>
      <c r="H35" s="65">
        <f t="shared" si="5"/>
        <v>0.91336000000000006</v>
      </c>
      <c r="I35" s="65">
        <f t="shared" si="5"/>
        <v>0.25630000000000003</v>
      </c>
      <c r="J35" s="65">
        <f t="shared" si="5"/>
        <v>2.1902000000000002E-3</v>
      </c>
      <c r="K35" s="65">
        <f t="shared" si="5"/>
        <v>2.0038E-3</v>
      </c>
      <c r="L35" s="65">
        <f t="shared" si="5"/>
        <v>0.101588</v>
      </c>
      <c r="M35" s="65">
        <f t="shared" si="5"/>
        <v>0.17847800000000003</v>
      </c>
      <c r="N35" s="65">
        <f t="shared" si="5"/>
        <v>22.088400000000004</v>
      </c>
      <c r="O35" s="65">
        <f t="shared" si="5"/>
        <v>2097.0000000000005</v>
      </c>
      <c r="P35" s="65">
        <f t="shared" si="5"/>
        <v>0</v>
      </c>
      <c r="Q35" s="65">
        <f t="shared" si="10"/>
        <v>27.144500000000001</v>
      </c>
      <c r="R35" s="65">
        <f t="shared" si="11"/>
        <v>0</v>
      </c>
      <c r="S35" s="65">
        <f t="shared" si="11"/>
        <v>0.11090800000000001</v>
      </c>
      <c r="T35" s="65">
        <f t="shared" si="11"/>
        <v>0</v>
      </c>
      <c r="U35" s="126">
        <f t="shared" si="11"/>
        <v>0</v>
      </c>
    </row>
    <row r="36" spans="1:21" s="48" customFormat="1" ht="13" x14ac:dyDescent="0.35">
      <c r="A36" s="125">
        <f>H8</f>
        <v>6</v>
      </c>
      <c r="B36" s="11">
        <v>100</v>
      </c>
      <c r="C36" s="65">
        <f t="shared" si="6"/>
        <v>25.769800000000004</v>
      </c>
      <c r="D36" s="65">
        <f t="shared" si="7"/>
        <v>26.690149999999999</v>
      </c>
      <c r="E36" s="65">
        <f t="shared" si="8"/>
        <v>2.2292741000000005</v>
      </c>
      <c r="F36" s="65">
        <f t="shared" si="9"/>
        <v>8.9624847999999986</v>
      </c>
      <c r="G36" s="65">
        <f t="shared" si="5"/>
        <v>0.18500200000000003</v>
      </c>
      <c r="H36" s="65">
        <f t="shared" si="5"/>
        <v>0.91336000000000006</v>
      </c>
      <c r="I36" s="65">
        <f t="shared" si="5"/>
        <v>0.25630000000000003</v>
      </c>
      <c r="J36" s="65">
        <f t="shared" si="5"/>
        <v>2.1902000000000002E-3</v>
      </c>
      <c r="K36" s="65">
        <f t="shared" si="5"/>
        <v>2.0038E-3</v>
      </c>
      <c r="L36" s="65">
        <f t="shared" si="5"/>
        <v>0.101588</v>
      </c>
      <c r="M36" s="65">
        <f t="shared" si="5"/>
        <v>0.17847800000000003</v>
      </c>
      <c r="N36" s="65">
        <f t="shared" si="5"/>
        <v>22.088400000000004</v>
      </c>
      <c r="O36" s="65">
        <f t="shared" si="5"/>
        <v>2097.0000000000005</v>
      </c>
      <c r="P36" s="65">
        <f t="shared" si="5"/>
        <v>0</v>
      </c>
      <c r="Q36" s="65">
        <f t="shared" si="10"/>
        <v>27.144500000000001</v>
      </c>
      <c r="R36" s="65">
        <f t="shared" si="11"/>
        <v>0</v>
      </c>
      <c r="S36" s="65">
        <f t="shared" si="11"/>
        <v>0.11090800000000001</v>
      </c>
      <c r="T36" s="65">
        <f t="shared" si="11"/>
        <v>0</v>
      </c>
      <c r="U36" s="126">
        <f t="shared" si="11"/>
        <v>0</v>
      </c>
    </row>
    <row r="37" spans="1:21" s="48" customFormat="1" ht="13" x14ac:dyDescent="0.35">
      <c r="A37" s="125">
        <f>I8</f>
        <v>7</v>
      </c>
      <c r="B37" s="11">
        <v>100</v>
      </c>
      <c r="C37" s="65">
        <f t="shared" si="6"/>
        <v>25.769800000000004</v>
      </c>
      <c r="D37" s="65">
        <f t="shared" si="7"/>
        <v>26.690149999999999</v>
      </c>
      <c r="E37" s="65">
        <f t="shared" si="8"/>
        <v>2.2292741000000005</v>
      </c>
      <c r="F37" s="65">
        <f t="shared" si="9"/>
        <v>8.9624847999999986</v>
      </c>
      <c r="G37" s="65">
        <f t="shared" si="5"/>
        <v>0.18500200000000003</v>
      </c>
      <c r="H37" s="65">
        <f t="shared" si="5"/>
        <v>0.91336000000000006</v>
      </c>
      <c r="I37" s="65">
        <f t="shared" si="5"/>
        <v>0.25630000000000003</v>
      </c>
      <c r="J37" s="65">
        <f t="shared" si="5"/>
        <v>2.1902000000000002E-3</v>
      </c>
      <c r="K37" s="65">
        <f t="shared" si="5"/>
        <v>2.0038E-3</v>
      </c>
      <c r="L37" s="65">
        <f t="shared" si="5"/>
        <v>0.101588</v>
      </c>
      <c r="M37" s="65">
        <f t="shared" si="5"/>
        <v>0.17847800000000003</v>
      </c>
      <c r="N37" s="65">
        <f t="shared" si="5"/>
        <v>22.088400000000004</v>
      </c>
      <c r="O37" s="65">
        <f t="shared" si="5"/>
        <v>2097.0000000000005</v>
      </c>
      <c r="P37" s="65">
        <f t="shared" si="5"/>
        <v>0</v>
      </c>
      <c r="Q37" s="65">
        <f t="shared" si="10"/>
        <v>27.144500000000001</v>
      </c>
      <c r="R37" s="65">
        <f t="shared" si="11"/>
        <v>0</v>
      </c>
      <c r="S37" s="65">
        <f t="shared" si="11"/>
        <v>0.11090800000000001</v>
      </c>
      <c r="T37" s="65">
        <f t="shared" si="11"/>
        <v>0</v>
      </c>
      <c r="U37" s="126">
        <f t="shared" si="11"/>
        <v>0</v>
      </c>
    </row>
    <row r="38" spans="1:21" s="48" customFormat="1" ht="13" x14ac:dyDescent="0.35">
      <c r="A38" s="125">
        <f>J8</f>
        <v>8</v>
      </c>
      <c r="B38" s="11">
        <v>100</v>
      </c>
      <c r="C38" s="65">
        <f t="shared" si="6"/>
        <v>25.769800000000004</v>
      </c>
      <c r="D38" s="65">
        <f t="shared" si="7"/>
        <v>26.690149999999999</v>
      </c>
      <c r="E38" s="65">
        <f t="shared" si="8"/>
        <v>2.2292741000000005</v>
      </c>
      <c r="F38" s="65">
        <f t="shared" si="9"/>
        <v>8.9624847999999986</v>
      </c>
      <c r="G38" s="65">
        <f t="shared" si="5"/>
        <v>0.18500200000000003</v>
      </c>
      <c r="H38" s="65">
        <f t="shared" si="5"/>
        <v>0.91336000000000006</v>
      </c>
      <c r="I38" s="65">
        <f t="shared" si="5"/>
        <v>0.25630000000000003</v>
      </c>
      <c r="J38" s="65">
        <f t="shared" si="5"/>
        <v>2.1902000000000002E-3</v>
      </c>
      <c r="K38" s="65">
        <f t="shared" si="5"/>
        <v>2.0038E-3</v>
      </c>
      <c r="L38" s="65">
        <f t="shared" si="5"/>
        <v>0.101588</v>
      </c>
      <c r="M38" s="65">
        <f t="shared" si="5"/>
        <v>0.17847800000000003</v>
      </c>
      <c r="N38" s="65">
        <f t="shared" si="5"/>
        <v>22.088400000000004</v>
      </c>
      <c r="O38" s="65">
        <f t="shared" si="5"/>
        <v>2097.0000000000005</v>
      </c>
      <c r="P38" s="65">
        <f t="shared" si="5"/>
        <v>0</v>
      </c>
      <c r="Q38" s="65">
        <f t="shared" si="10"/>
        <v>27.144500000000001</v>
      </c>
      <c r="R38" s="65">
        <f t="shared" si="11"/>
        <v>0</v>
      </c>
      <c r="S38" s="65">
        <f t="shared" si="11"/>
        <v>0.11090800000000001</v>
      </c>
      <c r="T38" s="65">
        <f t="shared" si="11"/>
        <v>0</v>
      </c>
      <c r="U38" s="126">
        <f t="shared" si="11"/>
        <v>0</v>
      </c>
    </row>
    <row r="39" spans="1:21" s="48" customFormat="1" ht="13" x14ac:dyDescent="0.35">
      <c r="A39" s="125">
        <f>K8</f>
        <v>9</v>
      </c>
      <c r="B39" s="11">
        <v>100</v>
      </c>
      <c r="C39" s="65">
        <f t="shared" si="6"/>
        <v>25.769800000000004</v>
      </c>
      <c r="D39" s="65">
        <f t="shared" si="7"/>
        <v>26.690149999999999</v>
      </c>
      <c r="E39" s="65">
        <f t="shared" si="8"/>
        <v>2.2292741000000005</v>
      </c>
      <c r="F39" s="65">
        <f t="shared" si="9"/>
        <v>8.9624847999999986</v>
      </c>
      <c r="G39" s="65">
        <f t="shared" si="5"/>
        <v>0.18500200000000003</v>
      </c>
      <c r="H39" s="65">
        <f t="shared" si="5"/>
        <v>0.91336000000000006</v>
      </c>
      <c r="I39" s="65">
        <f t="shared" si="5"/>
        <v>0.25630000000000003</v>
      </c>
      <c r="J39" s="65">
        <f t="shared" si="5"/>
        <v>2.1902000000000002E-3</v>
      </c>
      <c r="K39" s="65">
        <f t="shared" si="5"/>
        <v>2.0038E-3</v>
      </c>
      <c r="L39" s="65">
        <f t="shared" si="5"/>
        <v>0.101588</v>
      </c>
      <c r="M39" s="65">
        <f t="shared" si="5"/>
        <v>0.17847800000000003</v>
      </c>
      <c r="N39" s="65">
        <f t="shared" si="5"/>
        <v>22.088400000000004</v>
      </c>
      <c r="O39" s="65">
        <f t="shared" si="5"/>
        <v>2097.0000000000005</v>
      </c>
      <c r="P39" s="65">
        <f t="shared" si="5"/>
        <v>0</v>
      </c>
      <c r="Q39" s="65">
        <f t="shared" si="10"/>
        <v>27.144500000000001</v>
      </c>
      <c r="R39" s="65">
        <f t="shared" si="11"/>
        <v>0</v>
      </c>
      <c r="S39" s="65">
        <f t="shared" si="11"/>
        <v>0.11090800000000001</v>
      </c>
      <c r="T39" s="65">
        <f t="shared" si="11"/>
        <v>0</v>
      </c>
      <c r="U39" s="126">
        <f t="shared" si="11"/>
        <v>0</v>
      </c>
    </row>
    <row r="40" spans="1:21" s="48" customFormat="1" ht="13" x14ac:dyDescent="0.35">
      <c r="A40" s="125">
        <f>L8</f>
        <v>10</v>
      </c>
      <c r="B40" s="11">
        <v>100</v>
      </c>
      <c r="C40" s="65">
        <f t="shared" si="6"/>
        <v>25.769800000000004</v>
      </c>
      <c r="D40" s="65">
        <f t="shared" si="7"/>
        <v>26.690149999999999</v>
      </c>
      <c r="E40" s="65">
        <f t="shared" si="8"/>
        <v>2.2292741000000005</v>
      </c>
      <c r="F40" s="65">
        <f t="shared" si="9"/>
        <v>8.9624847999999986</v>
      </c>
      <c r="G40" s="65">
        <f t="shared" si="5"/>
        <v>0.18500200000000003</v>
      </c>
      <c r="H40" s="65">
        <f t="shared" si="5"/>
        <v>0.91336000000000006</v>
      </c>
      <c r="I40" s="65">
        <f t="shared" si="5"/>
        <v>0.25630000000000003</v>
      </c>
      <c r="J40" s="65">
        <f t="shared" si="5"/>
        <v>2.1902000000000002E-3</v>
      </c>
      <c r="K40" s="65">
        <f t="shared" si="5"/>
        <v>2.0038E-3</v>
      </c>
      <c r="L40" s="65">
        <f t="shared" si="5"/>
        <v>0.101588</v>
      </c>
      <c r="M40" s="65">
        <f t="shared" si="5"/>
        <v>0.17847800000000003</v>
      </c>
      <c r="N40" s="65">
        <f t="shared" si="5"/>
        <v>22.088400000000004</v>
      </c>
      <c r="O40" s="65">
        <f t="shared" si="5"/>
        <v>2097.0000000000005</v>
      </c>
      <c r="P40" s="65">
        <f t="shared" si="5"/>
        <v>0</v>
      </c>
      <c r="Q40" s="65">
        <f t="shared" si="10"/>
        <v>27.144500000000001</v>
      </c>
      <c r="R40" s="65">
        <f t="shared" si="11"/>
        <v>0</v>
      </c>
      <c r="S40" s="65">
        <f t="shared" si="11"/>
        <v>0.11090800000000001</v>
      </c>
      <c r="T40" s="65">
        <f t="shared" si="11"/>
        <v>0</v>
      </c>
      <c r="U40" s="126">
        <f t="shared" si="11"/>
        <v>0</v>
      </c>
    </row>
    <row r="41" spans="1:21" s="48" customFormat="1" ht="13" x14ac:dyDescent="0.35">
      <c r="A41" s="125">
        <f>M8</f>
        <v>11</v>
      </c>
      <c r="B41" s="11">
        <v>100</v>
      </c>
      <c r="C41" s="65">
        <f t="shared" si="6"/>
        <v>25.769800000000004</v>
      </c>
      <c r="D41" s="65">
        <f t="shared" si="7"/>
        <v>26.690149999999999</v>
      </c>
      <c r="E41" s="65">
        <f t="shared" si="8"/>
        <v>2.2292741000000005</v>
      </c>
      <c r="F41" s="65">
        <f t="shared" si="9"/>
        <v>8.9624847999999986</v>
      </c>
      <c r="G41" s="65">
        <f t="shared" si="5"/>
        <v>0.18500200000000003</v>
      </c>
      <c r="H41" s="65">
        <f t="shared" si="5"/>
        <v>0.91336000000000006</v>
      </c>
      <c r="I41" s="65">
        <f t="shared" si="5"/>
        <v>0.25630000000000003</v>
      </c>
      <c r="J41" s="65">
        <f t="shared" si="5"/>
        <v>2.1902000000000002E-3</v>
      </c>
      <c r="K41" s="65">
        <f t="shared" si="5"/>
        <v>2.0038E-3</v>
      </c>
      <c r="L41" s="65">
        <f t="shared" si="5"/>
        <v>0.101588</v>
      </c>
      <c r="M41" s="65">
        <f t="shared" si="5"/>
        <v>0.17847800000000003</v>
      </c>
      <c r="N41" s="65">
        <f t="shared" si="5"/>
        <v>22.088400000000004</v>
      </c>
      <c r="O41" s="65">
        <f t="shared" si="5"/>
        <v>2097.0000000000005</v>
      </c>
      <c r="P41" s="65">
        <f t="shared" si="5"/>
        <v>0</v>
      </c>
      <c r="Q41" s="65">
        <f t="shared" si="10"/>
        <v>27.144500000000001</v>
      </c>
      <c r="R41" s="65">
        <f t="shared" si="11"/>
        <v>0</v>
      </c>
      <c r="S41" s="65">
        <f t="shared" si="11"/>
        <v>0.11090800000000001</v>
      </c>
      <c r="T41" s="65">
        <f t="shared" si="11"/>
        <v>0</v>
      </c>
      <c r="U41" s="126">
        <f t="shared" si="11"/>
        <v>0</v>
      </c>
    </row>
    <row r="42" spans="1:21" s="48" customFormat="1" ht="13" x14ac:dyDescent="0.35">
      <c r="A42" s="125">
        <f>N8</f>
        <v>14</v>
      </c>
      <c r="B42" s="11">
        <v>100</v>
      </c>
      <c r="C42" s="65">
        <f t="shared" si="6"/>
        <v>25.769800000000004</v>
      </c>
      <c r="D42" s="65">
        <f t="shared" si="7"/>
        <v>26.690149999999999</v>
      </c>
      <c r="E42" s="65">
        <f t="shared" si="8"/>
        <v>2.2292741000000005</v>
      </c>
      <c r="F42" s="65">
        <f t="shared" si="9"/>
        <v>8.9624847999999986</v>
      </c>
      <c r="G42" s="65">
        <f t="shared" si="5"/>
        <v>0.18500200000000003</v>
      </c>
      <c r="H42" s="65">
        <f t="shared" si="5"/>
        <v>0.91336000000000006</v>
      </c>
      <c r="I42" s="65">
        <f t="shared" si="5"/>
        <v>0.25630000000000003</v>
      </c>
      <c r="J42" s="65">
        <f t="shared" si="5"/>
        <v>2.1902000000000002E-3</v>
      </c>
      <c r="K42" s="65">
        <f t="shared" si="5"/>
        <v>2.0038E-3</v>
      </c>
      <c r="L42" s="65">
        <f t="shared" si="5"/>
        <v>0.101588</v>
      </c>
      <c r="M42" s="65">
        <f t="shared" si="5"/>
        <v>0.17847800000000003</v>
      </c>
      <c r="N42" s="65">
        <f t="shared" si="5"/>
        <v>22.088400000000004</v>
      </c>
      <c r="O42" s="65">
        <f t="shared" si="5"/>
        <v>2097.0000000000005</v>
      </c>
      <c r="P42" s="65">
        <f t="shared" si="5"/>
        <v>0</v>
      </c>
      <c r="Q42" s="65">
        <f t="shared" si="10"/>
        <v>27.144500000000001</v>
      </c>
      <c r="R42" s="65">
        <f t="shared" si="11"/>
        <v>0</v>
      </c>
      <c r="S42" s="65">
        <f t="shared" si="11"/>
        <v>0.11090800000000001</v>
      </c>
      <c r="T42" s="65">
        <f t="shared" si="11"/>
        <v>0</v>
      </c>
      <c r="U42" s="126">
        <f t="shared" si="11"/>
        <v>0</v>
      </c>
    </row>
    <row r="43" spans="1:21" s="48" customFormat="1" ht="13" x14ac:dyDescent="0.35">
      <c r="A43" s="125">
        <f>O8</f>
        <v>15</v>
      </c>
      <c r="B43" s="11">
        <v>100</v>
      </c>
      <c r="C43" s="65">
        <f t="shared" si="6"/>
        <v>25.769800000000004</v>
      </c>
      <c r="D43" s="65">
        <f t="shared" si="7"/>
        <v>26.690149999999999</v>
      </c>
      <c r="E43" s="65">
        <f t="shared" si="8"/>
        <v>2.2292741000000005</v>
      </c>
      <c r="F43" s="65">
        <f t="shared" si="9"/>
        <v>8.9624847999999986</v>
      </c>
      <c r="G43" s="65">
        <f t="shared" si="5"/>
        <v>0.18500200000000003</v>
      </c>
      <c r="H43" s="65">
        <f t="shared" si="5"/>
        <v>0.91336000000000006</v>
      </c>
      <c r="I43" s="65">
        <f t="shared" si="5"/>
        <v>0.25630000000000003</v>
      </c>
      <c r="J43" s="65">
        <f t="shared" si="5"/>
        <v>2.1902000000000002E-3</v>
      </c>
      <c r="K43" s="65">
        <f t="shared" si="5"/>
        <v>2.0038E-3</v>
      </c>
      <c r="L43" s="65">
        <f t="shared" si="5"/>
        <v>0.101588</v>
      </c>
      <c r="M43" s="65">
        <f t="shared" si="5"/>
        <v>0.17847800000000003</v>
      </c>
      <c r="N43" s="65">
        <f t="shared" si="5"/>
        <v>22.088400000000004</v>
      </c>
      <c r="O43" s="65">
        <f t="shared" si="5"/>
        <v>2097.0000000000005</v>
      </c>
      <c r="P43" s="65">
        <f t="shared" si="5"/>
        <v>0</v>
      </c>
      <c r="Q43" s="65">
        <f t="shared" si="10"/>
        <v>27.144500000000001</v>
      </c>
      <c r="R43" s="65">
        <f t="shared" si="11"/>
        <v>0</v>
      </c>
      <c r="S43" s="65">
        <f t="shared" si="11"/>
        <v>0.11090800000000001</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Arable</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Arable</v>
      </c>
      <c r="J58" s="10" t="str">
        <f>K16&amp;" I "&amp;(VLOOKUP(K14,Table2458[],6,FALSE))</f>
        <v>Medium/Clay I Arable</v>
      </c>
      <c r="K58" s="10" t="str">
        <f>L16&amp;" I "&amp;(VLOOKUP(L14,Table2458[],6,FALSE))</f>
        <v>Medium/Clay I Arable</v>
      </c>
      <c r="L58" s="10" t="str">
        <f>M16&amp;" I "&amp;(VLOOKUP(M14,Table2458[],6,FALSE))</f>
        <v>Medium/Clay I Arable</v>
      </c>
      <c r="M58" s="10" t="str">
        <f>N16&amp;" I "&amp;(VLOOKUP(N14,Table2458[],6,FALSE))</f>
        <v>Medium/Clay I Arable</v>
      </c>
      <c r="N58" s="10" t="str">
        <f>O16&amp;" I "&amp;(VLOOKUP(O14,Table2458[],6,FALSE))</f>
        <v>Medium/Clay I Arable</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6.7</v>
      </c>
      <c r="D59" s="64">
        <f>VLOOKUP(E$14,Table2458[],5,FALSE)</f>
        <v>6.7</v>
      </c>
      <c r="E59" s="64">
        <f>VLOOKUP(F$14,Table2458[],5,FALSE)</f>
        <v>6.7</v>
      </c>
      <c r="F59" s="64">
        <f>VLOOKUP(G$14,Table2458[],5,FALSE)</f>
        <v>6.7</v>
      </c>
      <c r="G59" s="64">
        <f>VLOOKUP(H$14,Table2458[],5,FALSE)</f>
        <v>6.7</v>
      </c>
      <c r="H59" s="64">
        <f>VLOOKUP(I$14,Table2458[],5,FALSE)</f>
        <v>6.7</v>
      </c>
      <c r="I59" s="64">
        <f>VLOOKUP(J$14,Table2458[],5,FALSE)</f>
        <v>6.7</v>
      </c>
      <c r="J59" s="64">
        <f>VLOOKUP(K$14,Table2458[],5,FALSE)</f>
        <v>6.7</v>
      </c>
      <c r="K59" s="64">
        <f>VLOOKUP(L$14,Table2458[],5,FALSE)</f>
        <v>6.7</v>
      </c>
      <c r="L59" s="64">
        <f>VLOOKUP(M$14,Table2458[],5,FALSE)</f>
        <v>6.7</v>
      </c>
      <c r="M59" s="64">
        <f>VLOOKUP(N$14,Table2458[],5,FALSE)</f>
        <v>6.7</v>
      </c>
      <c r="N59" s="64">
        <f>VLOOKUP(O$14,Table2458[],5,FALSE)</f>
        <v>6.7</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v>
      </c>
      <c r="J1" s="158" t="s">
        <v>153</v>
      </c>
      <c r="K1" s="159"/>
      <c r="L1" s="109">
        <v>178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0.70199999999999996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2.5356125356125356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26.636311499999998</v>
      </c>
      <c r="D18" s="12">
        <f>$D32</f>
        <v>26.636311499999998</v>
      </c>
      <c r="E18" s="12">
        <f>$D33</f>
        <v>26.636311499999998</v>
      </c>
      <c r="F18" s="12">
        <f>$D34</f>
        <v>26.636311499999998</v>
      </c>
      <c r="G18" s="12">
        <f>$D35</f>
        <v>26.636311499999998</v>
      </c>
      <c r="H18" s="12">
        <f>$D36</f>
        <v>26.636311499999998</v>
      </c>
      <c r="I18" s="12">
        <f>$D37</f>
        <v>26.636311499999998</v>
      </c>
      <c r="J18" s="12">
        <f>$D38</f>
        <v>26.636311499999998</v>
      </c>
      <c r="K18" s="12">
        <f>$D39</f>
        <v>26.636311499999998</v>
      </c>
      <c r="L18" s="12">
        <f>$D40</f>
        <v>26.636311499999998</v>
      </c>
      <c r="M18" s="12">
        <f>$D41</f>
        <v>26.636311499999998</v>
      </c>
      <c r="N18" s="12">
        <f>$D42</f>
        <v>26.636311499999998</v>
      </c>
      <c r="O18" s="12">
        <f>$D43</f>
        <v>26.636311499999998</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-36.363688499999995</v>
      </c>
      <c r="D19" s="12">
        <f t="shared" ref="D19:V19" si="1">D18-D17</f>
        <v>-36.363688499999995</v>
      </c>
      <c r="E19" s="12">
        <f t="shared" si="1"/>
        <v>-36.363688499999995</v>
      </c>
      <c r="F19" s="12">
        <f t="shared" si="1"/>
        <v>-36.363688499999995</v>
      </c>
      <c r="G19" s="12">
        <f t="shared" si="1"/>
        <v>-36.363688499999995</v>
      </c>
      <c r="H19" s="12">
        <f t="shared" si="1"/>
        <v>-36.363688499999995</v>
      </c>
      <c r="I19" s="12">
        <f t="shared" si="1"/>
        <v>-36.363688499999995</v>
      </c>
      <c r="J19" s="12">
        <f t="shared" si="1"/>
        <v>-36.363688499999995</v>
      </c>
      <c r="K19" s="12">
        <f t="shared" si="1"/>
        <v>-36.363688499999995</v>
      </c>
      <c r="L19" s="12">
        <f t="shared" si="1"/>
        <v>-36.363688499999995</v>
      </c>
      <c r="M19" s="12">
        <f t="shared" si="1"/>
        <v>-36.363688499999995</v>
      </c>
      <c r="N19" s="12">
        <f t="shared" si="1"/>
        <v>-36.363688499999995</v>
      </c>
      <c r="O19" s="12">
        <f t="shared" si="1"/>
        <v>-36.363688499999995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2.0869395000000002</v>
      </c>
      <c r="D22" s="12">
        <f>$E32</f>
        <v>2.0869395000000002</v>
      </c>
      <c r="E22" s="12">
        <f>$E33</f>
        <v>2.0869395000000002</v>
      </c>
      <c r="F22" s="12">
        <f>$E34</f>
        <v>2.0869395000000002</v>
      </c>
      <c r="G22" s="12">
        <f>$E35</f>
        <v>2.0869395000000002</v>
      </c>
      <c r="H22" s="12">
        <f>$E36</f>
        <v>2.0869395000000002</v>
      </c>
      <c r="I22" s="12">
        <f>$E37</f>
        <v>2.0869395000000002</v>
      </c>
      <c r="J22" s="12">
        <f>$E38</f>
        <v>2.0869395000000002</v>
      </c>
      <c r="K22" s="12">
        <f>$E39</f>
        <v>2.0869395000000002</v>
      </c>
      <c r="L22" s="12">
        <f>$E40</f>
        <v>2.0869395000000002</v>
      </c>
      <c r="M22" s="12">
        <f>$E41</f>
        <v>2.0869395000000002</v>
      </c>
      <c r="N22" s="12">
        <f>$E42</f>
        <v>2.0869395000000002</v>
      </c>
      <c r="O22" s="12">
        <f>$E43</f>
        <v>2.0869395000000002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-195.91306050000003</v>
      </c>
      <c r="D23" s="12">
        <f t="shared" ref="D23:V23" si="3">D22-D21</f>
        <v>-195.91306050000003</v>
      </c>
      <c r="E23" s="12">
        <f t="shared" si="3"/>
        <v>-195.91306050000003</v>
      </c>
      <c r="F23" s="12">
        <f t="shared" si="3"/>
        <v>-195.91306050000003</v>
      </c>
      <c r="G23" s="12">
        <f t="shared" si="3"/>
        <v>-195.91306050000003</v>
      </c>
      <c r="H23" s="12">
        <f t="shared" si="3"/>
        <v>-195.91306050000003</v>
      </c>
      <c r="I23" s="12">
        <f t="shared" si="3"/>
        <v>-195.91306050000003</v>
      </c>
      <c r="J23" s="12">
        <f t="shared" si="3"/>
        <v>-195.91306050000003</v>
      </c>
      <c r="K23" s="12">
        <f t="shared" si="3"/>
        <v>-195.91306050000003</v>
      </c>
      <c r="L23" s="12">
        <f t="shared" si="3"/>
        <v>-195.91306050000003</v>
      </c>
      <c r="M23" s="12">
        <f t="shared" si="3"/>
        <v>-195.91306050000003</v>
      </c>
      <c r="N23" s="12">
        <f t="shared" si="3"/>
        <v>-195.91306050000003</v>
      </c>
      <c r="O23" s="12">
        <f t="shared" si="3"/>
        <v>-195.91306050000003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3.45</v>
      </c>
      <c r="C28" s="11">
        <v>0.70199999999999996</v>
      </c>
      <c r="D28" s="11">
        <v>0.33700000000000002</v>
      </c>
      <c r="E28" s="11">
        <v>5.0200000000000002E-2</v>
      </c>
      <c r="F28" s="11">
        <v>606</v>
      </c>
      <c r="G28" s="11">
        <v>45</v>
      </c>
      <c r="H28" s="11">
        <v>142</v>
      </c>
      <c r="I28" s="11">
        <v>35.799999999999997</v>
      </c>
      <c r="J28" s="11">
        <v>0.95</v>
      </c>
      <c r="K28" s="15">
        <v>0.57999999999999996</v>
      </c>
      <c r="L28" s="11">
        <v>29.4</v>
      </c>
      <c r="M28" s="11">
        <v>24.8</v>
      </c>
      <c r="N28" s="11">
        <v>2760</v>
      </c>
      <c r="O28" s="11">
        <v>445000</v>
      </c>
      <c r="P28" s="11"/>
      <c r="Q28" s="11">
        <v>2320</v>
      </c>
      <c r="R28" s="11"/>
      <c r="S28" s="11">
        <v>57.1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24.219000000000001</v>
      </c>
      <c r="D31" s="65">
        <f>(IF(D$27="%w/w SAR",((D$28*10)*$B31),IF(D$27="%w/w DM",(((D$28*10)*($B$28/100))*$B31),IF(D$27="kg/t SAR",(D$28*$B31),IF(D$27="kg/t DM",((D$28*($B$28/100))*$B31),IF(D$27="mg/kg SAR",((D$28*0.001)*$B31),IF(D$27="mg/kg DM",(((D$28*0.001)*($B$28/100))*$B31),"0")))))))*2.291</f>
        <v>26.636311499999998</v>
      </c>
      <c r="E31" s="65">
        <f>(IF(E$27="%w/w SAR",((E$28*10)*$B31),IF(E$27="%w/w DM",(((E$28*10)*($B$28/100))*$B31),IF(E$27="kg/t SAR",(E$28*$B31),IF(E$27="kg/t DM",((E$28*($B$28/100))*$B31),IF(E$27="mg/kg SAR",((E$28*0.001)*$B31),IF(E$27="mg/kg DM",(((E$28*0.001)*($B$28/100))*$B31),"0")))))))*1.205</f>
        <v>2.0869395000000002</v>
      </c>
      <c r="F31" s="65">
        <f>(IF(F$27="%w/w SAR",((F$28*10)*$B31),IF(F$27="%w/w DM",(((F$28*10)*($B$28/100))*$B31),IF(F$27="kg/t SAR",(F$28*$B31),IF(F$27="kg/t DM",((F$28*($B$28/100))*$B31),IF(F$27="mg/kg SAR",((F$28*0.001)*$B31),IF(F$27="mg/kg DM",(((F$28*0.001)*($B$28/100))*$B31),"0")))))))*1.658</f>
        <v>3.4663805999999999</v>
      </c>
      <c r="G31" s="65">
        <f t="shared" ref="G31:P46" si="5">IF(G$27="%w/w SAR",((G$28*10)*$B31),IF(G$27="%w/w DM",(((G$28*10)*($B$28/100))*$B31),IF(G$27="kg/t SAR",(G$28*$B31),IF(G$27="kg/t DM",((G$28*($B$28/100))*$B31),IF(G$27="mg/kg SAR",((G$28*0.001)*$B31),IF(G$27="mg/kg DM",(((G$28*0.001)*($B$28/100))*$B31),0))))))</f>
        <v>0.15525</v>
      </c>
      <c r="H31" s="65">
        <f t="shared" si="5"/>
        <v>0.48990000000000006</v>
      </c>
      <c r="I31" s="65">
        <f t="shared" si="5"/>
        <v>0.12351000000000001</v>
      </c>
      <c r="J31" s="65">
        <f t="shared" si="5"/>
        <v>3.2775000000000005E-3</v>
      </c>
      <c r="K31" s="65">
        <f t="shared" si="5"/>
        <v>2.0010000000000002E-3</v>
      </c>
      <c r="L31" s="65">
        <f t="shared" si="5"/>
        <v>0.10143000000000001</v>
      </c>
      <c r="M31" s="65">
        <f t="shared" si="5"/>
        <v>8.5560000000000025E-2</v>
      </c>
      <c r="N31" s="65">
        <f t="shared" si="5"/>
        <v>9.522000000000002</v>
      </c>
      <c r="O31" s="65">
        <f t="shared" si="5"/>
        <v>1535.25</v>
      </c>
      <c r="P31" s="65">
        <f t="shared" si="5"/>
        <v>0</v>
      </c>
      <c r="Q31" s="65">
        <f>(IF(Q$27="%w/w SAR",((Q$28*10)*$B31),IF(Q$27="%w/w DM",(((Q$28*10)*($B$28/100))*$B31),IF(Q$27="kg/t SAR",(Q$28*$B31),IF(Q$27="kg/t DM",((Q$28*($B$28/100))*$B31),IF(Q$27="mg/kg SAR",((Q$28*0.001)*$B31),IF(Q$27="mg/kg DM",(((Q$28*0.001)*($B$28/100))*$B31),0)))))))*2.5</f>
        <v>20.009999999999998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0.19699500000000003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24.219000000000001</v>
      </c>
      <c r="D32" s="65">
        <f t="shared" ref="D32:D50" si="7">(IF(D$27="%w/w SAR",((D$28*10)*$B32),IF(D$27="%w/w DM",(((D$28*10)*($B$28/100))*$B32),IF(D$27="kg/t SAR",(D$28*$B32),IF(D$27="kg/t DM",((D$28*($B$28/100))*$B32),IF(D$27="mg/kg SAR",((D$28*0.001)*$B32),IF(D$27="mg/kg DM",(((D$28*0.001)*($B$28/100))*$B32),"0")))))))*2.291</f>
        <v>26.636311499999998</v>
      </c>
      <c r="E32" s="65">
        <f t="shared" ref="E32:E50" si="8">(IF(E$27="%w/w SAR",((E$28*10)*$B32),IF(E$27="%w/w DM",(((E$28*10)*($B$28/100))*$B32),IF(E$27="kg/t SAR",(E$28*$B32),IF(E$27="kg/t DM",((E$28*($B$28/100))*$B32),IF(E$27="mg/kg SAR",((E$28*0.001)*$B32),IF(E$27="mg/kg DM",(((E$28*0.001)*($B$28/100))*$B32),"0")))))))*1.205</f>
        <v>2.0869395000000002</v>
      </c>
      <c r="F32" s="65">
        <f t="shared" ref="F32:F50" si="9">(IF(F$27="%w/w SAR",((F$28*10)*$B32),IF(F$27="%w/w DM",(((F$28*10)*($B$28/100))*$B32),IF(F$27="kg/t SAR",(F$28*$B32),IF(F$27="kg/t DM",((F$28*($B$28/100))*$B32),IF(F$27="mg/kg SAR",((F$28*0.001)*$B32),IF(F$27="mg/kg DM",(((F$28*0.001)*($B$28/100))*$B32),"0")))))))*1.658</f>
        <v>3.4663805999999999</v>
      </c>
      <c r="G32" s="65">
        <f t="shared" si="5"/>
        <v>0.15525</v>
      </c>
      <c r="H32" s="65">
        <f t="shared" si="5"/>
        <v>0.48990000000000006</v>
      </c>
      <c r="I32" s="65">
        <f t="shared" si="5"/>
        <v>0.12351000000000001</v>
      </c>
      <c r="J32" s="65">
        <f t="shared" si="5"/>
        <v>3.2775000000000005E-3</v>
      </c>
      <c r="K32" s="65">
        <f t="shared" si="5"/>
        <v>2.0010000000000002E-3</v>
      </c>
      <c r="L32" s="65">
        <f t="shared" si="5"/>
        <v>0.10143000000000001</v>
      </c>
      <c r="M32" s="65">
        <f t="shared" si="5"/>
        <v>8.5560000000000025E-2</v>
      </c>
      <c r="N32" s="65">
        <f t="shared" si="5"/>
        <v>9.522000000000002</v>
      </c>
      <c r="O32" s="65">
        <f t="shared" si="5"/>
        <v>1535.25</v>
      </c>
      <c r="P32" s="65">
        <f t="shared" si="5"/>
        <v>0</v>
      </c>
      <c r="Q32" s="65">
        <f t="shared" ref="Q32:Q50" si="10">(IF(Q$27="%w/w SAR",((Q$28*10)*$B32),IF(Q$27="%w/w DM",(((Q$28*10)*($B$28/100))*$B32),IF(Q$27="kg/t SAR",(Q$28*$B32),IF(Q$27="kg/t DM",((Q$28*($B$28/100))*$B32),IF(Q$27="mg/kg SAR",((Q$28*0.001)*$B32),IF(Q$27="mg/kg DM",(((Q$28*0.001)*($B$28/100))*$B32),0)))))))*2.5</f>
        <v>20.009999999999998</v>
      </c>
      <c r="R32" s="65">
        <f t="shared" ref="R32:U50" si="11">IF(R$27="%w/w SAR",((R$28*10)*$B32),IF(R$27="%w/w DM",(((R$28*10)*($B$28/100))*$B32),IF(R$27="kg/t SAR",(R$28*$B32),IF(R$27="kg/t DM",((R$28*($B$28/100))*$B32),IF(R$27="mg/kg SAR",((R$28*0.001)*$B32),IF(R$27="mg/kg DM",(((R$28*0.001)*($B$28/100))*$B32),0))))))</f>
        <v>0</v>
      </c>
      <c r="S32" s="65">
        <f t="shared" si="11"/>
        <v>0.19699500000000003</v>
      </c>
      <c r="T32" s="65">
        <f t="shared" si="11"/>
        <v>0</v>
      </c>
      <c r="U32" s="126">
        <f t="shared" si="11"/>
        <v>0</v>
      </c>
    </row>
    <row r="33" spans="1:21" s="48" customFormat="1" ht="13" x14ac:dyDescent="0.35">
      <c r="A33" s="125">
        <f>E8</f>
        <v>3</v>
      </c>
      <c r="B33" s="11">
        <v>100</v>
      </c>
      <c r="C33" s="65">
        <f t="shared" si="6"/>
        <v>24.219000000000001</v>
      </c>
      <c r="D33" s="65">
        <f t="shared" si="7"/>
        <v>26.636311499999998</v>
      </c>
      <c r="E33" s="65">
        <f t="shared" si="8"/>
        <v>2.0869395000000002</v>
      </c>
      <c r="F33" s="65">
        <f t="shared" si="9"/>
        <v>3.4663805999999999</v>
      </c>
      <c r="G33" s="65">
        <f t="shared" si="5"/>
        <v>0.15525</v>
      </c>
      <c r="H33" s="65">
        <f t="shared" si="5"/>
        <v>0.48990000000000006</v>
      </c>
      <c r="I33" s="65">
        <f t="shared" si="5"/>
        <v>0.12351000000000001</v>
      </c>
      <c r="J33" s="65">
        <f t="shared" si="5"/>
        <v>3.2775000000000005E-3</v>
      </c>
      <c r="K33" s="65">
        <f t="shared" si="5"/>
        <v>2.0010000000000002E-3</v>
      </c>
      <c r="L33" s="65">
        <f t="shared" si="5"/>
        <v>0.10143000000000001</v>
      </c>
      <c r="M33" s="65">
        <f t="shared" si="5"/>
        <v>8.5560000000000025E-2</v>
      </c>
      <c r="N33" s="65">
        <f t="shared" si="5"/>
        <v>9.522000000000002</v>
      </c>
      <c r="O33" s="65">
        <f t="shared" si="5"/>
        <v>1535.25</v>
      </c>
      <c r="P33" s="65">
        <f t="shared" si="5"/>
        <v>0</v>
      </c>
      <c r="Q33" s="65">
        <f t="shared" si="10"/>
        <v>20.009999999999998</v>
      </c>
      <c r="R33" s="65">
        <f t="shared" si="11"/>
        <v>0</v>
      </c>
      <c r="S33" s="65">
        <f t="shared" si="11"/>
        <v>0.19699500000000003</v>
      </c>
      <c r="T33" s="65">
        <f t="shared" si="11"/>
        <v>0</v>
      </c>
      <c r="U33" s="126">
        <f t="shared" si="11"/>
        <v>0</v>
      </c>
    </row>
    <row r="34" spans="1:21" s="48" customFormat="1" ht="13" x14ac:dyDescent="0.35">
      <c r="A34" s="125">
        <f>F8</f>
        <v>4</v>
      </c>
      <c r="B34" s="11">
        <v>100</v>
      </c>
      <c r="C34" s="65">
        <f t="shared" si="6"/>
        <v>24.219000000000001</v>
      </c>
      <c r="D34" s="65">
        <f t="shared" si="7"/>
        <v>26.636311499999998</v>
      </c>
      <c r="E34" s="65">
        <f t="shared" si="8"/>
        <v>2.0869395000000002</v>
      </c>
      <c r="F34" s="65">
        <f t="shared" si="9"/>
        <v>3.4663805999999999</v>
      </c>
      <c r="G34" s="65">
        <f t="shared" si="5"/>
        <v>0.15525</v>
      </c>
      <c r="H34" s="65">
        <f t="shared" si="5"/>
        <v>0.48990000000000006</v>
      </c>
      <c r="I34" s="65">
        <f t="shared" si="5"/>
        <v>0.12351000000000001</v>
      </c>
      <c r="J34" s="65">
        <f t="shared" si="5"/>
        <v>3.2775000000000005E-3</v>
      </c>
      <c r="K34" s="65">
        <f t="shared" si="5"/>
        <v>2.0010000000000002E-3</v>
      </c>
      <c r="L34" s="65">
        <f t="shared" si="5"/>
        <v>0.10143000000000001</v>
      </c>
      <c r="M34" s="65">
        <f t="shared" si="5"/>
        <v>8.5560000000000025E-2</v>
      </c>
      <c r="N34" s="65">
        <f t="shared" si="5"/>
        <v>9.522000000000002</v>
      </c>
      <c r="O34" s="65">
        <f t="shared" si="5"/>
        <v>1535.25</v>
      </c>
      <c r="P34" s="65">
        <f t="shared" si="5"/>
        <v>0</v>
      </c>
      <c r="Q34" s="65">
        <f t="shared" si="10"/>
        <v>20.009999999999998</v>
      </c>
      <c r="R34" s="65">
        <f t="shared" si="11"/>
        <v>0</v>
      </c>
      <c r="S34" s="65">
        <f t="shared" si="11"/>
        <v>0.19699500000000003</v>
      </c>
      <c r="T34" s="65">
        <f t="shared" si="11"/>
        <v>0</v>
      </c>
      <c r="U34" s="126">
        <f t="shared" si="11"/>
        <v>0</v>
      </c>
    </row>
    <row r="35" spans="1:21" s="48" customFormat="1" ht="13" x14ac:dyDescent="0.35">
      <c r="A35" s="125">
        <f>G8</f>
        <v>5</v>
      </c>
      <c r="B35" s="11">
        <v>100</v>
      </c>
      <c r="C35" s="65">
        <f t="shared" si="6"/>
        <v>24.219000000000001</v>
      </c>
      <c r="D35" s="65">
        <f t="shared" si="7"/>
        <v>26.636311499999998</v>
      </c>
      <c r="E35" s="65">
        <f t="shared" si="8"/>
        <v>2.0869395000000002</v>
      </c>
      <c r="F35" s="65">
        <f t="shared" si="9"/>
        <v>3.4663805999999999</v>
      </c>
      <c r="G35" s="65">
        <f t="shared" si="5"/>
        <v>0.15525</v>
      </c>
      <c r="H35" s="65">
        <f t="shared" si="5"/>
        <v>0.48990000000000006</v>
      </c>
      <c r="I35" s="65">
        <f t="shared" si="5"/>
        <v>0.12351000000000001</v>
      </c>
      <c r="J35" s="65">
        <f t="shared" si="5"/>
        <v>3.2775000000000005E-3</v>
      </c>
      <c r="K35" s="65">
        <f t="shared" si="5"/>
        <v>2.0010000000000002E-3</v>
      </c>
      <c r="L35" s="65">
        <f t="shared" si="5"/>
        <v>0.10143000000000001</v>
      </c>
      <c r="M35" s="65">
        <f t="shared" si="5"/>
        <v>8.5560000000000025E-2</v>
      </c>
      <c r="N35" s="65">
        <f t="shared" si="5"/>
        <v>9.522000000000002</v>
      </c>
      <c r="O35" s="65">
        <f t="shared" si="5"/>
        <v>1535.25</v>
      </c>
      <c r="P35" s="65">
        <f t="shared" si="5"/>
        <v>0</v>
      </c>
      <c r="Q35" s="65">
        <f t="shared" si="10"/>
        <v>20.009999999999998</v>
      </c>
      <c r="R35" s="65">
        <f t="shared" si="11"/>
        <v>0</v>
      </c>
      <c r="S35" s="65">
        <f t="shared" si="11"/>
        <v>0.19699500000000003</v>
      </c>
      <c r="T35" s="65">
        <f t="shared" si="11"/>
        <v>0</v>
      </c>
      <c r="U35" s="126">
        <f t="shared" si="11"/>
        <v>0</v>
      </c>
    </row>
    <row r="36" spans="1:21" s="48" customFormat="1" ht="13" x14ac:dyDescent="0.35">
      <c r="A36" s="125">
        <f>H8</f>
        <v>6</v>
      </c>
      <c r="B36" s="11">
        <v>100</v>
      </c>
      <c r="C36" s="65">
        <f t="shared" si="6"/>
        <v>24.219000000000001</v>
      </c>
      <c r="D36" s="65">
        <f t="shared" si="7"/>
        <v>26.636311499999998</v>
      </c>
      <c r="E36" s="65">
        <f t="shared" si="8"/>
        <v>2.0869395000000002</v>
      </c>
      <c r="F36" s="65">
        <f t="shared" si="9"/>
        <v>3.4663805999999999</v>
      </c>
      <c r="G36" s="65">
        <f t="shared" si="5"/>
        <v>0.15525</v>
      </c>
      <c r="H36" s="65">
        <f t="shared" si="5"/>
        <v>0.48990000000000006</v>
      </c>
      <c r="I36" s="65">
        <f t="shared" si="5"/>
        <v>0.12351000000000001</v>
      </c>
      <c r="J36" s="65">
        <f t="shared" si="5"/>
        <v>3.2775000000000005E-3</v>
      </c>
      <c r="K36" s="65">
        <f t="shared" si="5"/>
        <v>2.0010000000000002E-3</v>
      </c>
      <c r="L36" s="65">
        <f t="shared" si="5"/>
        <v>0.10143000000000001</v>
      </c>
      <c r="M36" s="65">
        <f t="shared" si="5"/>
        <v>8.5560000000000025E-2</v>
      </c>
      <c r="N36" s="65">
        <f t="shared" si="5"/>
        <v>9.522000000000002</v>
      </c>
      <c r="O36" s="65">
        <f t="shared" si="5"/>
        <v>1535.25</v>
      </c>
      <c r="P36" s="65">
        <f t="shared" si="5"/>
        <v>0</v>
      </c>
      <c r="Q36" s="65">
        <f t="shared" si="10"/>
        <v>20.009999999999998</v>
      </c>
      <c r="R36" s="65">
        <f t="shared" si="11"/>
        <v>0</v>
      </c>
      <c r="S36" s="65">
        <f t="shared" si="11"/>
        <v>0.19699500000000003</v>
      </c>
      <c r="T36" s="65">
        <f t="shared" si="11"/>
        <v>0</v>
      </c>
      <c r="U36" s="126">
        <f t="shared" si="11"/>
        <v>0</v>
      </c>
    </row>
    <row r="37" spans="1:21" s="48" customFormat="1" ht="13" x14ac:dyDescent="0.35">
      <c r="A37" s="125">
        <f>I8</f>
        <v>7</v>
      </c>
      <c r="B37" s="11">
        <v>100</v>
      </c>
      <c r="C37" s="65">
        <f t="shared" si="6"/>
        <v>24.219000000000001</v>
      </c>
      <c r="D37" s="65">
        <f t="shared" si="7"/>
        <v>26.636311499999998</v>
      </c>
      <c r="E37" s="65">
        <f t="shared" si="8"/>
        <v>2.0869395000000002</v>
      </c>
      <c r="F37" s="65">
        <f t="shared" si="9"/>
        <v>3.4663805999999999</v>
      </c>
      <c r="G37" s="65">
        <f t="shared" si="5"/>
        <v>0.15525</v>
      </c>
      <c r="H37" s="65">
        <f t="shared" si="5"/>
        <v>0.48990000000000006</v>
      </c>
      <c r="I37" s="65">
        <f t="shared" si="5"/>
        <v>0.12351000000000001</v>
      </c>
      <c r="J37" s="65">
        <f t="shared" si="5"/>
        <v>3.2775000000000005E-3</v>
      </c>
      <c r="K37" s="65">
        <f t="shared" si="5"/>
        <v>2.0010000000000002E-3</v>
      </c>
      <c r="L37" s="65">
        <f t="shared" si="5"/>
        <v>0.10143000000000001</v>
      </c>
      <c r="M37" s="65">
        <f t="shared" si="5"/>
        <v>8.5560000000000025E-2</v>
      </c>
      <c r="N37" s="65">
        <f t="shared" si="5"/>
        <v>9.522000000000002</v>
      </c>
      <c r="O37" s="65">
        <f t="shared" si="5"/>
        <v>1535.25</v>
      </c>
      <c r="P37" s="65">
        <f t="shared" si="5"/>
        <v>0</v>
      </c>
      <c r="Q37" s="65">
        <f t="shared" si="10"/>
        <v>20.009999999999998</v>
      </c>
      <c r="R37" s="65">
        <f t="shared" si="11"/>
        <v>0</v>
      </c>
      <c r="S37" s="65">
        <f t="shared" si="11"/>
        <v>0.19699500000000003</v>
      </c>
      <c r="T37" s="65">
        <f t="shared" si="11"/>
        <v>0</v>
      </c>
      <c r="U37" s="126">
        <f t="shared" si="11"/>
        <v>0</v>
      </c>
    </row>
    <row r="38" spans="1:21" s="48" customFormat="1" ht="13" x14ac:dyDescent="0.35">
      <c r="A38" s="125">
        <f>J8</f>
        <v>8</v>
      </c>
      <c r="B38" s="11">
        <v>100</v>
      </c>
      <c r="C38" s="65">
        <f t="shared" si="6"/>
        <v>24.219000000000001</v>
      </c>
      <c r="D38" s="65">
        <f t="shared" si="7"/>
        <v>26.636311499999998</v>
      </c>
      <c r="E38" s="65">
        <f t="shared" si="8"/>
        <v>2.0869395000000002</v>
      </c>
      <c r="F38" s="65">
        <f t="shared" si="9"/>
        <v>3.4663805999999999</v>
      </c>
      <c r="G38" s="65">
        <f t="shared" si="5"/>
        <v>0.15525</v>
      </c>
      <c r="H38" s="65">
        <f t="shared" si="5"/>
        <v>0.48990000000000006</v>
      </c>
      <c r="I38" s="65">
        <f t="shared" si="5"/>
        <v>0.12351000000000001</v>
      </c>
      <c r="J38" s="65">
        <f t="shared" si="5"/>
        <v>3.2775000000000005E-3</v>
      </c>
      <c r="K38" s="65">
        <f t="shared" si="5"/>
        <v>2.0010000000000002E-3</v>
      </c>
      <c r="L38" s="65">
        <f t="shared" si="5"/>
        <v>0.10143000000000001</v>
      </c>
      <c r="M38" s="65">
        <f t="shared" si="5"/>
        <v>8.5560000000000025E-2</v>
      </c>
      <c r="N38" s="65">
        <f t="shared" si="5"/>
        <v>9.522000000000002</v>
      </c>
      <c r="O38" s="65">
        <f t="shared" si="5"/>
        <v>1535.25</v>
      </c>
      <c r="P38" s="65">
        <f t="shared" si="5"/>
        <v>0</v>
      </c>
      <c r="Q38" s="65">
        <f t="shared" si="10"/>
        <v>20.009999999999998</v>
      </c>
      <c r="R38" s="65">
        <f t="shared" si="11"/>
        <v>0</v>
      </c>
      <c r="S38" s="65">
        <f t="shared" si="11"/>
        <v>0.19699500000000003</v>
      </c>
      <c r="T38" s="65">
        <f t="shared" si="11"/>
        <v>0</v>
      </c>
      <c r="U38" s="126">
        <f t="shared" si="11"/>
        <v>0</v>
      </c>
    </row>
    <row r="39" spans="1:21" s="48" customFormat="1" ht="13" x14ac:dyDescent="0.35">
      <c r="A39" s="125">
        <f>K8</f>
        <v>9</v>
      </c>
      <c r="B39" s="11">
        <v>100</v>
      </c>
      <c r="C39" s="65">
        <f t="shared" si="6"/>
        <v>24.219000000000001</v>
      </c>
      <c r="D39" s="65">
        <f t="shared" si="7"/>
        <v>26.636311499999998</v>
      </c>
      <c r="E39" s="65">
        <f t="shared" si="8"/>
        <v>2.0869395000000002</v>
      </c>
      <c r="F39" s="65">
        <f t="shared" si="9"/>
        <v>3.4663805999999999</v>
      </c>
      <c r="G39" s="65">
        <f t="shared" si="5"/>
        <v>0.15525</v>
      </c>
      <c r="H39" s="65">
        <f t="shared" si="5"/>
        <v>0.48990000000000006</v>
      </c>
      <c r="I39" s="65">
        <f t="shared" si="5"/>
        <v>0.12351000000000001</v>
      </c>
      <c r="J39" s="65">
        <f t="shared" si="5"/>
        <v>3.2775000000000005E-3</v>
      </c>
      <c r="K39" s="65">
        <f t="shared" si="5"/>
        <v>2.0010000000000002E-3</v>
      </c>
      <c r="L39" s="65">
        <f t="shared" si="5"/>
        <v>0.10143000000000001</v>
      </c>
      <c r="M39" s="65">
        <f t="shared" si="5"/>
        <v>8.5560000000000025E-2</v>
      </c>
      <c r="N39" s="65">
        <f t="shared" si="5"/>
        <v>9.522000000000002</v>
      </c>
      <c r="O39" s="65">
        <f t="shared" si="5"/>
        <v>1535.25</v>
      </c>
      <c r="P39" s="65">
        <f t="shared" si="5"/>
        <v>0</v>
      </c>
      <c r="Q39" s="65">
        <f t="shared" si="10"/>
        <v>20.009999999999998</v>
      </c>
      <c r="R39" s="65">
        <f t="shared" si="11"/>
        <v>0</v>
      </c>
      <c r="S39" s="65">
        <f t="shared" si="11"/>
        <v>0.19699500000000003</v>
      </c>
      <c r="T39" s="65">
        <f t="shared" si="11"/>
        <v>0</v>
      </c>
      <c r="U39" s="126">
        <f t="shared" si="11"/>
        <v>0</v>
      </c>
    </row>
    <row r="40" spans="1:21" s="48" customFormat="1" ht="13" x14ac:dyDescent="0.35">
      <c r="A40" s="125">
        <f>L8</f>
        <v>10</v>
      </c>
      <c r="B40" s="11">
        <v>100</v>
      </c>
      <c r="C40" s="65">
        <f t="shared" si="6"/>
        <v>24.219000000000001</v>
      </c>
      <c r="D40" s="65">
        <f t="shared" si="7"/>
        <v>26.636311499999998</v>
      </c>
      <c r="E40" s="65">
        <f t="shared" si="8"/>
        <v>2.0869395000000002</v>
      </c>
      <c r="F40" s="65">
        <f t="shared" si="9"/>
        <v>3.4663805999999999</v>
      </c>
      <c r="G40" s="65">
        <f t="shared" si="5"/>
        <v>0.15525</v>
      </c>
      <c r="H40" s="65">
        <f t="shared" si="5"/>
        <v>0.48990000000000006</v>
      </c>
      <c r="I40" s="65">
        <f t="shared" si="5"/>
        <v>0.12351000000000001</v>
      </c>
      <c r="J40" s="65">
        <f t="shared" si="5"/>
        <v>3.2775000000000005E-3</v>
      </c>
      <c r="K40" s="65">
        <f t="shared" si="5"/>
        <v>2.0010000000000002E-3</v>
      </c>
      <c r="L40" s="65">
        <f t="shared" si="5"/>
        <v>0.10143000000000001</v>
      </c>
      <c r="M40" s="65">
        <f t="shared" si="5"/>
        <v>8.5560000000000025E-2</v>
      </c>
      <c r="N40" s="65">
        <f t="shared" si="5"/>
        <v>9.522000000000002</v>
      </c>
      <c r="O40" s="65">
        <f t="shared" si="5"/>
        <v>1535.25</v>
      </c>
      <c r="P40" s="65">
        <f t="shared" si="5"/>
        <v>0</v>
      </c>
      <c r="Q40" s="65">
        <f t="shared" si="10"/>
        <v>20.009999999999998</v>
      </c>
      <c r="R40" s="65">
        <f t="shared" si="11"/>
        <v>0</v>
      </c>
      <c r="S40" s="65">
        <f t="shared" si="11"/>
        <v>0.19699500000000003</v>
      </c>
      <c r="T40" s="65">
        <f t="shared" si="11"/>
        <v>0</v>
      </c>
      <c r="U40" s="126">
        <f t="shared" si="11"/>
        <v>0</v>
      </c>
    </row>
    <row r="41" spans="1:21" s="48" customFormat="1" ht="13" x14ac:dyDescent="0.35">
      <c r="A41" s="125">
        <f>M8</f>
        <v>11</v>
      </c>
      <c r="B41" s="11">
        <v>100</v>
      </c>
      <c r="C41" s="65">
        <f t="shared" si="6"/>
        <v>24.219000000000001</v>
      </c>
      <c r="D41" s="65">
        <f t="shared" si="7"/>
        <v>26.636311499999998</v>
      </c>
      <c r="E41" s="65">
        <f t="shared" si="8"/>
        <v>2.0869395000000002</v>
      </c>
      <c r="F41" s="65">
        <f t="shared" si="9"/>
        <v>3.4663805999999999</v>
      </c>
      <c r="G41" s="65">
        <f t="shared" si="5"/>
        <v>0.15525</v>
      </c>
      <c r="H41" s="65">
        <f t="shared" si="5"/>
        <v>0.48990000000000006</v>
      </c>
      <c r="I41" s="65">
        <f t="shared" si="5"/>
        <v>0.12351000000000001</v>
      </c>
      <c r="J41" s="65">
        <f t="shared" si="5"/>
        <v>3.2775000000000005E-3</v>
      </c>
      <c r="K41" s="65">
        <f t="shared" si="5"/>
        <v>2.0010000000000002E-3</v>
      </c>
      <c r="L41" s="65">
        <f t="shared" si="5"/>
        <v>0.10143000000000001</v>
      </c>
      <c r="M41" s="65">
        <f t="shared" si="5"/>
        <v>8.5560000000000025E-2</v>
      </c>
      <c r="N41" s="65">
        <f t="shared" si="5"/>
        <v>9.522000000000002</v>
      </c>
      <c r="O41" s="65">
        <f t="shared" si="5"/>
        <v>1535.25</v>
      </c>
      <c r="P41" s="65">
        <f t="shared" si="5"/>
        <v>0</v>
      </c>
      <c r="Q41" s="65">
        <f t="shared" si="10"/>
        <v>20.009999999999998</v>
      </c>
      <c r="R41" s="65">
        <f t="shared" si="11"/>
        <v>0</v>
      </c>
      <c r="S41" s="65">
        <f t="shared" si="11"/>
        <v>0.19699500000000003</v>
      </c>
      <c r="T41" s="65">
        <f t="shared" si="11"/>
        <v>0</v>
      </c>
      <c r="U41" s="126">
        <f t="shared" si="11"/>
        <v>0</v>
      </c>
    </row>
    <row r="42" spans="1:21" s="48" customFormat="1" ht="13" x14ac:dyDescent="0.35">
      <c r="A42" s="125">
        <f>N8</f>
        <v>14</v>
      </c>
      <c r="B42" s="11">
        <v>100</v>
      </c>
      <c r="C42" s="65">
        <f t="shared" si="6"/>
        <v>24.219000000000001</v>
      </c>
      <c r="D42" s="65">
        <f t="shared" si="7"/>
        <v>26.636311499999998</v>
      </c>
      <c r="E42" s="65">
        <f t="shared" si="8"/>
        <v>2.0869395000000002</v>
      </c>
      <c r="F42" s="65">
        <f t="shared" si="9"/>
        <v>3.4663805999999999</v>
      </c>
      <c r="G42" s="65">
        <f t="shared" si="5"/>
        <v>0.15525</v>
      </c>
      <c r="H42" s="65">
        <f t="shared" si="5"/>
        <v>0.48990000000000006</v>
      </c>
      <c r="I42" s="65">
        <f t="shared" si="5"/>
        <v>0.12351000000000001</v>
      </c>
      <c r="J42" s="65">
        <f t="shared" si="5"/>
        <v>3.2775000000000005E-3</v>
      </c>
      <c r="K42" s="65">
        <f t="shared" si="5"/>
        <v>2.0010000000000002E-3</v>
      </c>
      <c r="L42" s="65">
        <f t="shared" si="5"/>
        <v>0.10143000000000001</v>
      </c>
      <c r="M42" s="65">
        <f t="shared" si="5"/>
        <v>8.5560000000000025E-2</v>
      </c>
      <c r="N42" s="65">
        <f t="shared" si="5"/>
        <v>9.522000000000002</v>
      </c>
      <c r="O42" s="65">
        <f t="shared" si="5"/>
        <v>1535.25</v>
      </c>
      <c r="P42" s="65">
        <f t="shared" si="5"/>
        <v>0</v>
      </c>
      <c r="Q42" s="65">
        <f t="shared" si="10"/>
        <v>20.009999999999998</v>
      </c>
      <c r="R42" s="65">
        <f t="shared" si="11"/>
        <v>0</v>
      </c>
      <c r="S42" s="65">
        <f t="shared" si="11"/>
        <v>0.19699500000000003</v>
      </c>
      <c r="T42" s="65">
        <f t="shared" si="11"/>
        <v>0</v>
      </c>
      <c r="U42" s="126">
        <f t="shared" si="11"/>
        <v>0</v>
      </c>
    </row>
    <row r="43" spans="1:21" s="48" customFormat="1" ht="13" x14ac:dyDescent="0.35">
      <c r="A43" s="125">
        <f>O8</f>
        <v>15</v>
      </c>
      <c r="B43" s="11">
        <v>100</v>
      </c>
      <c r="C43" s="65">
        <f t="shared" si="6"/>
        <v>24.219000000000001</v>
      </c>
      <c r="D43" s="65">
        <f t="shared" si="7"/>
        <v>26.636311499999998</v>
      </c>
      <c r="E43" s="65">
        <f t="shared" si="8"/>
        <v>2.0869395000000002</v>
      </c>
      <c r="F43" s="65">
        <f t="shared" si="9"/>
        <v>3.4663805999999999</v>
      </c>
      <c r="G43" s="65">
        <f t="shared" si="5"/>
        <v>0.15525</v>
      </c>
      <c r="H43" s="65">
        <f t="shared" si="5"/>
        <v>0.48990000000000006</v>
      </c>
      <c r="I43" s="65">
        <f t="shared" si="5"/>
        <v>0.12351000000000001</v>
      </c>
      <c r="J43" s="65">
        <f t="shared" si="5"/>
        <v>3.2775000000000005E-3</v>
      </c>
      <c r="K43" s="65">
        <f t="shared" si="5"/>
        <v>2.0010000000000002E-3</v>
      </c>
      <c r="L43" s="65">
        <f t="shared" si="5"/>
        <v>0.10143000000000001</v>
      </c>
      <c r="M43" s="65">
        <f t="shared" si="5"/>
        <v>8.5560000000000025E-2</v>
      </c>
      <c r="N43" s="65">
        <f t="shared" si="5"/>
        <v>9.522000000000002</v>
      </c>
      <c r="O43" s="65">
        <f t="shared" si="5"/>
        <v>1535.25</v>
      </c>
      <c r="P43" s="65">
        <f t="shared" si="5"/>
        <v>0</v>
      </c>
      <c r="Q43" s="65">
        <f t="shared" si="10"/>
        <v>20.009999999999998</v>
      </c>
      <c r="R43" s="65">
        <f t="shared" si="11"/>
        <v>0</v>
      </c>
      <c r="S43" s="65">
        <f t="shared" si="11"/>
        <v>0.19699500000000003</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Arable</v>
      </c>
      <c r="D58" s="10" t="str">
        <f>E16&amp;" I "&amp;(VLOOKUP(E14,Table24581113[],6,FALSE))</f>
        <v>Medium/Clay I Arable</v>
      </c>
      <c r="E58" s="10" t="str">
        <f>F16&amp;" I "&amp;(VLOOKUP(F14,Table24581113[],6,FALSE))</f>
        <v>Medium/Clay I Arable</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Arable</v>
      </c>
      <c r="J58" s="10" t="str">
        <f>K16&amp;" I "&amp;(VLOOKUP(K14,Table24581113[],6,FALSE))</f>
        <v>Medium/Clay I Arable</v>
      </c>
      <c r="K58" s="10" t="str">
        <f>L16&amp;" I "&amp;(VLOOKUP(L14,Table24581113[],6,FALSE))</f>
        <v>Medium/Clay I Arable</v>
      </c>
      <c r="L58" s="10" t="str">
        <f>M16&amp;" I "&amp;(VLOOKUP(M14,Table24581113[],6,FALSE))</f>
        <v>Medium/Clay I Arable</v>
      </c>
      <c r="M58" s="10" t="str">
        <f>N16&amp;" I "&amp;(VLOOKUP(N14,Table24581113[],6,FALSE))</f>
        <v>Medium/Clay I Arable</v>
      </c>
      <c r="N58" s="10" t="str">
        <f>O16&amp;" I "&amp;(VLOOKUP(O14,Table24581113[],6,FALSE))</f>
        <v>Medium/Clay I Arable</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6.7</v>
      </c>
      <c r="D59" s="64">
        <f>VLOOKUP(E$14,Table24581113[],5,FALSE)</f>
        <v>6.7</v>
      </c>
      <c r="E59" s="64">
        <f>VLOOKUP(F$14,Table24581113[],5,FALSE)</f>
        <v>6.7</v>
      </c>
      <c r="F59" s="64">
        <f>VLOOKUP(G$14,Table24581113[],5,FALSE)</f>
        <v>6.7</v>
      </c>
      <c r="G59" s="64">
        <f>VLOOKUP(H$14,Table24581113[],5,FALSE)</f>
        <v>6.7</v>
      </c>
      <c r="H59" s="64">
        <f>VLOOKUP(I$14,Table24581113[],5,FALSE)</f>
        <v>6.7</v>
      </c>
      <c r="I59" s="64">
        <f>VLOOKUP(J$14,Table24581113[],5,FALSE)</f>
        <v>6.7</v>
      </c>
      <c r="J59" s="64">
        <f>VLOOKUP(K$14,Table24581113[],5,FALSE)</f>
        <v>6.7</v>
      </c>
      <c r="K59" s="64">
        <f>VLOOKUP(L$14,Table24581113[],5,FALSE)</f>
        <v>6.7</v>
      </c>
      <c r="L59" s="64">
        <f>VLOOKUP(M$14,Table24581113[],5,FALSE)</f>
        <v>6.7</v>
      </c>
      <c r="M59" s="64">
        <f>VLOOKUP(N$14,Table24581113[],5,FALSE)</f>
        <v>6.7</v>
      </c>
      <c r="N59" s="64">
        <f>VLOOKUP(O$14,Table24581113[],5,FALSE)</f>
        <v>6.7</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v>
      </c>
      <c r="J1" s="158" t="s">
        <v>153</v>
      </c>
      <c r="K1" s="159"/>
      <c r="L1" s="109">
        <v>325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0.91300000000000003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3.5596933187294635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26.762545599999999</v>
      </c>
      <c r="D18" s="12">
        <f>$D32</f>
        <v>26.762545599999999</v>
      </c>
      <c r="E18" s="12">
        <f>$D33</f>
        <v>26.762545599999999</v>
      </c>
      <c r="F18" s="12">
        <f>$D34</f>
        <v>26.762545599999999</v>
      </c>
      <c r="G18" s="12">
        <f>$D35</f>
        <v>26.762545599999999</v>
      </c>
      <c r="H18" s="12">
        <f>$D36</f>
        <v>26.762545599999999</v>
      </c>
      <c r="I18" s="12">
        <f>$D37</f>
        <v>26.762545599999999</v>
      </c>
      <c r="J18" s="12">
        <f>$D38</f>
        <v>26.762545599999999</v>
      </c>
      <c r="K18" s="12">
        <f>$D39</f>
        <v>26.762545599999999</v>
      </c>
      <c r="L18" s="12">
        <f>$D40</f>
        <v>26.762545599999999</v>
      </c>
      <c r="M18" s="12">
        <f>$D41</f>
        <v>26.762545599999999</v>
      </c>
      <c r="N18" s="12">
        <f>$D42</f>
        <v>26.762545599999999</v>
      </c>
      <c r="O18" s="12">
        <f>$D43</f>
        <v>26.762545599999999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-36.23745439999999</v>
      </c>
      <c r="D19" s="12">
        <f t="shared" ref="D19:V19" si="1">D18-D17</f>
        <v>-36.23745439999999</v>
      </c>
      <c r="E19" s="12">
        <f t="shared" si="1"/>
        <v>-36.23745439999999</v>
      </c>
      <c r="F19" s="12">
        <f t="shared" si="1"/>
        <v>-36.23745439999999</v>
      </c>
      <c r="G19" s="12">
        <f t="shared" si="1"/>
        <v>-36.23745439999999</v>
      </c>
      <c r="H19" s="12">
        <f t="shared" si="1"/>
        <v>-36.23745439999999</v>
      </c>
      <c r="I19" s="12">
        <f t="shared" si="1"/>
        <v>-36.23745439999999</v>
      </c>
      <c r="J19" s="12">
        <f t="shared" si="1"/>
        <v>-36.23745439999999</v>
      </c>
      <c r="K19" s="12">
        <f t="shared" si="1"/>
        <v>-36.23745439999999</v>
      </c>
      <c r="L19" s="12">
        <f t="shared" si="1"/>
        <v>-36.23745439999999</v>
      </c>
      <c r="M19" s="12">
        <f t="shared" si="1"/>
        <v>-36.23745439999999</v>
      </c>
      <c r="N19" s="12">
        <f t="shared" si="1"/>
        <v>-36.23745439999999</v>
      </c>
      <c r="O19" s="12">
        <f t="shared" si="1"/>
        <v>-36.23745439999999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2.0970856000000002</v>
      </c>
      <c r="D22" s="12">
        <f>$E32</f>
        <v>2.0970856000000002</v>
      </c>
      <c r="E22" s="12">
        <f>$E33</f>
        <v>2.0970856000000002</v>
      </c>
      <c r="F22" s="12">
        <f>$E34</f>
        <v>2.0970856000000002</v>
      </c>
      <c r="G22" s="12">
        <f>$E35</f>
        <v>2.0970856000000002</v>
      </c>
      <c r="H22" s="12">
        <f>$E36</f>
        <v>2.0970856000000002</v>
      </c>
      <c r="I22" s="12">
        <f>$E37</f>
        <v>2.0970856000000002</v>
      </c>
      <c r="J22" s="12">
        <f>$E38</f>
        <v>2.0970856000000002</v>
      </c>
      <c r="K22" s="12">
        <f>$E39</f>
        <v>2.0970856000000002</v>
      </c>
      <c r="L22" s="12">
        <f>$E40</f>
        <v>2.0970856000000002</v>
      </c>
      <c r="M22" s="12">
        <f>$E41</f>
        <v>2.0970856000000002</v>
      </c>
      <c r="N22" s="12">
        <f>$E42</f>
        <v>2.0970856000000002</v>
      </c>
      <c r="O22" s="12">
        <f>$E43</f>
        <v>2.0970856000000002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-195.90291440000001</v>
      </c>
      <c r="D23" s="12">
        <f t="shared" ref="D23:V23" si="3">D22-D21</f>
        <v>-195.90291440000001</v>
      </c>
      <c r="E23" s="12">
        <f t="shared" si="3"/>
        <v>-195.90291440000001</v>
      </c>
      <c r="F23" s="12">
        <f t="shared" si="3"/>
        <v>-195.90291440000001</v>
      </c>
      <c r="G23" s="12">
        <f t="shared" si="3"/>
        <v>-195.90291440000001</v>
      </c>
      <c r="H23" s="12">
        <f t="shared" si="3"/>
        <v>-195.90291440000001</v>
      </c>
      <c r="I23" s="12">
        <f t="shared" si="3"/>
        <v>-195.90291440000001</v>
      </c>
      <c r="J23" s="12">
        <f t="shared" si="3"/>
        <v>-195.90291440000001</v>
      </c>
      <c r="K23" s="12">
        <f t="shared" si="3"/>
        <v>-195.90291440000001</v>
      </c>
      <c r="L23" s="12">
        <f t="shared" si="3"/>
        <v>-195.90291440000001</v>
      </c>
      <c r="M23" s="12">
        <f t="shared" si="3"/>
        <v>-195.90291440000001</v>
      </c>
      <c r="N23" s="12">
        <f t="shared" si="3"/>
        <v>-195.90291440000001</v>
      </c>
      <c r="O23" s="12">
        <f t="shared" si="3"/>
        <v>-195.90291440000001</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2.98</v>
      </c>
      <c r="C28" s="11">
        <v>0.91300000000000003</v>
      </c>
      <c r="D28" s="11">
        <v>0.39200000000000002</v>
      </c>
      <c r="E28" s="11">
        <v>5.8400000000000001E-2</v>
      </c>
      <c r="F28" s="11">
        <v>440</v>
      </c>
      <c r="G28" s="11">
        <v>52.3</v>
      </c>
      <c r="H28" s="11">
        <v>137</v>
      </c>
      <c r="I28" s="11">
        <v>41.6</v>
      </c>
      <c r="J28" s="11">
        <v>0.74</v>
      </c>
      <c r="K28" s="15">
        <v>0.67</v>
      </c>
      <c r="L28" s="11">
        <v>34.200000000000003</v>
      </c>
      <c r="M28" s="11">
        <v>41.5</v>
      </c>
      <c r="N28" s="11">
        <v>2290</v>
      </c>
      <c r="O28" s="11">
        <v>403000</v>
      </c>
      <c r="P28" s="11"/>
      <c r="Q28" s="11">
        <v>8930</v>
      </c>
      <c r="R28" s="11"/>
      <c r="S28" s="11">
        <v>80.099999999999994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27.207400000000003</v>
      </c>
      <c r="D31" s="65">
        <f>(IF(D$27="%w/w SAR",((D$28*10)*$B31),IF(D$27="%w/w DM",(((D$28*10)*($B$28/100))*$B31),IF(D$27="kg/t SAR",(D$28*$B31),IF(D$27="kg/t DM",((D$28*($B$28/100))*$B31),IF(D$27="mg/kg SAR",((D$28*0.001)*$B31),IF(D$27="mg/kg DM",(((D$28*0.001)*($B$28/100))*$B31),"0")))))))*2.291</f>
        <v>26.762545599999999</v>
      </c>
      <c r="E31" s="65">
        <f>(IF(E$27="%w/w SAR",((E$28*10)*$B31),IF(E$27="%w/w DM",(((E$28*10)*($B$28/100))*$B31),IF(E$27="kg/t SAR",(E$28*$B31),IF(E$27="kg/t DM",((E$28*($B$28/100))*$B31),IF(E$27="mg/kg SAR",((E$28*0.001)*$B31),IF(E$27="mg/kg DM",(((E$28*0.001)*($B$28/100))*$B31),"0")))))))*1.205</f>
        <v>2.0970856000000002</v>
      </c>
      <c r="F31" s="65">
        <f>(IF(F$27="%w/w SAR",((F$28*10)*$B31),IF(F$27="%w/w DM",(((F$28*10)*($B$28/100))*$B31),IF(F$27="kg/t SAR",(F$28*$B31),IF(F$27="kg/t DM",((F$28*($B$28/100))*$B31),IF(F$27="mg/kg SAR",((F$28*0.001)*$B31),IF(F$27="mg/kg DM",(((F$28*0.001)*($B$28/100))*$B31),"0")))))))*1.658</f>
        <v>2.1739695999999999</v>
      </c>
      <c r="G31" s="65">
        <f t="shared" ref="G31:P46" si="5">IF(G$27="%w/w SAR",((G$28*10)*$B31),IF(G$27="%w/w DM",(((G$28*10)*($B$28/100))*$B31),IF(G$27="kg/t SAR",(G$28*$B31),IF(G$27="kg/t DM",((G$28*($B$28/100))*$B31),IF(G$27="mg/kg SAR",((G$28*0.001)*$B31),IF(G$27="mg/kg DM",(((G$28*0.001)*($B$28/100))*$B31),0))))))</f>
        <v>0.15585399999999999</v>
      </c>
      <c r="H31" s="65">
        <f t="shared" si="5"/>
        <v>0.40826000000000007</v>
      </c>
      <c r="I31" s="65">
        <f t="shared" si="5"/>
        <v>0.12396800000000002</v>
      </c>
      <c r="J31" s="65">
        <f t="shared" si="5"/>
        <v>2.2052E-3</v>
      </c>
      <c r="K31" s="65">
        <f t="shared" si="5"/>
        <v>1.9966000000000003E-3</v>
      </c>
      <c r="L31" s="65">
        <f t="shared" si="5"/>
        <v>0.10191600000000001</v>
      </c>
      <c r="M31" s="65">
        <f t="shared" si="5"/>
        <v>0.12367</v>
      </c>
      <c r="N31" s="65">
        <f t="shared" si="5"/>
        <v>6.8241999999999994</v>
      </c>
      <c r="O31" s="65">
        <f t="shared" si="5"/>
        <v>1200.94</v>
      </c>
      <c r="P31" s="65">
        <f t="shared" si="5"/>
        <v>0</v>
      </c>
      <c r="Q31" s="65">
        <f>(IF(Q$27="%w/w SAR",((Q$28*10)*$B31),IF(Q$27="%w/w DM",(((Q$28*10)*($B$28/100))*$B31),IF(Q$27="kg/t SAR",(Q$28*$B31),IF(Q$27="kg/t DM",((Q$28*($B$28/100))*$B31),IF(Q$27="mg/kg SAR",((Q$28*0.001)*$B31),IF(Q$27="mg/kg DM",(((Q$28*0.001)*($B$28/100))*$B31),0)))))))*2.5</f>
        <v>66.528500000000008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0.23869799999999999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27.207400000000003</v>
      </c>
      <c r="D32" s="65">
        <f t="shared" ref="D32:D50" si="7">(IF(D$27="%w/w SAR",((D$28*10)*$B32),IF(D$27="%w/w DM",(((D$28*10)*($B$28/100))*$B32),IF(D$27="kg/t SAR",(D$28*$B32),IF(D$27="kg/t DM",((D$28*($B$28/100))*$B32),IF(D$27="mg/kg SAR",((D$28*0.001)*$B32),IF(D$27="mg/kg DM",(((D$28*0.001)*($B$28/100))*$B32),"0")))))))*2.291</f>
        <v>26.762545599999999</v>
      </c>
      <c r="E32" s="65">
        <f t="shared" ref="E32:E50" si="8">(IF(E$27="%w/w SAR",((E$28*10)*$B32),IF(E$27="%w/w DM",(((E$28*10)*($B$28/100))*$B32),IF(E$27="kg/t SAR",(E$28*$B32),IF(E$27="kg/t DM",((E$28*($B$28/100))*$B32),IF(E$27="mg/kg SAR",((E$28*0.001)*$B32),IF(E$27="mg/kg DM",(((E$28*0.001)*($B$28/100))*$B32),"0")))))))*1.205</f>
        <v>2.0970856000000002</v>
      </c>
      <c r="F32" s="65">
        <f t="shared" ref="F32:F50" si="9">(IF(F$27="%w/w SAR",((F$28*10)*$B32),IF(F$27="%w/w DM",(((F$28*10)*($B$28/100))*$B32),IF(F$27="kg/t SAR",(F$28*$B32),IF(F$27="kg/t DM",((F$28*($B$28/100))*$B32),IF(F$27="mg/kg SAR",((F$28*0.001)*$B32),IF(F$27="mg/kg DM",(((F$28*0.001)*($B$28/100))*$B32),"0")))))))*1.658</f>
        <v>2.1739695999999999</v>
      </c>
      <c r="G32" s="65">
        <f t="shared" si="5"/>
        <v>0.15585399999999999</v>
      </c>
      <c r="H32" s="65">
        <f t="shared" si="5"/>
        <v>0.40826000000000007</v>
      </c>
      <c r="I32" s="65">
        <f t="shared" si="5"/>
        <v>0.12396800000000002</v>
      </c>
      <c r="J32" s="65">
        <f t="shared" si="5"/>
        <v>2.2052E-3</v>
      </c>
      <c r="K32" s="65">
        <f t="shared" si="5"/>
        <v>1.9966000000000003E-3</v>
      </c>
      <c r="L32" s="65">
        <f t="shared" si="5"/>
        <v>0.10191600000000001</v>
      </c>
      <c r="M32" s="65">
        <f t="shared" si="5"/>
        <v>0.12367</v>
      </c>
      <c r="N32" s="65">
        <f t="shared" si="5"/>
        <v>6.8241999999999994</v>
      </c>
      <c r="O32" s="65">
        <f t="shared" si="5"/>
        <v>1200.94</v>
      </c>
      <c r="P32" s="65">
        <f t="shared" si="5"/>
        <v>0</v>
      </c>
      <c r="Q32" s="65">
        <f t="shared" ref="Q32:Q50" si="10">(IF(Q$27="%w/w SAR",((Q$28*10)*$B32),IF(Q$27="%w/w DM",(((Q$28*10)*($B$28/100))*$B32),IF(Q$27="kg/t SAR",(Q$28*$B32),IF(Q$27="kg/t DM",((Q$28*($B$28/100))*$B32),IF(Q$27="mg/kg SAR",((Q$28*0.001)*$B32),IF(Q$27="mg/kg DM",(((Q$28*0.001)*($B$28/100))*$B32),0)))))))*2.5</f>
        <v>66.528500000000008</v>
      </c>
      <c r="R32" s="65">
        <f t="shared" ref="R32:U50" si="11">IF(R$27="%w/w SAR",((R$28*10)*$B32),IF(R$27="%w/w DM",(((R$28*10)*($B$28/100))*$B32),IF(R$27="kg/t SAR",(R$28*$B32),IF(R$27="kg/t DM",((R$28*($B$28/100))*$B32),IF(R$27="mg/kg SAR",((R$28*0.001)*$B32),IF(R$27="mg/kg DM",(((R$28*0.001)*($B$28/100))*$B32),0))))))</f>
        <v>0</v>
      </c>
      <c r="S32" s="65">
        <f t="shared" si="11"/>
        <v>0.23869799999999999</v>
      </c>
      <c r="T32" s="65">
        <f t="shared" si="11"/>
        <v>0</v>
      </c>
      <c r="U32" s="126">
        <f t="shared" si="11"/>
        <v>0</v>
      </c>
    </row>
    <row r="33" spans="1:21" s="48" customFormat="1" ht="13" x14ac:dyDescent="0.35">
      <c r="A33" s="125">
        <f>E8</f>
        <v>3</v>
      </c>
      <c r="B33" s="11">
        <v>100</v>
      </c>
      <c r="C33" s="65">
        <f t="shared" si="6"/>
        <v>27.207400000000003</v>
      </c>
      <c r="D33" s="65">
        <f t="shared" si="7"/>
        <v>26.762545599999999</v>
      </c>
      <c r="E33" s="65">
        <f t="shared" si="8"/>
        <v>2.0970856000000002</v>
      </c>
      <c r="F33" s="65">
        <f t="shared" si="9"/>
        <v>2.1739695999999999</v>
      </c>
      <c r="G33" s="65">
        <f t="shared" si="5"/>
        <v>0.15585399999999999</v>
      </c>
      <c r="H33" s="65">
        <f t="shared" si="5"/>
        <v>0.40826000000000007</v>
      </c>
      <c r="I33" s="65">
        <f t="shared" si="5"/>
        <v>0.12396800000000002</v>
      </c>
      <c r="J33" s="65">
        <f t="shared" si="5"/>
        <v>2.2052E-3</v>
      </c>
      <c r="K33" s="65">
        <f t="shared" si="5"/>
        <v>1.9966000000000003E-3</v>
      </c>
      <c r="L33" s="65">
        <f t="shared" si="5"/>
        <v>0.10191600000000001</v>
      </c>
      <c r="M33" s="65">
        <f t="shared" si="5"/>
        <v>0.12367</v>
      </c>
      <c r="N33" s="65">
        <f t="shared" si="5"/>
        <v>6.8241999999999994</v>
      </c>
      <c r="O33" s="65">
        <f t="shared" si="5"/>
        <v>1200.94</v>
      </c>
      <c r="P33" s="65">
        <f t="shared" si="5"/>
        <v>0</v>
      </c>
      <c r="Q33" s="65">
        <f t="shared" si="10"/>
        <v>66.528500000000008</v>
      </c>
      <c r="R33" s="65">
        <f t="shared" si="11"/>
        <v>0</v>
      </c>
      <c r="S33" s="65">
        <f t="shared" si="11"/>
        <v>0.23869799999999999</v>
      </c>
      <c r="T33" s="65">
        <f t="shared" si="11"/>
        <v>0</v>
      </c>
      <c r="U33" s="126">
        <f t="shared" si="11"/>
        <v>0</v>
      </c>
    </row>
    <row r="34" spans="1:21" s="48" customFormat="1" ht="13" x14ac:dyDescent="0.35">
      <c r="A34" s="125">
        <f>F8</f>
        <v>4</v>
      </c>
      <c r="B34" s="11">
        <v>100</v>
      </c>
      <c r="C34" s="65">
        <f t="shared" si="6"/>
        <v>27.207400000000003</v>
      </c>
      <c r="D34" s="65">
        <f t="shared" si="7"/>
        <v>26.762545599999999</v>
      </c>
      <c r="E34" s="65">
        <f t="shared" si="8"/>
        <v>2.0970856000000002</v>
      </c>
      <c r="F34" s="65">
        <f t="shared" si="9"/>
        <v>2.1739695999999999</v>
      </c>
      <c r="G34" s="65">
        <f t="shared" si="5"/>
        <v>0.15585399999999999</v>
      </c>
      <c r="H34" s="65">
        <f t="shared" si="5"/>
        <v>0.40826000000000007</v>
      </c>
      <c r="I34" s="65">
        <f t="shared" si="5"/>
        <v>0.12396800000000002</v>
      </c>
      <c r="J34" s="65">
        <f t="shared" si="5"/>
        <v>2.2052E-3</v>
      </c>
      <c r="K34" s="65">
        <f t="shared" si="5"/>
        <v>1.9966000000000003E-3</v>
      </c>
      <c r="L34" s="65">
        <f t="shared" si="5"/>
        <v>0.10191600000000001</v>
      </c>
      <c r="M34" s="65">
        <f t="shared" si="5"/>
        <v>0.12367</v>
      </c>
      <c r="N34" s="65">
        <f t="shared" si="5"/>
        <v>6.8241999999999994</v>
      </c>
      <c r="O34" s="65">
        <f t="shared" si="5"/>
        <v>1200.94</v>
      </c>
      <c r="P34" s="65">
        <f t="shared" si="5"/>
        <v>0</v>
      </c>
      <c r="Q34" s="65">
        <f t="shared" si="10"/>
        <v>66.528500000000008</v>
      </c>
      <c r="R34" s="65">
        <f t="shared" si="11"/>
        <v>0</v>
      </c>
      <c r="S34" s="65">
        <f t="shared" si="11"/>
        <v>0.23869799999999999</v>
      </c>
      <c r="T34" s="65">
        <f t="shared" si="11"/>
        <v>0</v>
      </c>
      <c r="U34" s="126">
        <f t="shared" si="11"/>
        <v>0</v>
      </c>
    </row>
    <row r="35" spans="1:21" s="48" customFormat="1" ht="13" x14ac:dyDescent="0.35">
      <c r="A35" s="125">
        <f>G8</f>
        <v>5</v>
      </c>
      <c r="B35" s="11">
        <v>100</v>
      </c>
      <c r="C35" s="65">
        <f t="shared" si="6"/>
        <v>27.207400000000003</v>
      </c>
      <c r="D35" s="65">
        <f t="shared" si="7"/>
        <v>26.762545599999999</v>
      </c>
      <c r="E35" s="65">
        <f t="shared" si="8"/>
        <v>2.0970856000000002</v>
      </c>
      <c r="F35" s="65">
        <f t="shared" si="9"/>
        <v>2.1739695999999999</v>
      </c>
      <c r="G35" s="65">
        <f t="shared" si="5"/>
        <v>0.15585399999999999</v>
      </c>
      <c r="H35" s="65">
        <f t="shared" si="5"/>
        <v>0.40826000000000007</v>
      </c>
      <c r="I35" s="65">
        <f t="shared" si="5"/>
        <v>0.12396800000000002</v>
      </c>
      <c r="J35" s="65">
        <f t="shared" si="5"/>
        <v>2.2052E-3</v>
      </c>
      <c r="K35" s="65">
        <f t="shared" si="5"/>
        <v>1.9966000000000003E-3</v>
      </c>
      <c r="L35" s="65">
        <f t="shared" si="5"/>
        <v>0.10191600000000001</v>
      </c>
      <c r="M35" s="65">
        <f t="shared" si="5"/>
        <v>0.12367</v>
      </c>
      <c r="N35" s="65">
        <f t="shared" si="5"/>
        <v>6.8241999999999994</v>
      </c>
      <c r="O35" s="65">
        <f t="shared" si="5"/>
        <v>1200.94</v>
      </c>
      <c r="P35" s="65">
        <f t="shared" si="5"/>
        <v>0</v>
      </c>
      <c r="Q35" s="65">
        <f t="shared" si="10"/>
        <v>66.528500000000008</v>
      </c>
      <c r="R35" s="65">
        <f t="shared" si="11"/>
        <v>0</v>
      </c>
      <c r="S35" s="65">
        <f t="shared" si="11"/>
        <v>0.23869799999999999</v>
      </c>
      <c r="T35" s="65">
        <f t="shared" si="11"/>
        <v>0</v>
      </c>
      <c r="U35" s="126">
        <f t="shared" si="11"/>
        <v>0</v>
      </c>
    </row>
    <row r="36" spans="1:21" s="48" customFormat="1" ht="13" x14ac:dyDescent="0.35">
      <c r="A36" s="125">
        <f>H8</f>
        <v>6</v>
      </c>
      <c r="B36" s="11">
        <v>100</v>
      </c>
      <c r="C36" s="65">
        <f t="shared" si="6"/>
        <v>27.207400000000003</v>
      </c>
      <c r="D36" s="65">
        <f t="shared" si="7"/>
        <v>26.762545599999999</v>
      </c>
      <c r="E36" s="65">
        <f t="shared" si="8"/>
        <v>2.0970856000000002</v>
      </c>
      <c r="F36" s="65">
        <f t="shared" si="9"/>
        <v>2.1739695999999999</v>
      </c>
      <c r="G36" s="65">
        <f t="shared" si="5"/>
        <v>0.15585399999999999</v>
      </c>
      <c r="H36" s="65">
        <f t="shared" si="5"/>
        <v>0.40826000000000007</v>
      </c>
      <c r="I36" s="65">
        <f t="shared" si="5"/>
        <v>0.12396800000000002</v>
      </c>
      <c r="J36" s="65">
        <f t="shared" si="5"/>
        <v>2.2052E-3</v>
      </c>
      <c r="K36" s="65">
        <f t="shared" si="5"/>
        <v>1.9966000000000003E-3</v>
      </c>
      <c r="L36" s="65">
        <f t="shared" si="5"/>
        <v>0.10191600000000001</v>
      </c>
      <c r="M36" s="65">
        <f t="shared" si="5"/>
        <v>0.12367</v>
      </c>
      <c r="N36" s="65">
        <f t="shared" si="5"/>
        <v>6.8241999999999994</v>
      </c>
      <c r="O36" s="65">
        <f t="shared" si="5"/>
        <v>1200.94</v>
      </c>
      <c r="P36" s="65">
        <f t="shared" si="5"/>
        <v>0</v>
      </c>
      <c r="Q36" s="65">
        <f t="shared" si="10"/>
        <v>66.528500000000008</v>
      </c>
      <c r="R36" s="65">
        <f t="shared" si="11"/>
        <v>0</v>
      </c>
      <c r="S36" s="65">
        <f t="shared" si="11"/>
        <v>0.23869799999999999</v>
      </c>
      <c r="T36" s="65">
        <f t="shared" si="11"/>
        <v>0</v>
      </c>
      <c r="U36" s="126">
        <f t="shared" si="11"/>
        <v>0</v>
      </c>
    </row>
    <row r="37" spans="1:21" s="48" customFormat="1" ht="13" x14ac:dyDescent="0.35">
      <c r="A37" s="125">
        <f>I8</f>
        <v>7</v>
      </c>
      <c r="B37" s="11">
        <v>100</v>
      </c>
      <c r="C37" s="65">
        <f t="shared" si="6"/>
        <v>27.207400000000003</v>
      </c>
      <c r="D37" s="65">
        <f t="shared" si="7"/>
        <v>26.762545599999999</v>
      </c>
      <c r="E37" s="65">
        <f t="shared" si="8"/>
        <v>2.0970856000000002</v>
      </c>
      <c r="F37" s="65">
        <f t="shared" si="9"/>
        <v>2.1739695999999999</v>
      </c>
      <c r="G37" s="65">
        <f t="shared" si="5"/>
        <v>0.15585399999999999</v>
      </c>
      <c r="H37" s="65">
        <f t="shared" si="5"/>
        <v>0.40826000000000007</v>
      </c>
      <c r="I37" s="65">
        <f t="shared" si="5"/>
        <v>0.12396800000000002</v>
      </c>
      <c r="J37" s="65">
        <f t="shared" si="5"/>
        <v>2.2052E-3</v>
      </c>
      <c r="K37" s="65">
        <f t="shared" si="5"/>
        <v>1.9966000000000003E-3</v>
      </c>
      <c r="L37" s="65">
        <f t="shared" si="5"/>
        <v>0.10191600000000001</v>
      </c>
      <c r="M37" s="65">
        <f t="shared" si="5"/>
        <v>0.12367</v>
      </c>
      <c r="N37" s="65">
        <f t="shared" si="5"/>
        <v>6.8241999999999994</v>
      </c>
      <c r="O37" s="65">
        <f t="shared" si="5"/>
        <v>1200.94</v>
      </c>
      <c r="P37" s="65">
        <f t="shared" si="5"/>
        <v>0</v>
      </c>
      <c r="Q37" s="65">
        <f t="shared" si="10"/>
        <v>66.528500000000008</v>
      </c>
      <c r="R37" s="65">
        <f t="shared" si="11"/>
        <v>0</v>
      </c>
      <c r="S37" s="65">
        <f t="shared" si="11"/>
        <v>0.23869799999999999</v>
      </c>
      <c r="T37" s="65">
        <f t="shared" si="11"/>
        <v>0</v>
      </c>
      <c r="U37" s="126">
        <f t="shared" si="11"/>
        <v>0</v>
      </c>
    </row>
    <row r="38" spans="1:21" s="48" customFormat="1" ht="13" x14ac:dyDescent="0.35">
      <c r="A38" s="125">
        <f>J8</f>
        <v>8</v>
      </c>
      <c r="B38" s="11">
        <v>100</v>
      </c>
      <c r="C38" s="65">
        <f t="shared" si="6"/>
        <v>27.207400000000003</v>
      </c>
      <c r="D38" s="65">
        <f t="shared" si="7"/>
        <v>26.762545599999999</v>
      </c>
      <c r="E38" s="65">
        <f t="shared" si="8"/>
        <v>2.0970856000000002</v>
      </c>
      <c r="F38" s="65">
        <f t="shared" si="9"/>
        <v>2.1739695999999999</v>
      </c>
      <c r="G38" s="65">
        <f t="shared" si="5"/>
        <v>0.15585399999999999</v>
      </c>
      <c r="H38" s="65">
        <f t="shared" si="5"/>
        <v>0.40826000000000007</v>
      </c>
      <c r="I38" s="65">
        <f t="shared" si="5"/>
        <v>0.12396800000000002</v>
      </c>
      <c r="J38" s="65">
        <f t="shared" si="5"/>
        <v>2.2052E-3</v>
      </c>
      <c r="K38" s="65">
        <f t="shared" si="5"/>
        <v>1.9966000000000003E-3</v>
      </c>
      <c r="L38" s="65">
        <f t="shared" si="5"/>
        <v>0.10191600000000001</v>
      </c>
      <c r="M38" s="65">
        <f t="shared" si="5"/>
        <v>0.12367</v>
      </c>
      <c r="N38" s="65">
        <f t="shared" si="5"/>
        <v>6.8241999999999994</v>
      </c>
      <c r="O38" s="65">
        <f t="shared" si="5"/>
        <v>1200.94</v>
      </c>
      <c r="P38" s="65">
        <f t="shared" si="5"/>
        <v>0</v>
      </c>
      <c r="Q38" s="65">
        <f t="shared" si="10"/>
        <v>66.528500000000008</v>
      </c>
      <c r="R38" s="65">
        <f t="shared" si="11"/>
        <v>0</v>
      </c>
      <c r="S38" s="65">
        <f t="shared" si="11"/>
        <v>0.23869799999999999</v>
      </c>
      <c r="T38" s="65">
        <f t="shared" si="11"/>
        <v>0</v>
      </c>
      <c r="U38" s="126">
        <f t="shared" si="11"/>
        <v>0</v>
      </c>
    </row>
    <row r="39" spans="1:21" s="48" customFormat="1" ht="13" x14ac:dyDescent="0.35">
      <c r="A39" s="125">
        <f>K8</f>
        <v>9</v>
      </c>
      <c r="B39" s="11">
        <v>100</v>
      </c>
      <c r="C39" s="65">
        <f t="shared" si="6"/>
        <v>27.207400000000003</v>
      </c>
      <c r="D39" s="65">
        <f t="shared" si="7"/>
        <v>26.762545599999999</v>
      </c>
      <c r="E39" s="65">
        <f t="shared" si="8"/>
        <v>2.0970856000000002</v>
      </c>
      <c r="F39" s="65">
        <f t="shared" si="9"/>
        <v>2.1739695999999999</v>
      </c>
      <c r="G39" s="65">
        <f t="shared" si="5"/>
        <v>0.15585399999999999</v>
      </c>
      <c r="H39" s="65">
        <f t="shared" si="5"/>
        <v>0.40826000000000007</v>
      </c>
      <c r="I39" s="65">
        <f t="shared" si="5"/>
        <v>0.12396800000000002</v>
      </c>
      <c r="J39" s="65">
        <f t="shared" si="5"/>
        <v>2.2052E-3</v>
      </c>
      <c r="K39" s="65">
        <f t="shared" si="5"/>
        <v>1.9966000000000003E-3</v>
      </c>
      <c r="L39" s="65">
        <f t="shared" si="5"/>
        <v>0.10191600000000001</v>
      </c>
      <c r="M39" s="65">
        <f t="shared" si="5"/>
        <v>0.12367</v>
      </c>
      <c r="N39" s="65">
        <f t="shared" si="5"/>
        <v>6.8241999999999994</v>
      </c>
      <c r="O39" s="65">
        <f t="shared" si="5"/>
        <v>1200.94</v>
      </c>
      <c r="P39" s="65">
        <f t="shared" si="5"/>
        <v>0</v>
      </c>
      <c r="Q39" s="65">
        <f t="shared" si="10"/>
        <v>66.528500000000008</v>
      </c>
      <c r="R39" s="65">
        <f t="shared" si="11"/>
        <v>0</v>
      </c>
      <c r="S39" s="65">
        <f t="shared" si="11"/>
        <v>0.23869799999999999</v>
      </c>
      <c r="T39" s="65">
        <f t="shared" si="11"/>
        <v>0</v>
      </c>
      <c r="U39" s="126">
        <f t="shared" si="11"/>
        <v>0</v>
      </c>
    </row>
    <row r="40" spans="1:21" s="48" customFormat="1" ht="13" x14ac:dyDescent="0.35">
      <c r="A40" s="125">
        <f>L8</f>
        <v>10</v>
      </c>
      <c r="B40" s="11">
        <v>100</v>
      </c>
      <c r="C40" s="65">
        <f t="shared" si="6"/>
        <v>27.207400000000003</v>
      </c>
      <c r="D40" s="65">
        <f t="shared" si="7"/>
        <v>26.762545599999999</v>
      </c>
      <c r="E40" s="65">
        <f t="shared" si="8"/>
        <v>2.0970856000000002</v>
      </c>
      <c r="F40" s="65">
        <f t="shared" si="9"/>
        <v>2.1739695999999999</v>
      </c>
      <c r="G40" s="65">
        <f t="shared" si="5"/>
        <v>0.15585399999999999</v>
      </c>
      <c r="H40" s="65">
        <f t="shared" si="5"/>
        <v>0.40826000000000007</v>
      </c>
      <c r="I40" s="65">
        <f t="shared" si="5"/>
        <v>0.12396800000000002</v>
      </c>
      <c r="J40" s="65">
        <f t="shared" si="5"/>
        <v>2.2052E-3</v>
      </c>
      <c r="K40" s="65">
        <f t="shared" si="5"/>
        <v>1.9966000000000003E-3</v>
      </c>
      <c r="L40" s="65">
        <f t="shared" si="5"/>
        <v>0.10191600000000001</v>
      </c>
      <c r="M40" s="65">
        <f t="shared" si="5"/>
        <v>0.12367</v>
      </c>
      <c r="N40" s="65">
        <f t="shared" si="5"/>
        <v>6.8241999999999994</v>
      </c>
      <c r="O40" s="65">
        <f t="shared" si="5"/>
        <v>1200.94</v>
      </c>
      <c r="P40" s="65">
        <f t="shared" si="5"/>
        <v>0</v>
      </c>
      <c r="Q40" s="65">
        <f t="shared" si="10"/>
        <v>66.528500000000008</v>
      </c>
      <c r="R40" s="65">
        <f t="shared" si="11"/>
        <v>0</v>
      </c>
      <c r="S40" s="65">
        <f t="shared" si="11"/>
        <v>0.23869799999999999</v>
      </c>
      <c r="T40" s="65">
        <f t="shared" si="11"/>
        <v>0</v>
      </c>
      <c r="U40" s="126">
        <f t="shared" si="11"/>
        <v>0</v>
      </c>
    </row>
    <row r="41" spans="1:21" s="48" customFormat="1" ht="13" x14ac:dyDescent="0.35">
      <c r="A41" s="125">
        <f>M8</f>
        <v>11</v>
      </c>
      <c r="B41" s="11">
        <v>100</v>
      </c>
      <c r="C41" s="65">
        <f t="shared" si="6"/>
        <v>27.207400000000003</v>
      </c>
      <c r="D41" s="65">
        <f t="shared" si="7"/>
        <v>26.762545599999999</v>
      </c>
      <c r="E41" s="65">
        <f t="shared" si="8"/>
        <v>2.0970856000000002</v>
      </c>
      <c r="F41" s="65">
        <f t="shared" si="9"/>
        <v>2.1739695999999999</v>
      </c>
      <c r="G41" s="65">
        <f t="shared" si="5"/>
        <v>0.15585399999999999</v>
      </c>
      <c r="H41" s="65">
        <f t="shared" si="5"/>
        <v>0.40826000000000007</v>
      </c>
      <c r="I41" s="65">
        <f t="shared" si="5"/>
        <v>0.12396800000000002</v>
      </c>
      <c r="J41" s="65">
        <f t="shared" si="5"/>
        <v>2.2052E-3</v>
      </c>
      <c r="K41" s="65">
        <f t="shared" si="5"/>
        <v>1.9966000000000003E-3</v>
      </c>
      <c r="L41" s="65">
        <f t="shared" si="5"/>
        <v>0.10191600000000001</v>
      </c>
      <c r="M41" s="65">
        <f t="shared" si="5"/>
        <v>0.12367</v>
      </c>
      <c r="N41" s="65">
        <f t="shared" si="5"/>
        <v>6.8241999999999994</v>
      </c>
      <c r="O41" s="65">
        <f t="shared" si="5"/>
        <v>1200.94</v>
      </c>
      <c r="P41" s="65">
        <f t="shared" si="5"/>
        <v>0</v>
      </c>
      <c r="Q41" s="65">
        <f t="shared" si="10"/>
        <v>66.528500000000008</v>
      </c>
      <c r="R41" s="65">
        <f t="shared" si="11"/>
        <v>0</v>
      </c>
      <c r="S41" s="65">
        <f t="shared" si="11"/>
        <v>0.23869799999999999</v>
      </c>
      <c r="T41" s="65">
        <f t="shared" si="11"/>
        <v>0</v>
      </c>
      <c r="U41" s="126">
        <f t="shared" si="11"/>
        <v>0</v>
      </c>
    </row>
    <row r="42" spans="1:21" s="48" customFormat="1" ht="13" x14ac:dyDescent="0.35">
      <c r="A42" s="125">
        <f>N8</f>
        <v>14</v>
      </c>
      <c r="B42" s="11">
        <v>100</v>
      </c>
      <c r="C42" s="65">
        <f t="shared" si="6"/>
        <v>27.207400000000003</v>
      </c>
      <c r="D42" s="65">
        <f t="shared" si="7"/>
        <v>26.762545599999999</v>
      </c>
      <c r="E42" s="65">
        <f t="shared" si="8"/>
        <v>2.0970856000000002</v>
      </c>
      <c r="F42" s="65">
        <f t="shared" si="9"/>
        <v>2.1739695999999999</v>
      </c>
      <c r="G42" s="65">
        <f t="shared" si="5"/>
        <v>0.15585399999999999</v>
      </c>
      <c r="H42" s="65">
        <f t="shared" si="5"/>
        <v>0.40826000000000007</v>
      </c>
      <c r="I42" s="65">
        <f t="shared" si="5"/>
        <v>0.12396800000000002</v>
      </c>
      <c r="J42" s="65">
        <f t="shared" si="5"/>
        <v>2.2052E-3</v>
      </c>
      <c r="K42" s="65">
        <f t="shared" si="5"/>
        <v>1.9966000000000003E-3</v>
      </c>
      <c r="L42" s="65">
        <f t="shared" si="5"/>
        <v>0.10191600000000001</v>
      </c>
      <c r="M42" s="65">
        <f t="shared" si="5"/>
        <v>0.12367</v>
      </c>
      <c r="N42" s="65">
        <f t="shared" si="5"/>
        <v>6.8241999999999994</v>
      </c>
      <c r="O42" s="65">
        <f t="shared" si="5"/>
        <v>1200.94</v>
      </c>
      <c r="P42" s="65">
        <f t="shared" si="5"/>
        <v>0</v>
      </c>
      <c r="Q42" s="65">
        <f t="shared" si="10"/>
        <v>66.528500000000008</v>
      </c>
      <c r="R42" s="65">
        <f t="shared" si="11"/>
        <v>0</v>
      </c>
      <c r="S42" s="65">
        <f t="shared" si="11"/>
        <v>0.23869799999999999</v>
      </c>
      <c r="T42" s="65">
        <f t="shared" si="11"/>
        <v>0</v>
      </c>
      <c r="U42" s="126">
        <f t="shared" si="11"/>
        <v>0</v>
      </c>
    </row>
    <row r="43" spans="1:21" s="48" customFormat="1" ht="13" x14ac:dyDescent="0.35">
      <c r="A43" s="125">
        <f>O8</f>
        <v>15</v>
      </c>
      <c r="B43" s="11">
        <v>100</v>
      </c>
      <c r="C43" s="65">
        <f t="shared" si="6"/>
        <v>27.207400000000003</v>
      </c>
      <c r="D43" s="65">
        <f t="shared" si="7"/>
        <v>26.762545599999999</v>
      </c>
      <c r="E43" s="65">
        <f t="shared" si="8"/>
        <v>2.0970856000000002</v>
      </c>
      <c r="F43" s="65">
        <f t="shared" si="9"/>
        <v>2.1739695999999999</v>
      </c>
      <c r="G43" s="65">
        <f t="shared" si="5"/>
        <v>0.15585399999999999</v>
      </c>
      <c r="H43" s="65">
        <f t="shared" si="5"/>
        <v>0.40826000000000007</v>
      </c>
      <c r="I43" s="65">
        <f t="shared" si="5"/>
        <v>0.12396800000000002</v>
      </c>
      <c r="J43" s="65">
        <f t="shared" si="5"/>
        <v>2.2052E-3</v>
      </c>
      <c r="K43" s="65">
        <f t="shared" si="5"/>
        <v>1.9966000000000003E-3</v>
      </c>
      <c r="L43" s="65">
        <f t="shared" si="5"/>
        <v>0.10191600000000001</v>
      </c>
      <c r="M43" s="65">
        <f t="shared" si="5"/>
        <v>0.12367</v>
      </c>
      <c r="N43" s="65">
        <f t="shared" si="5"/>
        <v>6.8241999999999994</v>
      </c>
      <c r="O43" s="65">
        <f t="shared" si="5"/>
        <v>1200.94</v>
      </c>
      <c r="P43" s="65">
        <f t="shared" si="5"/>
        <v>0</v>
      </c>
      <c r="Q43" s="65">
        <f t="shared" si="10"/>
        <v>66.528500000000008</v>
      </c>
      <c r="R43" s="65">
        <f t="shared" si="11"/>
        <v>0</v>
      </c>
      <c r="S43" s="65">
        <f t="shared" si="11"/>
        <v>0.23869799999999999</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Arable</v>
      </c>
      <c r="D58" s="10" t="str">
        <f>E16&amp;" I "&amp;(VLOOKUP(E14,Table24567[],6,FALSE))</f>
        <v>Medium/Clay I Arable</v>
      </c>
      <c r="E58" s="10" t="str">
        <f>F16&amp;" I "&amp;(VLOOKUP(F14,Table24567[],6,FALSE))</f>
        <v>Medium/Clay I Arable</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Arable</v>
      </c>
      <c r="J58" s="10" t="str">
        <f>K16&amp;" I "&amp;(VLOOKUP(K14,Table24567[],6,FALSE))</f>
        <v>Medium/Clay I Arable</v>
      </c>
      <c r="K58" s="10" t="str">
        <f>L16&amp;" I "&amp;(VLOOKUP(L14,Table24567[],6,FALSE))</f>
        <v>Medium/Clay I Arable</v>
      </c>
      <c r="L58" s="10" t="str">
        <f>M16&amp;" I "&amp;(VLOOKUP(M14,Table24567[],6,FALSE))</f>
        <v>Medium/Clay I Arable</v>
      </c>
      <c r="M58" s="10" t="str">
        <f>N16&amp;" I "&amp;(VLOOKUP(N14,Table24567[],6,FALSE))</f>
        <v>Medium/Clay I Arable</v>
      </c>
      <c r="N58" s="10" t="str">
        <f>O16&amp;" I "&amp;(VLOOKUP(O14,Table24567[],6,FALSE))</f>
        <v>Medium/Clay I Arable</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6.7</v>
      </c>
      <c r="D59" s="64">
        <f>VLOOKUP(E$14,Table24567[],5,FALSE)</f>
        <v>6.7</v>
      </c>
      <c r="E59" s="64">
        <f>VLOOKUP(F$14,Table24567[],5,FALSE)</f>
        <v>6.7</v>
      </c>
      <c r="F59" s="64">
        <f>VLOOKUP(G$14,Table24567[],5,FALSE)</f>
        <v>6.7</v>
      </c>
      <c r="G59" s="64">
        <f>VLOOKUP(H$14,Table24567[],5,FALSE)</f>
        <v>6.7</v>
      </c>
      <c r="H59" s="64">
        <f>VLOOKUP(I$14,Table24567[],5,FALSE)</f>
        <v>6.7</v>
      </c>
      <c r="I59" s="64">
        <f>VLOOKUP(J$14,Table24567[],5,FALSE)</f>
        <v>6.7</v>
      </c>
      <c r="J59" s="64">
        <f>VLOOKUP(K$14,Table24567[],5,FALSE)</f>
        <v>6.7</v>
      </c>
      <c r="K59" s="64">
        <f>VLOOKUP(L$14,Table24567[],5,FALSE)</f>
        <v>6.7</v>
      </c>
      <c r="L59" s="64">
        <f>VLOOKUP(M$14,Table24567[],5,FALSE)</f>
        <v>6.7</v>
      </c>
      <c r="M59" s="64">
        <f>VLOOKUP(N$14,Table24567[],5,FALSE)</f>
        <v>6.7</v>
      </c>
      <c r="N59" s="64">
        <f>VLOOKUP(O$14,Table24567[],5,FALSE)</f>
        <v>6.7</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M3" sqref="M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Bolton'!C1:D1</f>
        <v>PAN-013797</v>
      </c>
      <c r="D1" s="167"/>
      <c r="E1" s="106" t="s">
        <v>45</v>
      </c>
      <c r="F1" s="113">
        <f>'Field data and Bolton'!F1</f>
        <v>50</v>
      </c>
      <c r="G1" s="134" t="s">
        <v>43</v>
      </c>
      <c r="H1" s="135"/>
      <c r="I1" s="109">
        <v>6.4</v>
      </c>
      <c r="J1" s="158" t="s">
        <v>153</v>
      </c>
      <c r="K1" s="159"/>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Bolton'!C2:D2</f>
        <v>EPR/AB3891CX</v>
      </c>
      <c r="D2" s="169"/>
      <c r="E2" s="96" t="s">
        <v>109</v>
      </c>
      <c r="F2" s="110">
        <v>190902</v>
      </c>
      <c r="G2" s="136" t="s">
        <v>110</v>
      </c>
      <c r="H2" s="137"/>
      <c r="I2" s="110"/>
      <c r="J2" s="138" t="s">
        <v>158</v>
      </c>
      <c r="K2" s="139"/>
      <c r="L2" s="110">
        <v>1.1399999999999999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Bolton'!C3:D3</f>
        <v>Mr Daniel James and Mrs Carys James</v>
      </c>
      <c r="D3" s="169"/>
      <c r="E3" s="96" t="s">
        <v>108</v>
      </c>
      <c r="F3" s="111" t="s">
        <v>78</v>
      </c>
      <c r="G3" s="138" t="s">
        <v>159</v>
      </c>
      <c r="H3" s="139"/>
      <c r="I3" s="110"/>
      <c r="J3" s="160" t="s">
        <v>154</v>
      </c>
      <c r="K3" s="161"/>
      <c r="L3" s="110">
        <f>(L1/(L2*10000))*100</f>
        <v>2.2017543859649127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Bolton'!C4:D4</f>
        <v>Arnolds Hill Farm, Slebech, Haverfordwest, Pembrokeshire SA62 4BA</v>
      </c>
      <c r="D4" s="171"/>
      <c r="E4" s="99" t="s">
        <v>1</v>
      </c>
      <c r="F4" s="110" t="s">
        <v>174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Bolton'!C5:D5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Bolton'!C8</f>
        <v>1</v>
      </c>
      <c r="D8" s="49">
        <f>'Field data and Bolton'!D8</f>
        <v>2</v>
      </c>
      <c r="E8" s="49">
        <f>'Field data and Bolton'!E8</f>
        <v>3</v>
      </c>
      <c r="F8" s="49">
        <f>'Field data and Bolton'!F8</f>
        <v>4</v>
      </c>
      <c r="G8" s="49">
        <f>'Field data and Bolton'!G8</f>
        <v>5</v>
      </c>
      <c r="H8" s="49">
        <f>'Field data and Bolton'!H8</f>
        <v>6</v>
      </c>
      <c r="I8" s="49">
        <f>'Field data and Bolton'!I8</f>
        <v>7</v>
      </c>
      <c r="J8" s="49">
        <f>'Field data and Bolton'!J8</f>
        <v>8</v>
      </c>
      <c r="K8" s="49">
        <f>'Field data and Bolton'!K8</f>
        <v>9</v>
      </c>
      <c r="L8" s="49">
        <f>'Field data and Bolton'!L8</f>
        <v>10</v>
      </c>
      <c r="M8" s="49">
        <f>'Field data and Bolton'!M8</f>
        <v>11</v>
      </c>
      <c r="N8" s="49">
        <f>'Field data and Bolton'!N8</f>
        <v>14</v>
      </c>
      <c r="O8" s="49">
        <f>'Field data and Bolton'!O8</f>
        <v>15</v>
      </c>
      <c r="P8" s="49">
        <f>'Field data and Bolton'!P8</f>
        <v>0</v>
      </c>
      <c r="Q8" s="49">
        <f>'Field data and Bolton'!Q8</f>
        <v>0</v>
      </c>
      <c r="R8" s="49">
        <f>'Field data and Bolton'!R8</f>
        <v>0</v>
      </c>
      <c r="S8" s="49">
        <f>'Field data and Bolton'!S8</f>
        <v>0</v>
      </c>
      <c r="T8" s="49">
        <f>'Field data and Bolton'!T8</f>
        <v>0</v>
      </c>
      <c r="U8" s="49">
        <f>'Field data and Bolton'!U8</f>
        <v>0</v>
      </c>
      <c r="V8" s="102">
        <f>'Field data and Bolton'!V8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f>'Field data and Bolton'!C9</f>
        <v>1</v>
      </c>
      <c r="D9" s="49">
        <f>'Field data and Bolton'!D9</f>
        <v>1</v>
      </c>
      <c r="E9" s="49">
        <f>'Field data and Bolton'!E9</f>
        <v>1</v>
      </c>
      <c r="F9" s="49">
        <f>'Field data and Bolton'!F9</f>
        <v>1</v>
      </c>
      <c r="G9" s="49">
        <f>'Field data and Bolton'!G9</f>
        <v>1</v>
      </c>
      <c r="H9" s="49">
        <f>'Field data and Bolton'!H9</f>
        <v>1</v>
      </c>
      <c r="I9" s="49">
        <f>'Field data and Bolton'!I9</f>
        <v>1</v>
      </c>
      <c r="J9" s="49">
        <f>'Field data and Bolton'!J9</f>
        <v>1</v>
      </c>
      <c r="K9" s="49">
        <f>'Field data and Bolton'!K9</f>
        <v>1</v>
      </c>
      <c r="L9" s="49">
        <f>'Field data and Bolton'!L9</f>
        <v>1</v>
      </c>
      <c r="M9" s="49">
        <f>'Field data and Bolton'!M9</f>
        <v>1</v>
      </c>
      <c r="N9" s="49">
        <f>'Field data and Bolton'!N9</f>
        <v>1</v>
      </c>
      <c r="O9" s="49">
        <f>'Field data and Bolton'!O9</f>
        <v>1</v>
      </c>
      <c r="P9" s="49">
        <f>'Field data and Bolton'!P9</f>
        <v>0</v>
      </c>
      <c r="Q9" s="49">
        <f>'Field data and Bolton'!Q9</f>
        <v>0</v>
      </c>
      <c r="R9" s="49">
        <f>'Field data and Bolton'!R9</f>
        <v>0</v>
      </c>
      <c r="S9" s="49">
        <f>'Field data and Bolton'!S9</f>
        <v>0</v>
      </c>
      <c r="T9" s="49">
        <f>'Field data and Bolton'!T9</f>
        <v>0</v>
      </c>
      <c r="U9" s="49">
        <f>'Field data and Bolton'!U9</f>
        <v>0</v>
      </c>
      <c r="V9" s="102">
        <f>'Field data and Bolton'!V9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Bolton'!C10</f>
        <v>6.3</v>
      </c>
      <c r="D10" s="49">
        <f>'Field data and Bolton'!D10</f>
        <v>6.6</v>
      </c>
      <c r="E10" s="49">
        <f>'Field data and Bolton'!E10</f>
        <v>6.9</v>
      </c>
      <c r="F10" s="49">
        <f>'Field data and Bolton'!F10</f>
        <v>6.7</v>
      </c>
      <c r="G10" s="49">
        <f>'Field data and Bolton'!G10</f>
        <v>6.4</v>
      </c>
      <c r="H10" s="49">
        <f>'Field data and Bolton'!H10</f>
        <v>6.3</v>
      </c>
      <c r="I10" s="49">
        <f>'Field data and Bolton'!I10</f>
        <v>6.6</v>
      </c>
      <c r="J10" s="49">
        <f>'Field data and Bolton'!J10</f>
        <v>6.8</v>
      </c>
      <c r="K10" s="49">
        <f>'Field data and Bolton'!K10</f>
        <v>6.5</v>
      </c>
      <c r="L10" s="49">
        <f>'Field data and Bolton'!L10</f>
        <v>6.5</v>
      </c>
      <c r="M10" s="49">
        <f>'Field data and Bolton'!M10</f>
        <v>6.9</v>
      </c>
      <c r="N10" s="49">
        <f>'Field data and Bolton'!N10</f>
        <v>6.1</v>
      </c>
      <c r="O10" s="49">
        <f>'Field data and Bolton'!O10</f>
        <v>6.1</v>
      </c>
      <c r="P10" s="49">
        <f>'Field data and Bolton'!P10</f>
        <v>0</v>
      </c>
      <c r="Q10" s="49">
        <f>'Field data and Bolton'!Q10</f>
        <v>0</v>
      </c>
      <c r="R10" s="49">
        <f>'Field data and Bolton'!R10</f>
        <v>0</v>
      </c>
      <c r="S10" s="49">
        <f>'Field data and Bolton'!S10</f>
        <v>0</v>
      </c>
      <c r="T10" s="49">
        <f>'Field data and Bolton'!T10</f>
        <v>0</v>
      </c>
      <c r="U10" s="49">
        <f>'Field data and Bolton'!U10</f>
        <v>0</v>
      </c>
      <c r="V10" s="102">
        <f>'Field data and Bolton'!V10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Bolton'!C11</f>
        <v>2</v>
      </c>
      <c r="D11" s="49">
        <f>'Field data and Bolton'!D11</f>
        <v>2</v>
      </c>
      <c r="E11" s="49">
        <f>'Field data and Bolton'!E11</f>
        <v>2</v>
      </c>
      <c r="F11" s="49">
        <f>'Field data and Bolton'!F11</f>
        <v>2</v>
      </c>
      <c r="G11" s="49">
        <f>'Field data and Bolton'!G11</f>
        <v>2</v>
      </c>
      <c r="H11" s="49">
        <f>'Field data and Bolton'!H11</f>
        <v>2</v>
      </c>
      <c r="I11" s="49">
        <f>'Field data and Bolton'!I11</f>
        <v>2</v>
      </c>
      <c r="J11" s="49">
        <f>'Field data and Bolton'!J11</f>
        <v>3</v>
      </c>
      <c r="K11" s="49">
        <f>'Field data and Bolton'!K11</f>
        <v>2</v>
      </c>
      <c r="L11" s="49">
        <f>'Field data and Bolton'!L11</f>
        <v>2</v>
      </c>
      <c r="M11" s="49">
        <f>'Field data and Bolton'!M11</f>
        <v>2</v>
      </c>
      <c r="N11" s="49">
        <f>'Field data and Bolton'!N11</f>
        <v>1</v>
      </c>
      <c r="O11" s="49">
        <f>'Field data and Bolton'!O11</f>
        <v>2</v>
      </c>
      <c r="P11" s="49">
        <f>'Field data and Bolton'!P11</f>
        <v>0</v>
      </c>
      <c r="Q11" s="49">
        <f>'Field data and Bolton'!Q11</f>
        <v>0</v>
      </c>
      <c r="R11" s="49">
        <f>'Field data and Bolton'!R11</f>
        <v>0</v>
      </c>
      <c r="S11" s="49">
        <f>'Field data and Bolton'!S11</f>
        <v>0</v>
      </c>
      <c r="T11" s="49">
        <f>'Field data and Bolton'!T11</f>
        <v>0</v>
      </c>
      <c r="U11" s="49">
        <f>'Field data and Bolton'!U11</f>
        <v>0</v>
      </c>
      <c r="V11" s="102">
        <f>'Field data and Bolton'!V11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Bolton'!C12</f>
        <v>2</v>
      </c>
      <c r="D12" s="49">
        <f>'Field data and Bolton'!D12</f>
        <v>2</v>
      </c>
      <c r="E12" s="49">
        <f>'Field data and Bolton'!E12</f>
        <v>1</v>
      </c>
      <c r="F12" s="49">
        <f>'Field data and Bolton'!F12</f>
        <v>2</v>
      </c>
      <c r="G12" s="49">
        <f>'Field data and Bolton'!G12</f>
        <v>2</v>
      </c>
      <c r="H12" s="49">
        <f>'Field data and Bolton'!H12</f>
        <v>2</v>
      </c>
      <c r="I12" s="49">
        <f>'Field data and Bolton'!I12</f>
        <v>2</v>
      </c>
      <c r="J12" s="49">
        <f>'Field data and Bolton'!J12</f>
        <v>2</v>
      </c>
      <c r="K12" s="49">
        <f>'Field data and Bolton'!K12</f>
        <v>2</v>
      </c>
      <c r="L12" s="49">
        <f>'Field data and Bolton'!L12</f>
        <v>3</v>
      </c>
      <c r="M12" s="49">
        <f>'Field data and Bolton'!M12</f>
        <v>2</v>
      </c>
      <c r="N12" s="49">
        <f>'Field data and Bolton'!N12</f>
        <v>2</v>
      </c>
      <c r="O12" s="49">
        <f>'Field data and Bolton'!O12</f>
        <v>2</v>
      </c>
      <c r="P12" s="49">
        <f>'Field data and Bolton'!P12</f>
        <v>0</v>
      </c>
      <c r="Q12" s="49">
        <f>'Field data and Bolton'!Q12</f>
        <v>0</v>
      </c>
      <c r="R12" s="49">
        <f>'Field data and Bolton'!R12</f>
        <v>0</v>
      </c>
      <c r="S12" s="49">
        <f>'Field data and Bolton'!S12</f>
        <v>0</v>
      </c>
      <c r="T12" s="49">
        <f>'Field data and Bolton'!T12</f>
        <v>0</v>
      </c>
      <c r="U12" s="49">
        <f>'Field data and Bolton'!U12</f>
        <v>0</v>
      </c>
      <c r="V12" s="102">
        <f>'Field data and Bolton'!V12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Bolton'!C13</f>
        <v>2</v>
      </c>
      <c r="D13" s="49">
        <f>'Field data and Bolton'!D13</f>
        <v>2</v>
      </c>
      <c r="E13" s="49">
        <f>'Field data and Bolton'!E13</f>
        <v>2</v>
      </c>
      <c r="F13" s="49">
        <f>'Field data and Bolton'!F13</f>
        <v>2</v>
      </c>
      <c r="G13" s="49">
        <f>'Field data and Bolton'!G13</f>
        <v>2</v>
      </c>
      <c r="H13" s="49">
        <f>'Field data and Bolton'!H13</f>
        <v>2</v>
      </c>
      <c r="I13" s="49">
        <f>'Field data and Bolton'!I13</f>
        <v>2</v>
      </c>
      <c r="J13" s="49">
        <f>'Field data and Bolton'!J13</f>
        <v>2</v>
      </c>
      <c r="K13" s="49">
        <f>'Field data and Bolton'!K13</f>
        <v>2</v>
      </c>
      <c r="L13" s="49">
        <f>'Field data and Bolton'!L13</f>
        <v>2</v>
      </c>
      <c r="M13" s="49">
        <f>'Field data and Bolton'!M13</f>
        <v>2</v>
      </c>
      <c r="N13" s="49">
        <f>'Field data and Bolton'!N13</f>
        <v>2</v>
      </c>
      <c r="O13" s="49">
        <f>'Field data and Bolton'!O13</f>
        <v>2</v>
      </c>
      <c r="P13" s="49">
        <f>'Field data and Bolton'!P13</f>
        <v>0</v>
      </c>
      <c r="Q13" s="49">
        <f>'Field data and Bolton'!Q13</f>
        <v>0</v>
      </c>
      <c r="R13" s="49">
        <f>'Field data and Bolton'!R13</f>
        <v>0</v>
      </c>
      <c r="S13" s="49">
        <f>'Field data and Bolton'!S13</f>
        <v>0</v>
      </c>
      <c r="T13" s="49">
        <f>'Field data and Bolton'!T13</f>
        <v>0</v>
      </c>
      <c r="U13" s="49">
        <f>'Field data and Bolton'!U13</f>
        <v>0</v>
      </c>
      <c r="V13" s="102">
        <f>'Field data and Bolton'!V13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Bolton'!C14</f>
        <v>Maize- Silage (30% DM)</v>
      </c>
      <c r="D14" s="83" t="str">
        <f>'Field data and Bolton'!D14</f>
        <v>Maize- Silage (30% DM)</v>
      </c>
      <c r="E14" s="83" t="str">
        <f>'Field data and Bolton'!E14</f>
        <v>Maize- Silage (30% DM)</v>
      </c>
      <c r="F14" s="83" t="str">
        <f>'Field data and Bolton'!F14</f>
        <v>Maize- Silage (30% DM)</v>
      </c>
      <c r="G14" s="83" t="str">
        <f>'Field data and Bolton'!G14</f>
        <v>Maize- Silage (30% DM)</v>
      </c>
      <c r="H14" s="83" t="str">
        <f>'Field data and Bolton'!H14</f>
        <v>Maize- Silage (30% DM)</v>
      </c>
      <c r="I14" s="83" t="str">
        <f>'Field data and Bolton'!I14</f>
        <v>Maize- Silage (30% DM)</v>
      </c>
      <c r="J14" s="83" t="str">
        <f>'Field data and Bolton'!J14</f>
        <v>Maize- Silage (30% DM)</v>
      </c>
      <c r="K14" s="83" t="str">
        <f>'Field data and Bolton'!K14</f>
        <v>Maize- Silage (30% DM)</v>
      </c>
      <c r="L14" s="83" t="str">
        <f>'Field data and Bolton'!L14</f>
        <v>Maize- Silage (30% DM)</v>
      </c>
      <c r="M14" s="83" t="str">
        <f>'Field data and Bolton'!M14</f>
        <v>Maize- Silage (30% DM)</v>
      </c>
      <c r="N14" s="83" t="str">
        <f>'Field data and Bolton'!N14</f>
        <v>Maize- Silage (30% DM)</v>
      </c>
      <c r="O14" s="83" t="str">
        <f>'Field data and Bolton'!O14</f>
        <v>Maize- Silage (30% DM)</v>
      </c>
      <c r="P14" s="83">
        <f>'Field data and Bolton'!P14</f>
        <v>0</v>
      </c>
      <c r="Q14" s="83">
        <f>'Field data and Bolton'!Q14</f>
        <v>0</v>
      </c>
      <c r="R14" s="83">
        <f>'Field data and Bolton'!R14</f>
        <v>0</v>
      </c>
      <c r="S14" s="83">
        <f>'Field data and Bolton'!S14</f>
        <v>0</v>
      </c>
      <c r="T14" s="83">
        <f>'Field data and Bolton'!T14</f>
        <v>0</v>
      </c>
      <c r="U14" s="83">
        <f>'Field data and Bolton'!U14</f>
        <v>0</v>
      </c>
      <c r="V14" s="103">
        <f>'Field data and Bolton'!V14</f>
        <v>0</v>
      </c>
      <c r="AD14" s="22" t="s">
        <v>138</v>
      </c>
      <c r="AE14" s="22">
        <v>6</v>
      </c>
      <c r="AI14" s="43" t="s">
        <v>119</v>
      </c>
      <c r="AJ14" s="44">
        <v>0.8</v>
      </c>
      <c r="AK14" s="45">
        <v>1.7</v>
      </c>
      <c r="AL14" s="9">
        <v>12</v>
      </c>
      <c r="AM14" s="9">
        <v>6.7</v>
      </c>
      <c r="AN14" s="9" t="s">
        <v>135</v>
      </c>
    </row>
    <row r="15" spans="1:41" ht="13" x14ac:dyDescent="0.25">
      <c r="A15" s="152" t="s">
        <v>9</v>
      </c>
      <c r="B15" s="153"/>
      <c r="C15" s="49">
        <f>'Field data and Bolton'!C15</f>
        <v>45</v>
      </c>
      <c r="D15" s="49">
        <f>'Field data and Bolton'!D15</f>
        <v>45</v>
      </c>
      <c r="E15" s="49">
        <f>'Field data and Bolton'!E15</f>
        <v>45</v>
      </c>
      <c r="F15" s="49">
        <f>'Field data and Bolton'!F15</f>
        <v>45</v>
      </c>
      <c r="G15" s="49">
        <f>'Field data and Bolton'!G15</f>
        <v>45</v>
      </c>
      <c r="H15" s="49">
        <f>'Field data and Bolton'!H15</f>
        <v>45</v>
      </c>
      <c r="I15" s="49">
        <f>'Field data and Bolton'!I15</f>
        <v>45</v>
      </c>
      <c r="J15" s="49">
        <f>'Field data and Bolton'!J15</f>
        <v>45</v>
      </c>
      <c r="K15" s="49">
        <f>'Field data and Bolton'!K15</f>
        <v>45</v>
      </c>
      <c r="L15" s="49">
        <f>'Field data and Bolton'!L15</f>
        <v>45</v>
      </c>
      <c r="M15" s="49">
        <f>'Field data and Bolton'!M15</f>
        <v>45</v>
      </c>
      <c r="N15" s="49">
        <f>'Field data and Bolton'!N15</f>
        <v>45</v>
      </c>
      <c r="O15" s="49">
        <f>'Field data and Bolton'!O15</f>
        <v>45</v>
      </c>
      <c r="P15" s="49">
        <f>'Field data and Bolton'!P15</f>
        <v>0</v>
      </c>
      <c r="Q15" s="49">
        <f>'Field data and Bolton'!Q15</f>
        <v>0</v>
      </c>
      <c r="R15" s="49">
        <f>'Field data and Bolton'!R15</f>
        <v>0</v>
      </c>
      <c r="S15" s="49">
        <f>'Field data and Bolton'!S15</f>
        <v>0</v>
      </c>
      <c r="T15" s="49">
        <f>'Field data and Bolton'!T15</f>
        <v>0</v>
      </c>
      <c r="U15" s="49">
        <f>'Field data and Bolton'!U15</f>
        <v>0</v>
      </c>
      <c r="V15" s="102">
        <f>'Field data and Bolton'!V15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Bolton'!C16</f>
        <v>Medium/Clay</v>
      </c>
      <c r="D16" s="104" t="str">
        <f>'Field data and Bolton'!D16</f>
        <v>Medium/Clay</v>
      </c>
      <c r="E16" s="104" t="str">
        <f>'Field data and Bolton'!E16</f>
        <v>Medium/Clay</v>
      </c>
      <c r="F16" s="104" t="str">
        <f>'Field data and Bolton'!F16</f>
        <v>Medium/Clay</v>
      </c>
      <c r="G16" s="104" t="str">
        <f>'Field data and Bolton'!G16</f>
        <v>Medium/Clay</v>
      </c>
      <c r="H16" s="104" t="str">
        <f>'Field data and Bolton'!H16</f>
        <v>Medium/Clay</v>
      </c>
      <c r="I16" s="104" t="str">
        <f>'Field data and Bolton'!I16</f>
        <v>Medium/Clay</v>
      </c>
      <c r="J16" s="104" t="str">
        <f>'Field data and Bolton'!J16</f>
        <v>Medium/Clay</v>
      </c>
      <c r="K16" s="104" t="str">
        <f>'Field data and Bolton'!K16</f>
        <v>Medium/Clay</v>
      </c>
      <c r="L16" s="104" t="str">
        <f>'Field data and Bolton'!L16</f>
        <v>Medium/Clay</v>
      </c>
      <c r="M16" s="104" t="str">
        <f>'Field data and Bolton'!M16</f>
        <v>Medium/Clay</v>
      </c>
      <c r="N16" s="104" t="str">
        <f>'Field data and Bolton'!N16</f>
        <v>Medium/Clay</v>
      </c>
      <c r="O16" s="104" t="str">
        <f>'Field data and Bolton'!O16</f>
        <v>Medium/Clay</v>
      </c>
      <c r="P16" s="104" t="str">
        <f>'Field data and Bolton'!P16</f>
        <v>Medium/Clay</v>
      </c>
      <c r="Q16" s="104">
        <f>'Field data and Bolton'!Q16</f>
        <v>0</v>
      </c>
      <c r="R16" s="104">
        <f>'Field data and Bolton'!R16</f>
        <v>0</v>
      </c>
      <c r="S16" s="104">
        <f>'Field data and Bolton'!S16</f>
        <v>0</v>
      </c>
      <c r="T16" s="104">
        <f>'Field data and Bolton'!T16</f>
        <v>0</v>
      </c>
      <c r="U16" s="104">
        <f>'Field data and Bolton'!U16</f>
        <v>0</v>
      </c>
      <c r="V16" s="105">
        <f>'Field data and Bolton'!V16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26.723140400000002</v>
      </c>
      <c r="D18" s="12">
        <f>$D32</f>
        <v>26.723140400000002</v>
      </c>
      <c r="E18" s="12">
        <f>$D33</f>
        <v>26.723140400000002</v>
      </c>
      <c r="F18" s="12">
        <f>$D34</f>
        <v>26.723140400000002</v>
      </c>
      <c r="G18" s="12">
        <f>$D35</f>
        <v>26.723140400000002</v>
      </c>
      <c r="H18" s="12">
        <f>$D36</f>
        <v>26.723140400000002</v>
      </c>
      <c r="I18" s="12">
        <f>$D37</f>
        <v>26.723140400000002</v>
      </c>
      <c r="J18" s="12">
        <f>$D38</f>
        <v>26.723140400000002</v>
      </c>
      <c r="K18" s="12">
        <f>$D39</f>
        <v>26.723140400000002</v>
      </c>
      <c r="L18" s="12">
        <f>$D40</f>
        <v>26.723140400000002</v>
      </c>
      <c r="M18" s="12">
        <f>$D41</f>
        <v>26.723140400000002</v>
      </c>
      <c r="N18" s="12">
        <f>$D42</f>
        <v>26.723140400000002</v>
      </c>
      <c r="O18" s="12">
        <f>$D43</f>
        <v>26.723140400000002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-36.276859599999995</v>
      </c>
      <c r="D19" s="12">
        <f t="shared" ref="D19:V19" si="1">D18-D17</f>
        <v>-36.276859599999995</v>
      </c>
      <c r="E19" s="12">
        <f t="shared" si="1"/>
        <v>-36.276859599999995</v>
      </c>
      <c r="F19" s="12">
        <f t="shared" si="1"/>
        <v>-36.276859599999995</v>
      </c>
      <c r="G19" s="12">
        <f t="shared" si="1"/>
        <v>-36.276859599999995</v>
      </c>
      <c r="H19" s="12">
        <f t="shared" si="1"/>
        <v>-36.276859599999995</v>
      </c>
      <c r="I19" s="12">
        <f t="shared" si="1"/>
        <v>-36.276859599999995</v>
      </c>
      <c r="J19" s="12">
        <f t="shared" si="1"/>
        <v>-36.276859599999995</v>
      </c>
      <c r="K19" s="12">
        <f t="shared" si="1"/>
        <v>-36.276859599999995</v>
      </c>
      <c r="L19" s="12">
        <f t="shared" si="1"/>
        <v>-36.276859599999995</v>
      </c>
      <c r="M19" s="12">
        <f t="shared" si="1"/>
        <v>-36.276859599999995</v>
      </c>
      <c r="N19" s="12">
        <f t="shared" si="1"/>
        <v>-36.276859599999995</v>
      </c>
      <c r="O19" s="12">
        <f t="shared" si="1"/>
        <v>-36.276859599999995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2.0937597999999999</v>
      </c>
      <c r="D22" s="12">
        <f>$E32</f>
        <v>2.0937597999999999</v>
      </c>
      <c r="E22" s="12">
        <f>$E33</f>
        <v>2.0937597999999999</v>
      </c>
      <c r="F22" s="12">
        <f>$E34</f>
        <v>2.0937597999999999</v>
      </c>
      <c r="G22" s="12">
        <f>$E35</f>
        <v>2.0937597999999999</v>
      </c>
      <c r="H22" s="12">
        <f>$E36</f>
        <v>2.0937597999999999</v>
      </c>
      <c r="I22" s="12">
        <f>$E37</f>
        <v>2.0937597999999999</v>
      </c>
      <c r="J22" s="12">
        <f>$E38</f>
        <v>2.0937597999999999</v>
      </c>
      <c r="K22" s="12">
        <f>$E39</f>
        <v>2.0937597999999999</v>
      </c>
      <c r="L22" s="12">
        <f>$E40</f>
        <v>2.0937597999999999</v>
      </c>
      <c r="M22" s="12">
        <f>$E41</f>
        <v>2.0937597999999999</v>
      </c>
      <c r="N22" s="12">
        <f>$E42</f>
        <v>2.0937597999999999</v>
      </c>
      <c r="O22" s="12">
        <f>$E43</f>
        <v>2.0937597999999999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-195.90624020000004</v>
      </c>
      <c r="D23" s="12">
        <f t="shared" ref="D23:V23" si="3">D22-D21</f>
        <v>-195.90624020000004</v>
      </c>
      <c r="E23" s="12">
        <f t="shared" si="3"/>
        <v>-195.90624020000004</v>
      </c>
      <c r="F23" s="12">
        <f t="shared" si="3"/>
        <v>-195.90624020000004</v>
      </c>
      <c r="G23" s="12">
        <f t="shared" si="3"/>
        <v>-195.90624020000004</v>
      </c>
      <c r="H23" s="12">
        <f t="shared" si="3"/>
        <v>-195.90624020000004</v>
      </c>
      <c r="I23" s="12">
        <f t="shared" si="3"/>
        <v>-195.90624020000004</v>
      </c>
      <c r="J23" s="12">
        <f t="shared" si="3"/>
        <v>-195.90624020000004</v>
      </c>
      <c r="K23" s="12">
        <f t="shared" si="3"/>
        <v>-195.90624020000004</v>
      </c>
      <c r="L23" s="12">
        <f t="shared" si="3"/>
        <v>-195.90624020000004</v>
      </c>
      <c r="M23" s="12">
        <f t="shared" si="3"/>
        <v>-195.90624020000004</v>
      </c>
      <c r="N23" s="12">
        <f t="shared" si="3"/>
        <v>-195.90624020000004</v>
      </c>
      <c r="O23" s="12">
        <f t="shared" si="3"/>
        <v>-195.90624020000004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2.42</v>
      </c>
      <c r="C28" s="11">
        <v>1.1399999999999999</v>
      </c>
      <c r="D28" s="11">
        <v>0.48199999999999998</v>
      </c>
      <c r="E28" s="11">
        <v>7.1800000000000003E-2</v>
      </c>
      <c r="F28" s="11">
        <v>545</v>
      </c>
      <c r="G28" s="11">
        <v>64.3</v>
      </c>
      <c r="H28" s="11">
        <v>110</v>
      </c>
      <c r="I28" s="11">
        <v>51.1</v>
      </c>
      <c r="J28" s="11">
        <v>1.26</v>
      </c>
      <c r="K28" s="15">
        <v>0.82</v>
      </c>
      <c r="L28" s="11">
        <v>42.1</v>
      </c>
      <c r="M28" s="11">
        <v>35.5</v>
      </c>
      <c r="N28" s="11">
        <v>166000</v>
      </c>
      <c r="O28" s="11">
        <v>6470</v>
      </c>
      <c r="P28" s="11"/>
      <c r="Q28" s="11">
        <v>6730</v>
      </c>
      <c r="R28" s="11"/>
      <c r="S28" s="11">
        <v>52.8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27.587999999999997</v>
      </c>
      <c r="D31" s="65">
        <f>(IF(D$27="%w/w SAR",((D$28*10)*$B31),IF(D$27="%w/w DM",(((D$28*10)*($B$28/100))*$B31),IF(D$27="kg/t SAR",(D$28*$B31),IF(D$27="kg/t DM",((D$28*($B$28/100))*$B31),IF(D$27="mg/kg SAR",((D$28*0.001)*$B31),IF(D$27="mg/kg DM",(((D$28*0.001)*($B$28/100))*$B31),"0")))))))*2.291</f>
        <v>26.723140400000002</v>
      </c>
      <c r="E31" s="65">
        <f>(IF(E$27="%w/w SAR",((E$28*10)*$B31),IF(E$27="%w/w DM",(((E$28*10)*($B$28/100))*$B31),IF(E$27="kg/t SAR",(E$28*$B31),IF(E$27="kg/t DM",((E$28*($B$28/100))*$B31),IF(E$27="mg/kg SAR",((E$28*0.001)*$B31),IF(E$27="mg/kg DM",(((E$28*0.001)*($B$28/100))*$B31),"0")))))))*1.205</f>
        <v>2.0937597999999999</v>
      </c>
      <c r="F31" s="65">
        <f>(IF(F$27="%w/w SAR",((F$28*10)*$B31),IF(F$27="%w/w DM",(((F$28*10)*($B$28/100))*$B31),IF(F$27="kg/t SAR",(F$28*$B31),IF(F$27="kg/t DM",((F$28*($B$28/100))*$B31),IF(F$27="mg/kg SAR",((F$28*0.001)*$B31),IF(F$27="mg/kg DM",(((F$28*0.001)*($B$28/100))*$B31),"0")))))))*1.658</f>
        <v>2.1867362000000004</v>
      </c>
      <c r="G31" s="65">
        <f t="shared" ref="G31:P46" si="5">IF(G$27="%w/w SAR",((G$28*10)*$B31),IF(G$27="%w/w DM",(((G$28*10)*($B$28/100))*$B31),IF(G$27="kg/t SAR",(G$28*$B31),IF(G$27="kg/t DM",((G$28*($B$28/100))*$B31),IF(G$27="mg/kg SAR",((G$28*0.001)*$B31),IF(G$27="mg/kg DM",(((G$28*0.001)*($B$28/100))*$B31),0))))))</f>
        <v>0.15560599999999999</v>
      </c>
      <c r="H31" s="65">
        <f t="shared" si="5"/>
        <v>0.26619999999999999</v>
      </c>
      <c r="I31" s="65">
        <f t="shared" si="5"/>
        <v>0.12366199999999999</v>
      </c>
      <c r="J31" s="65">
        <f t="shared" si="5"/>
        <v>3.0491999999999997E-3</v>
      </c>
      <c r="K31" s="65">
        <f t="shared" si="5"/>
        <v>1.9843999999999999E-3</v>
      </c>
      <c r="L31" s="65">
        <f t="shared" si="5"/>
        <v>0.10188200000000001</v>
      </c>
      <c r="M31" s="65">
        <f t="shared" si="5"/>
        <v>8.5910000000000014E-2</v>
      </c>
      <c r="N31" s="65">
        <f t="shared" si="5"/>
        <v>401.71999999999997</v>
      </c>
      <c r="O31" s="65">
        <f t="shared" si="5"/>
        <v>15.657399999999999</v>
      </c>
      <c r="P31" s="65">
        <f t="shared" si="5"/>
        <v>0</v>
      </c>
      <c r="Q31" s="65">
        <f>(IF(Q$27="%w/w SAR",((Q$28*10)*$B31),IF(Q$27="%w/w DM",(((Q$28*10)*($B$28/100))*$B31),IF(Q$27="kg/t SAR",(Q$28*$B31),IF(Q$27="kg/t DM",((Q$28*($B$28/100))*$B31),IF(Q$27="mg/kg SAR",((Q$28*0.001)*$B31),IF(Q$27="mg/kg DM",(((Q$28*0.001)*($B$28/100))*$B31),0)))))))*2.5</f>
        <v>40.716499999999996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0.127776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27.587999999999997</v>
      </c>
      <c r="D32" s="65">
        <f t="shared" ref="D32:D50" si="7">(IF(D$27="%w/w SAR",((D$28*10)*$B32),IF(D$27="%w/w DM",(((D$28*10)*($B$28/100))*$B32),IF(D$27="kg/t SAR",(D$28*$B32),IF(D$27="kg/t DM",((D$28*($B$28/100))*$B32),IF(D$27="mg/kg SAR",((D$28*0.001)*$B32),IF(D$27="mg/kg DM",(((D$28*0.001)*($B$28/100))*$B32),"0")))))))*2.291</f>
        <v>26.723140400000002</v>
      </c>
      <c r="E32" s="65">
        <f t="shared" ref="E32:E50" si="8">(IF(E$27="%w/w SAR",((E$28*10)*$B32),IF(E$27="%w/w DM",(((E$28*10)*($B$28/100))*$B32),IF(E$27="kg/t SAR",(E$28*$B32),IF(E$27="kg/t DM",((E$28*($B$28/100))*$B32),IF(E$27="mg/kg SAR",((E$28*0.001)*$B32),IF(E$27="mg/kg DM",(((E$28*0.001)*($B$28/100))*$B32),"0")))))))*1.205</f>
        <v>2.0937597999999999</v>
      </c>
      <c r="F32" s="65">
        <f t="shared" ref="F32:F50" si="9">(IF(F$27="%w/w SAR",((F$28*10)*$B32),IF(F$27="%w/w DM",(((F$28*10)*($B$28/100))*$B32),IF(F$27="kg/t SAR",(F$28*$B32),IF(F$27="kg/t DM",((F$28*($B$28/100))*$B32),IF(F$27="mg/kg SAR",((F$28*0.001)*$B32),IF(F$27="mg/kg DM",(((F$28*0.001)*($B$28/100))*$B32),"0")))))))*1.658</f>
        <v>2.1867362000000004</v>
      </c>
      <c r="G32" s="65">
        <f t="shared" si="5"/>
        <v>0.15560599999999999</v>
      </c>
      <c r="H32" s="65">
        <f t="shared" si="5"/>
        <v>0.26619999999999999</v>
      </c>
      <c r="I32" s="65">
        <f t="shared" si="5"/>
        <v>0.12366199999999999</v>
      </c>
      <c r="J32" s="65">
        <f t="shared" si="5"/>
        <v>3.0491999999999997E-3</v>
      </c>
      <c r="K32" s="65">
        <f t="shared" si="5"/>
        <v>1.9843999999999999E-3</v>
      </c>
      <c r="L32" s="65">
        <f t="shared" si="5"/>
        <v>0.10188200000000001</v>
      </c>
      <c r="M32" s="65">
        <f t="shared" si="5"/>
        <v>8.5910000000000014E-2</v>
      </c>
      <c r="N32" s="65">
        <f t="shared" si="5"/>
        <v>401.71999999999997</v>
      </c>
      <c r="O32" s="65">
        <f t="shared" si="5"/>
        <v>15.657399999999999</v>
      </c>
      <c r="P32" s="65">
        <f t="shared" si="5"/>
        <v>0</v>
      </c>
      <c r="Q32" s="65">
        <f t="shared" ref="Q32:Q50" si="10">(IF(Q$27="%w/w SAR",((Q$28*10)*$B32),IF(Q$27="%w/w DM",(((Q$28*10)*($B$28/100))*$B32),IF(Q$27="kg/t SAR",(Q$28*$B32),IF(Q$27="kg/t DM",((Q$28*($B$28/100))*$B32),IF(Q$27="mg/kg SAR",((Q$28*0.001)*$B32),IF(Q$27="mg/kg DM",(((Q$28*0.001)*($B$28/100))*$B32),0)))))))*2.5</f>
        <v>40.716499999999996</v>
      </c>
      <c r="R32" s="65">
        <f t="shared" ref="R32:U50" si="11">IF(R$27="%w/w SAR",((R$28*10)*$B32),IF(R$27="%w/w DM",(((R$28*10)*($B$28/100))*$B32),IF(R$27="kg/t SAR",(R$28*$B32),IF(R$27="kg/t DM",((R$28*($B$28/100))*$B32),IF(R$27="mg/kg SAR",((R$28*0.001)*$B32),IF(R$27="mg/kg DM",(((R$28*0.001)*($B$28/100))*$B32),0))))))</f>
        <v>0</v>
      </c>
      <c r="S32" s="65">
        <f t="shared" si="11"/>
        <v>0.127776</v>
      </c>
      <c r="T32" s="65">
        <f t="shared" si="11"/>
        <v>0</v>
      </c>
      <c r="U32" s="126">
        <f t="shared" si="11"/>
        <v>0</v>
      </c>
    </row>
    <row r="33" spans="1:21" s="48" customFormat="1" ht="13" x14ac:dyDescent="0.35">
      <c r="A33" s="125">
        <f>E8</f>
        <v>3</v>
      </c>
      <c r="B33" s="11">
        <v>100</v>
      </c>
      <c r="C33" s="65">
        <f t="shared" si="6"/>
        <v>27.587999999999997</v>
      </c>
      <c r="D33" s="65">
        <f t="shared" si="7"/>
        <v>26.723140400000002</v>
      </c>
      <c r="E33" s="65">
        <f t="shared" si="8"/>
        <v>2.0937597999999999</v>
      </c>
      <c r="F33" s="65">
        <f t="shared" si="9"/>
        <v>2.1867362000000004</v>
      </c>
      <c r="G33" s="65">
        <f t="shared" si="5"/>
        <v>0.15560599999999999</v>
      </c>
      <c r="H33" s="65">
        <f t="shared" si="5"/>
        <v>0.26619999999999999</v>
      </c>
      <c r="I33" s="65">
        <f t="shared" si="5"/>
        <v>0.12366199999999999</v>
      </c>
      <c r="J33" s="65">
        <f t="shared" si="5"/>
        <v>3.0491999999999997E-3</v>
      </c>
      <c r="K33" s="65">
        <f t="shared" si="5"/>
        <v>1.9843999999999999E-3</v>
      </c>
      <c r="L33" s="65">
        <f t="shared" si="5"/>
        <v>0.10188200000000001</v>
      </c>
      <c r="M33" s="65">
        <f t="shared" si="5"/>
        <v>8.5910000000000014E-2</v>
      </c>
      <c r="N33" s="65">
        <f t="shared" si="5"/>
        <v>401.71999999999997</v>
      </c>
      <c r="O33" s="65">
        <f t="shared" si="5"/>
        <v>15.657399999999999</v>
      </c>
      <c r="P33" s="65">
        <f t="shared" si="5"/>
        <v>0</v>
      </c>
      <c r="Q33" s="65">
        <f t="shared" si="10"/>
        <v>40.716499999999996</v>
      </c>
      <c r="R33" s="65">
        <f t="shared" si="11"/>
        <v>0</v>
      </c>
      <c r="S33" s="65">
        <f t="shared" si="11"/>
        <v>0.127776</v>
      </c>
      <c r="T33" s="65">
        <f t="shared" si="11"/>
        <v>0</v>
      </c>
      <c r="U33" s="126">
        <f t="shared" si="11"/>
        <v>0</v>
      </c>
    </row>
    <row r="34" spans="1:21" s="48" customFormat="1" ht="13" x14ac:dyDescent="0.35">
      <c r="A34" s="125">
        <f>F8</f>
        <v>4</v>
      </c>
      <c r="B34" s="11">
        <v>100</v>
      </c>
      <c r="C34" s="65">
        <f t="shared" si="6"/>
        <v>27.587999999999997</v>
      </c>
      <c r="D34" s="65">
        <f t="shared" si="7"/>
        <v>26.723140400000002</v>
      </c>
      <c r="E34" s="65">
        <f t="shared" si="8"/>
        <v>2.0937597999999999</v>
      </c>
      <c r="F34" s="65">
        <f t="shared" si="9"/>
        <v>2.1867362000000004</v>
      </c>
      <c r="G34" s="65">
        <f t="shared" si="5"/>
        <v>0.15560599999999999</v>
      </c>
      <c r="H34" s="65">
        <f t="shared" si="5"/>
        <v>0.26619999999999999</v>
      </c>
      <c r="I34" s="65">
        <f t="shared" si="5"/>
        <v>0.12366199999999999</v>
      </c>
      <c r="J34" s="65">
        <f t="shared" si="5"/>
        <v>3.0491999999999997E-3</v>
      </c>
      <c r="K34" s="65">
        <f t="shared" si="5"/>
        <v>1.9843999999999999E-3</v>
      </c>
      <c r="L34" s="65">
        <f t="shared" si="5"/>
        <v>0.10188200000000001</v>
      </c>
      <c r="M34" s="65">
        <f t="shared" si="5"/>
        <v>8.5910000000000014E-2</v>
      </c>
      <c r="N34" s="65">
        <f t="shared" si="5"/>
        <v>401.71999999999997</v>
      </c>
      <c r="O34" s="65">
        <f t="shared" si="5"/>
        <v>15.657399999999999</v>
      </c>
      <c r="P34" s="65">
        <f t="shared" si="5"/>
        <v>0</v>
      </c>
      <c r="Q34" s="65">
        <f t="shared" si="10"/>
        <v>40.716499999999996</v>
      </c>
      <c r="R34" s="65">
        <f t="shared" si="11"/>
        <v>0</v>
      </c>
      <c r="S34" s="65">
        <f t="shared" si="11"/>
        <v>0.127776</v>
      </c>
      <c r="T34" s="65">
        <f t="shared" si="11"/>
        <v>0</v>
      </c>
      <c r="U34" s="126">
        <f t="shared" si="11"/>
        <v>0</v>
      </c>
    </row>
    <row r="35" spans="1:21" s="48" customFormat="1" ht="13" x14ac:dyDescent="0.35">
      <c r="A35" s="125">
        <f>G8</f>
        <v>5</v>
      </c>
      <c r="B35" s="11">
        <v>100</v>
      </c>
      <c r="C35" s="65">
        <f t="shared" si="6"/>
        <v>27.587999999999997</v>
      </c>
      <c r="D35" s="65">
        <f t="shared" si="7"/>
        <v>26.723140400000002</v>
      </c>
      <c r="E35" s="65">
        <f t="shared" si="8"/>
        <v>2.0937597999999999</v>
      </c>
      <c r="F35" s="65">
        <f t="shared" si="9"/>
        <v>2.1867362000000004</v>
      </c>
      <c r="G35" s="65">
        <f t="shared" si="5"/>
        <v>0.15560599999999999</v>
      </c>
      <c r="H35" s="65">
        <f t="shared" si="5"/>
        <v>0.26619999999999999</v>
      </c>
      <c r="I35" s="65">
        <f t="shared" si="5"/>
        <v>0.12366199999999999</v>
      </c>
      <c r="J35" s="65">
        <f t="shared" si="5"/>
        <v>3.0491999999999997E-3</v>
      </c>
      <c r="K35" s="65">
        <f t="shared" si="5"/>
        <v>1.9843999999999999E-3</v>
      </c>
      <c r="L35" s="65">
        <f t="shared" si="5"/>
        <v>0.10188200000000001</v>
      </c>
      <c r="M35" s="65">
        <f t="shared" si="5"/>
        <v>8.5910000000000014E-2</v>
      </c>
      <c r="N35" s="65">
        <f t="shared" si="5"/>
        <v>401.71999999999997</v>
      </c>
      <c r="O35" s="65">
        <f t="shared" si="5"/>
        <v>15.657399999999999</v>
      </c>
      <c r="P35" s="65">
        <f t="shared" si="5"/>
        <v>0</v>
      </c>
      <c r="Q35" s="65">
        <f t="shared" si="10"/>
        <v>40.716499999999996</v>
      </c>
      <c r="R35" s="65">
        <f t="shared" si="11"/>
        <v>0</v>
      </c>
      <c r="S35" s="65">
        <f t="shared" si="11"/>
        <v>0.127776</v>
      </c>
      <c r="T35" s="65">
        <f t="shared" si="11"/>
        <v>0</v>
      </c>
      <c r="U35" s="126">
        <f t="shared" si="11"/>
        <v>0</v>
      </c>
    </row>
    <row r="36" spans="1:21" s="48" customFormat="1" ht="13" x14ac:dyDescent="0.35">
      <c r="A36" s="125">
        <f>H8</f>
        <v>6</v>
      </c>
      <c r="B36" s="11">
        <v>100</v>
      </c>
      <c r="C36" s="65">
        <f t="shared" si="6"/>
        <v>27.587999999999997</v>
      </c>
      <c r="D36" s="65">
        <f t="shared" si="7"/>
        <v>26.723140400000002</v>
      </c>
      <c r="E36" s="65">
        <f t="shared" si="8"/>
        <v>2.0937597999999999</v>
      </c>
      <c r="F36" s="65">
        <f t="shared" si="9"/>
        <v>2.1867362000000004</v>
      </c>
      <c r="G36" s="65">
        <f t="shared" si="5"/>
        <v>0.15560599999999999</v>
      </c>
      <c r="H36" s="65">
        <f t="shared" si="5"/>
        <v>0.26619999999999999</v>
      </c>
      <c r="I36" s="65">
        <f t="shared" si="5"/>
        <v>0.12366199999999999</v>
      </c>
      <c r="J36" s="65">
        <f t="shared" si="5"/>
        <v>3.0491999999999997E-3</v>
      </c>
      <c r="K36" s="65">
        <f t="shared" si="5"/>
        <v>1.9843999999999999E-3</v>
      </c>
      <c r="L36" s="65">
        <f t="shared" si="5"/>
        <v>0.10188200000000001</v>
      </c>
      <c r="M36" s="65">
        <f t="shared" si="5"/>
        <v>8.5910000000000014E-2</v>
      </c>
      <c r="N36" s="65">
        <f t="shared" si="5"/>
        <v>401.71999999999997</v>
      </c>
      <c r="O36" s="65">
        <f t="shared" si="5"/>
        <v>15.657399999999999</v>
      </c>
      <c r="P36" s="65">
        <f t="shared" si="5"/>
        <v>0</v>
      </c>
      <c r="Q36" s="65">
        <f t="shared" si="10"/>
        <v>40.716499999999996</v>
      </c>
      <c r="R36" s="65">
        <f t="shared" si="11"/>
        <v>0</v>
      </c>
      <c r="S36" s="65">
        <f t="shared" si="11"/>
        <v>0.127776</v>
      </c>
      <c r="T36" s="65">
        <f t="shared" si="11"/>
        <v>0</v>
      </c>
      <c r="U36" s="126">
        <f t="shared" si="11"/>
        <v>0</v>
      </c>
    </row>
    <row r="37" spans="1:21" s="48" customFormat="1" ht="13" x14ac:dyDescent="0.35">
      <c r="A37" s="125">
        <f>I8</f>
        <v>7</v>
      </c>
      <c r="B37" s="11">
        <v>100</v>
      </c>
      <c r="C37" s="65">
        <f t="shared" si="6"/>
        <v>27.587999999999997</v>
      </c>
      <c r="D37" s="65">
        <f t="shared" si="7"/>
        <v>26.723140400000002</v>
      </c>
      <c r="E37" s="65">
        <f t="shared" si="8"/>
        <v>2.0937597999999999</v>
      </c>
      <c r="F37" s="65">
        <f t="shared" si="9"/>
        <v>2.1867362000000004</v>
      </c>
      <c r="G37" s="65">
        <f t="shared" si="5"/>
        <v>0.15560599999999999</v>
      </c>
      <c r="H37" s="65">
        <f t="shared" si="5"/>
        <v>0.26619999999999999</v>
      </c>
      <c r="I37" s="65">
        <f t="shared" si="5"/>
        <v>0.12366199999999999</v>
      </c>
      <c r="J37" s="65">
        <f t="shared" si="5"/>
        <v>3.0491999999999997E-3</v>
      </c>
      <c r="K37" s="65">
        <f t="shared" si="5"/>
        <v>1.9843999999999999E-3</v>
      </c>
      <c r="L37" s="65">
        <f t="shared" si="5"/>
        <v>0.10188200000000001</v>
      </c>
      <c r="M37" s="65">
        <f t="shared" si="5"/>
        <v>8.5910000000000014E-2</v>
      </c>
      <c r="N37" s="65">
        <f t="shared" si="5"/>
        <v>401.71999999999997</v>
      </c>
      <c r="O37" s="65">
        <f t="shared" si="5"/>
        <v>15.657399999999999</v>
      </c>
      <c r="P37" s="65">
        <f t="shared" si="5"/>
        <v>0</v>
      </c>
      <c r="Q37" s="65">
        <f t="shared" si="10"/>
        <v>40.716499999999996</v>
      </c>
      <c r="R37" s="65">
        <f t="shared" si="11"/>
        <v>0</v>
      </c>
      <c r="S37" s="65">
        <f t="shared" si="11"/>
        <v>0.127776</v>
      </c>
      <c r="T37" s="65">
        <f t="shared" si="11"/>
        <v>0</v>
      </c>
      <c r="U37" s="126">
        <f t="shared" si="11"/>
        <v>0</v>
      </c>
    </row>
    <row r="38" spans="1:21" s="48" customFormat="1" ht="13" x14ac:dyDescent="0.35">
      <c r="A38" s="125">
        <f>J8</f>
        <v>8</v>
      </c>
      <c r="B38" s="11">
        <v>100</v>
      </c>
      <c r="C38" s="65">
        <f t="shared" si="6"/>
        <v>27.587999999999997</v>
      </c>
      <c r="D38" s="65">
        <f t="shared" si="7"/>
        <v>26.723140400000002</v>
      </c>
      <c r="E38" s="65">
        <f t="shared" si="8"/>
        <v>2.0937597999999999</v>
      </c>
      <c r="F38" s="65">
        <f t="shared" si="9"/>
        <v>2.1867362000000004</v>
      </c>
      <c r="G38" s="65">
        <f t="shared" si="5"/>
        <v>0.15560599999999999</v>
      </c>
      <c r="H38" s="65">
        <f t="shared" si="5"/>
        <v>0.26619999999999999</v>
      </c>
      <c r="I38" s="65">
        <f t="shared" si="5"/>
        <v>0.12366199999999999</v>
      </c>
      <c r="J38" s="65">
        <f t="shared" si="5"/>
        <v>3.0491999999999997E-3</v>
      </c>
      <c r="K38" s="65">
        <f t="shared" si="5"/>
        <v>1.9843999999999999E-3</v>
      </c>
      <c r="L38" s="65">
        <f t="shared" si="5"/>
        <v>0.10188200000000001</v>
      </c>
      <c r="M38" s="65">
        <f t="shared" si="5"/>
        <v>8.5910000000000014E-2</v>
      </c>
      <c r="N38" s="65">
        <f t="shared" si="5"/>
        <v>401.71999999999997</v>
      </c>
      <c r="O38" s="65">
        <f t="shared" si="5"/>
        <v>15.657399999999999</v>
      </c>
      <c r="P38" s="65">
        <f t="shared" si="5"/>
        <v>0</v>
      </c>
      <c r="Q38" s="65">
        <f t="shared" si="10"/>
        <v>40.716499999999996</v>
      </c>
      <c r="R38" s="65">
        <f t="shared" si="11"/>
        <v>0</v>
      </c>
      <c r="S38" s="65">
        <f t="shared" si="11"/>
        <v>0.127776</v>
      </c>
      <c r="T38" s="65">
        <f t="shared" si="11"/>
        <v>0</v>
      </c>
      <c r="U38" s="126">
        <f t="shared" si="11"/>
        <v>0</v>
      </c>
    </row>
    <row r="39" spans="1:21" s="48" customFormat="1" ht="13" x14ac:dyDescent="0.35">
      <c r="A39" s="125">
        <f>K8</f>
        <v>9</v>
      </c>
      <c r="B39" s="11">
        <v>100</v>
      </c>
      <c r="C39" s="65">
        <f t="shared" si="6"/>
        <v>27.587999999999997</v>
      </c>
      <c r="D39" s="65">
        <f t="shared" si="7"/>
        <v>26.723140400000002</v>
      </c>
      <c r="E39" s="65">
        <f t="shared" si="8"/>
        <v>2.0937597999999999</v>
      </c>
      <c r="F39" s="65">
        <f t="shared" si="9"/>
        <v>2.1867362000000004</v>
      </c>
      <c r="G39" s="65">
        <f t="shared" si="5"/>
        <v>0.15560599999999999</v>
      </c>
      <c r="H39" s="65">
        <f t="shared" si="5"/>
        <v>0.26619999999999999</v>
      </c>
      <c r="I39" s="65">
        <f t="shared" si="5"/>
        <v>0.12366199999999999</v>
      </c>
      <c r="J39" s="65">
        <f t="shared" si="5"/>
        <v>3.0491999999999997E-3</v>
      </c>
      <c r="K39" s="65">
        <f t="shared" si="5"/>
        <v>1.9843999999999999E-3</v>
      </c>
      <c r="L39" s="65">
        <f t="shared" si="5"/>
        <v>0.10188200000000001</v>
      </c>
      <c r="M39" s="65">
        <f t="shared" si="5"/>
        <v>8.5910000000000014E-2</v>
      </c>
      <c r="N39" s="65">
        <f t="shared" si="5"/>
        <v>401.71999999999997</v>
      </c>
      <c r="O39" s="65">
        <f t="shared" si="5"/>
        <v>15.657399999999999</v>
      </c>
      <c r="P39" s="65">
        <f t="shared" si="5"/>
        <v>0</v>
      </c>
      <c r="Q39" s="65">
        <f t="shared" si="10"/>
        <v>40.716499999999996</v>
      </c>
      <c r="R39" s="65">
        <f t="shared" si="11"/>
        <v>0</v>
      </c>
      <c r="S39" s="65">
        <f t="shared" si="11"/>
        <v>0.127776</v>
      </c>
      <c r="T39" s="65">
        <f t="shared" si="11"/>
        <v>0</v>
      </c>
      <c r="U39" s="126">
        <f t="shared" si="11"/>
        <v>0</v>
      </c>
    </row>
    <row r="40" spans="1:21" s="48" customFormat="1" ht="13" x14ac:dyDescent="0.35">
      <c r="A40" s="125">
        <f>L8</f>
        <v>10</v>
      </c>
      <c r="B40" s="11">
        <v>100</v>
      </c>
      <c r="C40" s="65">
        <f t="shared" si="6"/>
        <v>27.587999999999997</v>
      </c>
      <c r="D40" s="65">
        <f t="shared" si="7"/>
        <v>26.723140400000002</v>
      </c>
      <c r="E40" s="65">
        <f t="shared" si="8"/>
        <v>2.0937597999999999</v>
      </c>
      <c r="F40" s="65">
        <f t="shared" si="9"/>
        <v>2.1867362000000004</v>
      </c>
      <c r="G40" s="65">
        <f t="shared" si="5"/>
        <v>0.15560599999999999</v>
      </c>
      <c r="H40" s="65">
        <f t="shared" si="5"/>
        <v>0.26619999999999999</v>
      </c>
      <c r="I40" s="65">
        <f t="shared" si="5"/>
        <v>0.12366199999999999</v>
      </c>
      <c r="J40" s="65">
        <f t="shared" si="5"/>
        <v>3.0491999999999997E-3</v>
      </c>
      <c r="K40" s="65">
        <f t="shared" si="5"/>
        <v>1.9843999999999999E-3</v>
      </c>
      <c r="L40" s="65">
        <f t="shared" si="5"/>
        <v>0.10188200000000001</v>
      </c>
      <c r="M40" s="65">
        <f t="shared" si="5"/>
        <v>8.5910000000000014E-2</v>
      </c>
      <c r="N40" s="65">
        <f t="shared" si="5"/>
        <v>401.71999999999997</v>
      </c>
      <c r="O40" s="65">
        <f t="shared" si="5"/>
        <v>15.657399999999999</v>
      </c>
      <c r="P40" s="65">
        <f t="shared" si="5"/>
        <v>0</v>
      </c>
      <c r="Q40" s="65">
        <f t="shared" si="10"/>
        <v>40.716499999999996</v>
      </c>
      <c r="R40" s="65">
        <f t="shared" si="11"/>
        <v>0</v>
      </c>
      <c r="S40" s="65">
        <f t="shared" si="11"/>
        <v>0.127776</v>
      </c>
      <c r="T40" s="65">
        <f t="shared" si="11"/>
        <v>0</v>
      </c>
      <c r="U40" s="126">
        <f t="shared" si="11"/>
        <v>0</v>
      </c>
    </row>
    <row r="41" spans="1:21" s="48" customFormat="1" ht="13" x14ac:dyDescent="0.35">
      <c r="A41" s="125">
        <f>M8</f>
        <v>11</v>
      </c>
      <c r="B41" s="11">
        <v>100</v>
      </c>
      <c r="C41" s="65">
        <f t="shared" si="6"/>
        <v>27.587999999999997</v>
      </c>
      <c r="D41" s="65">
        <f t="shared" si="7"/>
        <v>26.723140400000002</v>
      </c>
      <c r="E41" s="65">
        <f t="shared" si="8"/>
        <v>2.0937597999999999</v>
      </c>
      <c r="F41" s="65">
        <f t="shared" si="9"/>
        <v>2.1867362000000004</v>
      </c>
      <c r="G41" s="65">
        <f t="shared" si="5"/>
        <v>0.15560599999999999</v>
      </c>
      <c r="H41" s="65">
        <f t="shared" si="5"/>
        <v>0.26619999999999999</v>
      </c>
      <c r="I41" s="65">
        <f t="shared" si="5"/>
        <v>0.12366199999999999</v>
      </c>
      <c r="J41" s="65">
        <f t="shared" si="5"/>
        <v>3.0491999999999997E-3</v>
      </c>
      <c r="K41" s="65">
        <f t="shared" si="5"/>
        <v>1.9843999999999999E-3</v>
      </c>
      <c r="L41" s="65">
        <f t="shared" si="5"/>
        <v>0.10188200000000001</v>
      </c>
      <c r="M41" s="65">
        <f t="shared" si="5"/>
        <v>8.5910000000000014E-2</v>
      </c>
      <c r="N41" s="65">
        <f t="shared" si="5"/>
        <v>401.71999999999997</v>
      </c>
      <c r="O41" s="65">
        <f t="shared" si="5"/>
        <v>15.657399999999999</v>
      </c>
      <c r="P41" s="65">
        <f t="shared" si="5"/>
        <v>0</v>
      </c>
      <c r="Q41" s="65">
        <f t="shared" si="10"/>
        <v>40.716499999999996</v>
      </c>
      <c r="R41" s="65">
        <f t="shared" si="11"/>
        <v>0</v>
      </c>
      <c r="S41" s="65">
        <f t="shared" si="11"/>
        <v>0.127776</v>
      </c>
      <c r="T41" s="65">
        <f t="shared" si="11"/>
        <v>0</v>
      </c>
      <c r="U41" s="126">
        <f t="shared" si="11"/>
        <v>0</v>
      </c>
    </row>
    <row r="42" spans="1:21" s="48" customFormat="1" ht="13" x14ac:dyDescent="0.35">
      <c r="A42" s="125">
        <f>N8</f>
        <v>14</v>
      </c>
      <c r="B42" s="11">
        <v>100</v>
      </c>
      <c r="C42" s="65">
        <f t="shared" si="6"/>
        <v>27.587999999999997</v>
      </c>
      <c r="D42" s="65">
        <f t="shared" si="7"/>
        <v>26.723140400000002</v>
      </c>
      <c r="E42" s="65">
        <f t="shared" si="8"/>
        <v>2.0937597999999999</v>
      </c>
      <c r="F42" s="65">
        <f t="shared" si="9"/>
        <v>2.1867362000000004</v>
      </c>
      <c r="G42" s="65">
        <f t="shared" si="5"/>
        <v>0.15560599999999999</v>
      </c>
      <c r="H42" s="65">
        <f t="shared" si="5"/>
        <v>0.26619999999999999</v>
      </c>
      <c r="I42" s="65">
        <f t="shared" si="5"/>
        <v>0.12366199999999999</v>
      </c>
      <c r="J42" s="65">
        <f t="shared" si="5"/>
        <v>3.0491999999999997E-3</v>
      </c>
      <c r="K42" s="65">
        <f t="shared" si="5"/>
        <v>1.9843999999999999E-3</v>
      </c>
      <c r="L42" s="65">
        <f t="shared" si="5"/>
        <v>0.10188200000000001</v>
      </c>
      <c r="M42" s="65">
        <f t="shared" si="5"/>
        <v>8.5910000000000014E-2</v>
      </c>
      <c r="N42" s="65">
        <f t="shared" si="5"/>
        <v>401.71999999999997</v>
      </c>
      <c r="O42" s="65">
        <f t="shared" si="5"/>
        <v>15.657399999999999</v>
      </c>
      <c r="P42" s="65">
        <f t="shared" si="5"/>
        <v>0</v>
      </c>
      <c r="Q42" s="65">
        <f t="shared" si="10"/>
        <v>40.716499999999996</v>
      </c>
      <c r="R42" s="65">
        <f t="shared" si="11"/>
        <v>0</v>
      </c>
      <c r="S42" s="65">
        <f t="shared" si="11"/>
        <v>0.127776</v>
      </c>
      <c r="T42" s="65">
        <f t="shared" si="11"/>
        <v>0</v>
      </c>
      <c r="U42" s="126">
        <f t="shared" si="11"/>
        <v>0</v>
      </c>
    </row>
    <row r="43" spans="1:21" s="48" customFormat="1" ht="13" x14ac:dyDescent="0.35">
      <c r="A43" s="125">
        <f>O8</f>
        <v>15</v>
      </c>
      <c r="B43" s="11">
        <v>100</v>
      </c>
      <c r="C43" s="65">
        <f t="shared" si="6"/>
        <v>27.587999999999997</v>
      </c>
      <c r="D43" s="65">
        <f t="shared" si="7"/>
        <v>26.723140400000002</v>
      </c>
      <c r="E43" s="65">
        <f t="shared" si="8"/>
        <v>2.0937597999999999</v>
      </c>
      <c r="F43" s="65">
        <f t="shared" si="9"/>
        <v>2.1867362000000004</v>
      </c>
      <c r="G43" s="65">
        <f t="shared" si="5"/>
        <v>0.15560599999999999</v>
      </c>
      <c r="H43" s="65">
        <f t="shared" si="5"/>
        <v>0.26619999999999999</v>
      </c>
      <c r="I43" s="65">
        <f t="shared" si="5"/>
        <v>0.12366199999999999</v>
      </c>
      <c r="J43" s="65">
        <f t="shared" si="5"/>
        <v>3.0491999999999997E-3</v>
      </c>
      <c r="K43" s="65">
        <f t="shared" si="5"/>
        <v>1.9843999999999999E-3</v>
      </c>
      <c r="L43" s="65">
        <f t="shared" si="5"/>
        <v>0.10188200000000001</v>
      </c>
      <c r="M43" s="65">
        <f t="shared" si="5"/>
        <v>8.5910000000000014E-2</v>
      </c>
      <c r="N43" s="65">
        <f t="shared" si="5"/>
        <v>401.71999999999997</v>
      </c>
      <c r="O43" s="65">
        <f t="shared" si="5"/>
        <v>15.657399999999999</v>
      </c>
      <c r="P43" s="65">
        <f t="shared" si="5"/>
        <v>0</v>
      </c>
      <c r="Q43" s="65">
        <f t="shared" si="10"/>
        <v>40.716499999999996</v>
      </c>
      <c r="R43" s="65">
        <f t="shared" si="11"/>
        <v>0</v>
      </c>
      <c r="S43" s="65">
        <f t="shared" si="11"/>
        <v>0.127776</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14</v>
      </c>
      <c r="N57" s="8">
        <f t="shared" si="13"/>
        <v>15</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Arable</v>
      </c>
      <c r="C58" s="10" t="str">
        <f>D16&amp;" I "&amp;(VLOOKUP(D14,Table2456[],6,FALSE))</f>
        <v>Medium/Clay I Arable</v>
      </c>
      <c r="D58" s="10" t="str">
        <f>E16&amp;" I "&amp;(VLOOKUP(E14,Table2456[],6,FALSE))</f>
        <v>Medium/Clay I Arable</v>
      </c>
      <c r="E58" s="10" t="str">
        <f>F16&amp;" I "&amp;(VLOOKUP(F14,Table2456[],6,FALSE))</f>
        <v>Medium/Clay I Arable</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Arable</v>
      </c>
      <c r="J58" s="10" t="str">
        <f>K16&amp;" I "&amp;(VLOOKUP(K14,Table2456[],6,FALSE))</f>
        <v>Medium/Clay I Arable</v>
      </c>
      <c r="K58" s="10" t="str">
        <f>L16&amp;" I "&amp;(VLOOKUP(L14,Table2456[],6,FALSE))</f>
        <v>Medium/Clay I Arable</v>
      </c>
      <c r="L58" s="10" t="str">
        <f>M16&amp;" I "&amp;(VLOOKUP(M14,Table2456[],6,FALSE))</f>
        <v>Medium/Clay I Arable</v>
      </c>
      <c r="M58" s="10" t="str">
        <f>N16&amp;" I "&amp;(VLOOKUP(N14,Table2456[],6,FALSE))</f>
        <v>Medium/Clay I Arable</v>
      </c>
      <c r="N58" s="10" t="str">
        <f>O16&amp;" I "&amp;(VLOOKUP(O14,Table2456[],6,FALSE))</f>
        <v>Medium/Clay I Arable</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6.7</v>
      </c>
      <c r="C59" s="64">
        <f>VLOOKUP(D$14,Table2456[],5,FALSE)</f>
        <v>6.7</v>
      </c>
      <c r="D59" s="64">
        <f>VLOOKUP(E$14,Table2456[],5,FALSE)</f>
        <v>6.7</v>
      </c>
      <c r="E59" s="64">
        <f>VLOOKUP(F$14,Table2456[],5,FALSE)</f>
        <v>6.7</v>
      </c>
      <c r="F59" s="64">
        <f>VLOOKUP(G$14,Table2456[],5,FALSE)</f>
        <v>6.7</v>
      </c>
      <c r="G59" s="64">
        <f>VLOOKUP(H$14,Table2456[],5,FALSE)</f>
        <v>6.7</v>
      </c>
      <c r="H59" s="64">
        <f>VLOOKUP(I$14,Table2456[],5,FALSE)</f>
        <v>6.7</v>
      </c>
      <c r="I59" s="64">
        <f>VLOOKUP(J$14,Table2456[],5,FALSE)</f>
        <v>6.7</v>
      </c>
      <c r="J59" s="64">
        <f>VLOOKUP(K$14,Table2456[],5,FALSE)</f>
        <v>6.7</v>
      </c>
      <c r="K59" s="64">
        <f>VLOOKUP(L$14,Table2456[],5,FALSE)</f>
        <v>6.7</v>
      </c>
      <c r="L59" s="64">
        <f>VLOOKUP(M$14,Table2456[],5,FALSE)</f>
        <v>6.7</v>
      </c>
      <c r="M59" s="64">
        <f>VLOOKUP(N$14,Table2456[],5,FALSE)</f>
        <v>6.7</v>
      </c>
      <c r="N59" s="64">
        <f>VLOOKUP(O$14,Table2456[],5,FALSE)</f>
        <v>6.7</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Bolton'!B29</f>
        <v>Application Rate</v>
      </c>
      <c r="C1" s="29" t="str">
        <f>'Field data and Bolton'!C29</f>
        <v>Nitrogen Addition</v>
      </c>
      <c r="D1" s="29" t="str">
        <f>'Field data and Bolton'!D29</f>
        <v>Phosphate Addition</v>
      </c>
      <c r="E1" s="29" t="str">
        <f>'Field data and Bolton'!E29</f>
        <v>Potash  Addition</v>
      </c>
      <c r="F1" s="29" t="str">
        <f>'Field data and Bolton'!F29</f>
        <v>Mg Oxide Addition</v>
      </c>
      <c r="G1" s="29" t="str">
        <f>'Field data and Bolton'!G29</f>
        <v>Copper Addition</v>
      </c>
      <c r="H1" s="29" t="str">
        <f>'Field data and Bolton'!H29</f>
        <v>Zinc Addition</v>
      </c>
      <c r="I1" s="29" t="str">
        <f>'Field data and Bolton'!I29</f>
        <v>Lead Addition</v>
      </c>
      <c r="J1" s="29" t="str">
        <f>'Field data and Bolton'!J29</f>
        <v>Cadmium Addition</v>
      </c>
      <c r="K1" s="29" t="str">
        <f>'Field data and Bolton'!K29</f>
        <v>Mercury Addition</v>
      </c>
      <c r="L1" s="29" t="str">
        <f>'Field data and Bolton'!L29</f>
        <v>Nickel Addition</v>
      </c>
      <c r="M1" s="29" t="str">
        <f>'Field data and Bolton'!M29</f>
        <v>Chromium Addition</v>
      </c>
      <c r="N1" s="29" t="str">
        <f>'Field data and Bolton'!N29</f>
        <v>Aluminium Addition</v>
      </c>
      <c r="O1" s="29" t="str">
        <f>'Field data and Bolton'!O29</f>
        <v>Iron Addition</v>
      </c>
      <c r="P1" s="29" t="str">
        <f>'Field data and Bolton'!P29</f>
        <v xml:space="preserve">Sodium Addition                 </v>
      </c>
      <c r="Q1" s="29" t="str">
        <f>'Field data and Bolton'!Q29</f>
        <v>SO3  Addition                             kg/ha</v>
      </c>
      <c r="R1" s="29" t="str">
        <f>'Field data and Bolton'!R29</f>
        <v xml:space="preserve">Selenium Addition </v>
      </c>
      <c r="S1" s="29" t="str">
        <f>'Field data and Bolton'!S29</f>
        <v xml:space="preserve">Arsenic  Addition  </v>
      </c>
      <c r="T1" s="29" t="str">
        <f>'Field data and Bolton'!T29</f>
        <v xml:space="preserve">Molybdenum Addition  </v>
      </c>
      <c r="U1" s="29" t="str">
        <f>'Field data and Bolton'!U29</f>
        <v xml:space="preserve">Fluoride Addition </v>
      </c>
    </row>
    <row r="2" spans="1:21" ht="25" x14ac:dyDescent="0.25">
      <c r="A2" s="174"/>
      <c r="B2" s="29" t="str">
        <f>'Field data and Bolton'!B30</f>
        <v>tonnes/ha</v>
      </c>
      <c r="C2" s="29" t="str">
        <f>'Field data and Bolton'!C30</f>
        <v>kg/ha</v>
      </c>
      <c r="D2" s="29" t="str">
        <f>'Field data and Bolton'!D30</f>
        <v>P2O5 
kg/ha</v>
      </c>
      <c r="E2" s="29" t="str">
        <f>'Field data and Bolton'!E30</f>
        <v>K2O 
kg/ha</v>
      </c>
      <c r="F2" s="29" t="str">
        <f>'Field data and Bolton'!F30</f>
        <v>MgO 
kg/ha</v>
      </c>
      <c r="G2" s="29" t="str">
        <f>'Field data and Bolton'!G30</f>
        <v>kg/ha</v>
      </c>
      <c r="H2" s="29" t="str">
        <f>'Field data and Bolton'!H30</f>
        <v>kg/ha</v>
      </c>
      <c r="I2" s="29" t="str">
        <f>'Field data and Bolton'!I30</f>
        <v>kg/ha</v>
      </c>
      <c r="J2" s="29" t="str">
        <f>'Field data and Bolton'!J30</f>
        <v>kg/ha</v>
      </c>
      <c r="K2" s="29" t="str">
        <f>'Field data and Bolton'!K30</f>
        <v>kg/ha</v>
      </c>
      <c r="L2" s="29" t="str">
        <f>'Field data and Bolton'!L30</f>
        <v>kg/ha</v>
      </c>
      <c r="M2" s="29" t="str">
        <f>'Field data and Bolton'!M30</f>
        <v>kg/ha</v>
      </c>
      <c r="N2" s="29" t="str">
        <f>'Field data and Bolton'!N30</f>
        <v>kg/ha</v>
      </c>
      <c r="O2" s="29" t="str">
        <f>'Field data and Bolton'!O30</f>
        <v>kg/ha</v>
      </c>
      <c r="P2" s="29" t="str">
        <f>'Field data and Bolton'!P30</f>
        <v>kg/ha</v>
      </c>
      <c r="Q2" s="29" t="str">
        <f>'Field data and Bolton'!Q30</f>
        <v>kg/ha</v>
      </c>
      <c r="R2" s="29" t="str">
        <f>'Field data and Bolton'!R30</f>
        <v>kg/ha</v>
      </c>
      <c r="S2" s="29" t="str">
        <f>'Field data and Bolton'!S30</f>
        <v>kg/ha</v>
      </c>
      <c r="T2" s="29" t="str">
        <f>'Field data and Bolton'!T30</f>
        <v>kg/ha</v>
      </c>
      <c r="U2" s="29" t="str">
        <f>'Field data and Bolton'!U30</f>
        <v>kg/ha</v>
      </c>
    </row>
    <row r="3" spans="1:21" x14ac:dyDescent="0.25">
      <c r="A3" s="27">
        <v>1</v>
      </c>
      <c r="B3" s="24">
        <f>'Field data and Bolton'!B31</f>
        <v>100</v>
      </c>
      <c r="C3" s="24">
        <f>'Field data and Bolton'!C31</f>
        <v>40.414000000000001</v>
      </c>
      <c r="D3" s="24">
        <f>'Field data and Bolton'!D31</f>
        <v>26.552231799999994</v>
      </c>
      <c r="E3" s="24">
        <f>'Field data and Bolton'!E31</f>
        <v>3.4813655000000003</v>
      </c>
      <c r="F3" s="24">
        <f>'Field data and Bolton'!F31</f>
        <v>8.2512027999999979</v>
      </c>
      <c r="G3" s="24">
        <f>'Field data and Bolton'!G31</f>
        <v>0.20307199999999997</v>
      </c>
      <c r="H3" s="24">
        <f>'Field data and Bolton'!H31</f>
        <v>0.36071999999999999</v>
      </c>
      <c r="I3" s="24">
        <f>'Field data and Bolton'!I31</f>
        <v>0.12291199999999999</v>
      </c>
      <c r="J3" s="24">
        <f>'Field data and Bolton'!J31</f>
        <v>2.1710000000000002E-3</v>
      </c>
      <c r="K3" s="24">
        <f>'Field data and Bolton'!K31</f>
        <v>1.9705999999999999E-3</v>
      </c>
      <c r="L3" s="24">
        <f>'Field data and Bolton'!L31</f>
        <v>0.101202</v>
      </c>
      <c r="M3" s="24">
        <f>'Field data and Bolton'!M31</f>
        <v>8.517000000000001E-2</v>
      </c>
      <c r="N3" s="24">
        <f>'Field data and Bolton'!N31</f>
        <v>467.6</v>
      </c>
      <c r="O3" s="24">
        <f>'Field data and Bolton'!O31</f>
        <v>80.16</v>
      </c>
      <c r="P3" s="24">
        <f>'Field data and Bolton'!P31</f>
        <v>0</v>
      </c>
      <c r="Q3" s="24">
        <f>'Field data and Bolton'!Q31</f>
        <v>51.101999999999997</v>
      </c>
      <c r="R3" s="24">
        <f>'Field data and Bolton'!R31</f>
        <v>0</v>
      </c>
      <c r="S3" s="24">
        <f>'Field data and Bolton'!S31</f>
        <v>5.4775999999999991E-2</v>
      </c>
      <c r="T3" s="24">
        <f>'Field data and Bolton'!T31</f>
        <v>0</v>
      </c>
      <c r="U3" s="24">
        <f>'Field data and Bolton'!U31</f>
        <v>0</v>
      </c>
    </row>
    <row r="4" spans="1:21" x14ac:dyDescent="0.25">
      <c r="A4" s="27">
        <v>2</v>
      </c>
      <c r="B4" s="24">
        <f>Preseli!B31</f>
        <v>100</v>
      </c>
      <c r="C4" s="24">
        <f>Preseli!C31</f>
        <v>27.750000000000004</v>
      </c>
      <c r="D4" s="24">
        <f>Preseli!D31</f>
        <v>26.919249999999998</v>
      </c>
      <c r="E4" s="24">
        <f>Preseli!E31</f>
        <v>2.3105875000000005</v>
      </c>
      <c r="F4" s="24">
        <f>Preseli!F31</f>
        <v>4.3107999999999995</v>
      </c>
      <c r="G4" s="24">
        <f>Preseli!G31</f>
        <v>0.1585</v>
      </c>
      <c r="H4" s="24">
        <f>Preseli!H31</f>
        <v>0.29750000000000004</v>
      </c>
      <c r="I4" s="24">
        <f>Preseli!I31</f>
        <v>0.12475000000000001</v>
      </c>
      <c r="J4" s="24">
        <f>Preseli!J31</f>
        <v>2.2000000000000001E-3</v>
      </c>
      <c r="K4" s="24">
        <f>Preseli!K31</f>
        <v>2E-3</v>
      </c>
      <c r="L4" s="24">
        <f>Preseli!L31</f>
        <v>0.10250000000000001</v>
      </c>
      <c r="M4" s="24">
        <f>Preseli!M31</f>
        <v>8.6499999999999994E-2</v>
      </c>
      <c r="N4" s="24">
        <f>Preseli!N31</f>
        <v>395</v>
      </c>
      <c r="O4" s="24">
        <f>Preseli!O31</f>
        <v>38.5</v>
      </c>
      <c r="P4" s="24">
        <f>Preseli!P31</f>
        <v>0</v>
      </c>
      <c r="Q4" s="24">
        <f>Preseli!Q31</f>
        <v>41.1875</v>
      </c>
      <c r="R4" s="24">
        <f>Preseli!R31</f>
        <v>0</v>
      </c>
      <c r="S4" s="24">
        <f>Preseli!S31</f>
        <v>8.6250000000000007E-2</v>
      </c>
      <c r="T4" s="24">
        <f>Preseli!T31</f>
        <v>0</v>
      </c>
      <c r="U4" s="24">
        <f>Preseli!U31</f>
        <v>0</v>
      </c>
    </row>
    <row r="5" spans="1:21" x14ac:dyDescent="0.25">
      <c r="A5" s="27">
        <v>3</v>
      </c>
      <c r="B5" s="24">
        <f>Llechryd!B31</f>
        <v>100</v>
      </c>
      <c r="C5" s="24">
        <f>Llechryd!C31</f>
        <v>29.865600000000004</v>
      </c>
      <c r="D5" s="24">
        <f>Llechryd!D31</f>
        <v>38.90805300000001</v>
      </c>
      <c r="E5" s="24">
        <f>Llechryd!E31</f>
        <v>2.1091356000000006</v>
      </c>
      <c r="F5" s="24">
        <f>Llechryd!F31</f>
        <v>4.2667966799999997</v>
      </c>
      <c r="G5" s="24">
        <f>Llechryd!G31</f>
        <v>0.15697800000000001</v>
      </c>
      <c r="H5" s="24">
        <f>Llechryd!H31</f>
        <v>0.40698000000000001</v>
      </c>
      <c r="I5" s="24">
        <f>Llechryd!I31</f>
        <v>0.124848</v>
      </c>
      <c r="J5" s="24">
        <f>Llechryd!J31</f>
        <v>2.2031999999999998E-3</v>
      </c>
      <c r="K5" s="24">
        <f>Llechryd!K31</f>
        <v>2.0196000000000003E-3</v>
      </c>
      <c r="L5" s="24">
        <f>Llechryd!L31</f>
        <v>0.10251000000000002</v>
      </c>
      <c r="M5" s="24">
        <f>Llechryd!M31</f>
        <v>8.6598000000000008E-2</v>
      </c>
      <c r="N5" s="24">
        <f>Llechryd!N31</f>
        <v>9.4248000000000012</v>
      </c>
      <c r="O5" s="24">
        <f>Llechryd!O31</f>
        <v>960.84000000000015</v>
      </c>
      <c r="P5" s="24">
        <f>Llechryd!P31</f>
        <v>0</v>
      </c>
      <c r="Q5" s="24">
        <f>Llechryd!Q31</f>
        <v>24.174000000000007</v>
      </c>
      <c r="R5" s="24">
        <f>Llechryd!R31</f>
        <v>0</v>
      </c>
      <c r="S5" s="24">
        <f>Llechryd!S31</f>
        <v>8.6292000000000008E-2</v>
      </c>
      <c r="T5" s="24">
        <f>Llechryd!T31</f>
        <v>0</v>
      </c>
      <c r="U5" s="24">
        <f>Llechryd!U31</f>
        <v>0</v>
      </c>
    </row>
    <row r="6" spans="1:21" x14ac:dyDescent="0.25">
      <c r="A6" s="27">
        <v>4</v>
      </c>
      <c r="B6" s="24">
        <f>Strata!B31</f>
        <v>100</v>
      </c>
      <c r="C6" s="24">
        <f>Strata!C31</f>
        <v>32.786000000000001</v>
      </c>
      <c r="D6" s="24">
        <f>Strata!D31</f>
        <v>26.66724</v>
      </c>
      <c r="E6" s="24">
        <f>Strata!E31</f>
        <v>2.0875661000000001</v>
      </c>
      <c r="F6" s="24">
        <f>Strata!F31</f>
        <v>1.2544428000000001</v>
      </c>
      <c r="G6" s="24">
        <f>Strata!G31</f>
        <v>0.155394</v>
      </c>
      <c r="H6" s="24">
        <f>Strata!H31</f>
        <v>0.24444000000000002</v>
      </c>
      <c r="I6" s="24">
        <f>Strata!I31</f>
        <v>0.12357800000000001</v>
      </c>
      <c r="J6" s="24">
        <f>Strata!J31</f>
        <v>2.1921999999999996E-3</v>
      </c>
      <c r="K6" s="24">
        <f>Strata!K31</f>
        <v>1.9982000000000003E-3</v>
      </c>
      <c r="L6" s="24">
        <f>Strata!L31</f>
        <v>0.10165600000000001</v>
      </c>
      <c r="M6" s="24">
        <f>Strata!M31</f>
        <v>8.5748000000000005E-2</v>
      </c>
      <c r="N6" s="24">
        <f>Strata!N31</f>
        <v>267.72000000000003</v>
      </c>
      <c r="O6" s="24">
        <f>Strata!O31</f>
        <v>47.53</v>
      </c>
      <c r="P6" s="24">
        <f>Strata!P31</f>
        <v>0</v>
      </c>
      <c r="Q6" s="24">
        <f>Strata!Q31</f>
        <v>38.799999999999997</v>
      </c>
      <c r="R6" s="24">
        <f>Strata!R31</f>
        <v>0</v>
      </c>
      <c r="S6" s="24">
        <f>Strata!S31</f>
        <v>7.643599999999999E-2</v>
      </c>
      <c r="T6" s="24">
        <f>Strata!T31</f>
        <v>0</v>
      </c>
      <c r="U6" s="24">
        <f>Strata!U31</f>
        <v>0</v>
      </c>
    </row>
    <row r="7" spans="1:21" x14ac:dyDescent="0.25">
      <c r="A7" s="27">
        <v>5</v>
      </c>
      <c r="B7" s="24">
        <f>Bontgoch!B31</f>
        <v>50</v>
      </c>
      <c r="C7" s="24">
        <f>Bontgoch!C31</f>
        <v>25.046999999999997</v>
      </c>
      <c r="D7" s="24">
        <f>Bontgoch!D31</f>
        <v>37.938959999999994</v>
      </c>
      <c r="E7" s="24">
        <f>Bontgoch!E31</f>
        <v>1.0426383000000001</v>
      </c>
      <c r="F7" s="24">
        <f>Bontgoch!F31</f>
        <v>3.3393943799999999</v>
      </c>
      <c r="G7" s="24">
        <f>Bontgoch!G31</f>
        <v>7.7418000000000001E-2</v>
      </c>
      <c r="H7" s="24">
        <f>Bontgoch!H31</f>
        <v>1.13229</v>
      </c>
      <c r="I7" s="24">
        <f>Bontgoch!I31</f>
        <v>0.21114000000000002</v>
      </c>
      <c r="J7" s="24">
        <f>Bontgoch!J31</f>
        <v>2.1942000000000003E-3</v>
      </c>
      <c r="K7" s="24">
        <f>Bontgoch!K31</f>
        <v>9.9359999999999987E-4</v>
      </c>
      <c r="L7" s="24">
        <f>Bontgoch!L31</f>
        <v>5.4441000000000003E-2</v>
      </c>
      <c r="M7" s="24">
        <f>Bontgoch!M31</f>
        <v>4.2641999999999999E-2</v>
      </c>
      <c r="N7" s="24">
        <f>Bontgoch!N31</f>
        <v>16.539300000000001</v>
      </c>
      <c r="O7" s="24">
        <f>Bontgoch!O31</f>
        <v>815.57999999999993</v>
      </c>
      <c r="P7" s="24">
        <f>Bontgoch!P31</f>
        <v>0</v>
      </c>
      <c r="Q7" s="24">
        <f>Bontgoch!Q31</f>
        <v>17.43975</v>
      </c>
      <c r="R7" s="24">
        <f>Bontgoch!R31</f>
        <v>0</v>
      </c>
      <c r="S7" s="24">
        <f>Bontgoch!S31</f>
        <v>0.125856</v>
      </c>
      <c r="T7" s="24">
        <f>Bontgoch!T31</f>
        <v>0</v>
      </c>
      <c r="U7" s="24">
        <f>Bontgoch!U31</f>
        <v>0</v>
      </c>
    </row>
    <row r="8" spans="1:21" x14ac:dyDescent="0.25">
      <c r="A8" s="27">
        <v>6</v>
      </c>
      <c r="B8" s="24">
        <f>Bryngwyn!B31</f>
        <v>100</v>
      </c>
      <c r="C8" s="24">
        <f>Bryngwyn!C31</f>
        <v>32.815999999999995</v>
      </c>
      <c r="D8" s="24">
        <f>Bryngwyn!D31</f>
        <v>26.942159999999998</v>
      </c>
      <c r="E8" s="24">
        <f>Bryngwyn!E31</f>
        <v>2.1121240000000001</v>
      </c>
      <c r="F8" s="24">
        <f>Bryngwyn!F31</f>
        <v>6.062974399999999</v>
      </c>
      <c r="G8" s="24">
        <f>Bryngwyn!G31</f>
        <v>0.15736</v>
      </c>
      <c r="H8" s="24">
        <f>Bryngwyn!H31</f>
        <v>1.0135999999999998</v>
      </c>
      <c r="I8" s="24">
        <f>Bryngwyn!I31</f>
        <v>0.21392</v>
      </c>
      <c r="J8" s="24">
        <f>Bryngwyn!J31</f>
        <v>2.2399999999999998E-3</v>
      </c>
      <c r="K8" s="24">
        <f>Bryngwyn!K31</f>
        <v>2.0159999999999996E-3</v>
      </c>
      <c r="L8" s="24">
        <f>Bryngwyn!L31</f>
        <v>0.10303999999999999</v>
      </c>
      <c r="M8" s="24">
        <f>Bryngwyn!M31</f>
        <v>0.16520000000000001</v>
      </c>
      <c r="N8" s="24">
        <f>Bryngwyn!N31</f>
        <v>16.408000000000001</v>
      </c>
      <c r="O8" s="24">
        <f>Bryngwyn!O31</f>
        <v>2351.9999999999995</v>
      </c>
      <c r="P8" s="24">
        <f>Bryngwyn!P31</f>
        <v>0</v>
      </c>
      <c r="Q8" s="24">
        <f>Bryngwyn!Q31</f>
        <v>35.97999999999999</v>
      </c>
      <c r="R8" s="24">
        <f>Bryngwyn!R31</f>
        <v>0</v>
      </c>
      <c r="S8" s="24">
        <f>Bryngwyn!S31</f>
        <v>8.6239999999999997E-2</v>
      </c>
      <c r="T8" s="24">
        <f>Bryngwyn!T31</f>
        <v>0</v>
      </c>
      <c r="U8" s="24">
        <f>Bryngwyn!U31</f>
        <v>0</v>
      </c>
    </row>
    <row r="9" spans="1:21" x14ac:dyDescent="0.25">
      <c r="A9" s="27">
        <v>7</v>
      </c>
      <c r="B9" s="24">
        <f>Capel!B31</f>
        <v>100</v>
      </c>
      <c r="C9" s="24">
        <f>Capel!C31</f>
        <v>25.769800000000004</v>
      </c>
      <c r="D9" s="24">
        <f>Capel!D31</f>
        <v>26.690149999999999</v>
      </c>
      <c r="E9" s="24">
        <f>Capel!E31</f>
        <v>2.2292741000000005</v>
      </c>
      <c r="F9" s="24">
        <f>Capel!F31</f>
        <v>8.9624847999999986</v>
      </c>
      <c r="G9" s="24">
        <f>Capel!G31</f>
        <v>0.18500200000000003</v>
      </c>
      <c r="H9" s="24">
        <f>Capel!H31</f>
        <v>0.91336000000000006</v>
      </c>
      <c r="I9" s="24">
        <f>Capel!I31</f>
        <v>0.25630000000000003</v>
      </c>
      <c r="J9" s="24">
        <f>Capel!J31</f>
        <v>2.1902000000000002E-3</v>
      </c>
      <c r="K9" s="24">
        <f>Capel!K31</f>
        <v>2.0038E-3</v>
      </c>
      <c r="L9" s="24">
        <f>Capel!L31</f>
        <v>0.101588</v>
      </c>
      <c r="M9" s="24">
        <f>Capel!M31</f>
        <v>0.17847800000000003</v>
      </c>
      <c r="N9" s="24">
        <f>Capel!N31</f>
        <v>22.088400000000004</v>
      </c>
      <c r="O9" s="24">
        <f>Capel!O31</f>
        <v>2097.0000000000005</v>
      </c>
      <c r="P9" s="24">
        <f>Capel!P31</f>
        <v>0</v>
      </c>
      <c r="Q9" s="24">
        <f>Capel!Q31</f>
        <v>27.144500000000001</v>
      </c>
      <c r="R9" s="24">
        <f>Capel!R31</f>
        <v>0</v>
      </c>
      <c r="S9" s="24">
        <f>Capel!S31</f>
        <v>0.11090800000000001</v>
      </c>
      <c r="T9" s="24">
        <f>Capel!T31</f>
        <v>0</v>
      </c>
      <c r="U9" s="24">
        <f>Capel!U31</f>
        <v>0</v>
      </c>
    </row>
    <row r="10" spans="1:21" x14ac:dyDescent="0.25">
      <c r="A10" s="27">
        <v>8</v>
      </c>
      <c r="B10" s="24">
        <f>Cray!B31</f>
        <v>100</v>
      </c>
      <c r="C10" s="24">
        <f>Cray!C31</f>
        <v>24.219000000000001</v>
      </c>
      <c r="D10" s="24">
        <f>Cray!D31</f>
        <v>26.636311499999998</v>
      </c>
      <c r="E10" s="24">
        <f>Cray!E31</f>
        <v>2.0869395000000002</v>
      </c>
      <c r="F10" s="24">
        <f>Cray!F31</f>
        <v>3.4663805999999999</v>
      </c>
      <c r="G10" s="24">
        <f>Cray!G31</f>
        <v>0.15525</v>
      </c>
      <c r="H10" s="24">
        <f>Cray!H31</f>
        <v>0.48990000000000006</v>
      </c>
      <c r="I10" s="24">
        <f>Cray!I31</f>
        <v>0.12351000000000001</v>
      </c>
      <c r="J10" s="24">
        <f>Cray!J31</f>
        <v>3.2775000000000005E-3</v>
      </c>
      <c r="K10" s="24">
        <f>Cray!K31</f>
        <v>2.0010000000000002E-3</v>
      </c>
      <c r="L10" s="24">
        <f>Cray!L31</f>
        <v>0.10143000000000001</v>
      </c>
      <c r="M10" s="24">
        <f>Cray!M31</f>
        <v>8.5560000000000025E-2</v>
      </c>
      <c r="N10" s="24">
        <f>Cray!N31</f>
        <v>9.522000000000002</v>
      </c>
      <c r="O10" s="24">
        <f>Cray!O31</f>
        <v>1535.25</v>
      </c>
      <c r="P10" s="24">
        <f>Cray!P31</f>
        <v>0</v>
      </c>
      <c r="Q10" s="24">
        <f>Cray!Q31</f>
        <v>20.009999999999998</v>
      </c>
      <c r="R10" s="24">
        <f>Cray!R31</f>
        <v>0</v>
      </c>
      <c r="S10" s="24">
        <f>Cray!S31</f>
        <v>0.19699500000000003</v>
      </c>
      <c r="T10" s="24">
        <f>Cray!T31</f>
        <v>0</v>
      </c>
      <c r="U10" s="24">
        <f>Cray!U31</f>
        <v>0</v>
      </c>
    </row>
    <row r="11" spans="1:21" x14ac:dyDescent="0.25">
      <c r="A11" s="27">
        <v>9</v>
      </c>
      <c r="B11" s="24">
        <f>Hirwaun!B31</f>
        <v>100</v>
      </c>
      <c r="C11" s="24">
        <f>Hirwaun!C31</f>
        <v>27.207400000000003</v>
      </c>
      <c r="D11" s="24">
        <f>Hirwaun!D31</f>
        <v>26.762545599999999</v>
      </c>
      <c r="E11" s="24">
        <f>Hirwaun!E31</f>
        <v>2.0970856000000002</v>
      </c>
      <c r="F11" s="24">
        <f>Hirwaun!F31</f>
        <v>2.1739695999999999</v>
      </c>
      <c r="G11" s="24">
        <f>Hirwaun!G31</f>
        <v>0.15585399999999999</v>
      </c>
      <c r="H11" s="24">
        <f>Hirwaun!H31</f>
        <v>0.40826000000000007</v>
      </c>
      <c r="I11" s="24">
        <f>Hirwaun!I31</f>
        <v>0.12396800000000002</v>
      </c>
      <c r="J11" s="24">
        <f>Hirwaun!J31</f>
        <v>2.2052E-3</v>
      </c>
      <c r="K11" s="24">
        <f>Hirwaun!K31</f>
        <v>1.9966000000000003E-3</v>
      </c>
      <c r="L11" s="24">
        <f>Hirwaun!L31</f>
        <v>0.10191600000000001</v>
      </c>
      <c r="M11" s="24">
        <f>Hirwaun!M31</f>
        <v>0.12367</v>
      </c>
      <c r="N11" s="24">
        <f>Hirwaun!N31</f>
        <v>6.8241999999999994</v>
      </c>
      <c r="O11" s="24">
        <f>Hirwaun!O31</f>
        <v>1200.94</v>
      </c>
      <c r="P11" s="24">
        <f>Hirwaun!P31</f>
        <v>0</v>
      </c>
      <c r="Q11" s="24">
        <f>Hirwaun!Q31</f>
        <v>66.528500000000008</v>
      </c>
      <c r="R11" s="24">
        <f>Hirwaun!R31</f>
        <v>0</v>
      </c>
      <c r="S11" s="24">
        <f>Hirwaun!S31</f>
        <v>0.23869799999999999</v>
      </c>
      <c r="T11" s="24">
        <f>Hirwaun!T31</f>
        <v>0</v>
      </c>
      <c r="U11" s="24">
        <f>Hirwaun!U31</f>
        <v>0</v>
      </c>
    </row>
    <row r="12" spans="1:21" x14ac:dyDescent="0.25">
      <c r="A12" s="27">
        <v>10</v>
      </c>
      <c r="B12" s="24">
        <f>Cefyn!B31</f>
        <v>100</v>
      </c>
      <c r="C12" s="24">
        <f>Cefyn!C31</f>
        <v>27.587999999999997</v>
      </c>
      <c r="D12" s="24">
        <f>Cefyn!D31</f>
        <v>26.723140400000002</v>
      </c>
      <c r="E12" s="24">
        <f>Cefyn!E31</f>
        <v>2.0937597999999999</v>
      </c>
      <c r="F12" s="24">
        <f>Cefyn!F31</f>
        <v>2.1867362000000004</v>
      </c>
      <c r="G12" s="24">
        <f>Cefyn!G31</f>
        <v>0.15560599999999999</v>
      </c>
      <c r="H12" s="24">
        <f>Cefyn!H31</f>
        <v>0.26619999999999999</v>
      </c>
      <c r="I12" s="24">
        <f>Cefyn!I31</f>
        <v>0.12366199999999999</v>
      </c>
      <c r="J12" s="24">
        <f>Cefyn!J31</f>
        <v>3.0491999999999997E-3</v>
      </c>
      <c r="K12" s="24">
        <f>Cefyn!K31</f>
        <v>1.9843999999999999E-3</v>
      </c>
      <c r="L12" s="24">
        <f>Cefyn!L31</f>
        <v>0.10188200000000001</v>
      </c>
      <c r="M12" s="24">
        <f>Cefyn!M31</f>
        <v>8.5910000000000014E-2</v>
      </c>
      <c r="N12" s="24">
        <f>Cefyn!N31</f>
        <v>401.71999999999997</v>
      </c>
      <c r="O12" s="24">
        <f>Cefyn!O31</f>
        <v>15.657399999999999</v>
      </c>
      <c r="P12" s="24">
        <f>Cefyn!P31</f>
        <v>0</v>
      </c>
      <c r="Q12" s="24">
        <f>Cefyn!Q31</f>
        <v>40.716499999999996</v>
      </c>
      <c r="R12" s="24">
        <f>Cefyn!R31</f>
        <v>0</v>
      </c>
      <c r="S12" s="24">
        <f>Cefyn!S31</f>
        <v>0.127776</v>
      </c>
      <c r="T12" s="24">
        <f>Cefyn!T31</f>
        <v>0</v>
      </c>
      <c r="U12" s="24">
        <f>Cefyn!U31</f>
        <v>0</v>
      </c>
    </row>
    <row r="13" spans="1:21" s="69" customFormat="1" ht="15.5" x14ac:dyDescent="0.35">
      <c r="A13" s="67" t="s">
        <v>85</v>
      </c>
      <c r="B13" s="68">
        <f>SUM(B3:B12)</f>
        <v>950</v>
      </c>
      <c r="C13" s="68">
        <f t="shared" ref="C13:U13" si="0">SUM(C3:C12)</f>
        <v>293.46280000000002</v>
      </c>
      <c r="D13" s="68">
        <f t="shared" si="0"/>
        <v>290.74004229999997</v>
      </c>
      <c r="E13" s="68">
        <f t="shared" si="0"/>
        <v>21.650476000000001</v>
      </c>
      <c r="F13" s="68">
        <f t="shared" si="0"/>
        <v>44.275182259999994</v>
      </c>
      <c r="G13" s="68">
        <f t="shared" si="0"/>
        <v>1.5604339999999999</v>
      </c>
      <c r="H13" s="68">
        <f t="shared" si="0"/>
        <v>5.5332500000000007</v>
      </c>
      <c r="I13" s="68">
        <f t="shared" si="0"/>
        <v>1.5485880000000001</v>
      </c>
      <c r="J13" s="68">
        <f t="shared" si="0"/>
        <v>2.3922699999999998E-2</v>
      </c>
      <c r="K13" s="68">
        <f t="shared" si="0"/>
        <v>1.8983800000000002E-2</v>
      </c>
      <c r="L13" s="68">
        <f t="shared" si="0"/>
        <v>0.97216500000000017</v>
      </c>
      <c r="M13" s="68">
        <f t="shared" si="0"/>
        <v>1.0254759999999998</v>
      </c>
      <c r="N13" s="68">
        <f t="shared" si="0"/>
        <v>1612.8466999999998</v>
      </c>
      <c r="O13" s="68">
        <f t="shared" si="0"/>
        <v>9143.4574000000011</v>
      </c>
      <c r="P13" s="68">
        <f t="shared" si="0"/>
        <v>0</v>
      </c>
      <c r="Q13" s="68">
        <f t="shared" si="0"/>
        <v>363.08275000000003</v>
      </c>
      <c r="R13" s="68">
        <f t="shared" si="0"/>
        <v>0</v>
      </c>
      <c r="S13" s="68">
        <f t="shared" si="0"/>
        <v>1.1902270000000001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Bolton'!B29</f>
        <v>Application Rate</v>
      </c>
      <c r="D1" s="26" t="str">
        <f>'Field data and Bolton'!C29</f>
        <v>Nitrogen Addition</v>
      </c>
      <c r="E1" s="26" t="str">
        <f>'Field data and Bolton'!D29</f>
        <v>Phosphate Addition</v>
      </c>
      <c r="F1" s="26" t="str">
        <f>'Field data and Bolton'!E29</f>
        <v>Potash  Addition</v>
      </c>
      <c r="G1" s="26" t="str">
        <f>'Field data and Bolton'!F29</f>
        <v>Mg Oxide Addition</v>
      </c>
      <c r="H1" s="26" t="str">
        <f>'Field data and Bolton'!G29</f>
        <v>Copper Addition</v>
      </c>
      <c r="I1" s="26" t="str">
        <f>'Field data and Bolton'!H29</f>
        <v>Zinc Addition</v>
      </c>
      <c r="J1" s="26" t="str">
        <f>'Field data and Bolton'!I29</f>
        <v>Lead Addition</v>
      </c>
      <c r="K1" s="26" t="str">
        <f>'Field data and Bolton'!J29</f>
        <v>Cadmium Addition</v>
      </c>
      <c r="L1" s="26" t="str">
        <f>'Field data and Bolton'!K29</f>
        <v>Mercury Addition</v>
      </c>
      <c r="M1" s="26" t="str">
        <f>'Field data and Bolton'!L29</f>
        <v>Nickel Addition</v>
      </c>
      <c r="N1" s="26" t="str">
        <f>'Field data and Bolton'!M29</f>
        <v>Chromium Addition</v>
      </c>
      <c r="O1" s="26" t="str">
        <f>'Field data and Bolton'!N29</f>
        <v>Aluminium Addition</v>
      </c>
      <c r="P1" s="26" t="str">
        <f>'Field data and Bolton'!O29</f>
        <v>Iron Addition</v>
      </c>
      <c r="Q1" s="26" t="str">
        <f>'Field data and Bolton'!P29</f>
        <v xml:space="preserve">Sodium Addition                 </v>
      </c>
      <c r="R1" s="26" t="str">
        <f>'Field data and Bolton'!Q29</f>
        <v>SO3  Addition                             kg/ha</v>
      </c>
      <c r="S1" s="26" t="str">
        <f>'Field data and Bolton'!R29</f>
        <v xml:space="preserve">Selenium Addition </v>
      </c>
      <c r="T1" s="26" t="str">
        <f>'Field data and Bolton'!S29</f>
        <v xml:space="preserve">Arsenic  Addition  </v>
      </c>
      <c r="U1" s="26" t="str">
        <f>'Field data and Bolton'!T29</f>
        <v xml:space="preserve">Molybdenum Addition  </v>
      </c>
      <c r="V1" s="26" t="str">
        <f>'Field data and Bolton'!U29</f>
        <v xml:space="preserve">Fluoride Addition </v>
      </c>
    </row>
    <row r="2" spans="1:22" s="70" customFormat="1" ht="25" x14ac:dyDescent="0.35">
      <c r="A2" s="175"/>
      <c r="B2" s="23" t="s">
        <v>46</v>
      </c>
      <c r="C2" s="26" t="str">
        <f>'Field data and Bolton'!B30</f>
        <v>tonnes/ha</v>
      </c>
      <c r="D2" s="26" t="str">
        <f>'Field data and Bolton'!C30</f>
        <v>kg/ha</v>
      </c>
      <c r="E2" s="26" t="str">
        <f>'Field data and Bolton'!D30</f>
        <v>P2O5 
kg/ha</v>
      </c>
      <c r="F2" s="26" t="str">
        <f>'Field data and Bolton'!E30</f>
        <v>K2O 
kg/ha</v>
      </c>
      <c r="G2" s="26" t="str">
        <f>'Field data and Bolton'!F30</f>
        <v>MgO 
kg/ha</v>
      </c>
      <c r="H2" s="26" t="str">
        <f>'Field data and Bolton'!G30</f>
        <v>kg/ha</v>
      </c>
      <c r="I2" s="26" t="str">
        <f>'Field data and Bolton'!H30</f>
        <v>kg/ha</v>
      </c>
      <c r="J2" s="26" t="str">
        <f>'Field data and Bolton'!I30</f>
        <v>kg/ha</v>
      </c>
      <c r="K2" s="26" t="str">
        <f>'Field data and Bolton'!J30</f>
        <v>kg/ha</v>
      </c>
      <c r="L2" s="26" t="str">
        <f>'Field data and Bolton'!K30</f>
        <v>kg/ha</v>
      </c>
      <c r="M2" s="26" t="str">
        <f>'Field data and Bolton'!L30</f>
        <v>kg/ha</v>
      </c>
      <c r="N2" s="26" t="str">
        <f>'Field data and Bolton'!M30</f>
        <v>kg/ha</v>
      </c>
      <c r="O2" s="26" t="str">
        <f>'Field data and Bolton'!N30</f>
        <v>kg/ha</v>
      </c>
      <c r="P2" s="26" t="str">
        <f>'Field data and Bolton'!O30</f>
        <v>kg/ha</v>
      </c>
      <c r="Q2" s="26" t="str">
        <f>'Field data and Bolton'!P30</f>
        <v>kg/ha</v>
      </c>
      <c r="R2" s="26" t="str">
        <f>'Field data and Bolton'!Q30</f>
        <v>kg/ha</v>
      </c>
      <c r="S2" s="26" t="str">
        <f>'Field data and Bolton'!R30</f>
        <v>kg/ha</v>
      </c>
      <c r="T2" s="26" t="str">
        <f>'Field data and Bolton'!S30</f>
        <v>kg/ha</v>
      </c>
      <c r="U2" s="26" t="str">
        <f>'Field data and Bolton'!T30</f>
        <v>kg/ha</v>
      </c>
      <c r="V2" s="26" t="str">
        <f>'Field data and Bolton'!U30</f>
        <v>kg/ha</v>
      </c>
    </row>
    <row r="3" spans="1:22" x14ac:dyDescent="0.25">
      <c r="A3" s="27">
        <v>1</v>
      </c>
      <c r="B3" s="78"/>
      <c r="C3" s="24">
        <f>'Field data and Bolton'!B31</f>
        <v>100</v>
      </c>
      <c r="D3" s="24">
        <f>'Field data and Bolton'!C31</f>
        <v>40.414000000000001</v>
      </c>
      <c r="E3" s="24">
        <f>'Field data and Bolton'!D31</f>
        <v>26.552231799999994</v>
      </c>
      <c r="F3" s="24">
        <f>'Field data and Bolton'!E31</f>
        <v>3.4813655000000003</v>
      </c>
      <c r="G3" s="24">
        <f>'Field data and Bolton'!F31</f>
        <v>8.2512027999999979</v>
      </c>
      <c r="H3" s="24">
        <f>'Field data and Bolton'!G31</f>
        <v>0.20307199999999997</v>
      </c>
      <c r="I3" s="24">
        <f>'Field data and Bolton'!H31</f>
        <v>0.36071999999999999</v>
      </c>
      <c r="J3" s="24">
        <f>'Field data and Bolton'!I31</f>
        <v>0.12291199999999999</v>
      </c>
      <c r="K3" s="24">
        <f>'Field data and Bolton'!J31</f>
        <v>2.1710000000000002E-3</v>
      </c>
      <c r="L3" s="24">
        <f>'Field data and Bolton'!K31</f>
        <v>1.9705999999999999E-3</v>
      </c>
      <c r="M3" s="24">
        <f>'Field data and Bolton'!L31</f>
        <v>0.101202</v>
      </c>
      <c r="N3" s="24">
        <f>'Field data and Bolton'!M31</f>
        <v>8.517000000000001E-2</v>
      </c>
      <c r="O3" s="24">
        <f>'Field data and Bolton'!N31</f>
        <v>467.6</v>
      </c>
      <c r="P3" s="24">
        <f>'Field data and Bolton'!O31</f>
        <v>80.16</v>
      </c>
      <c r="Q3" s="24">
        <f>'Field data and Bolton'!P31</f>
        <v>0</v>
      </c>
      <c r="R3" s="24">
        <f>'Field data and Bolton'!Q31</f>
        <v>51.101999999999997</v>
      </c>
      <c r="S3" s="24">
        <f>'Field data and Bolton'!R31</f>
        <v>0</v>
      </c>
      <c r="T3" s="24">
        <f>'Field data and Bolton'!S31</f>
        <v>5.4775999999999991E-2</v>
      </c>
      <c r="U3" s="24">
        <f>'Field data and Bolton'!T31</f>
        <v>0</v>
      </c>
      <c r="V3" s="24">
        <f>'Field data and Bolton'!U31</f>
        <v>0</v>
      </c>
    </row>
    <row r="4" spans="1:22" x14ac:dyDescent="0.25">
      <c r="A4" s="27">
        <v>2</v>
      </c>
      <c r="B4" s="78"/>
      <c r="C4" s="24">
        <f>Preseli!B31</f>
        <v>100</v>
      </c>
      <c r="D4" s="24">
        <f>Preseli!C31</f>
        <v>27.750000000000004</v>
      </c>
      <c r="E4" s="24">
        <f>Preseli!D31</f>
        <v>26.919249999999998</v>
      </c>
      <c r="F4" s="24">
        <f>Preseli!E31</f>
        <v>2.3105875000000005</v>
      </c>
      <c r="G4" s="24">
        <f>Preseli!F31</f>
        <v>4.3107999999999995</v>
      </c>
      <c r="H4" s="24">
        <f>Preseli!G31</f>
        <v>0.1585</v>
      </c>
      <c r="I4" s="24">
        <f>Preseli!H31</f>
        <v>0.29750000000000004</v>
      </c>
      <c r="J4" s="24">
        <f>Preseli!I31</f>
        <v>0.12475000000000001</v>
      </c>
      <c r="K4" s="24">
        <f>Preseli!J31</f>
        <v>2.2000000000000001E-3</v>
      </c>
      <c r="L4" s="24">
        <f>Preseli!K31</f>
        <v>2E-3</v>
      </c>
      <c r="M4" s="24">
        <f>Preseli!L31</f>
        <v>0.10250000000000001</v>
      </c>
      <c r="N4" s="24">
        <f>Preseli!M31</f>
        <v>8.6499999999999994E-2</v>
      </c>
      <c r="O4" s="24">
        <f>Preseli!N31</f>
        <v>395</v>
      </c>
      <c r="P4" s="24">
        <f>Preseli!O31</f>
        <v>38.5</v>
      </c>
      <c r="Q4" s="24">
        <f>Preseli!P31</f>
        <v>0</v>
      </c>
      <c r="R4" s="24">
        <f>Preseli!Q31</f>
        <v>41.1875</v>
      </c>
      <c r="S4" s="24">
        <f>Preseli!R31</f>
        <v>0</v>
      </c>
      <c r="T4" s="24">
        <f>Preseli!S31</f>
        <v>8.6250000000000007E-2</v>
      </c>
      <c r="U4" s="24">
        <f>Preseli!T31</f>
        <v>0</v>
      </c>
      <c r="V4" s="24">
        <f>Preseli!U31</f>
        <v>0</v>
      </c>
    </row>
    <row r="5" spans="1:22" x14ac:dyDescent="0.25">
      <c r="A5" s="27">
        <v>3</v>
      </c>
      <c r="B5" s="78"/>
      <c r="C5" s="24">
        <f>Llechryd!B31</f>
        <v>100</v>
      </c>
      <c r="D5" s="24">
        <f>Llechryd!C31</f>
        <v>29.865600000000004</v>
      </c>
      <c r="E5" s="24">
        <f>Llechryd!D31</f>
        <v>38.90805300000001</v>
      </c>
      <c r="F5" s="24">
        <f>Llechryd!E31</f>
        <v>2.1091356000000006</v>
      </c>
      <c r="G5" s="24">
        <f>Llechryd!F31</f>
        <v>4.2667966799999997</v>
      </c>
      <c r="H5" s="24">
        <f>Llechryd!G31</f>
        <v>0.15697800000000001</v>
      </c>
      <c r="I5" s="24">
        <f>Llechryd!H31</f>
        <v>0.40698000000000001</v>
      </c>
      <c r="J5" s="24">
        <f>Llechryd!I31</f>
        <v>0.124848</v>
      </c>
      <c r="K5" s="24">
        <f>Llechryd!J31</f>
        <v>2.2031999999999998E-3</v>
      </c>
      <c r="L5" s="24">
        <f>Llechryd!K31</f>
        <v>2.0196000000000003E-3</v>
      </c>
      <c r="M5" s="24">
        <f>Llechryd!L31</f>
        <v>0.10251000000000002</v>
      </c>
      <c r="N5" s="24">
        <f>Llechryd!M31</f>
        <v>8.6598000000000008E-2</v>
      </c>
      <c r="O5" s="24">
        <f>Llechryd!N31</f>
        <v>9.4248000000000012</v>
      </c>
      <c r="P5" s="24">
        <f>Llechryd!O31</f>
        <v>960.84000000000015</v>
      </c>
      <c r="Q5" s="24">
        <f>Llechryd!P31</f>
        <v>0</v>
      </c>
      <c r="R5" s="24">
        <f>Llechryd!Q31</f>
        <v>24.174000000000007</v>
      </c>
      <c r="S5" s="24">
        <f>Llechryd!R31</f>
        <v>0</v>
      </c>
      <c r="T5" s="24">
        <f>Llechryd!S31</f>
        <v>8.6292000000000008E-2</v>
      </c>
      <c r="U5" s="24">
        <f>Llechryd!T31</f>
        <v>0</v>
      </c>
      <c r="V5" s="24">
        <f>Llechryd!U31</f>
        <v>0</v>
      </c>
    </row>
    <row r="6" spans="1:22" x14ac:dyDescent="0.25">
      <c r="A6" s="27">
        <v>4</v>
      </c>
      <c r="B6" s="78"/>
      <c r="C6" s="24">
        <f>Strata!B31</f>
        <v>100</v>
      </c>
      <c r="D6" s="24">
        <f>Strata!C31</f>
        <v>32.786000000000001</v>
      </c>
      <c r="E6" s="24">
        <f>Strata!D31</f>
        <v>26.66724</v>
      </c>
      <c r="F6" s="24">
        <f>Strata!E31</f>
        <v>2.0875661000000001</v>
      </c>
      <c r="G6" s="24">
        <f>Strata!F31</f>
        <v>1.2544428000000001</v>
      </c>
      <c r="H6" s="24">
        <f>Strata!G31</f>
        <v>0.155394</v>
      </c>
      <c r="I6" s="24">
        <f>Strata!H31</f>
        <v>0.24444000000000002</v>
      </c>
      <c r="J6" s="24">
        <f>Strata!I31</f>
        <v>0.12357800000000001</v>
      </c>
      <c r="K6" s="24">
        <f>Strata!J31</f>
        <v>2.1921999999999996E-3</v>
      </c>
      <c r="L6" s="24">
        <f>Strata!K31</f>
        <v>1.9982000000000003E-3</v>
      </c>
      <c r="M6" s="24">
        <f>Strata!L31</f>
        <v>0.10165600000000001</v>
      </c>
      <c r="N6" s="24">
        <f>Strata!M31</f>
        <v>8.5748000000000005E-2</v>
      </c>
      <c r="O6" s="24">
        <f>Strata!N31</f>
        <v>267.72000000000003</v>
      </c>
      <c r="P6" s="24">
        <f>Strata!O31</f>
        <v>47.53</v>
      </c>
      <c r="Q6" s="24">
        <f>Strata!P31</f>
        <v>0</v>
      </c>
      <c r="R6" s="24">
        <f>Strata!Q31</f>
        <v>38.799999999999997</v>
      </c>
      <c r="S6" s="24">
        <f>Strata!R31</f>
        <v>0</v>
      </c>
      <c r="T6" s="24">
        <f>Strata!S31</f>
        <v>7.643599999999999E-2</v>
      </c>
      <c r="U6" s="24">
        <f>Strata!T31</f>
        <v>0</v>
      </c>
      <c r="V6" s="24">
        <f>Strata!U31</f>
        <v>0</v>
      </c>
    </row>
    <row r="7" spans="1:22" x14ac:dyDescent="0.25">
      <c r="A7" s="27">
        <v>5</v>
      </c>
      <c r="B7" s="78"/>
      <c r="C7" s="24">
        <f>Bontgoch!B31</f>
        <v>50</v>
      </c>
      <c r="D7" s="24">
        <f>Bontgoch!C31</f>
        <v>25.046999999999997</v>
      </c>
      <c r="E7" s="24">
        <f>Bontgoch!D31</f>
        <v>37.938959999999994</v>
      </c>
      <c r="F7" s="24">
        <f>Bontgoch!E31</f>
        <v>1.0426383000000001</v>
      </c>
      <c r="G7" s="24">
        <f>Bontgoch!F31</f>
        <v>3.3393943799999999</v>
      </c>
      <c r="H7" s="24">
        <f>Bontgoch!G31</f>
        <v>7.7418000000000001E-2</v>
      </c>
      <c r="I7" s="24">
        <f>Bontgoch!H31</f>
        <v>1.13229</v>
      </c>
      <c r="J7" s="24">
        <f>Bontgoch!I31</f>
        <v>0.21114000000000002</v>
      </c>
      <c r="K7" s="24">
        <f>Bontgoch!J31</f>
        <v>2.1942000000000003E-3</v>
      </c>
      <c r="L7" s="24">
        <f>Bontgoch!K31</f>
        <v>9.9359999999999987E-4</v>
      </c>
      <c r="M7" s="24">
        <f>Bontgoch!L31</f>
        <v>5.4441000000000003E-2</v>
      </c>
      <c r="N7" s="24">
        <f>Bontgoch!M31</f>
        <v>4.2641999999999999E-2</v>
      </c>
      <c r="O7" s="24">
        <f>Bontgoch!N31</f>
        <v>16.539300000000001</v>
      </c>
      <c r="P7" s="24">
        <f>Bontgoch!O31</f>
        <v>815.57999999999993</v>
      </c>
      <c r="Q7" s="24">
        <f>Bontgoch!P31</f>
        <v>0</v>
      </c>
      <c r="R7" s="24">
        <f>Bontgoch!Q31</f>
        <v>17.43975</v>
      </c>
      <c r="S7" s="24">
        <f>Bontgoch!R31</f>
        <v>0</v>
      </c>
      <c r="T7" s="24">
        <f>Bontgoch!S31</f>
        <v>0.125856</v>
      </c>
      <c r="U7" s="24">
        <f>Bontgoch!T31</f>
        <v>0</v>
      </c>
      <c r="V7" s="24">
        <f>Bontgoch!U31</f>
        <v>0</v>
      </c>
    </row>
    <row r="8" spans="1:22" x14ac:dyDescent="0.25">
      <c r="A8" s="27">
        <v>6</v>
      </c>
      <c r="B8" s="78"/>
      <c r="C8" s="24">
        <f>Bryngwyn!B31</f>
        <v>100</v>
      </c>
      <c r="D8" s="24">
        <f>Bryngwyn!C31</f>
        <v>32.815999999999995</v>
      </c>
      <c r="E8" s="24">
        <f>Bryngwyn!D31</f>
        <v>26.942159999999998</v>
      </c>
      <c r="F8" s="24">
        <f>Bryngwyn!E31</f>
        <v>2.1121240000000001</v>
      </c>
      <c r="G8" s="24">
        <f>Bryngwyn!F31</f>
        <v>6.062974399999999</v>
      </c>
      <c r="H8" s="24">
        <f>Bryngwyn!G31</f>
        <v>0.15736</v>
      </c>
      <c r="I8" s="24">
        <f>Bryngwyn!H31</f>
        <v>1.0135999999999998</v>
      </c>
      <c r="J8" s="24">
        <f>Bryngwyn!I31</f>
        <v>0.21392</v>
      </c>
      <c r="K8" s="24">
        <f>Bryngwyn!J31</f>
        <v>2.2399999999999998E-3</v>
      </c>
      <c r="L8" s="24">
        <f>Bryngwyn!K31</f>
        <v>2.0159999999999996E-3</v>
      </c>
      <c r="M8" s="24">
        <f>Bryngwyn!L31</f>
        <v>0.10303999999999999</v>
      </c>
      <c r="N8" s="24">
        <f>Bryngwyn!M31</f>
        <v>0.16520000000000001</v>
      </c>
      <c r="O8" s="24">
        <f>Bryngwyn!N31</f>
        <v>16.408000000000001</v>
      </c>
      <c r="P8" s="24">
        <f>Bryngwyn!O31</f>
        <v>2351.9999999999995</v>
      </c>
      <c r="Q8" s="24">
        <f>Bryngwyn!P31</f>
        <v>0</v>
      </c>
      <c r="R8" s="24">
        <f>Bryngwyn!Q31</f>
        <v>35.97999999999999</v>
      </c>
      <c r="S8" s="24">
        <f>Bryngwyn!R31</f>
        <v>0</v>
      </c>
      <c r="T8" s="24">
        <f>Bryngwyn!S31</f>
        <v>8.6239999999999997E-2</v>
      </c>
      <c r="U8" s="24">
        <f>Bryngwyn!T31</f>
        <v>0</v>
      </c>
      <c r="V8" s="24">
        <f>Bryngwyn!U31</f>
        <v>0</v>
      </c>
    </row>
    <row r="9" spans="1:22" x14ac:dyDescent="0.25">
      <c r="A9" s="27">
        <v>7</v>
      </c>
      <c r="B9" s="78"/>
      <c r="C9" s="24">
        <f>Capel!B31</f>
        <v>100</v>
      </c>
      <c r="D9" s="24">
        <f>Capel!C31</f>
        <v>25.769800000000004</v>
      </c>
      <c r="E9" s="24">
        <f>Capel!D31</f>
        <v>26.690149999999999</v>
      </c>
      <c r="F9" s="24">
        <f>Capel!E31</f>
        <v>2.2292741000000005</v>
      </c>
      <c r="G9" s="24">
        <f>Capel!F31</f>
        <v>8.9624847999999986</v>
      </c>
      <c r="H9" s="24">
        <f>Capel!G31</f>
        <v>0.18500200000000003</v>
      </c>
      <c r="I9" s="24">
        <f>Capel!H31</f>
        <v>0.91336000000000006</v>
      </c>
      <c r="J9" s="24">
        <f>Capel!I31</f>
        <v>0.25630000000000003</v>
      </c>
      <c r="K9" s="24">
        <f>Capel!J31</f>
        <v>2.1902000000000002E-3</v>
      </c>
      <c r="L9" s="24">
        <f>Capel!K31</f>
        <v>2.0038E-3</v>
      </c>
      <c r="M9" s="24">
        <f>Capel!L31</f>
        <v>0.101588</v>
      </c>
      <c r="N9" s="24">
        <f>Capel!M31</f>
        <v>0.17847800000000003</v>
      </c>
      <c r="O9" s="24">
        <f>Capel!N31</f>
        <v>22.088400000000004</v>
      </c>
      <c r="P9" s="24">
        <f>Capel!O31</f>
        <v>2097.0000000000005</v>
      </c>
      <c r="Q9" s="24">
        <f>Capel!P31</f>
        <v>0</v>
      </c>
      <c r="R9" s="24">
        <f>Capel!Q31</f>
        <v>27.144500000000001</v>
      </c>
      <c r="S9" s="24">
        <f>Capel!R31</f>
        <v>0</v>
      </c>
      <c r="T9" s="24">
        <f>Capel!S31</f>
        <v>0.11090800000000001</v>
      </c>
      <c r="U9" s="24">
        <f>Capel!T31</f>
        <v>0</v>
      </c>
      <c r="V9" s="24">
        <f>Capel!U31</f>
        <v>0</v>
      </c>
    </row>
    <row r="10" spans="1:22" x14ac:dyDescent="0.25">
      <c r="A10" s="27">
        <v>8</v>
      </c>
      <c r="B10" s="78"/>
      <c r="C10" s="24">
        <f>Cray!B31</f>
        <v>100</v>
      </c>
      <c r="D10" s="24">
        <f>Cray!C31</f>
        <v>24.219000000000001</v>
      </c>
      <c r="E10" s="24">
        <f>Cray!D31</f>
        <v>26.636311499999998</v>
      </c>
      <c r="F10" s="24">
        <f>Cray!E31</f>
        <v>2.0869395000000002</v>
      </c>
      <c r="G10" s="24">
        <f>Cray!F31</f>
        <v>3.4663805999999999</v>
      </c>
      <c r="H10" s="24">
        <f>Cray!G31</f>
        <v>0.15525</v>
      </c>
      <c r="I10" s="24">
        <f>Cray!H31</f>
        <v>0.48990000000000006</v>
      </c>
      <c r="J10" s="24">
        <f>Cray!I31</f>
        <v>0.12351000000000001</v>
      </c>
      <c r="K10" s="24">
        <f>Cray!J31</f>
        <v>3.2775000000000005E-3</v>
      </c>
      <c r="L10" s="24">
        <f>Cray!K31</f>
        <v>2.0010000000000002E-3</v>
      </c>
      <c r="M10" s="24">
        <f>Cray!L31</f>
        <v>0.10143000000000001</v>
      </c>
      <c r="N10" s="24">
        <f>Cray!M31</f>
        <v>8.5560000000000025E-2</v>
      </c>
      <c r="O10" s="24">
        <f>Cray!N31</f>
        <v>9.522000000000002</v>
      </c>
      <c r="P10" s="24">
        <f>Cray!O31</f>
        <v>1535.25</v>
      </c>
      <c r="Q10" s="24">
        <f>Cray!P31</f>
        <v>0</v>
      </c>
      <c r="R10" s="24">
        <f>Cray!Q31</f>
        <v>20.009999999999998</v>
      </c>
      <c r="S10" s="24">
        <f>Cray!R31</f>
        <v>0</v>
      </c>
      <c r="T10" s="24">
        <f>Cray!S31</f>
        <v>0.19699500000000003</v>
      </c>
      <c r="U10" s="24">
        <f>Cray!T31</f>
        <v>0</v>
      </c>
      <c r="V10" s="24">
        <f>Cray!U31</f>
        <v>0</v>
      </c>
    </row>
    <row r="11" spans="1:22" x14ac:dyDescent="0.25">
      <c r="A11" s="27">
        <v>9</v>
      </c>
      <c r="B11" s="78"/>
      <c r="C11" s="24">
        <f>Hirwaun!B31</f>
        <v>100</v>
      </c>
      <c r="D11" s="24">
        <f>Hirwaun!C31</f>
        <v>27.207400000000003</v>
      </c>
      <c r="E11" s="24">
        <f>Hirwaun!D31</f>
        <v>26.762545599999999</v>
      </c>
      <c r="F11" s="24">
        <f>Hirwaun!E31</f>
        <v>2.0970856000000002</v>
      </c>
      <c r="G11" s="24">
        <f>Hirwaun!F31</f>
        <v>2.1739695999999999</v>
      </c>
      <c r="H11" s="24">
        <f>Hirwaun!G31</f>
        <v>0.15585399999999999</v>
      </c>
      <c r="I11" s="24">
        <f>Hirwaun!H31</f>
        <v>0.40826000000000007</v>
      </c>
      <c r="J11" s="24">
        <f>Hirwaun!I31</f>
        <v>0.12396800000000002</v>
      </c>
      <c r="K11" s="24">
        <f>Hirwaun!J31</f>
        <v>2.2052E-3</v>
      </c>
      <c r="L11" s="24">
        <f>Hirwaun!K31</f>
        <v>1.9966000000000003E-3</v>
      </c>
      <c r="M11" s="24">
        <f>Hirwaun!L31</f>
        <v>0.10191600000000001</v>
      </c>
      <c r="N11" s="24">
        <f>Hirwaun!M31</f>
        <v>0.12367</v>
      </c>
      <c r="O11" s="24">
        <f>Hirwaun!N31</f>
        <v>6.8241999999999994</v>
      </c>
      <c r="P11" s="24">
        <f>Hirwaun!O31</f>
        <v>1200.94</v>
      </c>
      <c r="Q11" s="24">
        <f>Hirwaun!P31</f>
        <v>0</v>
      </c>
      <c r="R11" s="24">
        <f>Hirwaun!Q31</f>
        <v>66.528500000000008</v>
      </c>
      <c r="S11" s="24">
        <f>Hirwaun!R31</f>
        <v>0</v>
      </c>
      <c r="T11" s="24">
        <f>Hirwaun!S31</f>
        <v>0.23869799999999999</v>
      </c>
      <c r="U11" s="24">
        <f>Hirwaun!T31</f>
        <v>0</v>
      </c>
      <c r="V11" s="24">
        <f>Hirwaun!U31</f>
        <v>0</v>
      </c>
    </row>
    <row r="12" spans="1:22" x14ac:dyDescent="0.25">
      <c r="A12" s="27">
        <v>10</v>
      </c>
      <c r="B12" s="78"/>
      <c r="C12" s="24">
        <f>Cefyn!B31</f>
        <v>100</v>
      </c>
      <c r="D12" s="24">
        <f>Cefyn!C31</f>
        <v>27.587999999999997</v>
      </c>
      <c r="E12" s="24">
        <f>Cefyn!D31</f>
        <v>26.723140400000002</v>
      </c>
      <c r="F12" s="24">
        <f>Cefyn!E31</f>
        <v>2.0937597999999999</v>
      </c>
      <c r="G12" s="24">
        <f>Cefyn!F31</f>
        <v>2.1867362000000004</v>
      </c>
      <c r="H12" s="24">
        <f>Cefyn!G31</f>
        <v>0.15560599999999999</v>
      </c>
      <c r="I12" s="24">
        <f>Cefyn!H31</f>
        <v>0.26619999999999999</v>
      </c>
      <c r="J12" s="24">
        <f>Cefyn!I31</f>
        <v>0.12366199999999999</v>
      </c>
      <c r="K12" s="24">
        <f>Cefyn!J31</f>
        <v>3.0491999999999997E-3</v>
      </c>
      <c r="L12" s="24">
        <f>Cefyn!K31</f>
        <v>1.9843999999999999E-3</v>
      </c>
      <c r="M12" s="24">
        <f>Cefyn!L31</f>
        <v>0.10188200000000001</v>
      </c>
      <c r="N12" s="24">
        <f>Cefyn!M31</f>
        <v>8.5910000000000014E-2</v>
      </c>
      <c r="O12" s="24">
        <f>Cefyn!N31</f>
        <v>401.71999999999997</v>
      </c>
      <c r="P12" s="24">
        <f>Cefyn!O31</f>
        <v>15.657399999999999</v>
      </c>
      <c r="Q12" s="24">
        <f>Cefyn!P31</f>
        <v>0</v>
      </c>
      <c r="R12" s="24">
        <f>Cefyn!Q31</f>
        <v>40.716499999999996</v>
      </c>
      <c r="S12" s="24">
        <f>Cefyn!R31</f>
        <v>0</v>
      </c>
      <c r="T12" s="24">
        <f>Cefyn!S31</f>
        <v>0.127776</v>
      </c>
      <c r="U12" s="24">
        <f>Cefyn!T31</f>
        <v>0</v>
      </c>
      <c r="V12" s="24">
        <f>Cefyn!U31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Bolton'!B43</f>
        <v>100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Bolton'!B44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100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100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100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100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100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100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REGU-1650478595-287</_dlc_DocId>
    <_dlc_DocIdUrl xmlns="9be56660-2c31-41ef-bc00-23e72f632f2a">
      <Url>https://cyfoethnaturiolcymru.sharepoint.com/teams/Regulatory/Permitting/_layouts/15/DocIdRedir.aspx?ID=REGU-1650478595-287</Url>
      <Description>REGU-1650478595-287</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2026-03-18T00:00:00+00:00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7c4df8281e9825d5970599ed7939b16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purl.org/dc/elements/1.1/"/>
    <ds:schemaRef ds:uri="http://purl.org/dc/dcmitype/"/>
    <ds:schemaRef ds:uri="http://schemas.microsoft.com/office/2006/documentManagement/types"/>
    <ds:schemaRef ds:uri="http://schemas.microsoft.com/office/infopath/2007/PartnerControls"/>
    <ds:schemaRef ds:uri="9be56660-2c31-41ef-bc00-23e72f632f2a"/>
    <ds:schemaRef ds:uri="http://purl.org/dc/term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88C4D6CE-AB2B-4D49-BC6C-9E5BB7E45119}"/>
</file>

<file path=customXml/itemProps5.xml><?xml version="1.0" encoding="utf-8"?>
<ds:datastoreItem xmlns:ds="http://schemas.openxmlformats.org/officeDocument/2006/customXml" ds:itemID="{BD73B576-364C-4C12-977C-1641D336822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Bolton</vt:lpstr>
      <vt:lpstr>Preseli</vt:lpstr>
      <vt:lpstr>Llechryd</vt:lpstr>
      <vt:lpstr>Strata</vt:lpstr>
      <vt:lpstr>Bontgoch</vt:lpstr>
      <vt:lpstr>Bryngwyn</vt:lpstr>
      <vt:lpstr>Capel</vt:lpstr>
      <vt:lpstr>Cray</vt:lpstr>
      <vt:lpstr>Hirwaun</vt:lpstr>
      <vt:lpstr>Cefyn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2026-03-18T16:50:18Z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b8c837b4-39a8-4116-b0cb-1267508c8065</vt:lpwstr>
  </property>
</Properties>
</file>