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866E7493-F2E1-42C3-B67F-CBAAAB5095C4}" xr6:coauthVersionLast="47" xr6:coauthVersionMax="47" xr10:uidLastSave="{00000000-0000-0000-0000-000000000000}"/>
  <bookViews>
    <workbookView xWindow="-120" yWindow="-120" windowWidth="29040" windowHeight="15720" tabRatio="870" xr2:uid="{00000000-000D-0000-FFFF-FFFF00000000}"/>
  </bookViews>
  <sheets>
    <sheet name="PONTSTICILL sludge cake" sheetId="1" r:id="rId1"/>
    <sheet name="PONTSTICILL sludge" sheetId="21"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 name="Sheet1" sheetId="31"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31" l="1"/>
  <c r="A12" i="31"/>
  <c r="A5" i="31"/>
  <c r="B4" i="31"/>
  <c r="A4" i="31"/>
  <c r="A6" i="31" s="1"/>
  <c r="B5" i="31" l="1"/>
  <c r="B6" i="31" s="1"/>
  <c r="L3" i="22" l="1"/>
  <c r="L3" i="23"/>
  <c r="L3" i="29"/>
  <c r="L3" i="24"/>
  <c r="L3" i="26"/>
  <c r="L3" i="30"/>
  <c r="L3" i="28"/>
  <c r="L3" i="27"/>
  <c r="L3" i="21"/>
  <c r="L3" i="1"/>
  <c r="G65" i="1" l="1"/>
  <c r="H65" i="1"/>
  <c r="I65" i="1"/>
  <c r="J65" i="1"/>
  <c r="K65" i="1"/>
  <c r="L65" i="1"/>
  <c r="N65" i="1"/>
  <c r="P65" i="1"/>
  <c r="Q65" i="1"/>
  <c r="R65" i="1"/>
  <c r="S65" i="1"/>
  <c r="T65" i="1"/>
  <c r="U65" i="1"/>
  <c r="G65" i="21"/>
  <c r="H65" i="21"/>
  <c r="I65" i="21"/>
  <c r="J65" i="21"/>
  <c r="K65" i="21"/>
  <c r="L65" i="21"/>
  <c r="N65" i="21"/>
  <c r="P65" i="21"/>
  <c r="Q65" i="21"/>
  <c r="R65" i="21"/>
  <c r="S65" i="21"/>
  <c r="T65" i="21"/>
  <c r="U65" i="21"/>
  <c r="G65" i="27"/>
  <c r="H65" i="27"/>
  <c r="I65" i="27"/>
  <c r="J65" i="27"/>
  <c r="K65" i="27"/>
  <c r="L65" i="27"/>
  <c r="N65" i="27"/>
  <c r="P65" i="27"/>
  <c r="Q65" i="27"/>
  <c r="R65" i="27"/>
  <c r="S65" i="27"/>
  <c r="T65" i="27"/>
  <c r="U65" i="27"/>
  <c r="G65" i="28"/>
  <c r="H65" i="28"/>
  <c r="I65" i="28"/>
  <c r="J65" i="28"/>
  <c r="K65" i="28"/>
  <c r="L65" i="28"/>
  <c r="N65" i="28"/>
  <c r="P65" i="28"/>
  <c r="Q65" i="28"/>
  <c r="R65" i="28"/>
  <c r="S65" i="28"/>
  <c r="T65" i="28"/>
  <c r="U65" i="28"/>
  <c r="G65" i="30"/>
  <c r="H65" i="30"/>
  <c r="I65" i="30"/>
  <c r="J65" i="30"/>
  <c r="K65" i="30"/>
  <c r="L65" i="30"/>
  <c r="N65" i="30"/>
  <c r="P65" i="30"/>
  <c r="Q65" i="30"/>
  <c r="R65" i="30"/>
  <c r="S65" i="30"/>
  <c r="T65" i="30"/>
  <c r="U65" i="30"/>
  <c r="G65" i="26"/>
  <c r="H65" i="26"/>
  <c r="I65" i="26"/>
  <c r="J65" i="26"/>
  <c r="K65" i="26"/>
  <c r="L65" i="26"/>
  <c r="N65" i="26"/>
  <c r="P65" i="26"/>
  <c r="Q65" i="26"/>
  <c r="R65" i="26"/>
  <c r="S65" i="26"/>
  <c r="T65" i="26"/>
  <c r="U65" i="26"/>
  <c r="G65" i="24"/>
  <c r="H65" i="24"/>
  <c r="I65" i="24"/>
  <c r="J65" i="24"/>
  <c r="K65" i="24"/>
  <c r="L65" i="24"/>
  <c r="N65" i="24"/>
  <c r="P65" i="24"/>
  <c r="Q65" i="24"/>
  <c r="R65" i="24"/>
  <c r="S65" i="24"/>
  <c r="T65" i="24"/>
  <c r="U65" i="24"/>
  <c r="G65" i="29"/>
  <c r="H65" i="29"/>
  <c r="I65" i="29"/>
  <c r="J65" i="29"/>
  <c r="K65" i="29"/>
  <c r="L65" i="29"/>
  <c r="N65" i="29"/>
  <c r="P65" i="29"/>
  <c r="Q65" i="29"/>
  <c r="R65" i="29"/>
  <c r="S65" i="29"/>
  <c r="T65" i="29"/>
  <c r="U65" i="29"/>
  <c r="G65" i="23"/>
  <c r="H65" i="23"/>
  <c r="I65" i="23"/>
  <c r="J65" i="23"/>
  <c r="K65" i="23"/>
  <c r="L65" i="23"/>
  <c r="N65" i="23"/>
  <c r="P65" i="23"/>
  <c r="Q65" i="23"/>
  <c r="R65" i="23"/>
  <c r="S65" i="23"/>
  <c r="T65" i="23"/>
  <c r="U65" i="23"/>
  <c r="G65" i="22"/>
  <c r="H65" i="22"/>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F23" i="28" s="1"/>
  <c r="M59" i="28"/>
  <c r="N17" i="28"/>
  <c r="N19" i="28" s="1"/>
  <c r="N21" i="28"/>
  <c r="N23" i="28" s="1"/>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F23" i="29" s="1"/>
  <c r="M59" i="29"/>
  <c r="N17" i="29"/>
  <c r="N21" i="29"/>
  <c r="N23" i="29" s="1"/>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S58" i="21"/>
  <c r="S61" i="21" s="1"/>
  <c r="C58" i="21"/>
  <c r="C61" i="21" s="1"/>
  <c r="C64" i="21" s="1"/>
  <c r="G23" i="22"/>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P58" i="22"/>
  <c r="P61" i="22" s="1"/>
  <c r="P64" i="22" s="1"/>
  <c r="F59" i="22"/>
  <c r="K58" i="29"/>
  <c r="K61" i="29" s="1"/>
  <c r="F19" i="23"/>
  <c r="I58" i="23"/>
  <c r="I61" i="23" s="1"/>
  <c r="I64" i="23" s="1"/>
  <c r="Q58" i="23"/>
  <c r="Q61" i="23" s="1"/>
  <c r="L58" i="29"/>
  <c r="L61" i="29" s="1"/>
  <c r="T58" i="29"/>
  <c r="T61" i="29" s="1"/>
  <c r="T64" i="29" s="1"/>
  <c r="I23" i="30"/>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J19" i="27"/>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M58" i="22"/>
  <c r="M61"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G23" i="30"/>
  <c r="R19" i="30"/>
  <c r="F63" i="30"/>
  <c r="N63" i="30"/>
  <c r="K19" i="30"/>
  <c r="S19" i="30"/>
  <c r="S23" i="30"/>
  <c r="A31" i="30"/>
  <c r="A33" i="30"/>
  <c r="A39" i="30"/>
  <c r="A41" i="30"/>
  <c r="A47" i="30"/>
  <c r="A49" i="30"/>
  <c r="G57" i="30"/>
  <c r="O57" i="30"/>
  <c r="G59" i="30"/>
  <c r="G64" i="30" s="1"/>
  <c r="O59" i="30"/>
  <c r="G63" i="30"/>
  <c r="O63" i="30"/>
  <c r="P63" i="30"/>
  <c r="I63" i="30"/>
  <c r="Q63" i="30"/>
  <c r="T19" i="30"/>
  <c r="E19" i="30"/>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B63" i="29"/>
  <c r="J63" i="29"/>
  <c r="R63" i="29"/>
  <c r="L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H64" i="26"/>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M64" i="22" l="1"/>
  <c r="M65" i="22" s="1"/>
  <c r="E64" i="27"/>
  <c r="E65" i="27" s="1"/>
  <c r="E64" i="22"/>
  <c r="E65" i="22" s="1"/>
  <c r="D64" i="27"/>
  <c r="D65" i="27" s="1"/>
  <c r="C64" i="29"/>
  <c r="C65" i="29" s="1"/>
  <c r="M66" i="26"/>
  <c r="M65" i="26"/>
  <c r="F64" i="26"/>
  <c r="O64" i="21"/>
  <c r="O65" i="21" s="1"/>
  <c r="F66" i="26"/>
  <c r="F65" i="26"/>
  <c r="D65" i="21"/>
  <c r="C65" i="21"/>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G66" i="21" s="1"/>
  <c r="S64" i="21"/>
  <c r="S66" i="21" s="1"/>
  <c r="E64" i="21"/>
  <c r="E66" i="21" s="1"/>
  <c r="F64" i="21"/>
  <c r="F66" i="21" s="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G66" i="28" s="1"/>
  <c r="P64" i="26"/>
  <c r="E64" i="28"/>
  <c r="N64" i="23"/>
  <c r="J64" i="26"/>
  <c r="B64" i="23"/>
  <c r="M64" i="27"/>
  <c r="H64" i="27"/>
  <c r="H66" i="27" s="1"/>
  <c r="G64" i="22"/>
  <c r="G66" i="22" s="1"/>
  <c r="L64" i="29"/>
  <c r="G64" i="24"/>
  <c r="G66" i="24" s="1"/>
  <c r="H64" i="24"/>
  <c r="H66" i="24" s="1"/>
  <c r="D64" i="23"/>
  <c r="D65" i="23" s="1"/>
  <c r="K64" i="24"/>
  <c r="P64" i="24"/>
  <c r="U64" i="29"/>
  <c r="U66" i="29" s="1"/>
  <c r="O66" i="2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B66" i="21" s="1"/>
  <c r="T66" i="29"/>
  <c r="P66" i="22"/>
  <c r="O64" i="27"/>
  <c r="O64" i="28"/>
  <c r="N64" i="27"/>
  <c r="N66" i="27" s="1"/>
  <c r="N64" i="30"/>
  <c r="N66" i="30" s="1"/>
  <c r="L66" i="30"/>
  <c r="J66" i="28"/>
  <c r="G64" i="26"/>
  <c r="G66" i="26" s="1"/>
  <c r="G64" i="29"/>
  <c r="G66" i="29" s="1"/>
  <c r="F64" i="22"/>
  <c r="D66" i="29"/>
  <c r="O64" i="26"/>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T66" i="27"/>
  <c r="L66" i="29"/>
  <c r="Q66" i="22"/>
  <c r="J66" i="26"/>
  <c r="C66" i="22"/>
  <c r="T66" i="21"/>
  <c r="S66" i="23"/>
  <c r="H66" i="30"/>
  <c r="E66" i="30"/>
  <c r="S66" i="24"/>
  <c r="L66" i="21"/>
  <c r="S66" i="26"/>
  <c r="L66" i="28"/>
  <c r="L66" i="26"/>
  <c r="T66" i="30"/>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I66" i="29"/>
  <c r="S66" i="29"/>
  <c r="T66" i="28"/>
  <c r="D66" i="28"/>
  <c r="Q66" i="28"/>
  <c r="I66" i="28"/>
  <c r="S66" i="28"/>
  <c r="K66" i="28"/>
  <c r="Q66" i="27"/>
  <c r="I66" i="27"/>
  <c r="P66" i="27"/>
  <c r="Q66" i="26"/>
  <c r="P66" i="26"/>
  <c r="C66" i="26"/>
  <c r="I66" i="26"/>
  <c r="H66" i="26"/>
  <c r="L66" i="24"/>
  <c r="I66" i="24"/>
  <c r="P66" i="24"/>
  <c r="D66" i="24"/>
  <c r="K66" i="24"/>
  <c r="I66" i="23"/>
  <c r="N66" i="23"/>
  <c r="E66" i="23"/>
  <c r="I66" i="22"/>
  <c r="M66" i="22"/>
  <c r="S66" i="22"/>
  <c r="K66" i="22"/>
  <c r="T66" i="22"/>
  <c r="H66" i="21"/>
  <c r="K66" i="21"/>
  <c r="C66" i="21"/>
  <c r="D66" i="21"/>
  <c r="R66" i="21"/>
  <c r="N64" i="1"/>
  <c r="M64" i="1"/>
  <c r="M65" i="1" s="1"/>
  <c r="T64" i="1"/>
  <c r="L64" i="1"/>
  <c r="J64" i="1"/>
  <c r="K64" i="1"/>
  <c r="O64" i="1"/>
  <c r="O65" i="1" s="1"/>
  <c r="C64" i="1"/>
  <c r="I64" i="1"/>
  <c r="H64" i="1"/>
  <c r="G64" i="1"/>
  <c r="F64" i="1"/>
  <c r="E64" i="1"/>
  <c r="D64" i="1"/>
  <c r="B64" i="1"/>
  <c r="D63" i="1"/>
  <c r="D65" i="1" s="1"/>
  <c r="L63" i="1"/>
  <c r="F63" i="1"/>
  <c r="R63" i="1"/>
  <c r="J63" i="1"/>
  <c r="Q63" i="1"/>
  <c r="Q66" i="1" s="1"/>
  <c r="I63" i="1"/>
  <c r="C63" i="1"/>
  <c r="K63" i="1"/>
  <c r="P63" i="1"/>
  <c r="H63" i="1"/>
  <c r="T63" i="1"/>
  <c r="T66" i="1" s="1"/>
  <c r="S63" i="1"/>
  <c r="O63" i="1"/>
  <c r="G63" i="1"/>
  <c r="N63" i="1"/>
  <c r="E63" i="1"/>
  <c r="B63" i="1"/>
  <c r="U63" i="1"/>
  <c r="M63" i="1"/>
  <c r="M66" i="28" l="1"/>
  <c r="M66" i="24"/>
  <c r="C65" i="1"/>
  <c r="C66" i="29"/>
  <c r="M66" i="30"/>
  <c r="M65" i="30"/>
  <c r="M66" i="21"/>
  <c r="M66" i="27"/>
  <c r="M65" i="27"/>
  <c r="M66" i="29"/>
  <c r="M66" i="23"/>
  <c r="M65" i="23"/>
  <c r="B65" i="21"/>
  <c r="F65" i="21"/>
  <c r="F65" i="1"/>
  <c r="O66" i="29"/>
  <c r="O65" i="29"/>
  <c r="O66" i="28"/>
  <c r="O65" i="28"/>
  <c r="O66" i="27"/>
  <c r="O65" i="27"/>
  <c r="O66" i="30"/>
  <c r="O65" i="30"/>
  <c r="O66" i="26"/>
  <c r="O65" i="26"/>
  <c r="O66" i="23"/>
  <c r="O65" i="23"/>
  <c r="O66" i="24"/>
  <c r="O65" i="24"/>
  <c r="B65" i="1"/>
  <c r="F66" i="28"/>
  <c r="F65" i="28"/>
  <c r="F66" i="24"/>
  <c r="F65" i="24"/>
  <c r="F66" i="30"/>
  <c r="F65" i="30"/>
  <c r="F66" i="29"/>
  <c r="F65" i="29"/>
  <c r="F66" i="23"/>
  <c r="F65" i="23"/>
  <c r="F66" i="27"/>
  <c r="F65" i="27"/>
  <c r="F66" i="22"/>
  <c r="F65" i="22"/>
  <c r="E66" i="24"/>
  <c r="E65" i="24"/>
  <c r="E65" i="21"/>
  <c r="E65" i="1"/>
  <c r="E66" i="28"/>
  <c r="E65" i="28"/>
  <c r="E66" i="29"/>
  <c r="E65" i="29"/>
  <c r="E66" i="26"/>
  <c r="E65" i="26"/>
  <c r="D66" i="22"/>
  <c r="D66" i="23"/>
  <c r="D66" i="26"/>
  <c r="C66" i="28"/>
  <c r="C65" i="28"/>
  <c r="C66" i="24"/>
  <c r="C65" i="24"/>
  <c r="B66" i="27"/>
  <c r="B65" i="27"/>
  <c r="B66" i="28"/>
  <c r="B65" i="28"/>
  <c r="B66" i="29"/>
  <c r="B65" i="29"/>
  <c r="B66" i="22"/>
  <c r="B65" i="22"/>
  <c r="B66" i="23"/>
  <c r="B65" i="23"/>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<sst xmlns="http://schemas.openxmlformats.org/spreadsheetml/2006/main" count="2105" uniqueCount="182">
  <si>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</si>
  <si>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</si>
  <si>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</si>
  <si>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</si>
  <si>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</si>
  <si>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</si>
  <si>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</si>
  <si>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</si>
  <si>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</si>
  <si>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</si>
  <si>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</si>
  <si>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</si>
  <si>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</si>
  <si>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</si>
  <si>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</si>
  <si>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</si>
  <si>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</si>
  <si>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</si>
  <si>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</si>
  <si>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</si>
  <si>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</si>
  <si>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</si>
  <si>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</si>
  <si>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</si>
  <si>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</si>
  <si>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</si>
  <si>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</si>
  <si>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</si>
  <si>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</si>
  <si>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</si>
  <si>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</si>
  <si>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</si>
  <si>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</si>
  <si>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</si>
  <si>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</si>
  <si>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</si>
  <si>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</si>
  <si>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</si>
  <si>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</si>
  <si>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</si>
  <si>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</si>
  <si>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</si>
  <si>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</si>
  <si>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</si>
  <si>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</si>
  <si>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</si>
  <si>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</si>
  <si>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</si>
  <si>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</si>
  <si>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</si>
  <si>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</si>
  <si>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</si>
  <si>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</si>
  <si>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</si>
  <si>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</si>
  <si>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</si>
  <si>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</si>
  <si>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</si>
  <si>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</si>
  <si>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</si>
  <si>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</si>
  <si>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</si>
  <si>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</si>
  <si>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</si>
  <si>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</si>
  <si>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</si>
  <si>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</si>
  <si>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</si>
  <si>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</si>
  <si>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</si>
  <si>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</si>
  <si>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</si>
  <si>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</si>
  <si>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</si>
  <si>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</si>
  <si>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</si>
  <si>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</si>
  <si>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</si>
  <si>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</si>
  <si>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</si>
  <si>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</si>
  <si>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</si>
  <si>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</si>
  <si>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</si>
  <si>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</si>
  <si>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</si>
  <si>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</si>
  <si>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</si>
  <si>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</si>
  <si>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</si>
  <si>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</si>
  <si>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</si>
  <si>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</si>
  <si>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</si>
  <si>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</si>
  <si>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</si>
  <si>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</si>
  <si>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</si>
  <si>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</si>
  <si>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</si>
  <si>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</si>
  <si>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</si>
  <si>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</si>
  <si>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</si>
  <si>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</si>
  <si>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</si>
  <si>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</si>
  <si>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</si>
  <si>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</si>
  <si>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</si>
  <si>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</si>
  <si>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</si>
  <si>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</si>
  <si>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</si>
  <si>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</si>
  <si>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</si>
  <si>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</si>
  <si>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</si>
  <si>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</si>
  <si>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</si>
  <si>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</si>
  <si>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</si>
  <si>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</si>
  <si>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</si>
  <si>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</si>
  <si>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</si>
  <si>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</si>
  <si>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</si>
  <si>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</si>
  <si>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</si>
  <si>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</si>
  <si>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</si>
  <si>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</si>
  <si>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</si>
  <si>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</si>
  <si>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</si>
  <si>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</si>
  <si>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</si>
  <si>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</si>
  <si>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</si>
  <si>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</si>
  <si>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</si>
  <si>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</si>
  <si>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</si>
  <si>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</si>
  <si>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</si>
  <si>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</si>
  <si>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</si>
  <si>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</si>
  <si>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</si>
  <si>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</si>
  <si>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</si>
  <si>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</si>
  <si>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</si>
  <si>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</si>
  <si>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</si>
  <si>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</si>
  <si>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</si>
  <si>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</si>
  <si>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</si>
  <si>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PAN-031802 </t>
  </si>
  <si>
    <t>EPR/AB3891CX</t>
  </si>
  <si>
    <t>Mr Daniel James and Mrs Carys James</t>
  </si>
  <si>
    <t>Pengelli Fawr Farm, Vaynor, Merthyr Tydfil, CF48 2TT
Cwm Carno Farm, Rhymney, Tredegar, NP22 5QY</t>
  </si>
  <si>
    <t>Louise Bailey</t>
  </si>
  <si>
    <t>PONTSTICILL sludge cake</t>
  </si>
  <si>
    <t>PONTSTICILL sludge</t>
  </si>
  <si>
    <t>19 09 02</t>
  </si>
  <si>
    <t>PF26</t>
  </si>
  <si>
    <t>PF27</t>
  </si>
  <si>
    <t>PF28</t>
  </si>
  <si>
    <t>CC1</t>
  </si>
  <si>
    <t>CC7</t>
  </si>
  <si>
    <t>Moderate</t>
  </si>
  <si>
    <t>Grass grazing (Fresh grass 20%DM) (Yield of 35 t/ha)</t>
  </si>
  <si>
    <t>P offtake (kg/t)</t>
  </si>
  <si>
    <t>K offtake (kg/t)</t>
  </si>
  <si>
    <t>Offtakes</t>
  </si>
  <si>
    <t>multiplied by yield</t>
  </si>
  <si>
    <t>80% of the P2O5 and 95% of the K2O</t>
  </si>
  <si>
    <t>Amount given in Table 1 of ABS</t>
  </si>
  <si>
    <t>Grass 1 cut hay &amp; grazing (86%DM) (Yield of 5 t/ha)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</si>
</sst>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Arial"/>
      <family val="2"/>
    </font>
    <font>
      <sz val="11"/>
      <color theme="1"/>
      <name val="Arial"/>
      <family val="2"/>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0" fontId="4" fillId="0" borderId="0"/>
    <xf numFmtId="9" fontId="11" fillId="0" borderId="0" applyFont="0" applyFill="0" applyBorder="0" applyAlignment="0" applyProtection="0"/>
  </cellStyleXfs>
  <cellXfs count="184">
    <xf numFmtId="0" fontId="0" fillId="0" borderId="0" xfId="0"/>
    <xf numFmtId="0" fontId="8" fillId="6" borderId="3" xfId="0" applyFont="1" applyFill="1" applyBorder="1" applyAlignment="1" applyProtection="1">
      <alignment horizontal="center" vertical="top" wrapText="1"/>
      <protection hidden="1"/>
    </xf>
    <xf numFmtId="0" fontId="3" fillId="6" borderId="3" xfId="0" applyFont="1" applyFill="1" applyBorder="1" applyAlignment="1" applyProtection="1">
      <alignment horizontal="center" vertical="top" wrapText="1"/>
      <protection hidden="1"/>
    </xf>
    <xf numFmtId="0" fontId="8" fillId="8" borderId="3" xfId="0" applyFont="1" applyFill="1" applyBorder="1" applyAlignment="1" applyProtection="1">
      <alignment horizontal="center" vertical="top" wrapText="1"/>
      <protection hidden="1"/>
    </xf>
    <xf numFmtId="0" fontId="8" fillId="0" borderId="4" xfId="0" applyFont="1" applyBorder="1" applyAlignment="1" applyProtection="1">
      <alignment horizontal="center" vertical="top"/>
      <protection hidden="1"/>
    </xf>
    <xf numFmtId="0" fontId="8" fillId="0" borderId="5" xfId="0" applyFont="1" applyBorder="1" applyAlignment="1" applyProtection="1">
      <alignment horizontal="center" vertical="top"/>
      <protection hidden="1"/>
    </xf>
    <xf numFmtId="0" fontId="8" fillId="0" borderId="0" xfId="0" applyFont="1" applyAlignment="1" applyProtection="1">
      <alignment horizontal="center" vertical="top"/>
      <protection hidden="1"/>
    </xf>
    <xf numFmtId="0" fontId="8" fillId="0" borderId="0" xfId="0" applyFont="1" applyAlignment="1" applyProtection="1">
      <alignment horizontal="left" vertical="top"/>
      <protection hidden="1"/>
    </xf>
    <xf numFmtId="0" fontId="8" fillId="6" borderId="3" xfId="0" applyFont="1" applyFill="1" applyBorder="1" applyAlignment="1" applyProtection="1">
      <alignment horizontal="center" vertical="top"/>
      <protection hidden="1"/>
    </xf>
    <xf numFmtId="0" fontId="7" fillId="0" borderId="0" xfId="0" applyFont="1" applyAlignment="1" applyProtection="1">
      <alignment horizontal="left" vertical="top"/>
      <protection hidden="1"/>
    </xf>
    <xf numFmtId="0" fontId="8" fillId="4" borderId="3" xfId="0" applyFont="1" applyFill="1" applyBorder="1" applyAlignment="1" applyProtection="1">
      <alignment horizontal="center" vertical="top"/>
      <protection hidden="1"/>
    </xf>
    <xf numFmtId="0" fontId="7" fillId="3" borderId="3" xfId="0" applyFont="1" applyFill="1" applyBorder="1" applyAlignment="1" applyProtection="1">
      <alignment horizontal="center" vertical="top"/>
      <protection locked="0"/>
    </xf>
    <xf numFmtId="2" fontId="4" fillId="4" borderId="3" xfId="0" applyNumberFormat="1" applyFont="1" applyFill="1" applyBorder="1" applyAlignment="1" applyProtection="1">
      <alignment horizontal="center" vertical="top"/>
      <protection hidden="1"/>
    </xf>
    <xf numFmtId="0" fontId="7" fillId="0" borderId="0" xfId="0" applyFont="1" applyProtection="1">
      <protection hidden="1"/>
    </xf>
    <xf numFmtId="1" fontId="4" fillId="0" borderId="0" xfId="1" applyNumberFormat="1" applyAlignment="1" applyProtection="1">
      <alignment horizontal="center"/>
      <protection hidden="1"/>
    </xf>
    <xf numFmtId="0" fontId="4" fillId="3" borderId="3" xfId="0" applyFont="1" applyFill="1" applyBorder="1" applyAlignment="1" applyProtection="1">
      <alignment horizontal="center" vertical="top"/>
      <protection locked="0"/>
    </xf>
    <xf numFmtId="0" fontId="7" fillId="3" borderId="3" xfId="0" quotePrefix="1" applyFont="1" applyFill="1" applyBorder="1" applyAlignment="1" applyProtection="1">
      <alignment horizontal="center" vertical="top"/>
      <protection locked="0"/>
    </xf>
    <xf numFmtId="2" fontId="4" fillId="4" borderId="11" xfId="0" applyNumberFormat="1" applyFont="1" applyFill="1" applyBorder="1" applyAlignment="1" applyProtection="1">
      <alignment horizontal="center" vertical="top"/>
      <protection hidden="1"/>
    </xf>
    <xf numFmtId="2" fontId="3" fillId="4" borderId="13" xfId="0" applyNumberFormat="1" applyFont="1" applyFill="1" applyBorder="1" applyAlignment="1" applyProtection="1">
      <alignment horizontal="center" vertical="top"/>
      <protection hidden="1"/>
    </xf>
    <xf numFmtId="2" fontId="3" fillId="4" borderId="14" xfId="0" applyNumberFormat="1" applyFont="1" applyFill="1" applyBorder="1" applyAlignment="1" applyProtection="1">
      <alignment horizontal="center" vertical="top"/>
      <protection hidden="1"/>
    </xf>
    <xf numFmtId="2" fontId="4" fillId="4" borderId="9" xfId="0" applyNumberFormat="1" applyFont="1" applyFill="1" applyBorder="1" applyAlignment="1" applyProtection="1">
      <alignment horizontal="center" vertical="top"/>
      <protection hidden="1"/>
    </xf>
    <xf numFmtId="0" fontId="7" fillId="7" borderId="0" xfId="0" applyFont="1" applyFill="1" applyAlignment="1" applyProtection="1">
      <alignment horizontal="left" vertical="top"/>
      <protection hidden="1"/>
    </xf>
    <xf numFmtId="0" fontId="7" fillId="0" borderId="3" xfId="0" applyFont="1" applyBorder="1" applyProtection="1">
      <protection hidden="1"/>
    </xf>
    <xf numFmtId="1" fontId="4" fillId="6" borderId="3" xfId="1" applyNumberFormat="1" applyFill="1" applyBorder="1" applyAlignment="1" applyProtection="1">
      <alignment vertical="top"/>
      <protection hidden="1"/>
    </xf>
    <xf numFmtId="1" fontId="4" fillId="11" borderId="3" xfId="1" applyNumberFormat="1" applyFill="1" applyBorder="1" applyAlignment="1" applyProtection="1">
      <alignment horizontal="center"/>
      <protection hidden="1"/>
    </xf>
    <xf numFmtId="0" fontId="4" fillId="6" borderId="0" xfId="1" applyFill="1" applyAlignment="1" applyProtection="1">
      <alignment vertical="top" wrapText="1"/>
      <protection hidden="1"/>
    </xf>
    <xf numFmtId="0" fontId="4" fillId="6" borderId="3" xfId="1" applyFill="1" applyBorder="1" applyAlignment="1" applyProtection="1">
      <alignment vertical="top" wrapText="1"/>
      <protection hidden="1"/>
    </xf>
    <xf numFmtId="0" fontId="4" fillId="6" borderId="3" xfId="1" applyFill="1" applyBorder="1" applyAlignment="1" applyProtection="1">
      <alignment horizontal="center"/>
      <protection hidden="1"/>
    </xf>
    <xf numFmtId="0" fontId="4" fillId="0" borderId="0" xfId="1" applyAlignment="1" applyProtection="1">
      <alignment horizontal="center"/>
      <protection hidden="1"/>
    </xf>
    <xf numFmtId="0" fontId="4" fillId="6" borderId="3" xfId="1" applyFill="1" applyBorder="1" applyAlignment="1" applyProtection="1">
      <alignment horizontal="center" wrapText="1"/>
      <protection hidden="1"/>
    </xf>
    <xf numFmtId="0" fontId="3" fillId="0" borderId="15" xfId="0" applyFont="1" applyBorder="1" applyProtection="1">
      <protection hidden="1"/>
    </xf>
    <xf numFmtId="0" fontId="3" fillId="0" borderId="2" xfId="0" applyFont="1" applyBorder="1" applyProtection="1">
      <protection hidden="1"/>
    </xf>
    <xf numFmtId="0" fontId="3" fillId="0" borderId="16" xfId="0" applyFont="1" applyBorder="1" applyProtection="1">
      <protection hidden="1"/>
    </xf>
    <xf numFmtId="0" fontId="3" fillId="0" borderId="2" xfId="0" applyFont="1" applyBorder="1" applyAlignment="1" applyProtection="1">
      <alignment horizontal="left" vertical="top"/>
      <protection hidden="1"/>
    </xf>
    <xf numFmtId="0" fontId="7" fillId="0" borderId="7" xfId="0" applyFont="1" applyBorder="1" applyProtection="1">
      <protection hidden="1"/>
    </xf>
    <xf numFmtId="0" fontId="3" fillId="0" borderId="7" xfId="0" applyFont="1" applyBorder="1" applyProtection="1">
      <protection hidden="1"/>
    </xf>
    <xf numFmtId="0" fontId="3" fillId="0" borderId="3" xfId="0" applyFont="1" applyBorder="1" applyAlignment="1" applyProtection="1">
      <alignment horizontal="right"/>
      <protection hidden="1"/>
    </xf>
    <xf numFmtId="0" fontId="3" fillId="0" borderId="6" xfId="0" applyFont="1" applyBorder="1" applyProtection="1">
      <protection hidden="1"/>
    </xf>
    <xf numFmtId="0" fontId="4" fillId="9" borderId="7" xfId="0" applyFont="1" applyFill="1" applyBorder="1" applyProtection="1">
      <protection hidden="1"/>
    </xf>
    <xf numFmtId="0" fontId="4" fillId="9" borderId="3" xfId="0" applyFont="1" applyFill="1" applyBorder="1" applyAlignment="1" applyProtection="1">
      <alignment horizontal="right"/>
      <protection hidden="1"/>
    </xf>
    <xf numFmtId="0" fontId="4" fillId="9" borderId="6" xfId="0" applyFont="1" applyFill="1" applyBorder="1" applyProtection="1">
      <protection hidden="1"/>
    </xf>
    <xf numFmtId="0" fontId="7" fillId="9" borderId="0" xfId="0" applyFont="1" applyFill="1" applyAlignment="1" applyProtection="1">
      <alignment horizontal="left" vertical="top"/>
      <protection hidden="1"/>
    </xf>
    <xf numFmtId="0" fontId="7" fillId="0" borderId="3" xfId="0" applyFont="1" applyBorder="1" applyAlignment="1" applyProtection="1">
      <alignment horizontal="left" vertical="top"/>
      <protection hidden="1"/>
    </xf>
    <xf numFmtId="0" fontId="4" fillId="0" borderId="7" xfId="0" applyFont="1" applyBorder="1" applyProtection="1">
      <protection hidden="1"/>
    </xf>
    <xf numFmtId="0" fontId="4" fillId="0" borderId="3" xfId="0" applyFont="1" applyBorder="1" applyProtection="1">
      <protection hidden="1"/>
    </xf>
    <xf numFmtId="0" fontId="4" fillId="0" borderId="6" xfId="0" applyFont="1" applyBorder="1" applyProtection="1">
      <protection hidden="1"/>
    </xf>
    <xf numFmtId="0" fontId="7" fillId="0" borderId="0" xfId="0" applyFont="1" applyAlignment="1" applyProtection="1">
      <alignment horizontal="right" vertical="top"/>
      <protection hidden="1"/>
    </xf>
    <xf numFmtId="0" fontId="4" fillId="0" borderId="0" xfId="0" applyFont="1" applyAlignment="1" applyProtection="1">
      <alignment horizontal="right" vertical="top"/>
      <protection hidden="1"/>
    </xf>
    <xf numFmtId="0" fontId="7" fillId="0" borderId="0" xfId="0" applyFont="1" applyAlignment="1" applyProtection="1">
      <alignment horizontal="center" vertical="top"/>
      <protection hidden="1"/>
    </xf>
    <xf numFmtId="0" fontId="7" fillId="3" borderId="3" xfId="0" applyFont="1" applyFill="1" applyBorder="1" applyAlignment="1" applyProtection="1">
      <alignment horizontal="center" vertical="top"/>
      <protection hidden="1"/>
    </xf>
    <xf numFmtId="0" fontId="4" fillId="0" borderId="0" xfId="0" applyFont="1" applyAlignment="1" applyProtection="1">
      <alignment vertical="center"/>
      <protection hidden="1"/>
    </xf>
    <xf numFmtId="0" fontId="4" fillId="0" borderId="3" xfId="0" applyFont="1" applyBorder="1" applyAlignment="1" applyProtection="1">
      <alignment horizontal="right"/>
      <protection hidden="1"/>
    </xf>
    <xf numFmtId="0" fontId="4" fillId="7" borderId="7" xfId="0" applyFont="1" applyFill="1" applyBorder="1" applyProtection="1">
      <protection hidden="1"/>
    </xf>
    <xf numFmtId="0" fontId="4" fillId="7" borderId="3" xfId="0" applyFont="1" applyFill="1" applyBorder="1" applyAlignment="1" applyProtection="1">
      <alignment horizontal="right"/>
      <protection hidden="1"/>
    </xf>
    <xf numFmtId="0" fontId="4" fillId="7" borderId="6" xfId="0" applyFont="1" applyFill="1" applyBorder="1" applyProtection="1">
      <protection hidden="1"/>
    </xf>
    <xf numFmtId="0" fontId="4" fillId="7" borderId="3" xfId="0" applyFont="1" applyFill="1" applyBorder="1" applyProtection="1">
      <protection hidden="1"/>
    </xf>
    <xf numFmtId="0" fontId="4" fillId="0" borderId="0" xfId="0" applyFont="1" applyAlignment="1" applyProtection="1">
      <alignment horizontal="left" vertical="top"/>
      <protection hidden="1"/>
    </xf>
    <xf numFmtId="0" fontId="4" fillId="7" borderId="17" xfId="0" applyFont="1" applyFill="1" applyBorder="1" applyProtection="1">
      <protection hidden="1"/>
    </xf>
    <xf numFmtId="0" fontId="4" fillId="7" borderId="1" xfId="0" applyFont="1" applyFill="1" applyBorder="1" applyAlignment="1" applyProtection="1">
      <alignment horizontal="right"/>
      <protection hidden="1"/>
    </xf>
    <xf numFmtId="0" fontId="4" fillId="7" borderId="18" xfId="0" applyFont="1" applyFill="1" applyBorder="1" applyProtection="1">
      <protection hidden="1"/>
    </xf>
    <xf numFmtId="0" fontId="7" fillId="4" borderId="3" xfId="0" applyFont="1" applyFill="1" applyBorder="1" applyAlignment="1" applyProtection="1">
      <alignment horizontal="center" vertical="top" wrapText="1"/>
      <protection hidden="1"/>
    </xf>
    <xf numFmtId="1" fontId="8" fillId="6" borderId="3" xfId="2" applyNumberFormat="1" applyFont="1" applyFill="1" applyBorder="1" applyAlignment="1" applyProtection="1">
      <alignment horizontal="center"/>
      <protection hidden="1"/>
    </xf>
    <xf numFmtId="1" fontId="8" fillId="6" borderId="3" xfId="0" applyNumberFormat="1" applyFont="1" applyFill="1" applyBorder="1" applyAlignment="1" applyProtection="1">
      <alignment horizontal="center"/>
      <protection hidden="1"/>
    </xf>
    <xf numFmtId="1" fontId="8" fillId="6" borderId="3" xfId="0" applyNumberFormat="1" applyFont="1" applyFill="1" applyBorder="1" applyAlignment="1" applyProtection="1">
      <alignment horizontal="center" vertical="top"/>
      <protection hidden="1"/>
    </xf>
    <xf numFmtId="2" fontId="7" fillId="4" borderId="3" xfId="2" applyNumberFormat="1" applyFont="1" applyFill="1" applyBorder="1" applyAlignment="1" applyProtection="1">
      <alignment horizontal="center"/>
      <protection hidden="1"/>
    </xf>
    <xf numFmtId="2" fontId="7" fillId="4" borderId="3" xfId="0" applyNumberFormat="1" applyFont="1" applyFill="1" applyBorder="1" applyAlignment="1" applyProtection="1">
      <alignment horizontal="center" vertical="top"/>
      <protection hidden="1"/>
    </xf>
    <xf numFmtId="0" fontId="7" fillId="4" borderId="3" xfId="0" applyFont="1" applyFill="1" applyBorder="1" applyAlignment="1" applyProtection="1">
      <alignment horizontal="center" vertical="top"/>
      <protection hidden="1"/>
    </xf>
    <xf numFmtId="0" fontId="10" fillId="6" borderId="3" xfId="1" applyFont="1" applyFill="1" applyBorder="1" applyAlignment="1" applyProtection="1">
      <alignment horizontal="center"/>
      <protection hidden="1"/>
    </xf>
    <xf numFmtId="1" fontId="10" fillId="11" borderId="3" xfId="1" applyNumberFormat="1" applyFont="1" applyFill="1" applyBorder="1" applyAlignment="1" applyProtection="1">
      <alignment horizontal="center"/>
      <protection hidden="1"/>
    </xf>
    <xf numFmtId="0" fontId="12" fillId="0" borderId="0" xfId="0" applyFont="1" applyAlignment="1" applyProtection="1">
      <alignment horizontal="center"/>
      <protection hidden="1"/>
    </xf>
    <xf numFmtId="0" fontId="7" fillId="0" borderId="0" xfId="0" applyFont="1" applyAlignment="1" applyProtection="1">
      <alignment vertical="top"/>
      <protection hidden="1"/>
    </xf>
    <xf numFmtId="0" fontId="4" fillId="0" borderId="0" xfId="1" applyProtection="1">
      <protection hidden="1"/>
    </xf>
    <xf numFmtId="0" fontId="4" fillId="6" borderId="3" xfId="1" applyFill="1" applyBorder="1" applyProtection="1">
      <protection hidden="1"/>
    </xf>
    <xf numFmtId="9" fontId="7" fillId="6" borderId="3" xfId="0" applyNumberFormat="1" applyFont="1" applyFill="1" applyBorder="1" applyProtection="1">
      <protection hidden="1"/>
    </xf>
    <xf numFmtId="1" fontId="4" fillId="6" borderId="3" xfId="1" applyNumberFormat="1" applyFill="1" applyBorder="1" applyProtection="1">
      <protection hidden="1"/>
    </xf>
    <xf numFmtId="0" fontId="4" fillId="11" borderId="3" xfId="1" applyFill="1" applyBorder="1" applyProtection="1">
      <protection hidden="1"/>
    </xf>
    <xf numFmtId="2" fontId="10" fillId="11" borderId="3" xfId="1" applyNumberFormat="1" applyFont="1" applyFill="1" applyBorder="1" applyProtection="1">
      <protection hidden="1"/>
    </xf>
    <xf numFmtId="0" fontId="13" fillId="0" borderId="0" xfId="0" applyFont="1" applyProtection="1">
      <protection hidden="1"/>
    </xf>
    <xf numFmtId="9" fontId="4" fillId="10" borderId="3" xfId="2" applyFont="1" applyFill="1" applyBorder="1" applyAlignment="1" applyProtection="1">
      <alignment horizontal="center"/>
      <protection locked="0"/>
    </xf>
    <xf numFmtId="0" fontId="8" fillId="6" borderId="3" xfId="0" applyFont="1" applyFill="1" applyBorder="1" applyAlignment="1" applyProtection="1">
      <alignment horizontal="right" vertical="top"/>
      <protection hidden="1"/>
    </xf>
    <xf numFmtId="2" fontId="7" fillId="4" borderId="1" xfId="0" applyNumberFormat="1" applyFont="1" applyFill="1" applyBorder="1" applyAlignment="1" applyProtection="1">
      <alignment horizontal="center" vertical="top"/>
      <protection hidden="1"/>
    </xf>
    <xf numFmtId="0" fontId="7" fillId="0" borderId="3" xfId="0" applyFont="1" applyBorder="1" applyAlignment="1" applyProtection="1">
      <alignment wrapText="1"/>
      <protection hidden="1"/>
    </xf>
    <xf numFmtId="0" fontId="7" fillId="5" borderId="3" xfId="0" applyFont="1" applyFill="1" applyBorder="1" applyAlignment="1" applyProtection="1">
      <alignment horizontal="center" vertical="top"/>
      <protection locked="0"/>
    </xf>
    <xf numFmtId="0" fontId="7" fillId="5" borderId="3" xfId="0" applyFont="1" applyFill="1" applyBorder="1" applyAlignment="1" applyProtection="1">
      <alignment horizontal="center" vertical="top"/>
      <protection hidden="1"/>
    </xf>
    <xf numFmtId="0" fontId="7" fillId="5" borderId="3" xfId="0" applyFont="1" applyFill="1" applyBorder="1" applyAlignment="1" applyProtection="1">
      <alignment horizontal="center" vertical="top" wrapText="1"/>
      <protection locked="0"/>
    </xf>
    <xf numFmtId="0" fontId="7" fillId="2" borderId="3" xfId="0" applyFont="1" applyFill="1" applyBorder="1" applyAlignment="1" applyProtection="1">
      <alignment horizontal="right" wrapText="1"/>
      <protection hidden="1"/>
    </xf>
    <xf numFmtId="0" fontId="7" fillId="2" borderId="3" xfId="0" applyFont="1" applyFill="1" applyBorder="1" applyAlignment="1" applyProtection="1">
      <alignment horizontal="right"/>
      <protection hidden="1"/>
    </xf>
    <xf numFmtId="0" fontId="8" fillId="6" borderId="3" xfId="0" applyFont="1" applyFill="1" applyBorder="1" applyAlignment="1" applyProtection="1">
      <alignment horizontal="right"/>
      <protection hidden="1"/>
    </xf>
    <xf numFmtId="0" fontId="8" fillId="6" borderId="3" xfId="0" applyFont="1" applyFill="1" applyBorder="1" applyAlignment="1" applyProtection="1">
      <alignment horizontal="right" wrapText="1"/>
      <protection hidden="1"/>
    </xf>
    <xf numFmtId="0" fontId="8" fillId="6" borderId="3" xfId="0" applyFont="1" applyFill="1" applyBorder="1" applyAlignment="1" applyProtection="1">
      <alignment horizontal="center" wrapText="1"/>
      <protection hidden="1"/>
    </xf>
    <xf numFmtId="2" fontId="4" fillId="3" borderId="1" xfId="2" applyNumberFormat="1" applyFont="1" applyFill="1" applyBorder="1" applyAlignment="1" applyProtection="1">
      <alignment horizontal="center"/>
      <protection locked="0"/>
    </xf>
    <xf numFmtId="2" fontId="7" fillId="3" borderId="1" xfId="2" applyNumberFormat="1" applyFont="1" applyFill="1" applyBorder="1" applyAlignment="1" applyProtection="1">
      <alignment horizontal="center"/>
      <protection locked="0"/>
    </xf>
    <xf numFmtId="2" fontId="7" fillId="4" borderId="1" xfId="0" applyNumberFormat="1" applyFont="1" applyFill="1" applyBorder="1" applyAlignment="1" applyProtection="1">
      <alignment horizontal="center"/>
      <protection hidden="1"/>
    </xf>
    <xf numFmtId="2" fontId="4" fillId="4" borderId="19" xfId="0" applyNumberFormat="1" applyFont="1" applyFill="1" applyBorder="1" applyAlignment="1" applyProtection="1">
      <alignment horizontal="center" vertical="top"/>
      <protection hidden="1"/>
    </xf>
    <xf numFmtId="0" fontId="8" fillId="4" borderId="9" xfId="0" applyFont="1" applyFill="1" applyBorder="1" applyAlignment="1" applyProtection="1">
      <alignment horizontal="center" vertical="top"/>
      <protection hidden="1"/>
    </xf>
    <xf numFmtId="0" fontId="8" fillId="4" borderId="19" xfId="0" applyFont="1" applyFill="1" applyBorder="1" applyAlignment="1" applyProtection="1">
      <alignment horizontal="center" vertical="top"/>
      <protection hidden="1"/>
    </xf>
    <xf numFmtId="0" fontId="8" fillId="8" borderId="10" xfId="0" applyFont="1" applyFill="1" applyBorder="1" applyAlignment="1" applyProtection="1">
      <alignment horizontal="right" vertical="top"/>
      <protection hidden="1"/>
    </xf>
    <xf numFmtId="0" fontId="7" fillId="3" borderId="11" xfId="0" applyFont="1" applyFill="1" applyBorder="1" applyAlignment="1" applyProtection="1">
      <alignment horizontal="center" vertical="top"/>
      <protection locked="0"/>
    </xf>
    <xf numFmtId="0" fontId="7" fillId="5" borderId="11" xfId="0" applyFont="1" applyFill="1" applyBorder="1" applyAlignment="1" applyProtection="1">
      <alignment horizontal="center" vertical="top"/>
      <protection locked="0"/>
    </xf>
    <xf numFmtId="0" fontId="3" fillId="8" borderId="10" xfId="0" applyFont="1" applyFill="1" applyBorder="1" applyAlignment="1" applyProtection="1">
      <alignment horizontal="right" vertical="top"/>
      <protection hidden="1"/>
    </xf>
    <xf numFmtId="0" fontId="7" fillId="5" borderId="13" xfId="0" applyFont="1" applyFill="1" applyBorder="1" applyAlignment="1" applyProtection="1">
      <alignment horizontal="center" vertical="top"/>
      <protection locked="0"/>
    </xf>
    <xf numFmtId="0" fontId="7" fillId="5" borderId="14" xfId="0" applyFont="1" applyFill="1" applyBorder="1" applyAlignment="1" applyProtection="1">
      <alignment horizontal="center" vertical="top"/>
      <protection locked="0"/>
    </xf>
    <xf numFmtId="0" fontId="7" fillId="3" borderId="11" xfId="0" applyFont="1" applyFill="1" applyBorder="1" applyAlignment="1" applyProtection="1">
      <alignment horizontal="center" vertical="top"/>
      <protection hidden="1"/>
    </xf>
    <xf numFmtId="0" fontId="7" fillId="5" borderId="11" xfId="0" applyFont="1" applyFill="1" applyBorder="1" applyAlignment="1" applyProtection="1">
      <alignment horizontal="center" vertical="top"/>
      <protection hidden="1"/>
    </xf>
    <xf numFmtId="0" fontId="7" fillId="5" borderId="13" xfId="0" applyFont="1" applyFill="1" applyBorder="1" applyAlignment="1" applyProtection="1">
      <alignment horizontal="center" vertical="top"/>
      <protection hidden="1"/>
    </xf>
    <xf numFmtId="0" fontId="7" fillId="5" borderId="14" xfId="0" applyFont="1" applyFill="1" applyBorder="1" applyAlignment="1" applyProtection="1">
      <alignment horizontal="center" vertical="top"/>
      <protection hidden="1"/>
    </xf>
    <xf numFmtId="0" fontId="8" fillId="8" borderId="8" xfId="0" applyFont="1" applyFill="1" applyBorder="1" applyAlignment="1" applyProtection="1">
      <alignment horizontal="right" vertical="top"/>
      <protection hidden="1"/>
    </xf>
    <xf numFmtId="0" fontId="8" fillId="8" borderId="12" xfId="0" applyFont="1" applyFill="1" applyBorder="1" applyAlignment="1" applyProtection="1">
      <alignment horizontal="right" vertical="top"/>
      <protection hidden="1"/>
    </xf>
    <xf numFmtId="0" fontId="7" fillId="3" borderId="14" xfId="0" applyFont="1" applyFill="1" applyBorder="1" applyAlignment="1" applyProtection="1">
      <alignment horizontal="left" vertical="top"/>
      <protection locked="0"/>
    </xf>
    <xf numFmtId="0" fontId="7" fillId="3" borderId="19" xfId="0" applyFont="1" applyFill="1" applyBorder="1" applyAlignment="1" applyProtection="1">
      <alignment horizontal="left" vertical="top"/>
      <protection locked="0"/>
    </xf>
    <xf numFmtId="0" fontId="7" fillId="3" borderId="11" xfId="0" applyFont="1" applyFill="1" applyBorder="1" applyAlignment="1" applyProtection="1">
      <alignment horizontal="left" vertical="top"/>
      <protection locked="0"/>
    </xf>
    <xf numFmtId="0" fontId="7" fillId="5" borderId="11" xfId="0" applyFont="1" applyFill="1" applyBorder="1" applyAlignment="1" applyProtection="1">
      <alignment horizontal="left" vertical="top"/>
      <protection locked="0"/>
    </xf>
    <xf numFmtId="0" fontId="3" fillId="8" borderId="12" xfId="0" applyFont="1" applyFill="1" applyBorder="1" applyAlignment="1" applyProtection="1">
      <alignment horizontal="right" vertical="top"/>
      <protection hidden="1"/>
    </xf>
    <xf numFmtId="0" fontId="7" fillId="3" borderId="19" xfId="0" applyFont="1" applyFill="1" applyBorder="1" applyAlignment="1" applyProtection="1">
      <alignment horizontal="left" vertical="top"/>
      <protection hidden="1"/>
    </xf>
    <xf numFmtId="0" fontId="7" fillId="3" borderId="14" xfId="0" applyFont="1" applyFill="1" applyBorder="1" applyAlignment="1" applyProtection="1">
      <alignment horizontal="left" vertical="top"/>
      <protection hidden="1"/>
    </xf>
    <xf numFmtId="0" fontId="7" fillId="3" borderId="11" xfId="0" applyFont="1" applyFill="1" applyBorder="1" applyAlignment="1" applyProtection="1">
      <alignment horizontal="left" vertical="top"/>
      <protection hidden="1"/>
    </xf>
    <xf numFmtId="0" fontId="8" fillId="2" borderId="8" xfId="0" applyFont="1" applyFill="1" applyBorder="1" applyAlignment="1" applyProtection="1">
      <alignment horizontal="center" vertical="top" wrapText="1"/>
      <protection hidden="1"/>
    </xf>
    <xf numFmtId="0" fontId="8" fillId="8" borderId="9" xfId="0" applyFont="1" applyFill="1" applyBorder="1" applyAlignment="1" applyProtection="1">
      <alignment horizontal="center" vertical="top" wrapText="1"/>
      <protection hidden="1"/>
    </xf>
    <xf numFmtId="0" fontId="3" fillId="8" borderId="9" xfId="0" applyFont="1" applyFill="1" applyBorder="1" applyAlignment="1" applyProtection="1">
      <alignment horizontal="center" vertical="top" wrapText="1"/>
      <protection hidden="1"/>
    </xf>
    <xf numFmtId="0" fontId="3" fillId="8" borderId="19" xfId="0" applyFont="1" applyFill="1" applyBorder="1" applyAlignment="1" applyProtection="1">
      <alignment horizontal="center" vertical="top" wrapText="1"/>
      <protection hidden="1"/>
    </xf>
    <xf numFmtId="0" fontId="7" fillId="2" borderId="10" xfId="0" applyFont="1" applyFill="1" applyBorder="1" applyAlignment="1" applyProtection="1">
      <alignment horizontal="center" vertical="top" wrapText="1"/>
      <protection hidden="1"/>
    </xf>
    <xf numFmtId="0" fontId="7" fillId="5" borderId="11" xfId="0" applyFont="1" applyFill="1" applyBorder="1" applyAlignment="1" applyProtection="1">
      <alignment horizontal="center" vertical="top" wrapText="1"/>
      <protection locked="0"/>
    </xf>
    <xf numFmtId="0" fontId="7" fillId="2" borderId="10" xfId="0" applyFont="1" applyFill="1" applyBorder="1" applyAlignment="1" applyProtection="1">
      <alignment horizontal="center" vertical="top"/>
      <protection hidden="1"/>
    </xf>
    <xf numFmtId="0" fontId="3" fillId="6" borderId="11" xfId="0" applyFont="1" applyFill="1" applyBorder="1" applyAlignment="1" applyProtection="1">
      <alignment horizontal="center" vertical="top" wrapText="1"/>
      <protection hidden="1"/>
    </xf>
    <xf numFmtId="0" fontId="8" fillId="6" borderId="11" xfId="0" applyFont="1" applyFill="1" applyBorder="1" applyAlignment="1" applyProtection="1">
      <alignment horizontal="center" vertical="top" wrapText="1"/>
      <protection hidden="1"/>
    </xf>
    <xf numFmtId="0" fontId="8" fillId="4" borderId="10" xfId="0" applyFont="1" applyFill="1" applyBorder="1" applyAlignment="1" applyProtection="1">
      <alignment horizontal="center" vertical="top"/>
      <protection hidden="1"/>
    </xf>
    <xf numFmtId="2" fontId="7" fillId="4" borderId="11" xfId="0" applyNumberFormat="1" applyFont="1" applyFill="1" applyBorder="1" applyAlignment="1" applyProtection="1">
      <alignment horizontal="center" vertical="top"/>
      <protection hidden="1"/>
    </xf>
    <xf numFmtId="0" fontId="8" fillId="4" borderId="30" xfId="0" applyFont="1" applyFill="1" applyBorder="1" applyAlignment="1" applyProtection="1">
      <alignment horizontal="center" vertical="top"/>
      <protection hidden="1"/>
    </xf>
    <xf numFmtId="2" fontId="7" fillId="4" borderId="32" xfId="0" applyNumberFormat="1" applyFont="1" applyFill="1" applyBorder="1" applyAlignment="1" applyProtection="1">
      <alignment horizontal="center" vertical="top"/>
      <protection hidden="1"/>
    </xf>
    <xf numFmtId="0" fontId="8" fillId="0" borderId="33" xfId="0" applyFont="1" applyBorder="1" applyAlignment="1" applyProtection="1">
      <alignment horizontal="center" vertical="top"/>
      <protection hidden="1"/>
    </xf>
    <xf numFmtId="0" fontId="2" fillId="0" borderId="0" xfId="0" applyFont="1"/>
    <xf numFmtId="0" fontId="2" fillId="0" borderId="3" xfId="0" applyFont="1" applyBorder="1"/>
    <xf numFmtId="0" fontId="2" fillId="0" borderId="3" xfId="0" applyFont="1" applyBorder="1" applyAlignment="1">
      <alignment horizontal="right"/>
    </xf>
    <xf numFmtId="0" fontId="7" fillId="3" borderId="6" xfId="0" quotePrefix="1" applyFont="1" applyFill="1" applyBorder="1" applyAlignment="1" applyProtection="1">
      <alignment horizontal="left" vertical="top"/>
      <protection locked="0"/>
    </xf>
    <xf numFmtId="0" fontId="7" fillId="3" borderId="22" xfId="0" quotePrefix="1" applyFont="1" applyFill="1" applyBorder="1" applyAlignment="1" applyProtection="1">
      <alignment horizontal="left" vertical="top"/>
      <protection locked="0"/>
    </xf>
    <xf numFmtId="0" fontId="7" fillId="3" borderId="20" xfId="0" applyFont="1" applyFill="1" applyBorder="1" applyAlignment="1" applyProtection="1">
      <alignment horizontal="left" vertical="top"/>
      <protection locked="0"/>
    </xf>
    <xf numFmtId="0" fontId="7" fillId="3" borderId="21" xfId="0" applyFont="1" applyFill="1" applyBorder="1" applyAlignment="1" applyProtection="1">
      <alignment horizontal="left" vertical="top"/>
      <protection locked="0"/>
    </xf>
    <xf numFmtId="0" fontId="8" fillId="8" borderId="26" xfId="0" applyFont="1" applyFill="1" applyBorder="1" applyAlignment="1" applyProtection="1">
      <alignment horizontal="right" vertical="top"/>
      <protection hidden="1"/>
    </xf>
    <xf numFmtId="0" fontId="8" fillId="8" borderId="27" xfId="0" applyFont="1" applyFill="1" applyBorder="1" applyAlignment="1" applyProtection="1">
      <alignment horizontal="right" vertical="top"/>
      <protection hidden="1"/>
    </xf>
    <xf numFmtId="0" fontId="3" fillId="8" borderId="23" xfId="0" applyFont="1" applyFill="1" applyBorder="1" applyAlignment="1" applyProtection="1">
      <alignment horizontal="right" vertical="top" wrapText="1"/>
      <protection hidden="1"/>
    </xf>
    <xf numFmtId="0" fontId="3" fillId="8" borderId="7" xfId="0" applyFont="1" applyFill="1" applyBorder="1" applyAlignment="1" applyProtection="1">
      <alignment horizontal="right" vertical="top" wrapText="1"/>
      <protection hidden="1"/>
    </xf>
    <xf numFmtId="0" fontId="8" fillId="8" borderId="10" xfId="0" applyFont="1" applyFill="1" applyBorder="1" applyAlignment="1" applyProtection="1">
      <alignment horizontal="right" vertical="top"/>
      <protection hidden="1"/>
    </xf>
    <xf numFmtId="0" fontId="8" fillId="8" borderId="3" xfId="0" applyFont="1" applyFill="1" applyBorder="1" applyAlignment="1" applyProtection="1">
      <alignment horizontal="right" vertical="top"/>
      <protection hidden="1"/>
    </xf>
    <xf numFmtId="0" fontId="8" fillId="8" borderId="12" xfId="0" applyFont="1" applyFill="1" applyBorder="1" applyAlignment="1" applyProtection="1">
      <alignment horizontal="right" vertical="top"/>
      <protection hidden="1"/>
    </xf>
    <xf numFmtId="0" fontId="8" fillId="8" borderId="13" xfId="0" applyFont="1" applyFill="1" applyBorder="1" applyAlignment="1" applyProtection="1">
      <alignment horizontal="right" vertical="top"/>
      <protection hidden="1"/>
    </xf>
    <xf numFmtId="0" fontId="7" fillId="3" borderId="6" xfId="0" applyFont="1" applyFill="1" applyBorder="1" applyAlignment="1" applyProtection="1">
      <alignment horizontal="left" vertical="top" wrapText="1"/>
      <protection locked="0"/>
    </xf>
    <xf numFmtId="0" fontId="7" fillId="3" borderId="22" xfId="0" applyFont="1" applyFill="1" applyBorder="1" applyAlignment="1" applyProtection="1">
      <alignment horizontal="left" vertical="top"/>
      <protection locked="0"/>
    </xf>
    <xf numFmtId="0" fontId="7" fillId="3" borderId="13" xfId="0" applyFont="1" applyFill="1" applyBorder="1" applyAlignment="1" applyProtection="1">
      <alignment horizontal="left" vertical="top"/>
      <protection locked="0"/>
    </xf>
    <xf numFmtId="0" fontId="7" fillId="3" borderId="14" xfId="0" applyFont="1" applyFill="1" applyBorder="1" applyAlignment="1" applyProtection="1">
      <alignment horizontal="left" vertical="top"/>
      <protection locked="0"/>
    </xf>
    <xf numFmtId="0" fontId="8" fillId="6" borderId="12" xfId="0" applyFont="1" applyFill="1" applyBorder="1" applyAlignment="1" applyProtection="1">
      <alignment horizontal="right" vertical="top"/>
      <protection hidden="1"/>
    </xf>
    <xf numFmtId="0" fontId="8" fillId="6" borderId="13" xfId="0" applyFont="1" applyFill="1" applyBorder="1" applyAlignment="1" applyProtection="1">
      <alignment horizontal="right" vertical="top"/>
      <protection hidden="1"/>
    </xf>
    <xf numFmtId="0" fontId="8" fillId="6" borderId="10" xfId="0" applyFont="1" applyFill="1" applyBorder="1" applyAlignment="1" applyProtection="1">
      <alignment horizontal="right" vertical="top"/>
      <protection hidden="1"/>
    </xf>
    <xf numFmtId="0" fontId="8" fillId="6" borderId="3" xfId="0" applyFont="1" applyFill="1" applyBorder="1" applyAlignment="1" applyProtection="1">
      <alignment horizontal="right" vertical="top"/>
      <protection hidden="1"/>
    </xf>
    <xf numFmtId="0" fontId="8" fillId="6" borderId="8" xfId="0" applyFont="1" applyFill="1" applyBorder="1" applyAlignment="1" applyProtection="1">
      <alignment horizontal="right" vertical="top"/>
      <protection hidden="1"/>
    </xf>
    <xf numFmtId="0" fontId="8" fillId="6" borderId="9" xfId="0" applyFont="1" applyFill="1" applyBorder="1" applyAlignment="1" applyProtection="1">
      <alignment horizontal="right" vertical="top"/>
      <protection hidden="1"/>
    </xf>
    <xf numFmtId="0" fontId="3" fillId="8" borderId="10" xfId="0" applyFont="1" applyFill="1" applyBorder="1" applyAlignment="1" applyProtection="1">
      <alignment horizontal="right" vertical="top"/>
      <protection hidden="1"/>
    </xf>
    <xf numFmtId="0" fontId="3" fillId="8" borderId="3" xfId="0" applyFont="1" applyFill="1" applyBorder="1" applyAlignment="1" applyProtection="1">
      <alignment horizontal="right" vertical="top"/>
      <protection hidden="1"/>
    </xf>
    <xf numFmtId="0" fontId="3" fillId="7" borderId="10" xfId="0" applyFont="1" applyFill="1" applyBorder="1" applyAlignment="1" applyProtection="1">
      <alignment horizontal="right" vertical="top"/>
      <protection hidden="1"/>
    </xf>
    <xf numFmtId="0" fontId="3" fillId="7" borderId="3" xfId="0" applyFont="1" applyFill="1" applyBorder="1" applyAlignment="1" applyProtection="1">
      <alignment horizontal="right" vertical="top"/>
      <protection hidden="1"/>
    </xf>
    <xf numFmtId="0" fontId="3" fillId="7" borderId="12" xfId="0" applyFont="1" applyFill="1" applyBorder="1" applyAlignment="1" applyProtection="1">
      <alignment horizontal="right" vertical="top"/>
      <protection hidden="1"/>
    </xf>
    <xf numFmtId="0" fontId="3" fillId="7" borderId="13" xfId="0" applyFont="1" applyFill="1" applyBorder="1" applyAlignment="1" applyProtection="1">
      <alignment horizontal="right" vertical="top"/>
      <protection hidden="1"/>
    </xf>
    <xf numFmtId="0" fontId="8" fillId="8" borderId="8" xfId="0" applyFont="1" applyFill="1" applyBorder="1" applyAlignment="1" applyProtection="1">
      <alignment horizontal="right" vertical="top"/>
      <protection hidden="1"/>
    </xf>
    <xf numFmtId="0" fontId="8" fillId="8" borderId="9" xfId="0" applyFont="1" applyFill="1" applyBorder="1" applyAlignment="1" applyProtection="1">
      <alignment horizontal="right" vertical="top"/>
      <protection hidden="1"/>
    </xf>
    <xf numFmtId="0" fontId="8" fillId="8" borderId="23" xfId="0" applyFont="1" applyFill="1" applyBorder="1" applyAlignment="1" applyProtection="1">
      <alignment horizontal="right" vertical="top"/>
      <protection hidden="1"/>
    </xf>
    <xf numFmtId="0" fontId="8" fillId="8" borderId="7" xfId="0" applyFont="1" applyFill="1" applyBorder="1" applyAlignment="1" applyProtection="1">
      <alignment horizontal="right" vertical="top"/>
      <protection hidden="1"/>
    </xf>
    <xf numFmtId="0" fontId="8" fillId="6" borderId="30" xfId="0" applyFont="1" applyFill="1" applyBorder="1" applyAlignment="1" applyProtection="1">
      <alignment horizontal="center" vertical="top" wrapText="1"/>
      <protection hidden="1"/>
    </xf>
    <xf numFmtId="0" fontId="8" fillId="6" borderId="31" xfId="0" applyFont="1" applyFill="1" applyBorder="1" applyAlignment="1" applyProtection="1">
      <alignment horizontal="center" vertical="top" wrapText="1"/>
      <protection hidden="1"/>
    </xf>
    <xf numFmtId="0" fontId="8" fillId="8" borderId="28" xfId="0" applyFont="1" applyFill="1" applyBorder="1" applyAlignment="1" applyProtection="1">
      <alignment horizontal="right" vertical="top"/>
      <protection hidden="1"/>
    </xf>
    <xf numFmtId="0" fontId="8" fillId="8" borderId="29" xfId="0" applyFont="1" applyFill="1" applyBorder="1" applyAlignment="1" applyProtection="1">
      <alignment horizontal="right" vertical="top"/>
      <protection hidden="1"/>
    </xf>
    <xf numFmtId="0" fontId="7" fillId="3" borderId="20" xfId="0" applyFont="1" applyFill="1" applyBorder="1" applyAlignment="1" applyProtection="1">
      <alignment horizontal="left" vertical="top"/>
      <protection hidden="1"/>
    </xf>
    <xf numFmtId="0" fontId="7" fillId="3" borderId="21" xfId="0" applyFont="1" applyFill="1" applyBorder="1" applyAlignment="1" applyProtection="1">
      <alignment horizontal="left" vertical="top"/>
      <protection hidden="1"/>
    </xf>
    <xf numFmtId="0" fontId="7" fillId="3" borderId="6" xfId="0" quotePrefix="1" applyFont="1" applyFill="1" applyBorder="1" applyAlignment="1" applyProtection="1">
      <alignment horizontal="left" vertical="top"/>
      <protection hidden="1"/>
    </xf>
    <xf numFmtId="0" fontId="7" fillId="3" borderId="22" xfId="0" quotePrefix="1" applyFont="1" applyFill="1" applyBorder="1" applyAlignment="1" applyProtection="1">
      <alignment horizontal="left" vertical="top"/>
      <protection hidden="1"/>
    </xf>
    <xf numFmtId="0" fontId="7" fillId="3" borderId="6" xfId="0" applyFont="1" applyFill="1" applyBorder="1" applyAlignment="1" applyProtection="1">
      <alignment horizontal="left" vertical="top"/>
      <protection hidden="1"/>
    </xf>
    <xf numFmtId="0" fontId="7" fillId="3" borderId="22" xfId="0" applyFont="1" applyFill="1" applyBorder="1" applyAlignment="1" applyProtection="1">
      <alignment horizontal="left" vertical="top"/>
      <protection hidden="1"/>
    </xf>
    <xf numFmtId="0" fontId="7" fillId="3" borderId="24" xfId="0" applyFont="1" applyFill="1" applyBorder="1" applyAlignment="1" applyProtection="1">
      <alignment horizontal="left" vertical="top"/>
      <protection hidden="1"/>
    </xf>
    <xf numFmtId="0" fontId="7" fillId="3" borderId="25" xfId="0" applyFont="1" applyFill="1" applyBorder="1" applyAlignment="1" applyProtection="1">
      <alignment horizontal="left" vertical="top"/>
      <protection hidden="1"/>
    </xf>
    <xf numFmtId="0" fontId="4" fillId="6" borderId="3" xfId="1" applyFill="1" applyBorder="1" applyAlignment="1" applyProtection="1">
      <alignment horizontal="center" wrapText="1"/>
      <protection hidden="1"/>
    </xf>
    <xf numFmtId="0" fontId="4" fillId="6" borderId="3" xfId="1" applyFill="1" applyBorder="1" applyAlignment="1" applyProtection="1">
      <alignment vertical="top" wrapText="1"/>
      <protection hidden="1"/>
    </xf>
    <xf numFmtId="0" fontId="10" fillId="6" borderId="3" xfId="1" applyFont="1" applyFill="1" applyBorder="1" applyAlignment="1" applyProtection="1">
      <alignment horizontal="right"/>
      <protection hidden="1"/>
    </xf>
    <xf numFmtId="0" fontId="2" fillId="0" borderId="6" xfId="0" applyFont="1" applyBorder="1" applyAlignment="1">
      <alignment horizontal="center"/>
    </xf>
    <xf numFmtId="0" fontId="2" fillId="0" borderId="34" xfId="0" applyFont="1" applyBorder="1" applyAlignment="1">
      <alignment horizontal="center"/>
    </xf>
    <xf numFmtId="0" fontId="2" fillId="0" borderId="7" xfId="0" applyFont="1" applyBorder="1" applyAlignment="1">
      <alignment horizontal="center"/>
    </xf>
    <xf numFmtId="0" fontId="1" fillId="0" borderId="6" xfId="0" applyFont="1" applyBorder="1" applyAlignment="1">
      <alignment horizontal="center"/>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H15" sqref="H1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61" t="s">
        <v>41</v>
      </c>
      <c r="B1" s="162"/>
      <c r="C1" s="135" t="s">
        <v>160</v>
      </c>
      <c r="D1" s="136"/>
      <c r="E1" s="106" t="s">
        <v>45</v>
      </c>
      <c r="F1" s="109">
        <v>35.1</v>
      </c>
      <c r="G1" s="137" t="s">
        <v>43</v>
      </c>
      <c r="H1" s="138"/>
      <c r="I1" s="109">
        <v>6.7</v>
      </c>
      <c r="J1" s="161" t="s">
        <v>153</v>
      </c>
      <c r="K1" s="162"/>
      <c r="L1" s="109">
        <v>33.700000000000003</v>
      </c>
      <c r="AB1" s="13"/>
      <c r="AC1" s="13"/>
      <c r="AD1" s="22" t="s">
        <v>126</v>
      </c>
      <c r="AE1" s="13"/>
      <c r="AF1" s="13"/>
      <c r="AG1" s="13"/>
      <c r="AH1" s="13"/>
      <c r="AI1" s="30" t="s">
        <v>79</v>
      </c>
      <c r="AJ1" s="31" t="s">
        <v>94</v>
      </c>
      <c r="AK1" s="32" t="s">
        <v>95</v>
      </c>
      <c r="AL1" s="33" t="s">
        <v>125</v>
      </c>
      <c r="AM1" s="33" t="s">
        <v>131</v>
      </c>
      <c r="AN1" s="33" t="s">
        <v>111</v>
      </c>
    </row>
    <row r="2" spans="1:40" x14ac:dyDescent="0.2">
      <c r="A2" s="141" t="s">
        <v>87</v>
      </c>
      <c r="B2" s="142"/>
      <c r="C2" s="133" t="s">
        <v>161</v>
      </c>
      <c r="D2" s="134"/>
      <c r="E2" s="96" t="s">
        <v>109</v>
      </c>
      <c r="F2" s="110" t="s">
        <v>167</v>
      </c>
      <c r="G2" s="139" t="s">
        <v>110</v>
      </c>
      <c r="H2" s="140"/>
      <c r="I2" s="110"/>
      <c r="J2" s="141" t="s">
        <v>158</v>
      </c>
      <c r="K2" s="142"/>
      <c r="L2" s="110">
        <v>1.05</v>
      </c>
      <c r="AB2" s="22" t="s">
        <v>56</v>
      </c>
      <c r="AC2" s="13"/>
      <c r="AD2" s="22" t="s">
        <v>70</v>
      </c>
      <c r="AE2" s="13"/>
      <c r="AF2" s="13"/>
      <c r="AG2" s="34" t="s">
        <v>76</v>
      </c>
      <c r="AH2" s="13"/>
      <c r="AI2" s="35" t="s">
        <v>126</v>
      </c>
      <c r="AJ2" s="36">
        <v>0</v>
      </c>
      <c r="AK2" s="37">
        <v>0</v>
      </c>
      <c r="AL2" s="7">
        <v>0</v>
      </c>
      <c r="AM2" s="9">
        <v>0</v>
      </c>
      <c r="AN2" s="9">
        <v>0</v>
      </c>
    </row>
    <row r="3" spans="1:40" x14ac:dyDescent="0.2">
      <c r="A3" s="163" t="s">
        <v>42</v>
      </c>
      <c r="B3" s="164"/>
      <c r="C3" s="133" t="s">
        <v>162</v>
      </c>
      <c r="D3" s="134"/>
      <c r="E3" s="96" t="s">
        <v>108</v>
      </c>
      <c r="F3" s="111" t="s">
        <v>104</v>
      </c>
      <c r="G3" s="141" t="s">
        <v>159</v>
      </c>
      <c r="H3" s="142"/>
      <c r="I3" s="110"/>
      <c r="J3" s="163" t="s">
        <v>154</v>
      </c>
      <c r="K3" s="164"/>
      <c r="L3" s="110">
        <f>(L1/(L2*10000))*100</f>
        <v>0.32095238095238099</v>
      </c>
      <c r="AB3" s="22" t="s">
        <v>57</v>
      </c>
      <c r="AC3" s="13"/>
      <c r="AD3" s="22" t="s">
        <v>71</v>
      </c>
      <c r="AE3" s="13"/>
      <c r="AF3" s="13"/>
      <c r="AG3" s="34" t="s">
        <v>77</v>
      </c>
      <c r="AH3" s="13"/>
      <c r="AI3" s="38" t="s">
        <v>113</v>
      </c>
      <c r="AJ3" s="39">
        <v>1.7</v>
      </c>
      <c r="AK3" s="40">
        <v>6</v>
      </c>
      <c r="AL3" s="41">
        <v>1</v>
      </c>
      <c r="AM3" s="9">
        <v>6.2</v>
      </c>
      <c r="AN3" s="9" t="s">
        <v>112</v>
      </c>
    </row>
    <row r="4" spans="1:40" x14ac:dyDescent="0.2">
      <c r="A4" s="141" t="s">
        <v>0</v>
      </c>
      <c r="B4" s="142"/>
      <c r="C4" s="145" t="s">
        <v>163</v>
      </c>
      <c r="D4" s="146"/>
      <c r="E4" s="99" t="s">
        <v>1</v>
      </c>
      <c r="F4" s="110" t="s">
        <v>165</v>
      </c>
      <c r="G4" s="141"/>
      <c r="H4" s="142"/>
      <c r="I4" s="110"/>
      <c r="J4" s="163"/>
      <c r="K4" s="164"/>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3" t="s">
        <v>47</v>
      </c>
      <c r="B5" s="144"/>
      <c r="C5" s="147" t="s">
        <v>164</v>
      </c>
      <c r="D5" s="148"/>
      <c r="E5" s="112"/>
      <c r="F5" s="108"/>
      <c r="G5" s="143"/>
      <c r="H5" s="144"/>
      <c r="I5" s="108"/>
      <c r="J5" s="167"/>
      <c r="K5" s="168"/>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41" t="s">
        <v>2</v>
      </c>
      <c r="B8" s="142"/>
      <c r="C8" s="11" t="s">
        <v>168</v>
      </c>
      <c r="D8" s="11" t="s">
        <v>169</v>
      </c>
      <c r="E8" s="11" t="s">
        <v>170</v>
      </c>
      <c r="F8" s="11" t="s">
        <v>171</v>
      </c>
      <c r="G8" s="11" t="s">
        <v>172</v>
      </c>
      <c r="H8" s="11"/>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41" t="s">
        <v>3</v>
      </c>
      <c r="B9" s="142"/>
      <c r="C9" s="11" t="s">
        <v>173</v>
      </c>
      <c r="D9" s="11" t="s">
        <v>173</v>
      </c>
      <c r="E9" s="11" t="s">
        <v>173</v>
      </c>
      <c r="F9" s="11" t="s">
        <v>173</v>
      </c>
      <c r="G9" s="11" t="s">
        <v>173</v>
      </c>
      <c r="H9" s="11"/>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41" t="s">
        <v>4</v>
      </c>
      <c r="B10" s="142"/>
      <c r="C10" s="11">
        <v>7.5</v>
      </c>
      <c r="D10" s="11">
        <v>7.5</v>
      </c>
      <c r="E10" s="11">
        <v>7.6</v>
      </c>
      <c r="F10" s="11">
        <v>6.2</v>
      </c>
      <c r="G10" s="11">
        <v>6</v>
      </c>
      <c r="H10" s="11"/>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41" t="s">
        <v>5</v>
      </c>
      <c r="B11" s="142"/>
      <c r="C11" s="11">
        <v>0</v>
      </c>
      <c r="D11" s="11">
        <v>0</v>
      </c>
      <c r="E11" s="11">
        <v>0</v>
      </c>
      <c r="F11" s="11">
        <v>1</v>
      </c>
      <c r="G11" s="11">
        <v>0</v>
      </c>
      <c r="H11" s="11"/>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41" t="s">
        <v>6</v>
      </c>
      <c r="B12" s="142"/>
      <c r="C12" s="11">
        <v>0</v>
      </c>
      <c r="D12" s="11">
        <v>0</v>
      </c>
      <c r="E12" s="11">
        <v>0</v>
      </c>
      <c r="F12" s="11">
        <v>1</v>
      </c>
      <c r="G12" s="11">
        <v>1</v>
      </c>
      <c r="H12" s="11"/>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41" t="s">
        <v>7</v>
      </c>
      <c r="B13" s="142"/>
      <c r="C13" s="11">
        <v>2</v>
      </c>
      <c r="D13" s="11">
        <v>1</v>
      </c>
      <c r="E13" s="11">
        <v>1</v>
      </c>
      <c r="F13" s="11">
        <v>4</v>
      </c>
      <c r="G13" s="11">
        <v>5</v>
      </c>
      <c r="H13" s="11"/>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7" t="s">
        <v>8</v>
      </c>
      <c r="B14" s="158"/>
      <c r="C14" s="82" t="s">
        <v>106</v>
      </c>
      <c r="D14" s="82" t="s">
        <v>106</v>
      </c>
      <c r="E14" s="82" t="s">
        <v>106</v>
      </c>
      <c r="F14" s="82" t="s">
        <v>106</v>
      </c>
      <c r="G14" s="82" t="s">
        <v>106</v>
      </c>
      <c r="H14" s="82"/>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55" t="s">
        <v>9</v>
      </c>
      <c r="B15" s="156"/>
      <c r="C15" s="11">
        <v>5</v>
      </c>
      <c r="D15" s="11">
        <v>5</v>
      </c>
      <c r="E15" s="11">
        <v>5</v>
      </c>
      <c r="F15" s="11">
        <v>5</v>
      </c>
      <c r="G15" s="11">
        <v>5</v>
      </c>
      <c r="H15" s="11"/>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9" t="s">
        <v>44</v>
      </c>
      <c r="B16" s="160"/>
      <c r="C16" s="100" t="s">
        <v>72</v>
      </c>
      <c r="D16" s="100" t="s">
        <v>72</v>
      </c>
      <c r="E16" s="100" t="s">
        <v>72</v>
      </c>
      <c r="F16" s="100" t="s">
        <v>72</v>
      </c>
      <c r="G16" s="100" t="s">
        <v>72</v>
      </c>
      <c r="H16" s="100"/>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46.699744000000003</v>
      </c>
      <c r="D18" s="12">
        <f>$D32</f>
        <v>46.699744000000003</v>
      </c>
      <c r="E18" s="12">
        <f>$D33</f>
        <v>46.699744000000003</v>
      </c>
      <c r="F18" s="12">
        <f>$D34</f>
        <v>46.699744000000003</v>
      </c>
      <c r="G18" s="12">
        <f>$D35</f>
        <v>46.699744000000003</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17.199744000000003</v>
      </c>
      <c r="D19" s="12">
        <f t="shared" ref="D19:V19" si="1">D18-D17</f>
        <v>17.199744000000003</v>
      </c>
      <c r="E19" s="12">
        <f t="shared" si="1"/>
        <v>17.199744000000003</v>
      </c>
      <c r="F19" s="12">
        <f t="shared" si="1"/>
        <v>17.199744000000003</v>
      </c>
      <c r="G19" s="12">
        <f t="shared" si="1"/>
        <v>17.199744000000003</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3.6690563000000007</v>
      </c>
      <c r="D22" s="12">
        <f>$E32</f>
        <v>3.6690563000000007</v>
      </c>
      <c r="E22" s="12">
        <f>$E33</f>
        <v>3.6690563000000007</v>
      </c>
      <c r="F22" s="12">
        <f>$E34</f>
        <v>3.6690563000000007</v>
      </c>
      <c r="G22" s="12">
        <f>$E35</f>
        <v>3.6690563000000007</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-86.330943700000006</v>
      </c>
      <c r="D23" s="12">
        <f t="shared" ref="D23:V23" si="3">D22-D21</f>
        <v>-86.330943700000006</v>
      </c>
      <c r="E23" s="12">
        <f t="shared" si="3"/>
        <v>-86.330943700000006</v>
      </c>
      <c r="F23" s="12">
        <f t="shared" si="3"/>
        <v>-86.330943700000006</v>
      </c>
      <c r="G23" s="12">
        <f t="shared" si="3"/>
        <v>-86.330943700000006</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c r="S27" s="84" t="s">
        <v>55</v>
      </c>
      <c r="T27" s="84"/>
      <c r="U27" s="121"/>
    </row>
    <row r="28" spans="1:40" x14ac:dyDescent="0.25">
      <c r="A28" s="122"/>
      <c r="B28" s="16">
        <v>18.2</v>
      </c>
      <c r="C28" s="11">
        <v>1.05</v>
      </c>
      <c r="D28" s="11">
        <v>0.16</v>
      </c>
      <c r="E28" s="11">
        <v>2.3900000000000001E-2</v>
      </c>
      <c r="F28" s="11">
        <v>202</v>
      </c>
      <c r="G28" s="11">
        <v>21.4</v>
      </c>
      <c r="H28" s="11">
        <v>33.799999999999997</v>
      </c>
      <c r="I28" s="11">
        <v>17</v>
      </c>
      <c r="J28" s="11">
        <v>0.3</v>
      </c>
      <c r="K28" s="15">
        <v>0.27</v>
      </c>
      <c r="L28" s="11">
        <v>14</v>
      </c>
      <c r="M28" s="11">
        <v>11.8</v>
      </c>
      <c r="N28" s="11">
        <v>65500</v>
      </c>
      <c r="O28" s="11">
        <v>2480</v>
      </c>
      <c r="P28" s="11"/>
      <c r="Q28" s="11">
        <v>2120</v>
      </c>
      <c r="R28" s="11"/>
      <c r="S28" s="11">
        <v>24.6</v>
      </c>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v>70</v>
      </c>
      <c r="C31" s="65">
        <f>IF(C$27="%w/w SAR",((C$28*10)*$B31),IF(C$27="%w/w DM",(((C$28*10)*($B$28/100))*$B31),IF(C$27="kg/t SAR",(C$28*$B31),IF(C$27="kg/t DM",((C$28*($B$28/100))*$B31),IF(C$27="mg/kg SAR",((C$28*0.001)*$B31),IF(C$27="mg/kg DM",(((C$28*0.001)*($B$28/100))*$B31),0))))))</f>
        <v>133.77000000000001</v>
      </c>
      <c r="D31" s="65">
        <f>(IF(D$27="%w/w SAR",((D$28*10)*$B31),IF(D$27="%w/w DM",(((D$28*10)*($B$28/100))*$B31),IF(D$27="kg/t SAR",(D$28*$B31),IF(D$27="kg/t DM",((D$28*($B$28/100))*$B31),IF(D$27="mg/kg SAR",((D$28*0.001)*$B31),IF(D$27="mg/kg DM",(((D$28*0.001)*($B$28/100))*$B31),"0")))))))*2.291</f>
        <v>46.699744000000003</v>
      </c>
      <c r="E31" s="65">
        <f>(IF(E$27="%w/w SAR",((E$28*10)*$B31),IF(E$27="%w/w DM",(((E$28*10)*($B$28/100))*$B31),IF(E$27="kg/t SAR",(E$28*$B31),IF(E$27="kg/t DM",((E$28*($B$28/100))*$B31),IF(E$27="mg/kg SAR",((E$28*0.001)*$B31),IF(E$27="mg/kg DM",(((E$28*0.001)*($B$28/100))*$B31),"0")))))))*1.205</f>
        <v>3.6690563000000007</v>
      </c>
      <c r="F31" s="65">
        <f>(IF(F$27="%w/w SAR",((F$28*10)*$B31),IF(F$27="%w/w DM",(((F$28*10)*($B$28/100))*$B31),IF(F$27="kg/t SAR",(F$28*$B31),IF(F$27="kg/t DM",((F$28*($B$28/100))*$B31),IF(F$27="mg/kg SAR",((F$28*0.001)*$B31),IF(F$27="mg/kg DM",(((F$28*0.001)*($B$28/100))*$B31),"0")))))))*1.658</f>
        <v>4.2668298399999998</v>
      </c>
      <c r="G31" s="65">
        <f t="shared" ref="G31:P31" si="5">IF(G$27="%w/w SAR",((G$28*10)*$B31),IF(G$27="%w/w DM",(((G$28*10)*($B$28/100))*$B31),IF(G$27="kg/t SAR",(G$28*$B31),IF(G$27="kg/t DM",((G$28*($B$28/100))*$B31),IF(G$27="mg/kg SAR",((G$28*0.001)*$B31),IF(G$27="mg/kg DM",(((G$28*0.001)*($B$28/100))*$B31),0))))))</f>
        <v>0.27263599999999999</v>
      </c>
      <c r="H31" s="65">
        <f t="shared" si="5"/>
        <v>0.43061199999999994</v>
      </c>
      <c r="I31" s="65">
        <f t="shared" si="5"/>
        <v>0.21657999999999999</v>
      </c>
      <c r="J31" s="65">
        <f t="shared" si="5"/>
        <v>3.8219999999999994E-3</v>
      </c>
      <c r="K31" s="65">
        <f t="shared" si="5"/>
        <v>3.4398000000000002E-3</v>
      </c>
      <c r="L31" s="65">
        <f t="shared" si="5"/>
        <v>0.17835999999999999</v>
      </c>
      <c r="M31" s="65">
        <f t="shared" si="5"/>
        <v>0.15033200000000002</v>
      </c>
      <c r="N31" s="65">
        <f t="shared" si="5"/>
        <v>834.46999999999991</v>
      </c>
      <c r="O31" s="65">
        <f t="shared" si="5"/>
        <v>31.595199999999998</v>
      </c>
      <c r="P31" s="65">
        <f t="shared" si="5"/>
        <v>0</v>
      </c>
      <c r="Q31" s="65">
        <f>(IF(Q$27="%w/w SAR",((Q$28*10)*$B31),IF(Q$27="%w/w DM",(((Q$28*10)*($B$28/100))*$B31),IF(Q$27="kg/t SAR",(Q$28*$B31),IF(Q$27="kg/t DM",((Q$28*($B$28/100))*$B31),IF(Q$27="mg/kg SAR",((Q$28*0.001)*$B31),IF(Q$27="mg/kg DM",(((Q$28*0.001)*($B$28/100))*$B31),0)))))))*2.5</f>
        <v>67.522000000000006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0.31340399999999996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v>70</v>
      </c>
      <c r="C32" s="65">
        <f t="shared" ref="C32:C50" si="6">IF(C$27="%w/w SAR",((C$28*10)*$B32),IF(C$27="%w/w DM",(((C$28*10)*($B$28/100))*$B32),IF(C$27="kg/t SAR",(C$28*$B32),IF(C$27="kg/t DM",((C$28*($B$28/100))*$B32),IF(C$27="mg/kg SAR",((C$28*0.001)*$B32),IF(C$27="mg/kg DM",(((C$28*0.001)*($B$28/100))*$B32),0))))))</f>
        <v>133.77000000000001</v>
      </c>
      <c r="D32" s="65">
        <f t="shared" ref="D32:D50" si="7">(IF(D$27="%w/w SAR",((D$28*10)*$B32),IF(D$27="%w/w DM",(((D$28*10)*($B$28/100))*$B32),IF(D$27="kg/t SAR",(D$28*$B32),IF(D$27="kg/t DM",((D$28*($B$28/100))*$B32),IF(D$27="mg/kg SAR",((D$28*0.001)*$B32),IF(D$27="mg/kg DM",(((D$28*0.001)*($B$28/100))*$B32),"0")))))))*2.291</f>
        <v>46.699744000000003</v>
      </c>
      <c r="E32" s="65">
        <f t="shared" ref="E32:E50" si="8">(IF(E$27="%w/w SAR",((E$28*10)*$B32),IF(E$27="%w/w DM",(((E$28*10)*($B$28/100))*$B32),IF(E$27="kg/t SAR",(E$28*$B32),IF(E$27="kg/t DM",((E$28*($B$28/100))*$B32),IF(E$27="mg/kg SAR",((E$28*0.001)*$B32),IF(E$27="mg/kg DM",(((E$28*0.001)*($B$28/100))*$B32),"0")))))))*1.205</f>
        <v>3.6690563000000007</v>
      </c>
      <c r="F32" s="65">
        <f t="shared" ref="F32:F50" si="9">(IF(F$27="%w/w SAR",((F$28*10)*$B32),IF(F$27="%w/w DM",(((F$28*10)*($B$28/100))*$B32),IF(F$27="kg/t SAR",(F$28*$B32),IF(F$27="kg/t DM",((F$28*($B$28/100))*$B32),IF(F$27="mg/kg SAR",((F$28*0.001)*$B32),IF(F$27="mg/kg DM",(((F$28*0.001)*($B$28/100))*$B32),"0")))))))*1.658</f>
        <v>4.2668298399999998</v>
      </c>
      <c r="G32" s="65">
        <f t="shared" ref="G32:P50" si="10">IF(G$27="%w/w SAR",((G$28*10)*$B32),IF(G$27="%w/w DM",(((G$28*10)*($B$28/100))*$B32),IF(G$27="kg/t SAR",(G$28*$B32),IF(G$27="kg/t DM",((G$28*($B$28/100))*$B32),IF(G$27="mg/kg SAR",((G$28*0.001)*$B32),IF(G$27="mg/kg DM",(((G$28*0.001)*($B$28/100))*$B32),0))))))</f>
        <v>0.27263599999999999</v>
      </c>
      <c r="H32" s="65">
        <f t="shared" si="10"/>
        <v>0.43061199999999994</v>
      </c>
      <c r="I32" s="65">
        <f t="shared" si="10"/>
        <v>0.21657999999999999</v>
      </c>
      <c r="J32" s="65">
        <f t="shared" si="10"/>
        <v>3.8219999999999994E-3</v>
      </c>
      <c r="K32" s="65">
        <f t="shared" si="10"/>
        <v>3.4398000000000002E-3</v>
      </c>
      <c r="L32" s="65">
        <f t="shared" si="10"/>
        <v>0.17835999999999999</v>
      </c>
      <c r="M32" s="65">
        <f t="shared" si="10"/>
        <v>0.15033200000000002</v>
      </c>
      <c r="N32" s="65">
        <f t="shared" si="10"/>
        <v>834.46999999999991</v>
      </c>
      <c r="O32" s="65">
        <f t="shared" si="10"/>
        <v>31.595199999999998</v>
      </c>
      <c r="P32" s="65">
        <f t="shared" si="10"/>
        <v>0</v>
      </c>
      <c r="Q32" s="65">
        <f t="shared" ref="Q32:Q50" si="11">(IF(Q$27="%w/w SAR",((Q$28*10)*$B32),IF(Q$27="%w/w DM",(((Q$28*10)*($B$28/100))*$B32),IF(Q$27="kg/t SAR",(Q$28*$B32),IF(Q$27="kg/t DM",((Q$28*($B$28/100))*$B32),IF(Q$27="mg/kg SAR",((Q$28*0.001)*$B32),IF(Q$27="mg/kg DM",(((Q$28*0.001)*($B$28/100))*$B32),0)))))))*2.5</f>
        <v>67.522000000000006</v>
      </c>
      <c r="R32" s="65">
        <f t="shared" ref="R32:U50" si="12">IF(R$27="%w/w SAR",((R$28*10)*$B32),IF(R$27="%w/w DM",(((R$28*10)*($B$28/100))*$B32),IF(R$27="kg/t SAR",(R$28*$B32),IF(R$27="kg/t DM",((R$28*($B$28/100))*$B32),IF(R$27="mg/kg SAR",((R$28*0.001)*$B32),IF(R$27="mg/kg DM",(((R$28*0.001)*($B$28/100))*$B32),0))))))</f>
        <v>0</v>
      </c>
      <c r="S32" s="65">
        <f t="shared" si="12"/>
        <v>0.31340399999999996</v>
      </c>
      <c r="T32" s="65">
        <f t="shared" si="12"/>
        <v>0</v>
      </c>
      <c r="U32" s="126">
        <f t="shared" si="12"/>
        <v>0</v>
      </c>
    </row>
    <row r="33" spans="1:21" s="48" customFormat="1" x14ac:dyDescent="0.25">
      <c r="A33" s="125" t="str">
        <f>E8</f>
        <v>PF28</v>
      </c>
      <c r="B33" s="11">
        <v>70</v>
      </c>
      <c r="C33" s="65">
        <f t="shared" si="6"/>
        <v>133.77000000000001</v>
      </c>
      <c r="D33" s="65">
        <f t="shared" si="7"/>
        <v>46.699744000000003</v>
      </c>
      <c r="E33" s="65">
        <f t="shared" si="8"/>
        <v>3.6690563000000007</v>
      </c>
      <c r="F33" s="65">
        <f t="shared" si="9"/>
        <v>4.2668298399999998</v>
      </c>
      <c r="G33" s="65">
        <f t="shared" si="10"/>
        <v>0.27263599999999999</v>
      </c>
      <c r="H33" s="65">
        <f t="shared" si="10"/>
        <v>0.43061199999999994</v>
      </c>
      <c r="I33" s="65">
        <f t="shared" si="10"/>
        <v>0.21657999999999999</v>
      </c>
      <c r="J33" s="65">
        <f t="shared" si="10"/>
        <v>3.8219999999999994E-3</v>
      </c>
      <c r="K33" s="65">
        <f t="shared" si="10"/>
        <v>3.4398000000000002E-3</v>
      </c>
      <c r="L33" s="65">
        <f t="shared" si="10"/>
        <v>0.17835999999999999</v>
      </c>
      <c r="M33" s="65">
        <f t="shared" si="10"/>
        <v>0.15033200000000002</v>
      </c>
      <c r="N33" s="65">
        <f t="shared" si="10"/>
        <v>834.46999999999991</v>
      </c>
      <c r="O33" s="65">
        <f t="shared" si="10"/>
        <v>31.595199999999998</v>
      </c>
      <c r="P33" s="65">
        <f t="shared" si="10"/>
        <v>0</v>
      </c>
      <c r="Q33" s="65">
        <f t="shared" si="11"/>
        <v>67.522000000000006</v>
      </c>
      <c r="R33" s="65">
        <f t="shared" si="12"/>
        <v>0</v>
      </c>
      <c r="S33" s="65">
        <f t="shared" si="12"/>
        <v>0.31340399999999996</v>
      </c>
      <c r="T33" s="65">
        <f t="shared" si="12"/>
        <v>0</v>
      </c>
      <c r="U33" s="126">
        <f t="shared" si="12"/>
        <v>0</v>
      </c>
    </row>
    <row r="34" spans="1:21" s="48" customFormat="1" x14ac:dyDescent="0.25">
      <c r="A34" s="125" t="str">
        <f>F8</f>
        <v>CC1</v>
      </c>
      <c r="B34" s="11">
        <v>70</v>
      </c>
      <c r="C34" s="65">
        <f t="shared" si="6"/>
        <v>133.77000000000001</v>
      </c>
      <c r="D34" s="65">
        <f t="shared" si="7"/>
        <v>46.699744000000003</v>
      </c>
      <c r="E34" s="65">
        <f t="shared" si="8"/>
        <v>3.6690563000000007</v>
      </c>
      <c r="F34" s="65">
        <f t="shared" si="9"/>
        <v>4.2668298399999998</v>
      </c>
      <c r="G34" s="65">
        <f t="shared" si="10"/>
        <v>0.27263599999999999</v>
      </c>
      <c r="H34" s="65">
        <f t="shared" si="10"/>
        <v>0.43061199999999994</v>
      </c>
      <c r="I34" s="65">
        <f t="shared" si="10"/>
        <v>0.21657999999999999</v>
      </c>
      <c r="J34" s="65">
        <f t="shared" si="10"/>
        <v>3.8219999999999994E-3</v>
      </c>
      <c r="K34" s="65">
        <f t="shared" si="10"/>
        <v>3.4398000000000002E-3</v>
      </c>
      <c r="L34" s="65">
        <f t="shared" si="10"/>
        <v>0.17835999999999999</v>
      </c>
      <c r="M34" s="65">
        <f t="shared" si="10"/>
        <v>0.15033200000000002</v>
      </c>
      <c r="N34" s="65">
        <f t="shared" si="10"/>
        <v>834.46999999999991</v>
      </c>
      <c r="O34" s="65">
        <f t="shared" si="10"/>
        <v>31.595199999999998</v>
      </c>
      <c r="P34" s="65">
        <f t="shared" si="10"/>
        <v>0</v>
      </c>
      <c r="Q34" s="65">
        <f t="shared" si="11"/>
        <v>67.522000000000006</v>
      </c>
      <c r="R34" s="65">
        <f t="shared" si="12"/>
        <v>0</v>
      </c>
      <c r="S34" s="65">
        <f t="shared" si="12"/>
        <v>0.31340399999999996</v>
      </c>
      <c r="T34" s="65">
        <f t="shared" si="12"/>
        <v>0</v>
      </c>
      <c r="U34" s="126">
        <f t="shared" si="12"/>
        <v>0</v>
      </c>
    </row>
    <row r="35" spans="1:21" s="48" customFormat="1" x14ac:dyDescent="0.25">
      <c r="A35" s="125" t="str">
        <f>G8</f>
        <v>CC7</v>
      </c>
      <c r="B35" s="11">
        <v>70</v>
      </c>
      <c r="C35" s="65">
        <f t="shared" si="6"/>
        <v>133.77000000000001</v>
      </c>
      <c r="D35" s="65">
        <f t="shared" si="7"/>
        <v>46.699744000000003</v>
      </c>
      <c r="E35" s="65">
        <f t="shared" si="8"/>
        <v>3.6690563000000007</v>
      </c>
      <c r="F35" s="65">
        <f t="shared" si="9"/>
        <v>4.2668298399999998</v>
      </c>
      <c r="G35" s="65">
        <f t="shared" si="10"/>
        <v>0.27263599999999999</v>
      </c>
      <c r="H35" s="65">
        <f t="shared" si="10"/>
        <v>0.43061199999999994</v>
      </c>
      <c r="I35" s="65">
        <f t="shared" si="10"/>
        <v>0.21657999999999999</v>
      </c>
      <c r="J35" s="65">
        <f t="shared" si="10"/>
        <v>3.8219999999999994E-3</v>
      </c>
      <c r="K35" s="65">
        <f t="shared" si="10"/>
        <v>3.4398000000000002E-3</v>
      </c>
      <c r="L35" s="65">
        <f t="shared" si="10"/>
        <v>0.17835999999999999</v>
      </c>
      <c r="M35" s="65">
        <f t="shared" si="10"/>
        <v>0.15033200000000002</v>
      </c>
      <c r="N35" s="65">
        <f t="shared" si="10"/>
        <v>834.46999999999991</v>
      </c>
      <c r="O35" s="65">
        <f t="shared" si="10"/>
        <v>31.595199999999998</v>
      </c>
      <c r="P35" s="65">
        <f t="shared" si="10"/>
        <v>0</v>
      </c>
      <c r="Q35" s="65">
        <f t="shared" si="11"/>
        <v>67.522000000000006</v>
      </c>
      <c r="R35" s="65">
        <f t="shared" si="12"/>
        <v>0</v>
      </c>
      <c r="S35" s="65">
        <f t="shared" si="12"/>
        <v>0.31340399999999996</v>
      </c>
      <c r="T35" s="65">
        <f t="shared" si="12"/>
        <v>0</v>
      </c>
      <c r="U35" s="126">
        <f t="shared" si="12"/>
        <v>0</v>
      </c>
    </row>
    <row r="36" spans="1:21" s="48" customFormat="1" x14ac:dyDescent="0.25">
      <c r="A36" s="125">
        <f>H8</f>
        <v>0</v>
      </c>
      <c r="B36" s="11"/>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x14ac:dyDescent="0.2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x14ac:dyDescent="0.2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x14ac:dyDescent="0.2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x14ac:dyDescent="0.2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x14ac:dyDescent="0.2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x14ac:dyDescent="0.2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t="e">
        <f>VLOOKUP(H$14,Table24[],5,FALSE)</f>
        <v>#N/A</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70</v>
      </c>
      <c r="C62" s="65">
        <f>B32</f>
        <v>70</v>
      </c>
      <c r="D62" s="65">
        <f>B33</f>
        <v>70</v>
      </c>
      <c r="E62" s="65">
        <f>B34</f>
        <v>70</v>
      </c>
      <c r="F62" s="65">
        <f>B35</f>
        <v>70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34" sqref="D3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v>6.7</v>
      </c>
      <c r="J1" s="161" t="s">
        <v>153</v>
      </c>
      <c r="K1" s="162"/>
      <c r="L1" s="109">
        <v>169</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t="s">
        <v>167</v>
      </c>
      <c r="G2" s="139" t="s">
        <v>110</v>
      </c>
      <c r="H2" s="140"/>
      <c r="I2" s="110"/>
      <c r="J2" s="141" t="s">
        <v>158</v>
      </c>
      <c r="K2" s="142"/>
      <c r="L2" s="110">
        <v>1.1599999999999999</v>
      </c>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t="s">
        <v>78</v>
      </c>
      <c r="G3" s="141" t="s">
        <v>159</v>
      </c>
      <c r="H3" s="142"/>
      <c r="I3" s="110"/>
      <c r="J3" s="163" t="s">
        <v>154</v>
      </c>
      <c r="K3" s="164"/>
      <c r="L3" s="110">
        <f>(L1/(L2*10000))*100</f>
        <v>1.4568965517241379</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t="s">
        <v>166</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66.347360000000009</v>
      </c>
      <c r="D18" s="12">
        <f>$D32</f>
        <v>66.347360000000009</v>
      </c>
      <c r="E18" s="12">
        <f>$D33</f>
        <v>66.347360000000009</v>
      </c>
      <c r="F18" s="12">
        <f>$D34</f>
        <v>66.347360000000009</v>
      </c>
      <c r="G18" s="12">
        <f>$D35</f>
        <v>66.347360000000009</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36.847360000000009</v>
      </c>
      <c r="D19" s="12">
        <f t="shared" ref="D19:V19" si="1">D18-D17</f>
        <v>36.847360000000009</v>
      </c>
      <c r="E19" s="12">
        <f t="shared" si="1"/>
        <v>36.847360000000009</v>
      </c>
      <c r="F19" s="12">
        <f t="shared" si="1"/>
        <v>36.847360000000009</v>
      </c>
      <c r="G19" s="12">
        <f t="shared" si="1"/>
        <v>36.847360000000009</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5.2018042500000012</v>
      </c>
      <c r="D22" s="12">
        <f>$E32</f>
        <v>5.2018042500000012</v>
      </c>
      <c r="E22" s="12">
        <f>$E33</f>
        <v>5.2018042500000012</v>
      </c>
      <c r="F22" s="12">
        <f>$E34</f>
        <v>5.2018042500000012</v>
      </c>
      <c r="G22" s="12">
        <f>$E35</f>
        <v>5.2018042500000012</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-84.798195750000005</v>
      </c>
      <c r="D23" s="12">
        <f t="shared" ref="D23:V23" si="3">D22-D21</f>
        <v>-84.798195750000005</v>
      </c>
      <c r="E23" s="12">
        <f t="shared" si="3"/>
        <v>-84.798195750000005</v>
      </c>
      <c r="F23" s="12">
        <f t="shared" si="3"/>
        <v>-84.798195750000005</v>
      </c>
      <c r="G23" s="12">
        <f t="shared" si="3"/>
        <v>-84.798195750000005</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3.62</v>
      </c>
      <c r="C28" s="11">
        <v>1.1599999999999999</v>
      </c>
      <c r="D28" s="11">
        <v>0.32</v>
      </c>
      <c r="E28" s="11">
        <v>4.7699999999999999E-2</v>
      </c>
      <c r="F28" s="11">
        <v>504</v>
      </c>
      <c r="G28" s="11">
        <v>42.8</v>
      </c>
      <c r="H28" s="11">
        <v>67.400000000000006</v>
      </c>
      <c r="I28" s="11">
        <v>34</v>
      </c>
      <c r="J28" s="11">
        <v>0.69</v>
      </c>
      <c r="K28" s="15">
        <v>0.55000000000000004</v>
      </c>
      <c r="L28" s="11">
        <v>28</v>
      </c>
      <c r="M28" s="11">
        <v>23.6</v>
      </c>
      <c r="N28" s="11">
        <v>162000</v>
      </c>
      <c r="O28" s="11">
        <v>5570</v>
      </c>
      <c r="P28" s="11"/>
      <c r="Q28" s="11">
        <v>5000</v>
      </c>
      <c r="R28" s="11"/>
      <c r="S28" s="11">
        <v>62.1</v>
      </c>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v>250</v>
      </c>
      <c r="C31" s="65">
        <f>IF(C$27="%w/w SAR",((C$28*10)*$B31),IF(C$27="%w/w DM",(((C$28*10)*($B$28/100))*$B31),IF(C$27="kg/t SAR",(C$28*$B31),IF(C$27="kg/t DM",((C$28*($B$28/100))*$B31),IF(C$27="mg/kg SAR",((C$28*0.001)*$B31),IF(C$27="mg/kg DM",(((C$28*0.001)*($B$28/100))*$B31),0))))))</f>
        <v>104.98</v>
      </c>
      <c r="D31" s="65">
        <f>(IF(D$27="%w/w SAR",((D$28*10)*$B31),IF(D$27="%w/w DM",(((D$28*10)*($B$28/100))*$B31),IF(D$27="kg/t SAR",(D$28*$B31),IF(D$27="kg/t DM",((D$28*($B$28/100))*$B31),IF(D$27="mg/kg SAR",((D$28*0.001)*$B31),IF(D$27="mg/kg DM",(((D$28*0.001)*($B$28/100))*$B31),"0")))))))*2.291</f>
        <v>66.347360000000009</v>
      </c>
      <c r="E31" s="65">
        <f>(IF(E$27="%w/w SAR",((E$28*10)*$B31),IF(E$27="%w/w DM",(((E$28*10)*($B$28/100))*$B31),IF(E$27="kg/t SAR",(E$28*$B31),IF(E$27="kg/t DM",((E$28*($B$28/100))*$B31),IF(E$27="mg/kg SAR",((E$28*0.001)*$B31),IF(E$27="mg/kg DM",(((E$28*0.001)*($B$28/100))*$B31),"0")))))))*1.205</f>
        <v>5.2018042500000012</v>
      </c>
      <c r="F31" s="65">
        <f>(IF(F$27="%w/w SAR",((F$28*10)*$B31),IF(F$27="%w/w DM",(((F$28*10)*($B$28/100))*$B31),IF(F$27="kg/t SAR",(F$28*$B31),IF(F$27="kg/t DM",((F$28*($B$28/100))*$B31),IF(F$27="mg/kg SAR",((F$28*0.001)*$B31),IF(F$27="mg/kg DM",(((F$28*0.001)*($B$28/100))*$B31),"0")))))))*1.658</f>
        <v>7.5624696</v>
      </c>
      <c r="G31" s="65">
        <f t="shared" ref="G31:P46" si="5">IF(G$27="%w/w SAR",((G$28*10)*$B31),IF(G$27="%w/w DM",(((G$28*10)*($B$28/100))*$B31),IF(G$27="kg/t SAR",(G$28*$B31),IF(G$27="kg/t DM",((G$28*($B$28/100))*$B31),IF(G$27="mg/kg SAR",((G$28*0.001)*$B31),IF(G$27="mg/kg DM",(((G$28*0.001)*($B$28/100))*$B31),0))))))</f>
        <v>0.38734000000000002</v>
      </c>
      <c r="H31" s="65">
        <f t="shared" si="5"/>
        <v>0.60997000000000001</v>
      </c>
      <c r="I31" s="65">
        <f t="shared" si="5"/>
        <v>0.30770000000000003</v>
      </c>
      <c r="J31" s="65">
        <f t="shared" si="5"/>
        <v>6.2445000000000001E-3</v>
      </c>
      <c r="K31" s="65">
        <f t="shared" si="5"/>
        <v>4.977500000000001E-3</v>
      </c>
      <c r="L31" s="65">
        <f t="shared" si="5"/>
        <v>0.25340000000000001</v>
      </c>
      <c r="M31" s="65">
        <f t="shared" si="5"/>
        <v>0.21358000000000005</v>
      </c>
      <c r="N31" s="65">
        <f t="shared" si="5"/>
        <v>1466.1000000000001</v>
      </c>
      <c r="O31" s="65">
        <f t="shared" si="5"/>
        <v>50.408500000000011</v>
      </c>
      <c r="P31" s="65">
        <f t="shared" si="5"/>
        <v>0</v>
      </c>
      <c r="Q31" s="65">
        <f>(IF(Q$27="%w/w SAR",((Q$28*10)*$B31),IF(Q$27="%w/w DM",(((Q$28*10)*($B$28/100))*$B31),IF(Q$27="kg/t SAR",(Q$28*$B31),IF(Q$27="kg/t DM",((Q$28*($B$28/100))*$B31),IF(Q$27="mg/kg SAR",((Q$28*0.001)*$B31),IF(Q$27="mg/kg DM",(((Q$28*0.001)*($B$28/100))*$B31),0)))))))*2.5</f>
        <v>113.12500000000001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0.56200500000000009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v>250</v>
      </c>
      <c r="C32" s="65">
        <f t="shared" ref="C32:C50" si="6">IF(C$27="%w/w SAR",((C$28*10)*$B32),IF(C$27="%w/w DM",(((C$28*10)*($B$28/100))*$B32),IF(C$27="kg/t SAR",(C$28*$B32),IF(C$27="kg/t DM",((C$28*($B$28/100))*$B32),IF(C$27="mg/kg SAR",((C$28*0.001)*$B32),IF(C$27="mg/kg DM",(((C$28*0.001)*($B$28/100))*$B32),0))))))</f>
        <v>104.98</v>
      </c>
      <c r="D32" s="65">
        <f t="shared" ref="D32:D50" si="7">(IF(D$27="%w/w SAR",((D$28*10)*$B32),IF(D$27="%w/w DM",(((D$28*10)*($B$28/100))*$B32),IF(D$27="kg/t SAR",(D$28*$B32),IF(D$27="kg/t DM",((D$28*($B$28/100))*$B32),IF(D$27="mg/kg SAR",((D$28*0.001)*$B32),IF(D$27="mg/kg DM",(((D$28*0.001)*($B$28/100))*$B32),"0")))))))*2.291</f>
        <v>66.347360000000009</v>
      </c>
      <c r="E32" s="65">
        <f t="shared" ref="E32:E50" si="8">(IF(E$27="%w/w SAR",((E$28*10)*$B32),IF(E$27="%w/w DM",(((E$28*10)*($B$28/100))*$B32),IF(E$27="kg/t SAR",(E$28*$B32),IF(E$27="kg/t DM",((E$28*($B$28/100))*$B32),IF(E$27="mg/kg SAR",((E$28*0.001)*$B32),IF(E$27="mg/kg DM",(((E$28*0.001)*($B$28/100))*$B32),"0")))))))*1.205</f>
        <v>5.2018042500000012</v>
      </c>
      <c r="F32" s="65">
        <f t="shared" ref="F32:F50" si="9">(IF(F$27="%w/w SAR",((F$28*10)*$B32),IF(F$27="%w/w DM",(((F$28*10)*($B$28/100))*$B32),IF(F$27="kg/t SAR",(F$28*$B32),IF(F$27="kg/t DM",((F$28*($B$28/100))*$B32),IF(F$27="mg/kg SAR",((F$28*0.001)*$B32),IF(F$27="mg/kg DM",(((F$28*0.001)*($B$28/100))*$B32),"0")))))))*1.658</f>
        <v>7.5624696</v>
      </c>
      <c r="G32" s="65">
        <f t="shared" si="5"/>
        <v>0.38734000000000002</v>
      </c>
      <c r="H32" s="65">
        <f t="shared" si="5"/>
        <v>0.60997000000000001</v>
      </c>
      <c r="I32" s="65">
        <f t="shared" si="5"/>
        <v>0.30770000000000003</v>
      </c>
      <c r="J32" s="65">
        <f t="shared" si="5"/>
        <v>6.2445000000000001E-3</v>
      </c>
      <c r="K32" s="65">
        <f t="shared" si="5"/>
        <v>4.977500000000001E-3</v>
      </c>
      <c r="L32" s="65">
        <f t="shared" si="5"/>
        <v>0.25340000000000001</v>
      </c>
      <c r="M32" s="65">
        <f t="shared" si="5"/>
        <v>0.21358000000000005</v>
      </c>
      <c r="N32" s="65">
        <f t="shared" si="5"/>
        <v>1466.1000000000001</v>
      </c>
      <c r="O32" s="65">
        <f t="shared" si="5"/>
        <v>50.408500000000011</v>
      </c>
      <c r="P32" s="65">
        <f t="shared" si="5"/>
        <v>0</v>
      </c>
      <c r="Q32" s="65">
        <f t="shared" ref="Q32:Q50" si="10">(IF(Q$27="%w/w SAR",((Q$28*10)*$B32),IF(Q$27="%w/w DM",(((Q$28*10)*($B$28/100))*$B32),IF(Q$27="kg/t SAR",(Q$28*$B32),IF(Q$27="kg/t DM",((Q$28*($B$28/100))*$B32),IF(Q$27="mg/kg SAR",((Q$28*0.001)*$B32),IF(Q$27="mg/kg DM",(((Q$28*0.001)*($B$28/100))*$B32),0)))))))*2.5</f>
        <v>113.12500000000001</v>
      </c>
      <c r="R32" s="65">
        <f t="shared" ref="R32:U50" si="11">IF(R$27="%w/w SAR",((R$28*10)*$B32),IF(R$27="%w/w DM",(((R$28*10)*($B$28/100))*$B32),IF(R$27="kg/t SAR",(R$28*$B32),IF(R$27="kg/t DM",((R$28*($B$28/100))*$B32),IF(R$27="mg/kg SAR",((R$28*0.001)*$B32),IF(R$27="mg/kg DM",(((R$28*0.001)*($B$28/100))*$B32),0))))))</f>
        <v>0</v>
      </c>
      <c r="S32" s="65">
        <f t="shared" si="11"/>
        <v>0.56200500000000009</v>
      </c>
      <c r="T32" s="65">
        <f t="shared" si="11"/>
        <v>0</v>
      </c>
      <c r="U32" s="126">
        <f t="shared" si="11"/>
        <v>0</v>
      </c>
    </row>
    <row r="33" spans="1:21" s="48" customFormat="1" x14ac:dyDescent="0.25">
      <c r="A33" s="125" t="str">
        <f>E8</f>
        <v>PF28</v>
      </c>
      <c r="B33" s="11">
        <v>250</v>
      </c>
      <c r="C33" s="65">
        <f t="shared" si="6"/>
        <v>104.98</v>
      </c>
      <c r="D33" s="65">
        <f t="shared" si="7"/>
        <v>66.347360000000009</v>
      </c>
      <c r="E33" s="65">
        <f t="shared" si="8"/>
        <v>5.2018042500000012</v>
      </c>
      <c r="F33" s="65">
        <f t="shared" si="9"/>
        <v>7.5624696</v>
      </c>
      <c r="G33" s="65">
        <f t="shared" si="5"/>
        <v>0.38734000000000002</v>
      </c>
      <c r="H33" s="65">
        <f t="shared" si="5"/>
        <v>0.60997000000000001</v>
      </c>
      <c r="I33" s="65">
        <f t="shared" si="5"/>
        <v>0.30770000000000003</v>
      </c>
      <c r="J33" s="65">
        <f t="shared" si="5"/>
        <v>6.2445000000000001E-3</v>
      </c>
      <c r="K33" s="65">
        <f t="shared" si="5"/>
        <v>4.977500000000001E-3</v>
      </c>
      <c r="L33" s="65">
        <f t="shared" si="5"/>
        <v>0.25340000000000001</v>
      </c>
      <c r="M33" s="65">
        <f t="shared" si="5"/>
        <v>0.21358000000000005</v>
      </c>
      <c r="N33" s="65">
        <f t="shared" si="5"/>
        <v>1466.1000000000001</v>
      </c>
      <c r="O33" s="65">
        <f t="shared" si="5"/>
        <v>50.408500000000011</v>
      </c>
      <c r="P33" s="65">
        <f t="shared" si="5"/>
        <v>0</v>
      </c>
      <c r="Q33" s="65">
        <f t="shared" si="10"/>
        <v>113.12500000000001</v>
      </c>
      <c r="R33" s="65">
        <f t="shared" si="11"/>
        <v>0</v>
      </c>
      <c r="S33" s="65">
        <f t="shared" si="11"/>
        <v>0.56200500000000009</v>
      </c>
      <c r="T33" s="65">
        <f t="shared" si="11"/>
        <v>0</v>
      </c>
      <c r="U33" s="126">
        <f t="shared" si="11"/>
        <v>0</v>
      </c>
    </row>
    <row r="34" spans="1:21" s="48" customFormat="1" x14ac:dyDescent="0.25">
      <c r="A34" s="125" t="str">
        <f>F8</f>
        <v>CC1</v>
      </c>
      <c r="B34" s="11">
        <v>250</v>
      </c>
      <c r="C34" s="65">
        <f t="shared" si="6"/>
        <v>104.98</v>
      </c>
      <c r="D34" s="65">
        <f t="shared" si="7"/>
        <v>66.347360000000009</v>
      </c>
      <c r="E34" s="65">
        <f t="shared" si="8"/>
        <v>5.2018042500000012</v>
      </c>
      <c r="F34" s="65">
        <f t="shared" si="9"/>
        <v>7.5624696</v>
      </c>
      <c r="G34" s="65">
        <f t="shared" si="5"/>
        <v>0.38734000000000002</v>
      </c>
      <c r="H34" s="65">
        <f t="shared" si="5"/>
        <v>0.60997000000000001</v>
      </c>
      <c r="I34" s="65">
        <f t="shared" si="5"/>
        <v>0.30770000000000003</v>
      </c>
      <c r="J34" s="65">
        <f t="shared" si="5"/>
        <v>6.2445000000000001E-3</v>
      </c>
      <c r="K34" s="65">
        <f t="shared" si="5"/>
        <v>4.977500000000001E-3</v>
      </c>
      <c r="L34" s="65">
        <f t="shared" si="5"/>
        <v>0.25340000000000001</v>
      </c>
      <c r="M34" s="65">
        <f t="shared" si="5"/>
        <v>0.21358000000000005</v>
      </c>
      <c r="N34" s="65">
        <f t="shared" si="5"/>
        <v>1466.1000000000001</v>
      </c>
      <c r="O34" s="65">
        <f t="shared" si="5"/>
        <v>50.408500000000011</v>
      </c>
      <c r="P34" s="65">
        <f t="shared" si="5"/>
        <v>0</v>
      </c>
      <c r="Q34" s="65">
        <f t="shared" si="10"/>
        <v>113.12500000000001</v>
      </c>
      <c r="R34" s="65">
        <f t="shared" si="11"/>
        <v>0</v>
      </c>
      <c r="S34" s="65">
        <f t="shared" si="11"/>
        <v>0.56200500000000009</v>
      </c>
      <c r="T34" s="65">
        <f t="shared" si="11"/>
        <v>0</v>
      </c>
      <c r="U34" s="126">
        <f t="shared" si="11"/>
        <v>0</v>
      </c>
    </row>
    <row r="35" spans="1:21" s="48" customFormat="1" x14ac:dyDescent="0.25">
      <c r="A35" s="125" t="str">
        <f>G8</f>
        <v>CC7</v>
      </c>
      <c r="B35" s="11">
        <v>250</v>
      </c>
      <c r="C35" s="65">
        <f t="shared" si="6"/>
        <v>104.98</v>
      </c>
      <c r="D35" s="65">
        <f t="shared" si="7"/>
        <v>66.347360000000009</v>
      </c>
      <c r="E35" s="65">
        <f t="shared" si="8"/>
        <v>5.2018042500000012</v>
      </c>
      <c r="F35" s="65">
        <f t="shared" si="9"/>
        <v>7.5624696</v>
      </c>
      <c r="G35" s="65">
        <f t="shared" si="5"/>
        <v>0.38734000000000002</v>
      </c>
      <c r="H35" s="65">
        <f t="shared" si="5"/>
        <v>0.60997000000000001</v>
      </c>
      <c r="I35" s="65">
        <f t="shared" si="5"/>
        <v>0.30770000000000003</v>
      </c>
      <c r="J35" s="65">
        <f t="shared" si="5"/>
        <v>6.2445000000000001E-3</v>
      </c>
      <c r="K35" s="65">
        <f t="shared" si="5"/>
        <v>4.977500000000001E-3</v>
      </c>
      <c r="L35" s="65">
        <f t="shared" si="5"/>
        <v>0.25340000000000001</v>
      </c>
      <c r="M35" s="65">
        <f t="shared" si="5"/>
        <v>0.21358000000000005</v>
      </c>
      <c r="N35" s="65">
        <f t="shared" si="5"/>
        <v>1466.1000000000001</v>
      </c>
      <c r="O35" s="65">
        <f t="shared" si="5"/>
        <v>50.408500000000011</v>
      </c>
      <c r="P35" s="65">
        <f t="shared" si="5"/>
        <v>0</v>
      </c>
      <c r="Q35" s="65">
        <f t="shared" si="10"/>
        <v>113.12500000000001</v>
      </c>
      <c r="R35" s="65">
        <f t="shared" si="11"/>
        <v>0</v>
      </c>
      <c r="S35" s="65">
        <f t="shared" si="11"/>
        <v>0.56200500000000009</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t="e">
        <f>VLOOKUP(H$14,Table245[],5,FALSE)</f>
        <v>#N/A</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(VLOOKUP(D$14,$AI2:$AK24,3,FALSE))*D$15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t="e">
        <f>VLOOKUP(H$14,Table245811[],5,FALSE)</f>
        <v>#N/A</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t="e">
        <f>VLOOKUP(H$14,Table24581112[],5,FALSE)</f>
        <v>#N/A</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t="e">
        <f>VLOOKUP(H$14,Table24581114[],5,FALSE)</f>
        <v>#N/A</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t="e">
        <f>VLOOKUP(H$14,Table245810[],5,FALSE)</f>
        <v>#N/A</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e">
        <f>H16&amp;" I "&amp;(VLOOKUP(H14,Table2458[],6,FALSE))</f>
        <v>#N/A</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t="e">
        <f>VLOOKUP(H$14,Table2458[],5,FALSE)</f>
        <v>#N/A</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e">
        <f>H16&amp;" I "&amp;(VLOOKUP(H14,Table24581113[],6,FALSE))</f>
        <v>#N/A</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t="e">
        <f>VLOOKUP(H$14,Table24581113[],5,FALSE)</f>
        <v>#N/A</v>
      </c>
      <c r="H59" s="64" t="e">
        <f>VLOOKUP(I$14,Table24581113[],5,FALSE)</f>
        <v>#N/A</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e">
        <f>H16&amp;" I "&amp;(VLOOKUP(H14,Table24567[],6,FALSE))</f>
        <v>#N/A</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t="e">
        <f>VLOOKUP(H$14,Table24567[],5,FALSE)</f>
        <v>#N/A</v>
      </c>
      <c r="H59" s="64" t="e">
        <f>VLOOKUP(I$14,Table24567[],5,FALSE)</f>
        <v>#N/A</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PF26</v>
      </c>
      <c r="D8" s="49" t="str">
        <f>'PONTSTICILL sludge cake'!D8</f>
        <v>PF27</v>
      </c>
      <c r="E8" s="49" t="str">
        <f>'PONTSTICILL sludge cake'!E8</f>
        <v>PF28</v>
      </c>
      <c r="F8" s="49" t="str">
        <f>'PONTSTICILL sludge cake'!F8</f>
        <v>CC1</v>
      </c>
      <c r="G8" s="49" t="str">
        <f>'PONTSTICILL sludge cake'!G8</f>
        <v>CC7</v>
      </c>
      <c r="H8" s="49">
        <f>'PONTSTICILL sludge cake'!H8</f>
        <v>0</v>
      </c>
      <c r="I8" s="49">
        <f>'PONTSTICILL sludge cake'!I8</f>
        <v>0</v>
      </c>
      <c r="J8" s="49">
        <f>'PONTSTICILL sludge cake'!J8</f>
        <v>0</v>
      </c>
      <c r="K8" s="49">
        <f>'PONTSTICILL sludge cake'!K8</f>
        <v>0</v>
      </c>
      <c r="L8" s="49">
        <f>'PONTSTICILL sludge cake'!L8</f>
        <v>0</v>
      </c>
      <c r="M8" s="49">
        <f>'PONTSTICILL sludge cake'!M8</f>
        <v>0</v>
      </c>
      <c r="N8" s="49">
        <f>'PONTSTICILL sludge cake'!N8</f>
        <v>0</v>
      </c>
      <c r="O8" s="49">
        <f>'PONTSTICILL sludge cake'!O8</f>
        <v>0</v>
      </c>
      <c r="P8" s="49">
        <f>'PONTSTICILL sludge cake'!P8</f>
        <v>0</v>
      </c>
      <c r="Q8" s="49">
        <f>'PONTSTICILL sludge cake'!Q8</f>
        <v>0</v>
      </c>
      <c r="R8" s="49">
        <f>'PONTSTICILL sludge cake'!R8</f>
        <v>0</v>
      </c>
      <c r="S8" s="49">
        <f>'PONTSTICILL sludge cake'!S8</f>
        <v>0</v>
      </c>
      <c r="T8" s="49">
        <f>'PONTSTICILL sludge cake'!T8</f>
        <v>0</v>
      </c>
      <c r="U8" s="49">
        <f>'PONTSTICILL sludge cake'!U8</f>
        <v>0</v>
      </c>
      <c r="V8" s="102">
        <f>'PONTSTICILL sludge cake'!V8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f>'PONTSTICILL sludge cake'!H9</f>
        <v>0</v>
      </c>
      <c r="I9" s="49">
        <f>'PONTSTICILL sludge cake'!I9</f>
        <v>0</v>
      </c>
      <c r="J9" s="49">
        <f>'PONTSTICILL sludge cake'!J9</f>
        <v>0</v>
      </c>
      <c r="K9" s="49">
        <f>'PONTSTICILL sludge cake'!K9</f>
        <v>0</v>
      </c>
      <c r="L9" s="49">
        <f>'PONTSTICILL sludge cake'!L9</f>
        <v>0</v>
      </c>
      <c r="M9" s="49">
        <f>'PONTSTICILL sludge cake'!M9</f>
        <v>0</v>
      </c>
      <c r="N9" s="49">
        <f>'PONTSTICILL sludge cake'!N9</f>
        <v>0</v>
      </c>
      <c r="O9" s="49">
        <f>'PONTSTICILL sludge cake'!O9</f>
        <v>0</v>
      </c>
      <c r="P9" s="49">
        <f>'PONTSTICILL sludge cake'!P9</f>
        <v>0</v>
      </c>
      <c r="Q9" s="49">
        <f>'PONTSTICILL sludge cake'!Q9</f>
        <v>0</v>
      </c>
      <c r="R9" s="49">
        <f>'PONTSTICILL sludge cake'!R9</f>
        <v>0</v>
      </c>
      <c r="S9" s="49">
        <f>'PONTSTICILL sludge cake'!S9</f>
        <v>0</v>
      </c>
      <c r="T9" s="49">
        <f>'PONTSTICILL sludge cake'!T9</f>
        <v>0</v>
      </c>
      <c r="U9" s="49">
        <f>'PONTSTICILL sludge cake'!U9</f>
        <v>0</v>
      </c>
      <c r="V9" s="102">
        <f>'PONTSTICILL sludge cake'!V9</f>
        <v>0</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7.5</v>
      </c>
      <c r="D10" s="49">
        <f>'PONTSTICILL sludge cake'!D10</f>
        <v>7.5</v>
      </c>
      <c r="E10" s="49">
        <f>'PONTSTICILL sludge cake'!E10</f>
        <v>7.6</v>
      </c>
      <c r="F10" s="49">
        <f>'PONTSTICILL sludge cake'!F10</f>
        <v>6.2</v>
      </c>
      <c r="G10" s="49">
        <f>'PONTSTICILL sludge cake'!G10</f>
        <v>6</v>
      </c>
      <c r="H10" s="49">
        <f>'PONTSTICILL sludge cake'!H10</f>
        <v>0</v>
      </c>
      <c r="I10" s="49">
        <f>'PONTSTICILL sludge cake'!I10</f>
        <v>0</v>
      </c>
      <c r="J10" s="49">
        <f>'PONTSTICILL sludge cake'!J10</f>
        <v>0</v>
      </c>
      <c r="K10" s="49">
        <f>'PONTSTICILL sludge cake'!K10</f>
        <v>0</v>
      </c>
      <c r="L10" s="49">
        <f>'PONTSTICILL sludge cake'!L10</f>
        <v>0</v>
      </c>
      <c r="M10" s="49">
        <f>'PONTSTICILL sludge cake'!M10</f>
        <v>0</v>
      </c>
      <c r="N10" s="49">
        <f>'PONTSTICILL sludge cake'!N10</f>
        <v>0</v>
      </c>
      <c r="O10" s="49">
        <f>'PONTSTICILL sludge cake'!O10</f>
        <v>0</v>
      </c>
      <c r="P10" s="49">
        <f>'PONTSTICILL sludge cake'!P10</f>
        <v>0</v>
      </c>
      <c r="Q10" s="49">
        <f>'PONTSTICILL sludge cake'!Q10</f>
        <v>0</v>
      </c>
      <c r="R10" s="49">
        <f>'PONTSTICILL sludge cake'!R10</f>
        <v>0</v>
      </c>
      <c r="S10" s="49">
        <f>'PONTSTICILL sludge cake'!S10</f>
        <v>0</v>
      </c>
      <c r="T10" s="49">
        <f>'PONTSTICILL sludge cake'!T10</f>
        <v>0</v>
      </c>
      <c r="U10" s="49">
        <f>'PONTSTICILL sludge cake'!U10</f>
        <v>0</v>
      </c>
      <c r="V10" s="102">
        <f>'PONTSTICILL sludge cake'!V10</f>
        <v>0</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1</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0</v>
      </c>
      <c r="Q11" s="49">
        <f>'PONTSTICILL sludge cake'!Q11</f>
        <v>0</v>
      </c>
      <c r="R11" s="49">
        <f>'PONTSTICILL sludge cake'!R11</f>
        <v>0</v>
      </c>
      <c r="S11" s="49">
        <f>'PONTSTICILL sludge cake'!S11</f>
        <v>0</v>
      </c>
      <c r="T11" s="49">
        <f>'PONTSTICILL sludge cake'!T11</f>
        <v>0</v>
      </c>
      <c r="U11" s="49">
        <f>'PONTSTICILL sludge cake'!U11</f>
        <v>0</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0</v>
      </c>
      <c r="D12" s="49">
        <f>'PONTSTICILL sludge cake'!D12</f>
        <v>0</v>
      </c>
      <c r="E12" s="49">
        <f>'PONTSTICILL sludge cake'!E12</f>
        <v>0</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0</v>
      </c>
      <c r="O12" s="49">
        <f>'PONTSTICILL sludge cake'!O12</f>
        <v>0</v>
      </c>
      <c r="P12" s="49">
        <f>'PONTSTICILL sludge cake'!P12</f>
        <v>0</v>
      </c>
      <c r="Q12" s="49">
        <f>'PONTSTICILL sludge cake'!Q12</f>
        <v>0</v>
      </c>
      <c r="R12" s="49">
        <f>'PONTSTICILL sludge cake'!R12</f>
        <v>0</v>
      </c>
      <c r="S12" s="49">
        <f>'PONTSTICILL sludge cake'!S12</f>
        <v>0</v>
      </c>
      <c r="T12" s="49">
        <f>'PONTSTICILL sludge cake'!T12</f>
        <v>0</v>
      </c>
      <c r="U12" s="49">
        <f>'PONTSTICILL sludge cake'!U12</f>
        <v>0</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1</v>
      </c>
      <c r="E13" s="49">
        <f>'PONTSTICILL sludge cake'!E13</f>
        <v>1</v>
      </c>
      <c r="F13" s="49">
        <f>'PONTSTICILL sludge cake'!F13</f>
        <v>4</v>
      </c>
      <c r="G13" s="49">
        <f>'PONTSTICILL sludge cake'!G13</f>
        <v>5</v>
      </c>
      <c r="H13" s="49">
        <f>'PONTSTICILL sludge cake'!H13</f>
        <v>0</v>
      </c>
      <c r="I13" s="49">
        <f>'PONTSTICILL sludge cake'!I13</f>
        <v>0</v>
      </c>
      <c r="J13" s="49">
        <f>'PONTSTICILL sludge cake'!J13</f>
        <v>0</v>
      </c>
      <c r="K13" s="49">
        <f>'PONTSTICILL sludge cake'!K13</f>
        <v>0</v>
      </c>
      <c r="L13" s="49">
        <f>'PONTSTICILL sludge cake'!L13</f>
        <v>0</v>
      </c>
      <c r="M13" s="49">
        <f>'PONTSTICILL sludge cake'!M13</f>
        <v>0</v>
      </c>
      <c r="N13" s="49">
        <f>'PONTSTICILL sludge cake'!N13</f>
        <v>0</v>
      </c>
      <c r="O13" s="49">
        <f>'PONTSTICILL sludge cake'!O13</f>
        <v>0</v>
      </c>
      <c r="P13" s="49">
        <f>'PONTSTICILL sludge cake'!P13</f>
        <v>0</v>
      </c>
      <c r="Q13" s="49">
        <f>'PONTSTICILL sludge cake'!Q13</f>
        <v>0</v>
      </c>
      <c r="R13" s="49">
        <f>'PONTSTICILL sludge cake'!R13</f>
        <v>0</v>
      </c>
      <c r="S13" s="49">
        <f>'PONTSTICILL sludge cake'!S13</f>
        <v>0</v>
      </c>
      <c r="T13" s="49">
        <f>'PONTSTICILL sludge cake'!T13</f>
        <v>0</v>
      </c>
      <c r="U13" s="49">
        <f>'PONTSTICILL sludge cake'!U13</f>
        <v>0</v>
      </c>
      <c r="V13" s="102">
        <f>'PONTSTICILL sludge cake'!V13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Hay (86% DM) </v>
      </c>
      <c r="D14" s="83" t="str">
        <f>'PONTSTICILL sludge cake'!D14</f>
        <v xml:space="preserve">Hay (86% DM) </v>
      </c>
      <c r="E14" s="83" t="str">
        <f>'PONTSTICILL sludge cake'!E14</f>
        <v xml:space="preserve">Hay (86% DM) </v>
      </c>
      <c r="F14" s="83" t="str">
        <f>'PONTSTICILL sludge cake'!F14</f>
        <v xml:space="preserve">Hay (86% DM) </v>
      </c>
      <c r="G14" s="83" t="str">
        <f>'PONTSTICILL sludge cake'!G14</f>
        <v xml:space="preserve">Hay (86% DM) </v>
      </c>
      <c r="H14" s="83">
        <f>'PONTSTICILL sludge cake'!H14</f>
        <v>0</v>
      </c>
      <c r="I14" s="83">
        <f>'PONTSTICILL sludge cake'!I14</f>
        <v>0</v>
      </c>
      <c r="J14" s="83">
        <f>'PONTSTICILL sludge cake'!J14</f>
        <v>0</v>
      </c>
      <c r="K14" s="83">
        <f>'PONTSTICILL sludge cake'!K14</f>
        <v>0</v>
      </c>
      <c r="L14" s="83">
        <f>'PONTSTICILL sludge cake'!L14</f>
        <v>0</v>
      </c>
      <c r="M14" s="83">
        <f>'PONTSTICILL sludge cake'!M14</f>
        <v>0</v>
      </c>
      <c r="N14" s="83">
        <f>'PONTSTICILL sludge cake'!N14</f>
        <v>0</v>
      </c>
      <c r="O14" s="83">
        <f>'PONTSTICILL sludge cake'!O14</f>
        <v>0</v>
      </c>
      <c r="P14" s="83">
        <f>'PONTSTICILL sludge cake'!P14</f>
        <v>0</v>
      </c>
      <c r="Q14" s="83">
        <f>'PONTSTICILL sludge cake'!Q14</f>
        <v>0</v>
      </c>
      <c r="R14" s="83">
        <f>'PONTSTICILL sludge cake'!R14</f>
        <v>0</v>
      </c>
      <c r="S14" s="83">
        <f>'PONTSTICILL sludge cake'!S14</f>
        <v>0</v>
      </c>
      <c r="T14" s="83">
        <f>'PONTSTICILL sludge cake'!T14</f>
        <v>0</v>
      </c>
      <c r="U14" s="83">
        <f>'PONTSTICILL sludge cake'!U14</f>
        <v>0</v>
      </c>
      <c r="V14" s="103">
        <f>'PONTSTICILL sludge cake'!V14</f>
        <v>0</v>
      </c>
      <c r="AD14" s="22" t="s">
        <v>138</v>
      </c>
      <c r="AE14" s="22">
        <v>6</v>
      </c>
      <c r="AI14" s="43" t="s">
        <v>119</v>
      </c>
      <c r="AJ14" s="44">
        <v>0.8</v>
      </c>
      <c r="AK14" s="45">
        <v>1.7</v>
      </c>
      <c r="AL14" s="9">
        <v>12</v>
      </c>
      <c r="AM14" s="9">
        <v>6.7</v>
      </c>
      <c r="AN14" s="9" t="s">
        <v>135</v>
      </c>
    </row>
    <row r="15" spans="1:41" x14ac:dyDescent="0.2">
      <c r="A15" s="155" t="s">
        <v>9</v>
      </c>
      <c r="B15" s="156"/>
      <c r="C15" s="49">
        <f>'PONTSTICILL sludge cake'!C15</f>
        <v>5</v>
      </c>
      <c r="D15" s="49">
        <f>'PONTSTICILL sludge cake'!D15</f>
        <v>5</v>
      </c>
      <c r="E15" s="49">
        <f>'PONTSTICILL sludge cake'!E15</f>
        <v>5</v>
      </c>
      <c r="F15" s="49">
        <f>'PONTSTICILL sludge cake'!F15</f>
        <v>5</v>
      </c>
      <c r="G15" s="49">
        <f>'PONTSTICILL sludge cake'!G15</f>
        <v>5</v>
      </c>
      <c r="H15" s="49">
        <f>'PONTSTICILL sludge cake'!H15</f>
        <v>0</v>
      </c>
      <c r="I15" s="49">
        <f>'PONTSTICILL sludge cake'!I15</f>
        <v>0</v>
      </c>
      <c r="J15" s="49">
        <f>'PONTSTICILL sludge cake'!J15</f>
        <v>0</v>
      </c>
      <c r="K15" s="49">
        <f>'PONTSTICILL sludge cake'!K15</f>
        <v>0</v>
      </c>
      <c r="L15" s="49">
        <f>'PONTSTICILL sludge cake'!L15</f>
        <v>0</v>
      </c>
      <c r="M15" s="49">
        <f>'PONTSTICILL sludge cake'!M15</f>
        <v>0</v>
      </c>
      <c r="N15" s="49">
        <f>'PONTSTICILL sludge cake'!N15</f>
        <v>0</v>
      </c>
      <c r="O15" s="49">
        <f>'PONTSTICILL sludge cake'!O15</f>
        <v>0</v>
      </c>
      <c r="P15" s="49">
        <f>'PONTSTICILL sludge cake'!P15</f>
        <v>0</v>
      </c>
      <c r="Q15" s="49">
        <f>'PONTSTICILL sludge cake'!Q15</f>
        <v>0</v>
      </c>
      <c r="R15" s="49">
        <f>'PONTSTICILL sludge cake'!R15</f>
        <v>0</v>
      </c>
      <c r="S15" s="49">
        <f>'PONTSTICILL sludge cake'!S15</f>
        <v>0</v>
      </c>
      <c r="T15" s="49">
        <f>'PONTSTICILL sludge cake'!T15</f>
        <v>0</v>
      </c>
      <c r="U15" s="49">
        <f>'PONTSTICILL sludge cake'!U15</f>
        <v>0</v>
      </c>
      <c r="V15" s="102">
        <f>'PONTSTICILL sludge cake'!V15</f>
        <v>0</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f>'PONTSTICILL sludge cake'!H16</f>
        <v>0</v>
      </c>
      <c r="I16" s="104">
        <f>'PONTSTICILL sludge cake'!I16</f>
        <v>0</v>
      </c>
      <c r="J16" s="104">
        <f>'PONTSTICILL sludge cake'!J16</f>
        <v>0</v>
      </c>
      <c r="K16" s="104">
        <f>'PONTSTICILL sludge cake'!K16</f>
        <v>0</v>
      </c>
      <c r="L16" s="104">
        <f>'PONTSTICILL sludge cake'!L16</f>
        <v>0</v>
      </c>
      <c r="M16" s="104">
        <f>'PONTSTICILL sludge cake'!M16</f>
        <v>0</v>
      </c>
      <c r="N16" s="104">
        <f>'PONTSTICILL sludge cake'!N16</f>
        <v>0</v>
      </c>
      <c r="O16" s="104">
        <f>'PONTSTICILL sludge cake'!O16</f>
        <v>0</v>
      </c>
      <c r="P16" s="104">
        <f>'PONTSTICILL sludge cake'!P16</f>
        <v>0</v>
      </c>
      <c r="Q16" s="104">
        <f>'PONTSTICILL sludge cake'!Q16</f>
        <v>0</v>
      </c>
      <c r="R16" s="104">
        <f>'PONTSTICILL sludge cake'!R16</f>
        <v>0</v>
      </c>
      <c r="S16" s="104">
        <f>'PONTSTICILL sludge cake'!S16</f>
        <v>0</v>
      </c>
      <c r="T16" s="104">
        <f>'PONTSTICILL sludge cake'!T16</f>
        <v>0</v>
      </c>
      <c r="U16" s="104">
        <f>'PONTSTICILL sludge cake'!U16</f>
        <v>0</v>
      </c>
      <c r="V16" s="105">
        <f>'PONTSTICILL sludge cake'!V16</f>
        <v>0</v>
      </c>
      <c r="AD16" s="42" t="s">
        <v>145</v>
      </c>
      <c r="AE16" s="22">
        <v>8</v>
      </c>
      <c r="AI16" s="43" t="s">
        <v>118</v>
      </c>
      <c r="AJ16" s="44">
        <v>8</v>
      </c>
      <c r="AK16" s="45">
        <v>5.5</v>
      </c>
      <c r="AL16" s="7">
        <v>14</v>
      </c>
      <c r="AM16" s="9">
        <v>6.7</v>
      </c>
      <c r="AN16" s="9" t="s">
        <v>135</v>
      </c>
    </row>
    <row r="17" spans="1:40" x14ac:dyDescent="0.2">
      <c r="A17" s="153" t="s">
        <v>69</v>
      </c>
      <c r="B17" s="154"/>
      <c r="C17" s="20">
        <f>(VLOOKUP(C$14,$AI2:$AK26,2,FALSE))*C$15</f>
        <v>29.5</v>
      </c>
      <c r="D17" s="20">
        <f t="shared" ref="D17:V17" si="0">(VLOOKUP(D$14,$AI2:$AK26,2,FALSE))*D$15</f>
        <v>29.5</v>
      </c>
      <c r="E17" s="20">
        <f t="shared" si="0"/>
        <v>29.5</v>
      </c>
      <c r="F17" s="20">
        <f t="shared" si="0"/>
        <v>29.5</v>
      </c>
      <c r="G17" s="20">
        <f t="shared" si="0"/>
        <v>29.5</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-29.5</v>
      </c>
      <c r="D19" s="12">
        <f t="shared" ref="D19:V19" si="1">D18-D17</f>
        <v>-29.5</v>
      </c>
      <c r="E19" s="12">
        <f t="shared" si="1"/>
        <v>-29.5</v>
      </c>
      <c r="F19" s="12">
        <f t="shared" si="1"/>
        <v>-29.5</v>
      </c>
      <c r="G19" s="12">
        <f t="shared" si="1"/>
        <v>-29.5</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90</v>
      </c>
      <c r="D21" s="20">
        <f t="shared" ref="D21:V21" si="2">(VLOOKUP(D$14,$AI2:$AK26,3,FALSE))*D$15</f>
        <v>90</v>
      </c>
      <c r="E21" s="20">
        <f t="shared" si="2"/>
        <v>90</v>
      </c>
      <c r="F21" s="20">
        <f t="shared" si="2"/>
        <v>90</v>
      </c>
      <c r="G21" s="20">
        <f t="shared" si="2"/>
        <v>90</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-90</v>
      </c>
      <c r="D23" s="12">
        <f t="shared" ref="D23:V23" si="3">D22-D21</f>
        <v>-90</v>
      </c>
      <c r="E23" s="12">
        <f t="shared" si="3"/>
        <v>-90</v>
      </c>
      <c r="F23" s="12">
        <f t="shared" si="3"/>
        <v>-90</v>
      </c>
      <c r="G23" s="12">
        <f t="shared" si="3"/>
        <v>-90</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PF26</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PF27</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PF28</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CC1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CC7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PF26</v>
      </c>
      <c r="C57" s="8" t="str">
        <f t="shared" ref="C57:U57" si="13">D8</f>
        <v>PF27</v>
      </c>
      <c r="D57" s="8" t="str">
        <f t="shared" si="13"/>
        <v>PF28</v>
      </c>
      <c r="E57" s="8" t="str">
        <f t="shared" si="13"/>
        <v>CC1</v>
      </c>
      <c r="F57" s="8" t="str">
        <f t="shared" si="13"/>
        <v>CC7</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e">
        <f>H16&amp;" I "&amp;(VLOOKUP(H14,Table2456[],6,FALSE))</f>
        <v>#N/A</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t="e">
        <f>VLOOKUP(H$14,Table2456[],5,FALSE)</f>
        <v>#N/A</v>
      </c>
      <c r="H59" s="64" t="e">
        <f>VLOOKUP(I$14,Table2456[],5,FALSE)</f>
        <v>#N/A</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7.5</v>
      </c>
      <c r="C60" s="64">
        <f t="shared" ref="C60:U60" si="14">D10</f>
        <v>7.5</v>
      </c>
      <c r="D60" s="64">
        <f t="shared" si="14"/>
        <v>7.6</v>
      </c>
      <c r="E60" s="64">
        <f t="shared" si="14"/>
        <v>6.2</v>
      </c>
      <c r="F60" s="64">
        <f t="shared" si="14"/>
        <v>6</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-7.7999999999999989</v>
      </c>
      <c r="C64" s="65">
        <f t="shared" ref="C64:U64" si="17">(C59-C60)*C61</f>
        <v>-7.7999999999999989</v>
      </c>
      <c r="D64" s="65">
        <f t="shared" si="17"/>
        <v>-8.3999999999999968</v>
      </c>
      <c r="E64" s="65">
        <f t="shared" si="17"/>
        <v>0</v>
      </c>
      <c r="F64" s="65">
        <f t="shared" si="17"/>
        <v>1.2000000000000011</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7.7999999999999989</v>
      </c>
      <c r="C65" s="65">
        <f t="shared" ref="C65:U65" si="18">C63-C64</f>
        <v>7.7999999999999989</v>
      </c>
      <c r="D65" s="65">
        <f t="shared" si="18"/>
        <v>8.3999999999999968</v>
      </c>
      <c r="E65" s="65">
        <f t="shared" si="18"/>
        <v>0</v>
      </c>
      <c r="F65" s="65">
        <f t="shared" si="18"/>
        <v>-1.2000000000000011</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UNDER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H31" sqref="H31"/>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7" t="s">
        <v>84</v>
      </c>
      <c r="B1" s="29" t="str">
        <f>'PONTSTICILL sludge cake'!B29</f>
        <v>Application Rate</v>
      </c>
      <c r="C1" s="29" t="str">
        <f>'PONTSTICILL sludge cake'!C29</f>
        <v>Nitrogen Addition</v>
      </c>
      <c r="D1" s="29" t="str">
        <f>'PONTSTICILL sludge cake'!D29</f>
        <v>Phosphate Addition</v>
      </c>
      <c r="E1" s="29" t="str">
        <f>'PONTSTICILL sludge cake'!E29</f>
        <v>Potash  Addition</v>
      </c>
      <c r="F1" s="29" t="str">
        <f>'PONTSTICILL sludge cake'!F29</f>
        <v>Mg Oxide Addition</v>
      </c>
      <c r="G1" s="29" t="str">
        <f>'PONTSTICILL sludge cake'!G29</f>
        <v>Copper Addition</v>
      </c>
      <c r="H1" s="29" t="str">
        <f>'PONTSTICILL sludge cake'!H29</f>
        <v>Zinc Addition</v>
      </c>
      <c r="I1" s="29" t="str">
        <f>'PONTSTICILL sludge cake'!I29</f>
        <v>Lead Addition</v>
      </c>
      <c r="J1" s="29" t="str">
        <f>'PONTSTICILL sludge cake'!J29</f>
        <v>Cadmium Addition</v>
      </c>
      <c r="K1" s="29" t="str">
        <f>'PONTSTICILL sludge cake'!K29</f>
        <v>Mercury Addition</v>
      </c>
      <c r="L1" s="29" t="str">
        <f>'PONTSTICILL sludge cake'!L29</f>
        <v>Nickel Addition</v>
      </c>
      <c r="M1" s="29" t="str">
        <f>'PONTSTICILL sludge cake'!M29</f>
        <v>Chromium Addition</v>
      </c>
      <c r="N1" s="29" t="str">
        <f>'PONTSTICILL sludge cake'!N29</f>
        <v>Aluminium Addition</v>
      </c>
      <c r="O1" s="29" t="str">
        <f>'PONTSTICILL sludge cake'!O29</f>
        <v>Iron Addition</v>
      </c>
      <c r="P1" s="29" t="str">
        <f>'PONTSTICILL sludge cake'!P29</f>
        <v xml:space="preserve">Sodium Addition                 </v>
      </c>
      <c r="Q1" s="29" t="str">
        <f>'PONTSTICILL sludge cake'!Q29</f>
        <v>SO3  Addition                             kg/ha</v>
      </c>
      <c r="R1" s="29" t="str">
        <f>'PONTSTICILL sludge cake'!R29</f>
        <v xml:space="preserve">Selenium Addition </v>
      </c>
      <c r="S1" s="29" t="str">
        <f>'PONTSTICILL sludge cake'!S29</f>
        <v xml:space="preserve">Arsenic  Addition  </v>
      </c>
      <c r="T1" s="29" t="str">
        <f>'PONTSTICILL sludge cake'!T29</f>
        <v xml:space="preserve">Molybdenum Addition  </v>
      </c>
      <c r="U1" s="29" t="str">
        <f>'PONTSTICILL sludge cake'!U29</f>
        <v xml:space="preserve">Fluoride Addition </v>
      </c>
    </row>
    <row r="2" spans="1:21" ht="25.5" x14ac:dyDescent="0.2">
      <c r="A2" s="177"/>
      <c r="B2" s="29" t="str">
        <f>'PONTSTICILL sludge cake'!B30</f>
        <v>tonnes/ha</v>
      </c>
      <c r="C2" s="29" t="str">
        <f>'PONTSTICILL sludge cake'!C30</f>
        <v>kg/ha</v>
      </c>
      <c r="D2" s="29" t="str">
        <f>'PONTSTICILL sludge cake'!D30</f>
        <v>P2O5 
kg/ha</v>
      </c>
      <c r="E2" s="29" t="str">
        <f>'PONTSTICILL sludge cake'!E30</f>
        <v>K2O 
kg/ha</v>
      </c>
      <c r="F2" s="29" t="str">
        <f>'PONTSTICILL sludge cake'!F30</f>
        <v>MgO 
kg/ha</v>
      </c>
      <c r="G2" s="29" t="str">
        <f>'PONTSTICILL sludge cake'!G30</f>
        <v>kg/ha</v>
      </c>
      <c r="H2" s="29" t="str">
        <f>'PONTSTICILL sludge cake'!H30</f>
        <v>kg/ha</v>
      </c>
      <c r="I2" s="29" t="str">
        <f>'PONTSTICILL sludge cake'!I30</f>
        <v>kg/ha</v>
      </c>
      <c r="J2" s="29" t="str">
        <f>'PONTSTICILL sludge cake'!J30</f>
        <v>kg/ha</v>
      </c>
      <c r="K2" s="29" t="str">
        <f>'PONTSTICILL sludge cake'!K30</f>
        <v>kg/ha</v>
      </c>
      <c r="L2" s="29" t="str">
        <f>'PONTSTICILL sludge cake'!L30</f>
        <v>kg/ha</v>
      </c>
      <c r="M2" s="29" t="str">
        <f>'PONTSTICILL sludge cake'!M30</f>
        <v>kg/ha</v>
      </c>
      <c r="N2" s="29" t="str">
        <f>'PONTSTICILL sludge cake'!N30</f>
        <v>kg/ha</v>
      </c>
      <c r="O2" s="29" t="str">
        <f>'PONTSTICILL sludge cake'!O30</f>
        <v>kg/ha</v>
      </c>
      <c r="P2" s="29" t="str">
        <f>'PONTSTICILL sludge cake'!P30</f>
        <v>kg/ha</v>
      </c>
      <c r="Q2" s="29" t="str">
        <f>'PONTSTICILL sludge cake'!Q30</f>
        <v>kg/ha</v>
      </c>
      <c r="R2" s="29" t="str">
        <f>'PONTSTICILL sludge cake'!R30</f>
        <v>kg/ha</v>
      </c>
      <c r="S2" s="29" t="str">
        <f>'PONTSTICILL sludge cake'!S30</f>
        <v>kg/ha</v>
      </c>
      <c r="T2" s="29" t="str">
        <f>'PONTSTICILL sludge cake'!T30</f>
        <v>kg/ha</v>
      </c>
      <c r="U2" s="29" t="str">
        <f>'PONTSTICILL sludge cake'!U30</f>
        <v>kg/ha</v>
      </c>
    </row>
    <row r="3" spans="1:21" x14ac:dyDescent="0.2">
      <c r="A3" s="27">
        <v>1</v>
      </c>
      <c r="B3" s="24">
        <f>'PONTSTICILL sludge cake'!B31</f>
        <v>70</v>
      </c>
      <c r="C3" s="24">
        <f>'PONTSTICILL sludge cake'!C31</f>
        <v>133.77000000000001</v>
      </c>
      <c r="D3" s="24">
        <f>'PONTSTICILL sludge cake'!D31</f>
        <v>46.699744000000003</v>
      </c>
      <c r="E3" s="24">
        <f>'PONTSTICILL sludge cake'!E31</f>
        <v>3.6690563000000007</v>
      </c>
      <c r="F3" s="24">
        <f>'PONTSTICILL sludge cake'!F31</f>
        <v>4.2668298399999998</v>
      </c>
      <c r="G3" s="24">
        <f>'PONTSTICILL sludge cake'!G31</f>
        <v>0.27263599999999999</v>
      </c>
      <c r="H3" s="24">
        <f>'PONTSTICILL sludge cake'!H31</f>
        <v>0.43061199999999994</v>
      </c>
      <c r="I3" s="24">
        <f>'PONTSTICILL sludge cake'!I31</f>
        <v>0.21657999999999999</v>
      </c>
      <c r="J3" s="24">
        <f>'PONTSTICILL sludge cake'!J31</f>
        <v>3.8219999999999994E-3</v>
      </c>
      <c r="K3" s="24">
        <f>'PONTSTICILL sludge cake'!K31</f>
        <v>3.4398000000000002E-3</v>
      </c>
      <c r="L3" s="24">
        <f>'PONTSTICILL sludge cake'!L31</f>
        <v>0.17835999999999999</v>
      </c>
      <c r="M3" s="24">
        <f>'PONTSTICILL sludge cake'!M31</f>
        <v>0.15033200000000002</v>
      </c>
      <c r="N3" s="24">
        <f>'PONTSTICILL sludge cake'!N31</f>
        <v>834.46999999999991</v>
      </c>
      <c r="O3" s="24">
        <f>'PONTSTICILL sludge cake'!O31</f>
        <v>31.595199999999998</v>
      </c>
      <c r="P3" s="24">
        <f>'PONTSTICILL sludge cake'!P31</f>
        <v>0</v>
      </c>
      <c r="Q3" s="24">
        <f>'PONTSTICILL sludge cake'!Q31</f>
        <v>67.522000000000006</v>
      </c>
      <c r="R3" s="24">
        <f>'PONTSTICILL sludge cake'!R31</f>
        <v>0</v>
      </c>
      <c r="S3" s="24">
        <f>'PONTSTICILL sludge cake'!S31</f>
        <v>0.31340399999999996</v>
      </c>
      <c r="T3" s="24">
        <f>'PONTSTICILL sludge cake'!T31</f>
        <v>0</v>
      </c>
      <c r="U3" s="24">
        <f>'PONTSTICILL sludge cake'!U31</f>
        <v>0</v>
      </c>
    </row>
    <row r="4" spans="1:21" x14ac:dyDescent="0.2">
      <c r="A4" s="27">
        <v>2</v>
      </c>
      <c r="B4" s="24">
        <f>'PONTSTICILL sludge'!B31</f>
        <v>250</v>
      </c>
      <c r="C4" s="24">
        <f>'PONTSTICILL sludge'!C31</f>
        <v>104.98</v>
      </c>
      <c r="D4" s="24">
        <f>'PONTSTICILL sludge'!D31</f>
        <v>66.347360000000009</v>
      </c>
      <c r="E4" s="24">
        <f>'PONTSTICILL sludge'!E31</f>
        <v>5.2018042500000012</v>
      </c>
      <c r="F4" s="24">
        <f>'PONTSTICILL sludge'!F31</f>
        <v>7.5624696</v>
      </c>
      <c r="G4" s="24">
        <f>'PONTSTICILL sludge'!G31</f>
        <v>0.38734000000000002</v>
      </c>
      <c r="H4" s="24">
        <f>'PONTSTICILL sludge'!H31</f>
        <v>0.60997000000000001</v>
      </c>
      <c r="I4" s="24">
        <f>'PONTSTICILL sludge'!I31</f>
        <v>0.30770000000000003</v>
      </c>
      <c r="J4" s="24">
        <f>'PONTSTICILL sludge'!J31</f>
        <v>6.2445000000000001E-3</v>
      </c>
      <c r="K4" s="24">
        <f>'PONTSTICILL sludge'!K31</f>
        <v>4.977500000000001E-3</v>
      </c>
      <c r="L4" s="24">
        <f>'PONTSTICILL sludge'!L31</f>
        <v>0.25340000000000001</v>
      </c>
      <c r="M4" s="24">
        <f>'PONTSTICILL sludge'!M31</f>
        <v>0.21358000000000005</v>
      </c>
      <c r="N4" s="24">
        <f>'PONTSTICILL sludge'!N31</f>
        <v>1466.1000000000001</v>
      </c>
      <c r="O4" s="24">
        <f>'PONTSTICILL sludge'!O31</f>
        <v>50.408500000000011</v>
      </c>
      <c r="P4" s="24">
        <f>'PONTSTICILL sludge'!P31</f>
        <v>0</v>
      </c>
      <c r="Q4" s="24">
        <f>'PONTSTICILL sludge'!Q31</f>
        <v>113.12500000000001</v>
      </c>
      <c r="R4" s="24">
        <f>'PONTSTICILL sludge'!R31</f>
        <v>0</v>
      </c>
      <c r="S4" s="24">
        <f>'PONTSTICILL sludge'!S31</f>
        <v>0.56200500000000009</v>
      </c>
      <c r="T4" s="24">
        <f>'PONTSTICILL sludge'!T31</f>
        <v>0</v>
      </c>
      <c r="U4" s="24">
        <f>'PONTSTICILL sludge'!U31</f>
        <v>0</v>
      </c>
    </row>
    <row r="5" spans="1:21" x14ac:dyDescent="0.2">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320</v>
      </c>
      <c r="C13" s="68">
        <f t="shared" ref="C13:U13" si="0">SUM(C3:C12)</f>
        <v>238.75</v>
      </c>
      <c r="D13" s="68">
        <f t="shared" si="0"/>
        <v>113.04710400000002</v>
      </c>
      <c r="E13" s="68">
        <f t="shared" si="0"/>
        <v>8.8708605500000015</v>
      </c>
      <c r="F13" s="68">
        <f t="shared" si="0"/>
        <v>11.82929944</v>
      </c>
      <c r="G13" s="68">
        <f t="shared" si="0"/>
        <v>0.65997600000000001</v>
      </c>
      <c r="H13" s="68">
        <f t="shared" si="0"/>
        <v>1.0405819999999999</v>
      </c>
      <c r="I13" s="68">
        <f t="shared" si="0"/>
        <v>0.52428000000000008</v>
      </c>
      <c r="J13" s="68">
        <f t="shared" si="0"/>
        <v>1.0066499999999999E-2</v>
      </c>
      <c r="K13" s="68">
        <f t="shared" si="0"/>
        <v>8.4173000000000008E-3</v>
      </c>
      <c r="L13" s="68">
        <f t="shared" si="0"/>
        <v>0.43176000000000003</v>
      </c>
      <c r="M13" s="68">
        <f t="shared" si="0"/>
        <v>0.36391200000000007</v>
      </c>
      <c r="N13" s="68">
        <f t="shared" si="0"/>
        <v>2300.5700000000002</v>
      </c>
      <c r="O13" s="68">
        <f t="shared" si="0"/>
        <v>82.003700000000009</v>
      </c>
      <c r="P13" s="68">
        <f t="shared" si="0"/>
        <v>0</v>
      </c>
      <c r="Q13" s="68">
        <f t="shared" si="0"/>
        <v>180.64700000000002</v>
      </c>
      <c r="R13" s="68">
        <f t="shared" si="0"/>
        <v>0</v>
      </c>
      <c r="S13" s="68">
        <f t="shared" si="0"/>
        <v>0.8754090000000001</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A13" sqref="A13:B13"/>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8" t="s">
        <v>84</v>
      </c>
      <c r="B1" s="25" t="s">
        <v>152</v>
      </c>
      <c r="C1" s="26" t="str">
        <f>'PONTSTICILL sludge cake'!B29</f>
        <v>Application Rate</v>
      </c>
      <c r="D1" s="26" t="str">
        <f>'PONTSTICILL sludge cake'!C29</f>
        <v>Nitrogen Addition</v>
      </c>
      <c r="E1" s="26" t="str">
        <f>'PONTSTICILL sludge cake'!D29</f>
        <v>Phosphate Addition</v>
      </c>
      <c r="F1" s="26" t="str">
        <f>'PONTSTICILL sludge cake'!E29</f>
        <v>Potash  Addition</v>
      </c>
      <c r="G1" s="26" t="str">
        <f>'PONTSTICILL sludge cake'!F29</f>
        <v>Mg Oxide Addition</v>
      </c>
      <c r="H1" s="26" t="str">
        <f>'PONTSTICILL sludge cake'!G29</f>
        <v>Copper Addition</v>
      </c>
      <c r="I1" s="26" t="str">
        <f>'PONTSTICILL sludge cake'!H29</f>
        <v>Zinc Addition</v>
      </c>
      <c r="J1" s="26" t="str">
        <f>'PONTSTICILL sludge cake'!I29</f>
        <v>Lead Addition</v>
      </c>
      <c r="K1" s="26" t="str">
        <f>'PONTSTICILL sludge cake'!J29</f>
        <v>Cadmium Addition</v>
      </c>
      <c r="L1" s="26" t="str">
        <f>'PONTSTICILL sludge cake'!K29</f>
        <v>Mercury Addition</v>
      </c>
      <c r="M1" s="26" t="str">
        <f>'PONTSTICILL sludge cake'!L29</f>
        <v>Nickel Addition</v>
      </c>
      <c r="N1" s="26" t="str">
        <f>'PONTSTICILL sludge cake'!M29</f>
        <v>Chromium Addition</v>
      </c>
      <c r="O1" s="26" t="str">
        <f>'PONTSTICILL sludge cake'!N29</f>
        <v>Aluminium Addition</v>
      </c>
      <c r="P1" s="26" t="str">
        <f>'PONTSTICILL sludge cake'!O29</f>
        <v>Iron Addition</v>
      </c>
      <c r="Q1" s="26" t="str">
        <f>'PONTSTICILL sludge cake'!P29</f>
        <v xml:space="preserve">Sodium Addition                 </v>
      </c>
      <c r="R1" s="26" t="str">
        <f>'PONTSTICILL sludge cake'!Q29</f>
        <v>SO3  Addition                             kg/ha</v>
      </c>
      <c r="S1" s="26" t="str">
        <f>'PONTSTICILL sludge cake'!R29</f>
        <v xml:space="preserve">Selenium Addition </v>
      </c>
      <c r="T1" s="26" t="str">
        <f>'PONTSTICILL sludge cake'!S29</f>
        <v xml:space="preserve">Arsenic  Addition  </v>
      </c>
      <c r="U1" s="26" t="str">
        <f>'PONTSTICILL sludge cake'!T29</f>
        <v xml:space="preserve">Molybdenum Addition  </v>
      </c>
      <c r="V1" s="26" t="str">
        <f>'PONTSTICILL sludge cake'!U29</f>
        <v xml:space="preserve">Fluoride Addition </v>
      </c>
    </row>
    <row r="2" spans="1:22" s="70" customFormat="1" ht="25.5" x14ac:dyDescent="0.25">
      <c r="A2" s="178"/>
      <c r="B2" s="23" t="s">
        <v>46</v>
      </c>
      <c r="C2" s="26" t="str">
        <f>'PONTSTICILL sludge cake'!B30</f>
        <v>tonnes/ha</v>
      </c>
      <c r="D2" s="26" t="str">
        <f>'PONTSTICILL sludge cake'!C30</f>
        <v>kg/ha</v>
      </c>
      <c r="E2" s="26" t="str">
        <f>'PONTSTICILL sludge cake'!D30</f>
        <v>P2O5 
kg/ha</v>
      </c>
      <c r="F2" s="26" t="str">
        <f>'PONTSTICILL sludge cake'!E30</f>
        <v>K2O 
kg/ha</v>
      </c>
      <c r="G2" s="26" t="str">
        <f>'PONTSTICILL sludge cake'!F30</f>
        <v>MgO 
kg/ha</v>
      </c>
      <c r="H2" s="26" t="str">
        <f>'PONTSTICILL sludge cake'!G30</f>
        <v>kg/ha</v>
      </c>
      <c r="I2" s="26" t="str">
        <f>'PONTSTICILL sludge cake'!H30</f>
        <v>kg/ha</v>
      </c>
      <c r="J2" s="26" t="str">
        <f>'PONTSTICILL sludge cake'!I30</f>
        <v>kg/ha</v>
      </c>
      <c r="K2" s="26" t="str">
        <f>'PONTSTICILL sludge cake'!J30</f>
        <v>kg/ha</v>
      </c>
      <c r="L2" s="26" t="str">
        <f>'PONTSTICILL sludge cake'!K30</f>
        <v>kg/ha</v>
      </c>
      <c r="M2" s="26" t="str">
        <f>'PONTSTICILL sludge cake'!L30</f>
        <v>kg/ha</v>
      </c>
      <c r="N2" s="26" t="str">
        <f>'PONTSTICILL sludge cake'!M30</f>
        <v>kg/ha</v>
      </c>
      <c r="O2" s="26" t="str">
        <f>'PONTSTICILL sludge cake'!N30</f>
        <v>kg/ha</v>
      </c>
      <c r="P2" s="26" t="str">
        <f>'PONTSTICILL sludge cake'!O30</f>
        <v>kg/ha</v>
      </c>
      <c r="Q2" s="26" t="str">
        <f>'PONTSTICILL sludge cake'!P30</f>
        <v>kg/ha</v>
      </c>
      <c r="R2" s="26" t="str">
        <f>'PONTSTICILL sludge cake'!Q30</f>
        <v>kg/ha</v>
      </c>
      <c r="S2" s="26" t="str">
        <f>'PONTSTICILL sludge cake'!R30</f>
        <v>kg/ha</v>
      </c>
      <c r="T2" s="26" t="str">
        <f>'PONTSTICILL sludge cake'!S30</f>
        <v>kg/ha</v>
      </c>
      <c r="U2" s="26" t="str">
        <f>'PONTSTICILL sludge cake'!T30</f>
        <v>kg/ha</v>
      </c>
      <c r="V2" s="26" t="str">
        <f>'PONTSTICILL sludge cake'!U30</f>
        <v>kg/ha</v>
      </c>
    </row>
    <row r="3" spans="1:22" x14ac:dyDescent="0.2">
      <c r="A3" s="27">
        <v>1</v>
      </c>
      <c r="B3" s="78"/>
      <c r="C3" s="24">
        <f>'PONTSTICILL sludge cake'!B31</f>
        <v>70</v>
      </c>
      <c r="D3" s="24">
        <f>'PONTSTICILL sludge cake'!C31</f>
        <v>133.77000000000001</v>
      </c>
      <c r="E3" s="24">
        <f>'PONTSTICILL sludge cake'!D31</f>
        <v>46.699744000000003</v>
      </c>
      <c r="F3" s="24">
        <f>'PONTSTICILL sludge cake'!E31</f>
        <v>3.6690563000000007</v>
      </c>
      <c r="G3" s="24">
        <f>'PONTSTICILL sludge cake'!F31</f>
        <v>4.2668298399999998</v>
      </c>
      <c r="H3" s="24">
        <f>'PONTSTICILL sludge cake'!G31</f>
        <v>0.27263599999999999</v>
      </c>
      <c r="I3" s="24">
        <f>'PONTSTICILL sludge cake'!H31</f>
        <v>0.43061199999999994</v>
      </c>
      <c r="J3" s="24">
        <f>'PONTSTICILL sludge cake'!I31</f>
        <v>0.21657999999999999</v>
      </c>
      <c r="K3" s="24">
        <f>'PONTSTICILL sludge cake'!J31</f>
        <v>3.8219999999999994E-3</v>
      </c>
      <c r="L3" s="24">
        <f>'PONTSTICILL sludge cake'!K31</f>
        <v>3.4398000000000002E-3</v>
      </c>
      <c r="M3" s="24">
        <f>'PONTSTICILL sludge cake'!L31</f>
        <v>0.17835999999999999</v>
      </c>
      <c r="N3" s="24">
        <f>'PONTSTICILL sludge cake'!M31</f>
        <v>0.15033200000000002</v>
      </c>
      <c r="O3" s="24">
        <f>'PONTSTICILL sludge cake'!N31</f>
        <v>834.46999999999991</v>
      </c>
      <c r="P3" s="24">
        <f>'PONTSTICILL sludge cake'!O31</f>
        <v>31.595199999999998</v>
      </c>
      <c r="Q3" s="24">
        <f>'PONTSTICILL sludge cake'!P31</f>
        <v>0</v>
      </c>
      <c r="R3" s="24">
        <f>'PONTSTICILL sludge cake'!Q31</f>
        <v>67.522000000000006</v>
      </c>
      <c r="S3" s="24">
        <f>'PONTSTICILL sludge cake'!R31</f>
        <v>0</v>
      </c>
      <c r="T3" s="24">
        <f>'PONTSTICILL sludge cake'!S31</f>
        <v>0.31340399999999996</v>
      </c>
      <c r="U3" s="24">
        <f>'PONTSTICILL sludge cake'!T31</f>
        <v>0</v>
      </c>
      <c r="V3" s="24">
        <f>'PONTSTICILL sludge cake'!U31</f>
        <v>0</v>
      </c>
    </row>
    <row r="4" spans="1:22" x14ac:dyDescent="0.2">
      <c r="A4" s="27">
        <v>2</v>
      </c>
      <c r="B4" s="78"/>
      <c r="C4" s="24">
        <f>'PONTSTICILL sludge'!B31</f>
        <v>250</v>
      </c>
      <c r="D4" s="24">
        <f>'PONTSTICILL sludge'!C31</f>
        <v>104.98</v>
      </c>
      <c r="E4" s="24">
        <f>'PONTSTICILL sludge'!D31</f>
        <v>66.347360000000009</v>
      </c>
      <c r="F4" s="24">
        <f>'PONTSTICILL sludge'!E31</f>
        <v>5.2018042500000012</v>
      </c>
      <c r="G4" s="24">
        <f>'PONTSTICILL sludge'!F31</f>
        <v>7.5624696</v>
      </c>
      <c r="H4" s="24">
        <f>'PONTSTICILL sludge'!G31</f>
        <v>0.38734000000000002</v>
      </c>
      <c r="I4" s="24">
        <f>'PONTSTICILL sludge'!H31</f>
        <v>0.60997000000000001</v>
      </c>
      <c r="J4" s="24">
        <f>'PONTSTICILL sludge'!I31</f>
        <v>0.30770000000000003</v>
      </c>
      <c r="K4" s="24">
        <f>'PONTSTICILL sludge'!J31</f>
        <v>6.2445000000000001E-3</v>
      </c>
      <c r="L4" s="24">
        <f>'PONTSTICILL sludge'!K31</f>
        <v>4.977500000000001E-3</v>
      </c>
      <c r="M4" s="24">
        <f>'PONTSTICILL sludge'!L31</f>
        <v>0.25340000000000001</v>
      </c>
      <c r="N4" s="24">
        <f>'PONTSTICILL sludge'!M31</f>
        <v>0.21358000000000005</v>
      </c>
      <c r="O4" s="24">
        <f>'PONTSTICILL sludge'!N31</f>
        <v>1466.1000000000001</v>
      </c>
      <c r="P4" s="24">
        <f>'PONTSTICILL sludge'!O31</f>
        <v>50.408500000000011</v>
      </c>
      <c r="Q4" s="24">
        <f>'PONTSTICILL sludge'!P31</f>
        <v>0</v>
      </c>
      <c r="R4" s="24">
        <f>'PONTSTICILL sludge'!Q31</f>
        <v>113.12500000000001</v>
      </c>
      <c r="S4" s="24">
        <f>'PONTSTICILL sludge'!R31</f>
        <v>0</v>
      </c>
      <c r="T4" s="24">
        <f>'PONTSTICILL sludge'!S31</f>
        <v>0.56200500000000009</v>
      </c>
      <c r="U4" s="24">
        <f>'PONTSTICILL sludge'!T31</f>
        <v>0</v>
      </c>
      <c r="V4" s="24">
        <f>'PONTSTICILL sludge'!U31</f>
        <v>0</v>
      </c>
    </row>
    <row r="5" spans="1:22" x14ac:dyDescent="0.2">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7" t="s">
        <v>84</v>
      </c>
      <c r="B15" s="26" t="s">
        <v>152</v>
      </c>
      <c r="C15" s="26">
        <f>'PONTSTICILL sludge cake'!B43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7"/>
      <c r="B16" s="23" t="s">
        <v>46</v>
      </c>
      <c r="C16" s="26">
        <f>'PONTSTICILL sludge cake'!B44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70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9" t="s">
        <v>85</v>
      </c>
      <c r="B27" s="179"/>
      <c r="C27" s="179"/>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FB25E-1779-4EF0-B317-500F1C1B3923}">
  <dimension ref="A1:C13"/>
  <sheetViews>
    <sheetView workbookViewId="0">
      <selection activeCell="C19" sqref="C19"/>
    </sheetView>
  </sheetViews>
  <sheetFormatPr defaultRowHeight="14.25" x14ac:dyDescent="0.2"/>
  <cols>
    <col min="1" max="2" width="14.5703125" style="130" bestFit="1" customWidth="1"/>
    <col min="3" max="3" width="33.42578125" style="130" bestFit="1" customWidth="1"/>
    <col min="4" max="16384" width="9.140625" style="130"/>
  </cols>
  <sheetData>
    <row r="1" spans="1:3" x14ac:dyDescent="0.2">
      <c r="A1" s="180" t="s">
        <v>174</v>
      </c>
      <c r="B1" s="181"/>
      <c r="C1" s="182"/>
    </row>
    <row r="2" spans="1:3" x14ac:dyDescent="0.2">
      <c r="A2" s="131" t="s">
        <v>175</v>
      </c>
      <c r="B2" s="131" t="s">
        <v>176</v>
      </c>
      <c r="C2" s="131"/>
    </row>
    <row r="3" spans="1:3" x14ac:dyDescent="0.2">
      <c r="A3" s="131">
        <v>1.4</v>
      </c>
      <c r="B3" s="131">
        <v>4.8</v>
      </c>
      <c r="C3" s="131" t="s">
        <v>177</v>
      </c>
    </row>
    <row r="4" spans="1:3" x14ac:dyDescent="0.2">
      <c r="A4" s="131">
        <f>A3*35</f>
        <v>49</v>
      </c>
      <c r="B4" s="131">
        <f>B3*35</f>
        <v>168</v>
      </c>
      <c r="C4" s="131" t="s">
        <v>178</v>
      </c>
    </row>
    <row r="5" spans="1:3" x14ac:dyDescent="0.2">
      <c r="A5" s="131">
        <f>A4*(80/100)</f>
        <v>39.200000000000003</v>
      </c>
      <c r="B5" s="131">
        <f>B4*(95/100)</f>
        <v>159.6</v>
      </c>
      <c r="C5" s="131" t="s">
        <v>179</v>
      </c>
    </row>
    <row r="6" spans="1:3" x14ac:dyDescent="0.2">
      <c r="A6" s="131">
        <f>A4-A5</f>
        <v>9.7999999999999972</v>
      </c>
      <c r="B6" s="131">
        <f>B4-B5</f>
        <v>8.4000000000000057</v>
      </c>
      <c r="C6" s="131" t="s">
        <v>180</v>
      </c>
    </row>
    <row r="9" spans="1:3" x14ac:dyDescent="0.2">
      <c r="A9" s="183" t="s">
        <v>181</v>
      </c>
      <c r="B9" s="181"/>
      <c r="C9" s="182"/>
    </row>
    <row r="10" spans="1:3" x14ac:dyDescent="0.2">
      <c r="A10" s="132" t="s">
        <v>175</v>
      </c>
      <c r="B10" s="131" t="s">
        <v>176</v>
      </c>
      <c r="C10" s="131"/>
    </row>
    <row r="11" spans="1:3" x14ac:dyDescent="0.2">
      <c r="A11" s="131">
        <v>5.9</v>
      </c>
      <c r="B11" s="131">
        <v>18</v>
      </c>
      <c r="C11" s="131" t="s">
        <v>177</v>
      </c>
    </row>
    <row r="12" spans="1:3" x14ac:dyDescent="0.2">
      <c r="A12" s="131">
        <f>A11*5</f>
        <v>29.5</v>
      </c>
      <c r="B12" s="131">
        <f>B11*5</f>
        <v>90</v>
      </c>
      <c r="C12" s="131" t="s">
        <v>178</v>
      </c>
    </row>
    <row r="13" spans="1:3" x14ac:dyDescent="0.2">
      <c r="A13" s="131"/>
      <c r="B13" s="131"/>
      <c r="C13" s="131" t="s">
        <v>180</v>
      </c>
    </row>
  </sheetData>
  <mergeCells count="2">
    <mergeCell ref="A1:C1"/>
    <mergeCell ref="A9:C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REGU-1079986221-117</_dlc_DocId>
    <_dlc_DocIdUrl xmlns="9be56660-2c31-41ef-bc00-23e72f632f2a">
      <Url>https://cyfoethnaturiolcymru.sharepoint.com/teams/Regulatory/Permitting/_layouts/15/DocIdRedir.aspx?ID=REGU-1079986221-117</Url>
      <Description>REGU-1079986221-117</Description>
    </_dlc_DocIdUrl>
    <Site_x0020_Name xmlns="859f7ad6-93f6-4205-b62b-a17f28acbbac">Stepside Agri Mobile Plant</Site_x0020_Name>
    <Permit_x0020_Number xmlns="859f7ad6-93f6-4205-b62b-a17f28acbbac">EPR-AB3891CX</Permit_x0020_Number>
    <Internal_x002f_External xmlns="859f7ad6-93f6-4205-b62b-a17f28acbbac">Outgoing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2026-03-29T23:00:00+00:00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188D354458ACD469AF3D66A2776CABF" ma:contentTypeVersion="786" ma:contentTypeDescription="Permitting &amp; Compliance Excel Document" ma:contentTypeScope="" ma:versionID="cad7998656048be017304692a8542f4f">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3EB88BFD-E29A-4849-A8E6-116EB74B98EA}">
  <ds:schemaRefs>
    <ds:schemaRef ds:uri="http://purl.org/dc/dcmitype/"/>
    <ds:schemaRef ds:uri="http://schemas.microsoft.com/office/2006/documentManagement/types"/>
    <ds:schemaRef ds:uri="http://purl.org/dc/terms/"/>
    <ds:schemaRef ds:uri="http://www.w3.org/XML/1998/namespace"/>
    <ds:schemaRef ds:uri="9be56660-2c31-41ef-bc00-23e72f632f2a"/>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612A455F-2576-4B11-AF82-CF1CC6628D71}"/>
</file>

<file path=customXml/itemProps5.xml><?xml version="1.0" encoding="utf-8"?>
<ds:datastoreItem xmlns:ds="http://schemas.openxmlformats.org/officeDocument/2006/customXml" ds:itemID="{03D1B419-7F1C-4091-B5B5-3154BE2CF9A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PONTSTICILL sludge cake</vt:lpstr>
      <vt:lpstr>PONTSTICILL sludge</vt:lpstr>
      <vt:lpstr>Waste 3</vt:lpstr>
      <vt:lpstr>Waste 4</vt:lpstr>
      <vt:lpstr>Waste 5</vt:lpstr>
      <vt:lpstr>Waste 6</vt:lpstr>
      <vt:lpstr>Waste 7</vt:lpstr>
      <vt:lpstr>Waste 8</vt:lpstr>
      <vt:lpstr>Waste 9</vt:lpstr>
      <vt:lpstr>Waste 10</vt:lpstr>
      <vt:lpstr>Additions</vt:lpstr>
      <vt:lpstr>Ratios</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2026-03-30T13:43:00Z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0x01010067EB80C5FE939D4A9B3D8BA62129B7F50202008188D354458ACD469AF3D66A2776CABF</vt:lpwstr>
  </property>
  <property fmtid="{D5CDD505-2E9C-101B-9397-08002B2CF9AE}" pid="3" name="_dlc_DocIdItemGuid">
    <vt:lpwstr>5a72e587-410e-4e81-9fdc-5105bd61e35e</vt:lpwstr>
  </property>
</Properties>
</file>