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G:\Opportunities &amp; Projects\318500 - 18999\318659 Duynie Ingredients starch permit\MF-4 Draft docs\NDM response\"/>
    </mc:Choice>
  </mc:AlternateContent>
  <xr:revisionPtr revIDLastSave="0" documentId="13_ncr:1_{3C3FC944-F0BD-4996-BC6E-584982D720C2}"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28920" yWindow="-120" windowWidth="29040" windowHeight="15720" firstSheet="7"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<sst xmlns="http://schemas.openxmlformats.org/spreadsheetml/2006/main" count="1568" uniqueCount="805">
  <si>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</si>
  <si>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</si>
  <si>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</si>
  <si>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</si>
  <si>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</si>
  <si>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</si>
  <si>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</si>
  <si>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</si>
  <si>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</si>
  <si>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</si>
  <si>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</si>
  <si>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</si>
  <si>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</si>
  <si>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</si>
  <si>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</si>
  <si>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</si>
  <si>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</si>
  <si>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</si>
  <si>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</si>
  <si>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</si>
  <si>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</si>
  <si>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</si>
  <si>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</si>
  <si>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</si>
  <si>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</si>
  <si>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</si>
  <si>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</si>
  <si>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</si>
  <si>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</si>
  <si>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</si>
  <si>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</si>
  <si>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</si>
  <si>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</si>
  <si>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</si>
  <si>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</si>
  <si>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</si>
  <si>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</si>
  <si>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</si>
  <si>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</si>
  <si>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</si>
  <si>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</si>
  <si>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</si>
  <si>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</si>
  <si>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</si>
  <si>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</si>
  <si>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</si>
  <si>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</si>
  <si>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</si>
  <si>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</si>
  <si>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</si>
  <si>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</si>
  <si>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</si>
  <si>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</si>
  <si>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</si>
  <si>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</si>
  <si>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</si>
  <si>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</si>
  <si>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</si>
  <si>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</si>
  <si>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</si>
  <si>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</si>
  <si>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</si>
  <si>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</si>
  <si>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</si>
  <si>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</si>
  <si>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</si>
  <si>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</si>
  <si>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</si>
  <si>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</si>
  <si>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</si>
  <si>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</si>
  <si>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</si>
  <si>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</si>
  <si>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</si>
  <si>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</si>
  <si>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</si>
  <si>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</si>
  <si>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</si>
  <si>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</si>
  <si>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</si>
  <si>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</si>
  <si>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</si>
  <si>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</si>
  <si>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</si>
  <si>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</si>
  <si>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</si>
  <si>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</si>
  <si>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</si>
  <si>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</si>
  <si>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</si>
  <si>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</si>
  <si>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</si>
  <si>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</si>
  <si>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</si>
  <si>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</si>
  <si>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</si>
  <si>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</si>
  <si>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</si>
  <si>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</si>
  <si>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</si>
  <si>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</si>
  <si>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</si>
  <si>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</si>
  <si>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</si>
  <si>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</si>
  <si>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</si>
  <si>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</si>
  <si>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</si>
  <si>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</si>
  <si>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</si>
  <si>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</si>
  <si>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</si>
  <si>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</si>
  <si>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</si>
  <si>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</si>
  <si>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</si>
  <si>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</si>
  <si>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</si>
  <si>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</si>
  <si>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</si>
  <si>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</si>
  <si>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</si>
  <si>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</si>
  <si>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</si>
  <si>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</si>
  <si>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</si>
  <si>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</si>
  <si>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</si>
  <si>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</si>
  <si>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</si>
  <si>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</si>
  <si>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</si>
  <si>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</si>
  <si>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</si>
  <si>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</si>
  <si>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</si>
  <si>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</si>
  <si>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</si>
  <si>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</si>
  <si>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</si>
  <si>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</si>
  <si>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</si>
  <si>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</si>
  <si>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</si>
  <si>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</si>
  <si>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</si>
  <si>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</si>
  <si>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</si>
  <si>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</si>
  <si>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</si>
  <si>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</si>
  <si>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</si>
  <si>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</si>
  <si>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</si>
  <si>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</si>
  <si>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</si>
  <si>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</si>
  <si>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</si>
  <si>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</si>
  <si>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</si>
  <si>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</si>
  <si>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</si>
  <si>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</si>
  <si>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</si>
  <si>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</si>
  <si>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</si>
  <si>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</si>
  <si>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</si>
  <si>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</si>
  <si>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</si>
  <si>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</si>
  <si>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</si>
  <si>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</si>
  <si>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</si>
  <si>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</si>
  <si>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</si>
  <si>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</si>
  <si>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</si>
  <si>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</si>
  <si>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</si>
  <si>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</si>
  <si>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</si>
  <si>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</si>
  <si>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</si>
  <si>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</si>
  <si>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</si>
  <si>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</si>
  <si>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</si>
  <si>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</si>
  <si>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</si>
  <si>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</si>
  <si>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</si>
  <si>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</si>
  <si>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</si>
  <si>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</si>
  <si>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</si>
  <si>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</si>
  <si>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</si>
  <si>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</si>
  <si>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</si>
  <si>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</si>
  <si>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</si>
  <si>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</si>
  <si>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</si>
  <si>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</si>
  <si>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</si>
  <si>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</si>
  <si>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</si>
  <si>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</si>
  <si>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</si>
  <si>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</si>
  <si>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</si>
  <si>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</si>
  <si>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</si>
  <si>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</si>
  <si>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</si>
  <si>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</si>
  <si>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</si>
  <si>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</si>
  <si>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</si>
  <si>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</si>
  <si>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</si>
  <si>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</si>
  <si>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</si>
  <si>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</si>
  <si>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</si>
  <si>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</si>
  <si>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</si>
  <si>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</si>
  <si>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</si>
  <si>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</si>
  <si>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</si>
  <si>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</si>
  <si>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</si>
  <si>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</si>
  <si>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</si>
  <si>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</si>
  <si>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</si>
  <si>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</si>
  <si>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</si>
  <si>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</si>
  <si>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</si>
  <si>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</si>
  <si>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</si>
  <si>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</si>
  <si>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</si>
  <si>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</si>
  <si>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</si>
  <si>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</si>
  <si>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</si>
  <si>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</si>
  <si>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</si>
  <si>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</si>
  <si>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</si>
  <si>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</si>
  <si>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</si>
  <si>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</si>
  <si>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</si>
  <si>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</si>
  <si>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</si>
  <si>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</si>
  <si>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</si>
  <si>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</si>
  <si>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</si>
  <si>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</si>
  <si>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</si>
  <si>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</si>
  <si>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</si>
  <si>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</si>
  <si>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</si>
  <si>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</si>
  <si>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</si>
  <si>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</si>
  <si>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</si>
  <si>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</si>
  <si>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</si>
  <si>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</si>
  <si>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</si>
  <si>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</si>
  <si>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</si>
  <si>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</si>
  <si>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</si>
  <si>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</si>
  <si>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</si>
  <si>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</si>
  <si>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</si>
  <si>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</si>
  <si>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</si>
  <si>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</si>
  <si>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</si>
  <si>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</si>
  <si>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</si>
  <si>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</si>
  <si>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</si>
  <si>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</si>
  <si>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</si>
  <si>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</si>
  <si>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</si>
  <si>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</si>
  <si>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</si>
  <si>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</si>
  <si>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</si>
  <si>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</si>
  <si>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</si>
  <si>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</si>
  <si>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</si>
  <si>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</si>
  <si>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</si>
  <si>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</si>
  <si>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</si>
  <si>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</si>
  <si>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</si>
  <si>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</si>
  <si>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</si>
  <si>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</si>
  <si>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</si>
  <si>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</si>
  <si>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</si>
  <si>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</si>
  <si>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</si>
  <si>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</si>
  <si>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</si>
  <si>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</si>
  <si>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</si>
  <si>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</si>
  <si>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</si>
  <si>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</si>
  <si>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</si>
  <si>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</si>
  <si>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</si>
  <si>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</si>
  <si>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</si>
  <si>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</si>
  <si>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</si>
  <si>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</si>
  <si>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</si>
  <si>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</si>
  <si>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</si>
  <si>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</si>
  <si>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</si>
  <si>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</si>
  <si>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</si>
  <si>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</si>
  <si>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</si>
  <si>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</si>
  <si>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</si>
  <si>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</si>
  <si>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</si>
  <si>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</si>
  <si>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</si>
  <si>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</si>
  <si>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</si>
  <si>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</si>
  <si>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</si>
  <si>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</si>
  <si>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</si>
  <si>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</si>
  <si>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</si>
  <si>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</si>
  <si>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</si>
  <si>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</si>
  <si>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</si>
  <si>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</si>
  <si>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</si>
  <si>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</si>
  <si>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</si>
  <si>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</si>
  <si>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</si>
  <si>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</si>
  <si>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</si>
  <si>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</si>
  <si>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</si>
  <si>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</si>
  <si>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</si>
  <si>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</si>
  <si>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</si>
  <si>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</si>
  <si>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</si>
  <si>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</si>
  <si>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</si>
  <si>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</si>
  <si>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</si>
  <si>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</si>
  <si>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</si>
  <si>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</si>
  <si>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</si>
  <si>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</si>
  <si>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</si>
  <si>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</si>
  <si>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</si>
  <si>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</si>
  <si>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</si>
  <si>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</si>
  <si>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</si>
  <si>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</si>
  <si>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</si>
  <si>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</si>
  <si>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</si>
  <si>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</si>
  <si>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</si>
  <si>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</si>
  <si>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</si>
  <si>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</si>
  <si>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</si>
  <si>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</si>
  <si>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</si>
  <si>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</si>
  <si>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</si>
  <si>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</si>
  <si>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</si>
  <si>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</si>
  <si>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</si>
  <si>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</si>
  <si>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</si>
  <si>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</si>
  <si>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</si>
  <si>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</si>
  <si>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</si>
  <si>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</si>
  <si>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</si>
  <si>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</si>
  <si>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</si>
  <si>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</si>
  <si>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</si>
  <si>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</si>
  <si>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</si>
  <si>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</si>
  <si>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</si>
  <si>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</si>
  <si>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</si>
  <si>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</si>
  <si>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</si>
  <si>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</si>
  <si>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</si>
  <si>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</si>
  <si>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</si>
  <si>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</si>
  <si>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</si>
  <si>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</si>
  <si>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</si>
  <si>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</si>
  <si>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</si>
  <si>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</si>
  <si>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</si>
  <si>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</si>
  <si>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</si>
  <si>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</si>
  <si>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</si>
  <si>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</si>
  <si>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</si>
  <si>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</si>
  <si>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</si>
  <si>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</si>
  <si>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</si>
  <si>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</si>
  <si>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</si>
  <si>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</si>
  <si>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</si>
  <si>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</si>
  <si>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</si>
  <si>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</si>
  <si>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</si>
  <si>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</si>
  <si>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</si>
  <si>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</si>
  <si>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</si>
  <si>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</si>
  <si>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</si>
  <si>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</si>
  <si>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</si>
  <si>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</si>
  <si>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</si>
  <si>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</si>
  <si>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</si>
  <si>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</si>
  <si>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</si>
  <si>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</si>
  <si>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</si>
  <si>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</si>
  <si>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</si>
  <si>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</si>
  <si>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</si>
  <si>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</si>
  <si>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</si>
  <si>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</si>
  <si>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</si>
  <si>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</si>
  <si>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</si>
  <si>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</si>
  <si>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</si>
  <si>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</si>
  <si>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</si>
  <si>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</si>
  <si>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</si>
  <si>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</si>
  <si>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</si>
  <si>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</si>
  <si>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</si>
  <si>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</si>
  <si>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</si>
  <si>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</si>
  <si>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</si>
  <si>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</si>
  <si>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</si>
  <si>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</si>
  <si>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</si>
  <si>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</si>
  <si>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</si>
  <si>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</si>
  <si>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</si>
  <si>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</si>
  <si>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</si>
  <si>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</si>
  <si>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</si>
  <si>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</si>
  <si>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</si>
  <si>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</si>
  <si>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</si>
  <si>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</si>
  <si>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</si>
  <si>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</si>
  <si>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</si>
  <si>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</si>
  <si>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</si>
  <si>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</si>
  <si>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</si>
  <si>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</si>
  <si>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</si>
  <si>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</si>
  <si>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</si>
  <si>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</si>
  <si>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</si>
  <si>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</si>
  <si>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</si>
  <si>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</si>
  <si>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</si>
  <si>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</si>
  <si>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</si>
  <si>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</si>
  <si>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</si>
  <si>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</si>
  <si>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</si>
  <si>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</si>
  <si>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</si>
  <si>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</si>
  <si>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</si>
  <si>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</si>
  <si>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</si>
  <si>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</si>
  <si>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</si>
  <si>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</si>
  <si>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</si>
  <si>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</si>
  <si>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</si>
  <si>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</si>
  <si>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</si>
  <si>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</si>
  <si>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</si>
  <si>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</si>
  <si>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</si>
  <si>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</si>
  <si>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</si>
  <si>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</si>
  <si>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</si>
  <si>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</si>
  <si>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</si>
  <si>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</si>
  <si>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</si>
  <si>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</si>
  <si>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</si>
  <si>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</si>
  <si>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</si>
  <si>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</si>
  <si>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</si>
  <si>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</si>
  <si>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</si>
  <si>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</si>
  <si>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</si>
  <si>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</si>
  <si>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</si>
  <si>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</si>
  <si>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</si>
  <si>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</si>
  <si>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</si>
  <si>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</si>
  <si>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</si>
  <si>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</si>
  <si>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</si>
  <si>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</si>
  <si>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</si>
  <si>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</si>
  <si>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</si>
  <si>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</si>
  <si>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</si>
  <si>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</si>
  <si>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</si>
  <si>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</si>
  <si>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</si>
  <si>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</si>
  <si>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</si>
  <si>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</si>
  <si>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</si>
  <si>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</si>
  <si>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</si>
  <si>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</si>
  <si>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</si>
  <si>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</si>
  <si>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</si>
  <si>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</si>
  <si>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</si>
  <si>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</si>
  <si>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</si>
  <si>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</si>
  <si>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</si>
  <si>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</si>
  <si>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</si>
  <si>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</si>
  <si>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</si>
  <si>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</si>
  <si>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</si>
  <si>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</si>
  <si>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</si>
  <si>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</si>
  <si>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</si>
  <si>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</si>
  <si>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</si>
  <si>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</si>
  <si>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</si>
  <si>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</si>
  <si>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</si>
  <si>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</si>
  <si>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</si>
  <si>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</si>
  <si>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</si>
  <si>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</si>
  <si>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</si>
  <si>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</si>
  <si>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</si>
  <si>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</si>
  <si>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</si>
  <si>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</si>
  <si>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</si>
  <si>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</si>
  <si>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</si>
  <si>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</si>
  <si>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</si>
  <si>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</si>
  <si>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</si>
  <si>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</si>
  <si>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</si>
  <si>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</si>
  <si>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</si>
  <si>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</si>
  <si>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</si>
  <si>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</si>
  <si>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</si>
  <si>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</si>
  <si>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</si>
  <si>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</si>
  <si>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</si>
  <si>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</si>
  <si>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</si>
  <si>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</si>
  <si>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</si>
  <si>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</si>
  <si>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</si>
  <si>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</si>
  <si>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</si>
  <si>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</si>
  <si>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</si>
  <si>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</si>
  <si>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</si>
  <si>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</si>
  <si>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</si>
  <si>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</si>
  <si>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</si>
  <si>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</si>
  <si>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</si>
  <si>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</si>
  <si>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</si>
  <si>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</si>
  <si>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</si>
  <si>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</si>
  <si>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</si>
  <si>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</si>
  <si>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</si>
  <si>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</si>
  <si>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</si>
  <si>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</si>
  <si>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</si>
  <si>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</si>
  <si>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</si>
  <si>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</si>
  <si>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</si>
  <si>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</si>
  <si>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</si>
  <si>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</si>
  <si>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</si>
  <si>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</si>
  <si>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</si>
  <si>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</si>
  <si>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</si>
  <si>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</si>
  <si>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</si>
  <si>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</si>
  <si>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</si>
  <si>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</si>
  <si>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</si>
  <si>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</si>
  <si>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</si>
  <si>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</si>
  <si>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</si>
  <si>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</si>
  <si>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</si>
  <si>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</si>
  <si>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</si>
  <si>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</si>
  <si>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</si>
  <si>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</si>
  <si>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</si>
  <si>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</si>
  <si>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</si>
  <si>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</si>
  <si>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</si>
  <si>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</si>
  <si>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</si>
  <si>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</si>
  <si>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</si>
  <si>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</si>
  <si>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</si>
  <si>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</si>
  <si>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</si>
  <si>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</si>
  <si>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</si>
  <si>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</si>
  <si>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</si>
  <si>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</si>
  <si>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</si>
  <si>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</si>
  <si>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</si>
  <si>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</si>
  <si>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</si>
  <si>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</si>
  <si>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</si>
  <si>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</si>
  <si>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</si>
  <si>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</si>
  <si>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</si>
  <si>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</si>
  <si>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</si>
  <si>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</si>
  <si>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</si>
  <si>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</si>
  <si>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</si>
  <si>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</si>
  <si>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</si>
  <si>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</si>
  <si>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</si>
  <si>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</si>
  <si>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</si>
  <si>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</si>
  <si>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</si>
  <si>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</si>
  <si>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</si>
  <si>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</si>
  <si>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</si>
  <si>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</si>
  <si>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</si>
  <si>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</si>
  <si>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</si>
  <si>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</si>
  <si>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</si>
  <si>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</si>
  <si>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</si>
  <si>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</si>
  <si>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</si>
  <si>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</si>
  <si>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</si>
  <si>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</si>
  <si>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</si>
  <si>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</si>
  <si>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</si>
  <si>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</si>
  <si>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</si>
  <si>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</si>
  <si>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</si>
  <si>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</si>
  <si>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</si>
  <si>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</si>
  <si>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</si>
  <si>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</si>
  <si>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</si>
  <si>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</si>
  <si>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</si>
  <si>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</si>
  <si>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</si>
  <si>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</si>
  <si>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</si>
  <si>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</si>
  <si>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</si>
  <si>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Duynie Ingredients Ltd</t>
  </si>
  <si>
    <t>n/a</t>
  </si>
  <si>
    <t>Organic compounds containing oxygen (e.g. alcohols, aldehydes, ketones, carboxylic acids, esters)</t>
  </si>
  <si>
    <t>CHP plant and generator</t>
  </si>
  <si>
    <t>ISO 9001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</si>
</sst>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17</c:v>
                </c:pt>
                <c:pt idx="1">
                  <c:v>0</c:v>
                </c:pt>
                <c:pt idx="2">
                  <c:v>0</c:v>
                </c:pt>
                <c:pt idx="3">
                  <c:v>0</c:v>
                </c:pt>
                <c:pt idx="4">
                  <c:v>0</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2</c:v>
                </c:pt>
                <c:pt idx="1">
                  <c:v>0</c:v>
                </c:pt>
                <c:pt idx="2">
                  <c:v>0</c:v>
                </c:pt>
                <c:pt idx="3">
                  <c:v>0</c:v>
                </c:pt>
                <c:pt idx="4">
                  <c:v>0</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2</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1.5</c:v>
                </c:pt>
                <c:pt idx="3">
                  <c:v>3.8</c:v>
                </c:pt>
                <c:pt idx="4">
                  <c:v>0</c:v>
                </c:pt>
                <c:pt idx="5">
                  <c:v>9.3000000000000007</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5</xdr:row>
          <xdr:rowOff>144780</xdr:rowOff>
        </xdr:from>
        <xdr:to>
          <xdr:col>6</xdr:col>
          <xdr:colOff>297180</xdr:colOff>
          <xdr:row>5</xdr:row>
          <xdr:rowOff>373380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182880</xdr:colOff>
          <xdr:row>6</xdr:row>
          <xdr:rowOff>144780</xdr:rowOff>
        </xdr:from>
        <xdr:to>
          <xdr:col>5</xdr:col>
          <xdr:colOff>297180</xdr:colOff>
          <xdr:row>6</xdr:row>
          <xdr:rowOff>373380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182880</xdr:colOff>
          <xdr:row>6</xdr:row>
          <xdr:rowOff>144780</xdr:rowOff>
        </xdr:from>
        <xdr:to>
          <xdr:col>6</xdr:col>
          <xdr:colOff>297180</xdr:colOff>
          <xdr:row>6</xdr:row>
          <xdr:rowOff>373380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106680</xdr:colOff>
          <xdr:row>5</xdr:row>
          <xdr:rowOff>182880</xdr:rowOff>
        </xdr:from>
        <xdr:to>
          <xdr:col>6</xdr:col>
          <xdr:colOff>182880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857885</xdr:colOff>
      <xdr:row>153</xdr:row>
      <xdr:rowOff>167640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4" x14ac:dyDescent="0.3"/>
  <cols>
    <col min="4" max="4" width="10.109375" customWidth="1"/>
  </cols>
  <sheetData>
    <row r="1" spans="1:18" x14ac:dyDescent="0.3">
      <c r="A1" s="379"/>
      <c r="B1" s="379"/>
      <c r="C1" s="485" t="s">
        <v>1</v>
      </c>
      <c r="D1" s="716" t="s">
        <v>788</v>
      </c>
      <c r="E1" s="716"/>
      <c r="F1" s="486"/>
      <c r="G1" s="484"/>
      <c r="H1" s="484"/>
      <c r="I1" s="484"/>
      <c r="J1" s="717" t="s">
        <v>789</v>
      </c>
      <c r="K1" s="718"/>
      <c r="L1" s="718"/>
      <c r="M1" s="718"/>
      <c r="N1" s="718"/>
      <c r="O1" s="719"/>
      <c r="P1" s="379"/>
      <c r="Q1" s="379"/>
      <c r="R1" s="379"/>
    </row>
    <row r="2" spans="1:18" x14ac:dyDescent="0.3">
      <c r="A2" s="379"/>
      <c r="B2" s="379"/>
      <c r="C2" s="379"/>
      <c r="D2" s="379"/>
      <c r="E2" s="379"/>
      <c r="F2" s="379"/>
      <c r="G2" s="379"/>
      <c r="H2" s="379"/>
      <c r="I2" s="379"/>
      <c r="J2" s="379"/>
      <c r="K2" s="379"/>
      <c r="L2" s="379"/>
      <c r="M2" s="379"/>
      <c r="N2" s="379"/>
      <c r="O2" s="379"/>
      <c r="P2" s="379"/>
      <c r="Q2" s="379"/>
      <c r="R2" s="379"/>
    </row>
    <row r="3" spans="1:18" x14ac:dyDescent="0.3">
      <c r="A3" s="379"/>
      <c r="B3" s="379"/>
      <c r="C3" s="379"/>
      <c r="D3" s="379"/>
      <c r="E3" s="379"/>
      <c r="F3" s="379"/>
      <c r="G3" s="379"/>
      <c r="H3" s="379"/>
      <c r="I3" s="379"/>
      <c r="J3" s="379"/>
      <c r="K3" s="379"/>
      <c r="L3" s="379"/>
      <c r="M3" s="379"/>
      <c r="N3" s="379"/>
      <c r="O3" s="379"/>
      <c r="P3" s="379"/>
      <c r="Q3" s="379"/>
      <c r="R3" s="379"/>
    </row>
    <row r="4" spans="1:18" x14ac:dyDescent="0.3">
      <c r="A4" s="379"/>
      <c r="B4" s="379"/>
      <c r="C4" s="379"/>
      <c r="D4" s="379"/>
      <c r="E4" s="379"/>
      <c r="F4" s="379"/>
      <c r="G4" s="379"/>
      <c r="H4" s="379"/>
      <c r="I4" s="379"/>
      <c r="J4" s="379"/>
      <c r="K4" s="379"/>
      <c r="L4" s="379"/>
      <c r="M4" s="379"/>
      <c r="N4" s="379"/>
      <c r="O4" s="379"/>
      <c r="P4" s="379"/>
      <c r="Q4" s="379"/>
      <c r="R4" s="379"/>
    </row>
    <row r="5" spans="1:18" x14ac:dyDescent="0.3">
      <c r="A5" s="379"/>
      <c r="B5" s="379"/>
      <c r="C5" s="379"/>
      <c r="D5" s="379"/>
      <c r="E5" s="379"/>
      <c r="F5" s="379"/>
      <c r="G5" s="379"/>
      <c r="H5" s="379"/>
      <c r="I5" s="379"/>
      <c r="J5" s="379"/>
      <c r="K5" s="379"/>
      <c r="L5" s="379"/>
      <c r="M5" s="379"/>
      <c r="N5" s="379"/>
      <c r="O5" s="379"/>
      <c r="P5" s="379"/>
      <c r="Q5" s="379"/>
      <c r="R5" s="379"/>
    </row>
    <row r="6" spans="1:18" x14ac:dyDescent="0.3">
      <c r="A6" s="379"/>
      <c r="B6" s="379"/>
      <c r="C6" s="379"/>
      <c r="D6" s="379"/>
      <c r="E6" s="379"/>
      <c r="F6" s="379"/>
      <c r="G6" s="379"/>
      <c r="H6" s="379"/>
      <c r="I6" s="379"/>
      <c r="J6" s="379"/>
      <c r="K6" s="379"/>
      <c r="L6" s="379"/>
      <c r="M6" s="379"/>
      <c r="N6" s="379"/>
      <c r="O6" s="379"/>
      <c r="P6" s="379"/>
      <c r="Q6" s="379"/>
      <c r="R6" s="379"/>
    </row>
    <row r="7" spans="1:18" x14ac:dyDescent="0.3">
      <c r="A7" s="379"/>
      <c r="B7" s="379"/>
      <c r="C7" s="379"/>
      <c r="D7" s="379"/>
      <c r="E7" s="379"/>
      <c r="F7" s="379"/>
      <c r="G7" s="379"/>
      <c r="H7" s="379"/>
      <c r="I7" s="379"/>
      <c r="J7" s="379"/>
      <c r="K7" s="379"/>
      <c r="L7" s="379"/>
      <c r="M7" s="379"/>
      <c r="N7" s="379"/>
      <c r="O7" s="379"/>
      <c r="P7" s="379"/>
      <c r="Q7" s="379"/>
      <c r="R7" s="379"/>
    </row>
    <row r="8" spans="1:18" x14ac:dyDescent="0.3">
      <c r="A8" s="379"/>
      <c r="B8" s="379"/>
      <c r="C8" s="379"/>
      <c r="D8" s="379"/>
      <c r="E8" s="379"/>
      <c r="F8" s="379"/>
      <c r="G8" s="379"/>
      <c r="H8" s="379"/>
      <c r="I8" s="379"/>
      <c r="J8" s="379"/>
      <c r="K8" s="379"/>
      <c r="L8" s="379"/>
      <c r="M8" s="379"/>
      <c r="N8" s="379"/>
      <c r="O8" s="379"/>
      <c r="P8" s="379"/>
      <c r="Q8" s="379"/>
      <c r="R8" s="379"/>
    </row>
    <row r="9" spans="1:18" x14ac:dyDescent="0.3">
      <c r="A9" s="379"/>
      <c r="B9" s="379"/>
      <c r="C9" s="379"/>
      <c r="D9" s="379"/>
      <c r="E9" s="379"/>
      <c r="F9" s="379"/>
      <c r="G9" s="379"/>
      <c r="H9" s="379"/>
      <c r="I9" s="379"/>
      <c r="J9" s="379"/>
      <c r="K9" s="379"/>
      <c r="L9" s="379"/>
      <c r="M9" s="379"/>
      <c r="N9" s="379"/>
      <c r="O9" s="379"/>
      <c r="P9" s="379"/>
      <c r="Q9" s="379"/>
      <c r="R9" s="379"/>
    </row>
    <row r="10" spans="1:18" x14ac:dyDescent="0.3">
      <c r="A10" s="379"/>
      <c r="B10" s="379"/>
      <c r="C10" s="379"/>
      <c r="D10" s="379"/>
      <c r="E10" s="379"/>
      <c r="F10" s="379"/>
      <c r="G10" s="379"/>
      <c r="H10" s="379"/>
      <c r="I10" s="379"/>
      <c r="J10" s="379"/>
      <c r="K10" s="379"/>
      <c r="L10" s="379"/>
      <c r="M10" s="379"/>
      <c r="N10" s="379"/>
      <c r="O10" s="379"/>
      <c r="P10" s="379"/>
      <c r="Q10" s="379"/>
      <c r="R10" s="379"/>
    </row>
    <row r="11" spans="1:18" x14ac:dyDescent="0.3">
      <c r="A11" s="379"/>
      <c r="B11" s="379"/>
      <c r="C11" s="379"/>
      <c r="D11" s="379"/>
      <c r="E11" s="379"/>
      <c r="F11" s="379"/>
      <c r="G11" s="379"/>
      <c r="H11" s="379"/>
      <c r="I11" s="379"/>
      <c r="J11" s="379"/>
      <c r="K11" s="379"/>
      <c r="L11" s="379"/>
      <c r="M11" s="379"/>
      <c r="N11" s="379"/>
      <c r="O11" s="379"/>
      <c r="P11" s="379"/>
      <c r="Q11" s="379"/>
      <c r="R11" s="379"/>
    </row>
    <row r="12" spans="1:18" x14ac:dyDescent="0.3">
      <c r="A12" s="379"/>
      <c r="B12" s="379"/>
      <c r="C12" s="379"/>
      <c r="D12" s="379"/>
      <c r="E12" s="379"/>
      <c r="F12" s="379"/>
      <c r="G12" s="379"/>
      <c r="H12" s="379"/>
      <c r="I12" s="379"/>
      <c r="J12" s="379"/>
      <c r="K12" s="379"/>
      <c r="L12" s="379"/>
      <c r="M12" s="379"/>
      <c r="N12" s="379"/>
      <c r="O12" s="379"/>
      <c r="P12" s="379"/>
      <c r="Q12" s="379"/>
      <c r="R12" s="379"/>
    </row>
    <row r="13" spans="1:18" x14ac:dyDescent="0.3">
      <c r="A13" s="379"/>
      <c r="B13" s="379"/>
      <c r="C13" s="379"/>
      <c r="D13" s="379"/>
      <c r="E13" s="379"/>
      <c r="F13" s="379"/>
      <c r="G13" s="379"/>
      <c r="H13" s="379"/>
      <c r="I13" s="379"/>
      <c r="J13" s="379"/>
      <c r="K13" s="379"/>
      <c r="L13" s="379"/>
      <c r="M13" s="379"/>
      <c r="N13" s="379"/>
      <c r="O13" s="379"/>
      <c r="P13" s="379"/>
      <c r="Q13" s="379"/>
      <c r="R13" s="379"/>
    </row>
    <row r="14" spans="1:18" x14ac:dyDescent="0.3">
      <c r="A14" s="379"/>
      <c r="B14" s="379"/>
      <c r="C14" s="379"/>
      <c r="D14" s="379"/>
      <c r="E14" s="379"/>
      <c r="F14" s="379"/>
      <c r="G14" s="379"/>
      <c r="H14" s="379"/>
      <c r="I14" s="379"/>
      <c r="J14" s="379"/>
      <c r="K14" s="379"/>
      <c r="L14" s="379"/>
      <c r="M14" s="379"/>
      <c r="N14" s="379"/>
      <c r="O14" s="379"/>
      <c r="P14" s="379"/>
      <c r="Q14" s="379"/>
      <c r="R14" s="379"/>
    </row>
    <row r="15" spans="1:18" x14ac:dyDescent="0.3">
      <c r="A15" s="379"/>
      <c r="B15" s="379"/>
      <c r="C15" s="379"/>
      <c r="D15" s="379"/>
      <c r="E15" s="379"/>
      <c r="F15" s="379"/>
      <c r="G15" s="379"/>
      <c r="H15" s="379"/>
      <c r="I15" s="379"/>
      <c r="J15" s="379"/>
      <c r="K15" s="379"/>
      <c r="L15" s="379"/>
      <c r="M15" s="379"/>
      <c r="N15" s="379"/>
      <c r="O15" s="379"/>
      <c r="P15" s="379"/>
      <c r="Q15" s="379"/>
      <c r="R15" s="379"/>
    </row>
    <row r="16" spans="1:18" x14ac:dyDescent="0.3">
      <c r="A16" s="379"/>
      <c r="B16" s="379"/>
      <c r="C16" s="379"/>
      <c r="D16" s="379"/>
      <c r="E16" s="379"/>
      <c r="F16" s="379"/>
      <c r="G16" s="379"/>
      <c r="H16" s="379"/>
      <c r="I16" s="379"/>
      <c r="J16" s="379"/>
      <c r="K16" s="379"/>
      <c r="L16" s="379"/>
      <c r="M16" s="379"/>
      <c r="N16" s="379"/>
      <c r="O16" s="379"/>
      <c r="P16" s="379"/>
      <c r="Q16" s="379"/>
      <c r="R16" s="379"/>
    </row>
    <row r="17" spans="1:18" x14ac:dyDescent="0.3">
      <c r="A17" s="379"/>
      <c r="B17" s="379"/>
      <c r="C17" s="379"/>
      <c r="D17" s="379"/>
      <c r="E17" s="379"/>
      <c r="F17" s="379"/>
      <c r="G17" s="379"/>
      <c r="H17" s="379"/>
      <c r="I17" s="379"/>
      <c r="J17" s="379"/>
      <c r="K17" s="379"/>
      <c r="L17" s="379"/>
      <c r="M17" s="379"/>
      <c r="N17" s="379"/>
      <c r="O17" s="379"/>
      <c r="P17" s="379"/>
      <c r="Q17" s="379"/>
      <c r="R17" s="379"/>
    </row>
    <row r="18" spans="1:18" x14ac:dyDescent="0.3">
      <c r="A18" s="379"/>
      <c r="B18" s="379"/>
      <c r="C18" s="379"/>
      <c r="D18" s="379"/>
      <c r="E18" s="379"/>
      <c r="F18" s="379"/>
      <c r="G18" s="379"/>
      <c r="H18" s="379"/>
      <c r="I18" s="379"/>
      <c r="J18" s="379"/>
      <c r="K18" s="379"/>
      <c r="L18" s="379"/>
      <c r="M18" s="379"/>
      <c r="N18" s="379"/>
      <c r="O18" s="379"/>
      <c r="P18" s="379"/>
      <c r="Q18" s="379"/>
      <c r="R18" s="379"/>
    </row>
    <row r="19" spans="1:18" x14ac:dyDescent="0.3">
      <c r="A19" s="379"/>
      <c r="B19" s="379"/>
      <c r="C19" s="379"/>
      <c r="D19" s="379"/>
      <c r="E19" s="379"/>
      <c r="F19" s="379"/>
      <c r="G19" s="379"/>
      <c r="H19" s="379"/>
      <c r="I19" s="379"/>
      <c r="J19" s="379"/>
      <c r="K19" s="379"/>
      <c r="L19" s="379"/>
      <c r="M19" s="379"/>
      <c r="N19" s="379"/>
      <c r="O19" s="379"/>
      <c r="P19" s="379"/>
      <c r="Q19" s="379"/>
      <c r="R19" s="379"/>
    </row>
    <row r="20" spans="1:18" x14ac:dyDescent="0.3">
      <c r="A20" s="379"/>
      <c r="B20" s="379"/>
      <c r="C20" s="379"/>
      <c r="D20" s="379"/>
      <c r="E20" s="379"/>
      <c r="F20" s="379"/>
      <c r="G20" s="379"/>
      <c r="H20" s="379"/>
      <c r="I20" s="379"/>
      <c r="J20" s="379"/>
      <c r="K20" s="379"/>
      <c r="L20" s="379"/>
      <c r="M20" s="379"/>
      <c r="N20" s="379"/>
      <c r="O20" s="379"/>
      <c r="P20" s="379"/>
      <c r="Q20" s="379"/>
      <c r="R20" s="379"/>
    </row>
    <row r="21" spans="1:18" x14ac:dyDescent="0.3">
      <c r="A21" s="379"/>
      <c r="B21" s="379"/>
      <c r="C21" s="379"/>
      <c r="D21" s="379"/>
      <c r="E21" s="379"/>
      <c r="F21" s="379"/>
      <c r="G21" s="379"/>
      <c r="H21" s="379"/>
      <c r="I21" s="379"/>
      <c r="J21" s="379"/>
      <c r="K21" s="379"/>
      <c r="L21" s="379"/>
      <c r="M21" s="379"/>
      <c r="N21" s="379"/>
      <c r="O21" s="379"/>
      <c r="P21" s="379"/>
      <c r="Q21" s="379"/>
      <c r="R21" s="379"/>
    </row>
    <row r="22" spans="1:18" x14ac:dyDescent="0.3">
      <c r="A22" s="379"/>
      <c r="B22" s="379"/>
      <c r="C22" s="379"/>
      <c r="D22" s="379"/>
      <c r="E22" s="379"/>
      <c r="F22" s="379"/>
      <c r="G22" s="379"/>
      <c r="H22" s="379"/>
      <c r="I22" s="379"/>
      <c r="J22" s="379"/>
      <c r="K22" s="379"/>
      <c r="L22" s="379"/>
      <c r="M22" s="379"/>
      <c r="N22" s="379"/>
      <c r="O22" s="379"/>
      <c r="P22" s="379"/>
      <c r="Q22" s="379"/>
      <c r="R22" s="379"/>
    </row>
    <row r="23" spans="1:18" x14ac:dyDescent="0.3">
      <c r="A23" s="379"/>
      <c r="B23" s="379"/>
      <c r="C23" s="379"/>
      <c r="D23" s="379"/>
      <c r="E23" s="379"/>
      <c r="F23" s="379"/>
      <c r="G23" s="379"/>
      <c r="H23" s="379"/>
      <c r="I23" s="379"/>
      <c r="J23" s="379"/>
      <c r="K23" s="379"/>
      <c r="L23" s="379"/>
      <c r="M23" s="379"/>
      <c r="N23" s="379"/>
      <c r="O23" s="379"/>
      <c r="P23" s="379"/>
      <c r="Q23" s="379"/>
      <c r="R23" s="379"/>
    </row>
    <row r="24" spans="1:18" x14ac:dyDescent="0.3">
      <c r="A24" s="379"/>
      <c r="B24" s="379"/>
      <c r="C24" s="379"/>
      <c r="D24" s="379"/>
      <c r="E24" s="379"/>
      <c r="F24" s="379"/>
      <c r="G24" s="379"/>
      <c r="H24" s="379"/>
      <c r="I24" s="379"/>
      <c r="J24" s="379"/>
      <c r="K24" s="379"/>
      <c r="L24" s="379"/>
      <c r="M24" s="379"/>
      <c r="N24" s="379"/>
      <c r="O24" s="379"/>
      <c r="P24" s="379"/>
      <c r="Q24" s="379"/>
      <c r="R24" s="379"/>
    </row>
    <row r="25" spans="1:18" x14ac:dyDescent="0.3">
      <c r="A25" s="379"/>
      <c r="B25" s="379"/>
      <c r="C25" s="379"/>
      <c r="D25" s="379"/>
      <c r="E25" s="379"/>
      <c r="F25" s="379"/>
      <c r="G25" s="379"/>
      <c r="H25" s="379"/>
      <c r="I25" s="379"/>
      <c r="J25" s="379"/>
      <c r="K25" s="379"/>
      <c r="L25" s="379"/>
      <c r="M25" s="379"/>
      <c r="N25" s="379"/>
      <c r="O25" s="379"/>
      <c r="P25" s="379"/>
      <c r="Q25" s="379"/>
      <c r="R25" s="379"/>
    </row>
    <row r="26" spans="1:18" x14ac:dyDescent="0.3">
      <c r="A26" s="379"/>
      <c r="B26" s="379"/>
      <c r="C26" s="379"/>
      <c r="D26" s="379"/>
      <c r="E26" s="379"/>
      <c r="F26" s="379"/>
      <c r="G26" s="379"/>
      <c r="H26" s="379"/>
      <c r="I26" s="379"/>
      <c r="J26" s="379"/>
      <c r="K26" s="379"/>
      <c r="L26" s="379"/>
      <c r="M26" s="379"/>
      <c r="N26" s="379"/>
      <c r="O26" s="379"/>
      <c r="P26" s="379"/>
      <c r="Q26" s="379"/>
      <c r="R26" s="379"/>
    </row>
    <row r="27" spans="1:18" x14ac:dyDescent="0.3">
      <c r="A27" s="379"/>
      <c r="B27" s="379"/>
      <c r="C27" s="379"/>
      <c r="D27" s="379"/>
      <c r="E27" s="379"/>
      <c r="F27" s="379"/>
      <c r="G27" s="379"/>
      <c r="H27" s="379"/>
      <c r="I27" s="379"/>
      <c r="J27" s="379"/>
      <c r="K27" s="379"/>
      <c r="L27" s="379"/>
      <c r="M27" s="379"/>
      <c r="N27" s="379"/>
      <c r="O27" s="379"/>
      <c r="P27" s="379"/>
      <c r="Q27" s="379"/>
      <c r="R27" s="379"/>
    </row>
    <row r="28" spans="1:18" x14ac:dyDescent="0.3">
      <c r="A28" s="379"/>
      <c r="B28" s="379"/>
      <c r="C28" s="379"/>
      <c r="D28" s="379"/>
      <c r="E28" s="379"/>
      <c r="F28" s="379"/>
      <c r="G28" s="379"/>
      <c r="H28" s="379"/>
      <c r="I28" s="379"/>
      <c r="J28" s="379"/>
      <c r="K28" s="379"/>
      <c r="L28" s="379"/>
      <c r="M28" s="379"/>
      <c r="N28" s="379"/>
      <c r="O28" s="379"/>
      <c r="P28" s="379"/>
      <c r="Q28" s="379"/>
      <c r="R28" s="379"/>
    </row>
    <row r="29" spans="1:18" x14ac:dyDescent="0.3">
      <c r="A29" s="379"/>
      <c r="B29" s="379"/>
      <c r="C29" s="379"/>
      <c r="D29" s="379"/>
      <c r="E29" s="379"/>
      <c r="F29" s="379"/>
      <c r="G29" s="379"/>
      <c r="H29" s="379"/>
      <c r="I29" s="379"/>
      <c r="J29" s="379"/>
      <c r="K29" s="379"/>
      <c r="L29" s="379"/>
      <c r="M29" s="379"/>
      <c r="N29" s="379"/>
      <c r="O29" s="379"/>
      <c r="P29" s="379"/>
      <c r="Q29" s="379"/>
      <c r="R29" s="379"/>
    </row>
    <row r="30" spans="1:18" x14ac:dyDescent="0.3">
      <c r="A30" s="379"/>
      <c r="B30" s="379"/>
      <c r="C30" s="379"/>
      <c r="D30" s="379"/>
      <c r="E30" s="379"/>
      <c r="F30" s="379"/>
      <c r="G30" s="379"/>
      <c r="H30" s="379"/>
      <c r="I30" s="379"/>
      <c r="J30" s="379"/>
      <c r="K30" s="379"/>
      <c r="L30" s="379"/>
      <c r="M30" s="379"/>
      <c r="N30" s="379"/>
      <c r="O30" s="379"/>
      <c r="P30" s="379"/>
      <c r="Q30" s="379"/>
      <c r="R30" s="379"/>
    </row>
    <row r="31" spans="1:18" x14ac:dyDescent="0.3">
      <c r="A31" s="379"/>
      <c r="B31" s="379"/>
      <c r="C31" s="379"/>
      <c r="D31" s="379"/>
      <c r="E31" s="379"/>
      <c r="F31" s="379"/>
      <c r="G31" s="379"/>
      <c r="H31" s="379"/>
      <c r="I31" s="379"/>
      <c r="J31" s="379"/>
      <c r="K31" s="379"/>
      <c r="L31" s="379"/>
      <c r="M31" s="379"/>
      <c r="N31" s="379"/>
      <c r="O31" s="379"/>
      <c r="P31" s="379"/>
      <c r="Q31" s="379"/>
      <c r="R31" s="379"/>
    </row>
    <row r="32" spans="1:18" x14ac:dyDescent="0.3">
      <c r="A32" s="379"/>
      <c r="B32" s="379"/>
      <c r="C32" s="379"/>
      <c r="D32" s="379"/>
      <c r="E32" s="379"/>
      <c r="F32" s="379"/>
      <c r="G32" s="379"/>
      <c r="H32" s="379"/>
      <c r="I32" s="379"/>
      <c r="J32" s="379"/>
      <c r="K32" s="379"/>
      <c r="L32" s="379"/>
      <c r="M32" s="379"/>
      <c r="N32" s="379"/>
      <c r="O32" s="379"/>
      <c r="P32" s="379"/>
      <c r="Q32" s="379"/>
      <c r="R32" s="379"/>
    </row>
    <row r="33" spans="1:18" x14ac:dyDescent="0.3">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zoomScale="85" zoomScaleNormal="85" workbookViewId="0">
      <selection activeCell="K11" sqref="K11"/>
    </sheetView>
  </sheetViews>
  <sheetFormatPr defaultRowHeight="14.4" x14ac:dyDescent="0.3"/>
  <cols>
    <col min="4" max="4" width="10.109375" customWidth="1"/>
    <col min="6" max="6" width="10.44140625" customWidth="1"/>
    <col min="7" max="7" width="15.109375" customWidth="1"/>
    <col min="8" max="8" width="14.44140625" customWidth="1"/>
    <col min="9" max="9" width="13.44140625" customWidth="1"/>
    <col min="10" max="10" width="14" customWidth="1"/>
    <col min="11" max="11" width="16.88671875" style="306" customWidth="1"/>
  </cols>
  <sheetData>
    <row r="2" spans="2:14" ht="15" thickBot="1" x14ac:dyDescent="0.35"/>
    <row r="3" spans="2:14" x14ac:dyDescent="0.3">
      <c r="B3" s="380" t="s">
        <v>1</v>
      </c>
      <c r="C3" s="750" t="s">
        <v>798</v>
      </c>
      <c r="D3" s="750"/>
      <c r="E3" s="381"/>
      <c r="F3" s="2"/>
      <c r="G3" s="2"/>
      <c r="H3" s="2"/>
      <c r="I3" s="732" t="s">
        <v>799</v>
      </c>
      <c r="J3" s="733"/>
      <c r="K3" s="733"/>
      <c r="L3" s="733"/>
      <c r="M3" s="733"/>
      <c r="N3" s="734"/>
    </row>
    <row r="4" spans="2:14" ht="15" customHeight="1" x14ac:dyDescent="0.3">
      <c r="B4" s="4"/>
      <c r="C4" s="5"/>
      <c r="D4" s="379"/>
      <c r="E4" s="394"/>
      <c r="F4" s="394"/>
      <c r="G4" s="394"/>
      <c r="H4" s="394"/>
      <c r="I4" s="5"/>
      <c r="J4" s="5"/>
      <c r="K4" s="382"/>
      <c r="L4" s="5"/>
      <c r="M4" s="5"/>
      <c r="N4" s="6"/>
    </row>
    <row r="5" spans="2:14" ht="15" customHeight="1" x14ac:dyDescent="0.3">
      <c r="B5" s="4"/>
      <c r="C5" s="383"/>
      <c r="D5" s="394"/>
      <c r="E5" s="744" t="s">
        <v>0</v>
      </c>
      <c r="F5" s="744"/>
      <c r="G5" s="744"/>
      <c r="H5" s="744"/>
      <c r="I5" s="744"/>
      <c r="J5" s="5"/>
      <c r="K5" s="382"/>
      <c r="L5" s="5"/>
      <c r="M5" s="5"/>
      <c r="N5" s="6"/>
    </row>
    <row r="6" spans="2:14" ht="15" customHeight="1" x14ac:dyDescent="0.3">
      <c r="B6" s="4"/>
      <c r="C6" s="383"/>
      <c r="D6" s="394"/>
      <c r="E6" s="744"/>
      <c r="F6" s="744"/>
      <c r="G6" s="744"/>
      <c r="H6" s="744"/>
      <c r="I6" s="744"/>
      <c r="J6" s="5"/>
      <c r="K6" s="382"/>
      <c r="L6" s="5"/>
      <c r="M6" s="5"/>
      <c r="N6" s="6"/>
    </row>
    <row r="7" spans="2:14" ht="15" customHeight="1" x14ac:dyDescent="0.3">
      <c r="B7" s="4"/>
      <c r="C7" s="383"/>
      <c r="D7" s="394"/>
      <c r="E7" s="744"/>
      <c r="F7" s="744"/>
      <c r="G7" s="744"/>
      <c r="H7" s="744"/>
      <c r="I7" s="744"/>
      <c r="J7" s="5"/>
      <c r="K7" s="382"/>
      <c r="L7" s="5"/>
      <c r="M7" s="5"/>
      <c r="N7" s="6"/>
    </row>
    <row r="8" spans="2:14" ht="18" customHeight="1" x14ac:dyDescent="0.4">
      <c r="B8" s="4"/>
      <c r="C8" s="5"/>
      <c r="D8" s="744"/>
      <c r="E8" s="744"/>
      <c r="F8" s="744"/>
      <c r="G8" s="744"/>
      <c r="H8" s="744"/>
      <c r="I8" s="744"/>
      <c r="J8" s="5"/>
      <c r="K8" s="382"/>
      <c r="L8" s="384"/>
      <c r="M8" s="385"/>
      <c r="N8" s="378"/>
    </row>
    <row r="9" spans="2:14" ht="18" customHeight="1" x14ac:dyDescent="0.4">
      <c r="B9" s="4"/>
      <c r="C9" s="5"/>
      <c r="D9" s="678"/>
      <c r="E9" s="678"/>
      <c r="F9" s="678"/>
      <c r="G9" s="678"/>
      <c r="H9" s="678"/>
      <c r="I9" s="678"/>
      <c r="J9" s="5"/>
      <c r="K9" s="382"/>
      <c r="L9" s="384"/>
      <c r="M9" s="385"/>
      <c r="N9" s="378"/>
    </row>
    <row r="10" spans="2:14" ht="30.75" customHeight="1" x14ac:dyDescent="0.4">
      <c r="B10" s="4"/>
      <c r="C10" s="745" t="s">
        <v>752</v>
      </c>
      <c r="D10" s="746"/>
      <c r="E10" s="751" t="s">
        <v>800</v>
      </c>
      <c r="F10" s="752"/>
      <c r="G10" s="753"/>
      <c r="H10" s="379"/>
      <c r="I10" s="747" t="s">
        <v>792</v>
      </c>
      <c r="J10" s="748"/>
      <c r="K10" s="749" t="s">
        <v>801</v>
      </c>
      <c r="L10" s="749"/>
      <c r="M10" s="385"/>
      <c r="N10" s="378"/>
    </row>
    <row r="11" spans="2:14" x14ac:dyDescent="0.3">
      <c r="B11" s="4"/>
      <c r="C11" s="5"/>
      <c r="D11" s="5"/>
      <c r="E11" s="5"/>
      <c r="F11" s="5"/>
      <c r="G11" s="5"/>
      <c r="H11" s="5"/>
      <c r="I11" s="5"/>
      <c r="J11" s="5"/>
      <c r="K11" s="382"/>
      <c r="L11" s="5"/>
      <c r="M11" s="5"/>
      <c r="N11" s="6"/>
    </row>
    <row r="12" spans="2:14" ht="29.25" customHeight="1" x14ac:dyDescent="0.3">
      <c r="B12" s="4"/>
      <c r="C12" s="754" t="s">
        <v>760</v>
      </c>
      <c r="D12" s="754"/>
      <c r="E12" s="755">
        <v>45686</v>
      </c>
      <c r="F12" s="756"/>
      <c r="G12" s="756"/>
      <c r="H12" s="5"/>
      <c r="I12" s="5"/>
      <c r="J12" s="5"/>
      <c r="K12" s="382"/>
      <c r="L12" s="5"/>
      <c r="M12" s="5"/>
      <c r="N12" s="6"/>
    </row>
    <row r="13" spans="2:14" ht="23.25" customHeight="1" x14ac:dyDescent="0.3">
      <c r="B13" s="4"/>
      <c r="C13" s="5"/>
      <c r="D13" s="386"/>
      <c r="E13" s="386"/>
      <c r="F13" s="5"/>
      <c r="G13" s="5"/>
      <c r="H13" s="5"/>
      <c r="I13" s="5"/>
      <c r="J13" s="5"/>
      <c r="K13" s="382"/>
      <c r="L13" s="5"/>
      <c r="M13" s="5"/>
      <c r="N13" s="6"/>
    </row>
    <row r="14" spans="2:14" ht="33.6" customHeight="1" x14ac:dyDescent="0.3">
      <c r="B14" s="4"/>
      <c r="C14" s="735" t="s">
        <v>730</v>
      </c>
      <c r="D14" s="736"/>
      <c r="E14" s="736"/>
      <c r="F14" s="736"/>
      <c r="G14" s="736"/>
      <c r="H14" s="736"/>
      <c r="I14" s="736"/>
      <c r="J14" s="736"/>
      <c r="K14" s="736"/>
      <c r="L14" s="736"/>
      <c r="M14" s="737"/>
      <c r="N14" s="6"/>
    </row>
    <row r="15" spans="2:14" ht="25.35" customHeight="1" x14ac:dyDescent="0.3">
      <c r="B15" s="4"/>
      <c r="C15" s="738"/>
      <c r="D15" s="739"/>
      <c r="E15" s="739"/>
      <c r="F15" s="739"/>
      <c r="G15" s="739"/>
      <c r="H15" s="739"/>
      <c r="I15" s="739"/>
      <c r="J15" s="739"/>
      <c r="K15" s="739"/>
      <c r="L15" s="739"/>
      <c r="M15" s="740"/>
      <c r="N15" s="6"/>
    </row>
    <row r="16" spans="2:14" ht="25.35" customHeight="1" x14ac:dyDescent="0.3">
      <c r="B16" s="4"/>
      <c r="C16" s="738"/>
      <c r="D16" s="739"/>
      <c r="E16" s="739"/>
      <c r="F16" s="739"/>
      <c r="G16" s="739"/>
      <c r="H16" s="739"/>
      <c r="I16" s="739"/>
      <c r="J16" s="739"/>
      <c r="K16" s="739"/>
      <c r="L16" s="739"/>
      <c r="M16" s="740"/>
      <c r="N16" s="6"/>
    </row>
    <row r="17" spans="2:14" ht="25.35" customHeight="1" x14ac:dyDescent="0.3">
      <c r="B17" s="4"/>
      <c r="C17" s="738"/>
      <c r="D17" s="739"/>
      <c r="E17" s="739"/>
      <c r="F17" s="739"/>
      <c r="G17" s="739"/>
      <c r="H17" s="739"/>
      <c r="I17" s="739"/>
      <c r="J17" s="739"/>
      <c r="K17" s="739"/>
      <c r="L17" s="739"/>
      <c r="M17" s="740"/>
      <c r="N17" s="6"/>
    </row>
    <row r="18" spans="2:14" ht="48.75" customHeight="1" x14ac:dyDescent="0.3">
      <c r="B18" s="4"/>
      <c r="C18" s="738"/>
      <c r="D18" s="739"/>
      <c r="E18" s="739"/>
      <c r="F18" s="739"/>
      <c r="G18" s="739"/>
      <c r="H18" s="739"/>
      <c r="I18" s="739"/>
      <c r="J18" s="739"/>
      <c r="K18" s="739"/>
      <c r="L18" s="739"/>
      <c r="M18" s="740"/>
      <c r="N18" s="6"/>
    </row>
    <row r="19" spans="2:14" ht="17.25" customHeight="1" x14ac:dyDescent="0.3">
      <c r="B19" s="4"/>
      <c r="C19" s="741"/>
      <c r="D19" s="742"/>
      <c r="E19" s="742"/>
      <c r="F19" s="742"/>
      <c r="G19" s="742"/>
      <c r="H19" s="742"/>
      <c r="I19" s="742"/>
      <c r="J19" s="742"/>
      <c r="K19" s="742"/>
      <c r="L19" s="742"/>
      <c r="M19" s="743"/>
      <c r="N19" s="6"/>
    </row>
    <row r="20" spans="2:14" ht="15" customHeight="1" x14ac:dyDescent="0.3">
      <c r="B20" s="4"/>
      <c r="C20" s="387"/>
      <c r="D20" s="387"/>
      <c r="E20" s="387"/>
      <c r="F20" s="387"/>
      <c r="G20" s="387"/>
      <c r="H20" s="387"/>
      <c r="I20" s="387"/>
      <c r="J20" s="387"/>
      <c r="K20" s="387"/>
      <c r="L20" s="387"/>
      <c r="M20" s="387"/>
      <c r="N20" s="6"/>
    </row>
    <row r="21" spans="2:14" ht="24.6" customHeight="1" x14ac:dyDescent="0.3">
      <c r="B21" s="4"/>
      <c r="C21" s="311"/>
      <c r="D21" s="311"/>
      <c r="E21" s="311"/>
      <c r="F21" s="311"/>
      <c r="G21" s="311"/>
      <c r="H21" s="311"/>
      <c r="I21" s="679"/>
      <c r="J21" s="679"/>
      <c r="K21" s="388"/>
      <c r="L21" s="679"/>
      <c r="M21" s="679"/>
      <c r="N21" s="6"/>
    </row>
    <row r="22" spans="2:14" ht="30" customHeight="1" x14ac:dyDescent="0.3">
      <c r="B22" s="4"/>
      <c r="C22" s="731" t="s">
        <v>19</v>
      </c>
      <c r="D22" s="731"/>
      <c r="E22" s="489" t="s">
        <v>20</v>
      </c>
      <c r="F22" s="490" t="s">
        <v>21</v>
      </c>
      <c r="G22" s="491" t="s">
        <v>757</v>
      </c>
      <c r="H22" s="492" t="s">
        <v>22</v>
      </c>
      <c r="I22" s="493" t="s">
        <v>639</v>
      </c>
      <c r="J22" s="494" t="s">
        <v>676</v>
      </c>
      <c r="K22" s="495" t="s">
        <v>681</v>
      </c>
      <c r="L22" s="679"/>
      <c r="M22" s="679"/>
      <c r="N22" s="6"/>
    </row>
    <row r="23" spans="2:14" ht="28.5" customHeight="1" x14ac:dyDescent="0.3">
      <c r="B23" s="4"/>
      <c r="C23" s="311"/>
      <c r="D23" s="488"/>
      <c r="E23" s="487"/>
      <c r="F23" s="487"/>
      <c r="G23" s="487"/>
      <c r="H23" s="487"/>
      <c r="I23" s="487"/>
      <c r="J23" s="487"/>
      <c r="K23" s="487"/>
      <c r="L23" s="679"/>
      <c r="M23" s="679"/>
      <c r="N23" s="6"/>
    </row>
    <row r="24" spans="2:14" ht="24.75" customHeight="1" x14ac:dyDescent="0.3">
      <c r="B24" s="4"/>
      <c r="C24" s="727" t="s">
        <v>23</v>
      </c>
      <c r="D24" s="728"/>
      <c r="E24" s="728"/>
      <c r="F24" s="728"/>
      <c r="G24" s="728"/>
      <c r="H24" s="496"/>
      <c r="I24" s="487"/>
      <c r="J24" s="487"/>
      <c r="K24" s="487"/>
      <c r="L24" s="679"/>
      <c r="M24" s="679"/>
      <c r="N24" s="6"/>
    </row>
    <row r="25" spans="2:14" ht="26.1" customHeight="1" x14ac:dyDescent="0.3">
      <c r="B25" s="4"/>
      <c r="C25" s="729"/>
      <c r="D25" s="730"/>
      <c r="E25" s="730"/>
      <c r="F25" s="730"/>
      <c r="G25" s="730"/>
      <c r="H25" s="497" t="s">
        <v>729</v>
      </c>
      <c r="I25" s="487"/>
      <c r="J25" s="487"/>
      <c r="K25" s="487"/>
      <c r="L25" s="679"/>
      <c r="M25" s="679"/>
      <c r="N25" s="6"/>
    </row>
    <row r="26" spans="2:14" ht="27" customHeight="1" x14ac:dyDescent="0.3">
      <c r="B26" s="4"/>
      <c r="C26" s="5"/>
      <c r="D26" s="5"/>
      <c r="E26" s="5"/>
      <c r="F26" s="5"/>
      <c r="G26" s="5"/>
      <c r="H26" s="379"/>
      <c r="I26" s="379"/>
      <c r="J26" s="379"/>
      <c r="K26" s="387"/>
      <c r="L26" s="387"/>
      <c r="M26" s="387"/>
      <c r="N26" s="6"/>
    </row>
    <row r="27" spans="2:14" ht="23.25" customHeight="1" x14ac:dyDescent="0.3">
      <c r="B27" s="7">
        <v>1</v>
      </c>
      <c r="C27" s="389" t="s">
        <v>2</v>
      </c>
      <c r="D27" s="5"/>
      <c r="E27" s="5"/>
      <c r="F27" s="389"/>
      <c r="G27" s="5"/>
      <c r="H27" s="389">
        <v>7</v>
      </c>
      <c r="I27" s="389" t="s">
        <v>14</v>
      </c>
      <c r="J27" s="389"/>
      <c r="K27" s="387"/>
      <c r="L27" s="387"/>
      <c r="M27" s="387"/>
      <c r="N27" s="6"/>
    </row>
    <row r="28" spans="2:14" ht="22.5" customHeight="1" x14ac:dyDescent="0.3">
      <c r="B28" s="4"/>
      <c r="C28" s="723" t="s">
        <v>4</v>
      </c>
      <c r="D28" s="723"/>
      <c r="E28" s="723"/>
      <c r="F28" s="723"/>
      <c r="G28" s="723"/>
      <c r="H28" s="389"/>
      <c r="I28" s="379" t="s">
        <v>740</v>
      </c>
      <c r="J28" s="379"/>
      <c r="K28" s="379"/>
      <c r="L28" s="397"/>
      <c r="M28" s="397"/>
      <c r="N28" s="6"/>
    </row>
    <row r="29" spans="2:14" ht="23.25" customHeight="1" x14ac:dyDescent="0.3">
      <c r="B29" s="4"/>
      <c r="C29" s="723"/>
      <c r="D29" s="723"/>
      <c r="E29" s="723"/>
      <c r="F29" s="723"/>
      <c r="G29" s="723"/>
      <c r="H29" s="389">
        <v>8</v>
      </c>
      <c r="I29" s="389" t="s">
        <v>15</v>
      </c>
      <c r="J29" s="389"/>
      <c r="K29" s="389"/>
      <c r="L29" s="5"/>
      <c r="M29" s="5"/>
      <c r="N29" s="6"/>
    </row>
    <row r="30" spans="2:14" ht="21" customHeight="1" x14ac:dyDescent="0.3">
      <c r="B30" s="4"/>
      <c r="C30" s="723"/>
      <c r="D30" s="723"/>
      <c r="E30" s="723"/>
      <c r="F30" s="723"/>
      <c r="G30" s="723"/>
      <c r="H30" s="379"/>
      <c r="I30" s="725" t="s">
        <v>741</v>
      </c>
      <c r="J30" s="725"/>
      <c r="K30" s="725"/>
      <c r="L30" s="725"/>
      <c r="M30" s="5"/>
      <c r="N30" s="6"/>
    </row>
    <row r="31" spans="2:14" ht="37.5" customHeight="1" x14ac:dyDescent="0.3">
      <c r="B31" s="400">
        <v>2</v>
      </c>
      <c r="C31" s="720" t="s">
        <v>7</v>
      </c>
      <c r="D31" s="720"/>
      <c r="E31" s="720"/>
      <c r="F31" s="720"/>
      <c r="G31" s="627"/>
      <c r="H31" s="379"/>
      <c r="I31" s="725"/>
      <c r="J31" s="725"/>
      <c r="K31" s="725"/>
      <c r="L31" s="725"/>
      <c r="M31" s="5"/>
      <c r="N31" s="6"/>
    </row>
    <row r="32" spans="2:14" ht="25.5" customHeight="1" x14ac:dyDescent="0.3">
      <c r="B32" s="401"/>
      <c r="C32" s="723" t="s">
        <v>736</v>
      </c>
      <c r="D32" s="723"/>
      <c r="E32" s="723"/>
      <c r="F32" s="723"/>
      <c r="G32" s="723"/>
      <c r="H32" s="629">
        <v>9</v>
      </c>
      <c r="I32" s="628" t="s">
        <v>3</v>
      </c>
      <c r="J32" s="379"/>
      <c r="K32" s="683"/>
      <c r="L32" s="5"/>
      <c r="M32" s="5"/>
      <c r="N32" s="6"/>
    </row>
    <row r="33" spans="2:14" ht="28.5" customHeight="1" x14ac:dyDescent="0.3">
      <c r="B33" s="4"/>
      <c r="C33" s="723"/>
      <c r="D33" s="723"/>
      <c r="E33" s="723"/>
      <c r="F33" s="723"/>
      <c r="G33" s="723"/>
      <c r="H33" s="5"/>
      <c r="I33" s="722" t="s">
        <v>720</v>
      </c>
      <c r="J33" s="722"/>
      <c r="K33" s="722"/>
      <c r="L33" s="390"/>
      <c r="M33" s="390"/>
      <c r="N33" s="6"/>
    </row>
    <row r="34" spans="2:14" ht="30.75" customHeight="1" x14ac:dyDescent="0.3">
      <c r="B34" s="7">
        <v>3</v>
      </c>
      <c r="C34" s="721" t="s">
        <v>9</v>
      </c>
      <c r="D34" s="721"/>
      <c r="E34" s="721"/>
      <c r="F34" s="721"/>
      <c r="G34" s="721"/>
      <c r="H34" s="389">
        <v>10</v>
      </c>
      <c r="I34" s="389" t="s">
        <v>5</v>
      </c>
      <c r="J34" s="389"/>
      <c r="K34" s="396"/>
      <c r="L34" s="396"/>
      <c r="M34" s="396"/>
      <c r="N34" s="6"/>
    </row>
    <row r="35" spans="2:14" ht="33.75" customHeight="1" x14ac:dyDescent="0.3">
      <c r="B35" s="4"/>
      <c r="C35" s="723" t="s">
        <v>744</v>
      </c>
      <c r="D35" s="723"/>
      <c r="E35" s="723"/>
      <c r="F35" s="723"/>
      <c r="G35" s="391"/>
      <c r="H35" s="389"/>
      <c r="I35" s="725" t="s">
        <v>742</v>
      </c>
      <c r="J35" s="725"/>
      <c r="K35" s="725"/>
      <c r="L35" s="725"/>
      <c r="M35" s="396"/>
      <c r="N35" s="6"/>
    </row>
    <row r="36" spans="2:14" ht="19.5" customHeight="1" x14ac:dyDescent="0.3">
      <c r="B36" s="4"/>
      <c r="C36" s="723"/>
      <c r="D36" s="723"/>
      <c r="E36" s="723"/>
      <c r="F36" s="723"/>
      <c r="G36" s="391"/>
      <c r="H36" s="389">
        <v>11</v>
      </c>
      <c r="I36" s="389" t="s">
        <v>6</v>
      </c>
      <c r="J36" s="389"/>
      <c r="K36" s="393"/>
      <c r="L36" s="392"/>
      <c r="M36" s="392"/>
      <c r="N36" s="6"/>
    </row>
    <row r="37" spans="2:14" ht="27" customHeight="1" x14ac:dyDescent="0.3">
      <c r="B37" s="7">
        <v>4</v>
      </c>
      <c r="C37" s="721" t="s">
        <v>10</v>
      </c>
      <c r="D37" s="721"/>
      <c r="E37" s="721"/>
      <c r="F37" s="721"/>
      <c r="G37" s="721"/>
      <c r="H37" s="379"/>
      <c r="I37" s="726" t="s">
        <v>743</v>
      </c>
      <c r="J37" s="726"/>
      <c r="K37" s="726"/>
      <c r="L37" s="726"/>
      <c r="M37" s="726"/>
      <c r="N37" s="6"/>
    </row>
    <row r="38" spans="2:14" ht="28.5" customHeight="1" x14ac:dyDescent="0.3">
      <c r="B38" s="4"/>
      <c r="C38" s="724" t="s">
        <v>737</v>
      </c>
      <c r="D38" s="724"/>
      <c r="E38" s="724"/>
      <c r="F38" s="724"/>
      <c r="G38" s="724"/>
      <c r="H38" s="389">
        <v>12</v>
      </c>
      <c r="I38" s="389" t="s">
        <v>8</v>
      </c>
      <c r="J38" s="396"/>
      <c r="K38" s="398"/>
      <c r="L38" s="396"/>
      <c r="M38" s="396"/>
      <c r="N38" s="6"/>
    </row>
    <row r="39" spans="2:14" ht="27.75" customHeight="1" x14ac:dyDescent="0.3">
      <c r="B39" s="7">
        <v>5</v>
      </c>
      <c r="C39" s="389" t="s">
        <v>12</v>
      </c>
      <c r="D39" s="389"/>
      <c r="E39" s="389"/>
      <c r="F39" s="5"/>
      <c r="G39" s="5"/>
      <c r="H39" s="5"/>
      <c r="I39" s="722" t="s">
        <v>721</v>
      </c>
      <c r="J39" s="722"/>
      <c r="K39" s="722"/>
      <c r="L39" s="396"/>
      <c r="M39" s="396"/>
      <c r="N39" s="6"/>
    </row>
    <row r="40" spans="2:14" ht="23.25" customHeight="1" x14ac:dyDescent="0.3">
      <c r="B40" s="4"/>
      <c r="C40" s="724" t="s">
        <v>738</v>
      </c>
      <c r="D40" s="724"/>
      <c r="E40" s="724"/>
      <c r="F40" s="724"/>
      <c r="G40" s="724"/>
      <c r="H40" s="5"/>
      <c r="I40" s="396"/>
      <c r="J40" s="396"/>
      <c r="K40" s="396"/>
      <c r="L40" s="396"/>
      <c r="M40" s="396"/>
      <c r="N40" s="395"/>
    </row>
    <row r="41" spans="2:14" ht="27" customHeight="1" x14ac:dyDescent="0.3">
      <c r="B41" s="7">
        <v>6</v>
      </c>
      <c r="C41" s="389" t="s">
        <v>13</v>
      </c>
      <c r="D41" s="389"/>
      <c r="E41" s="389"/>
      <c r="F41" s="389"/>
      <c r="G41" s="5"/>
      <c r="H41" s="389">
        <v>13</v>
      </c>
      <c r="I41" s="389" t="s">
        <v>11</v>
      </c>
      <c r="J41" s="396"/>
      <c r="K41" s="398"/>
      <c r="L41" s="396"/>
      <c r="M41" s="396"/>
      <c r="N41" s="6"/>
    </row>
    <row r="42" spans="2:14" ht="26.25" customHeight="1" x14ac:dyDescent="0.3">
      <c r="B42" s="4"/>
      <c r="C42" s="724" t="s">
        <v>739</v>
      </c>
      <c r="D42" s="724"/>
      <c r="E42" s="724"/>
      <c r="F42" s="724"/>
      <c r="G42" s="724"/>
      <c r="H42" s="5"/>
      <c r="I42" s="722" t="s">
        <v>722</v>
      </c>
      <c r="J42" s="722"/>
      <c r="K42" s="722"/>
      <c r="L42" s="399"/>
      <c r="M42" s="399"/>
      <c r="N42" s="6"/>
    </row>
    <row r="43" spans="2:14" x14ac:dyDescent="0.3">
      <c r="B43" s="401"/>
      <c r="C43" s="379"/>
      <c r="D43" s="379"/>
      <c r="E43" s="389"/>
      <c r="F43" s="389"/>
      <c r="G43" s="5"/>
      <c r="H43" s="5"/>
      <c r="I43" s="399"/>
      <c r="J43" s="399"/>
      <c r="K43" s="399"/>
      <c r="L43" s="399"/>
      <c r="M43" s="399"/>
      <c r="N43" s="6"/>
    </row>
    <row r="44" spans="2:14" x14ac:dyDescent="0.3">
      <c r="B44" s="4"/>
      <c r="C44" s="5"/>
      <c r="D44" s="5"/>
      <c r="E44" s="5"/>
      <c r="F44" s="5"/>
      <c r="G44" s="5"/>
      <c r="H44" s="5"/>
      <c r="I44" s="399"/>
      <c r="J44" s="399"/>
      <c r="K44" s="399"/>
      <c r="L44" s="399"/>
      <c r="M44" s="399"/>
      <c r="N44" s="6"/>
    </row>
    <row r="45" spans="2:14" x14ac:dyDescent="0.3">
      <c r="B45" s="4"/>
      <c r="C45" s="5"/>
      <c r="D45" s="5"/>
      <c r="E45" s="5"/>
      <c r="F45" s="5"/>
      <c r="G45" s="5"/>
      <c r="H45" s="5"/>
      <c r="I45" s="399"/>
      <c r="J45" s="399"/>
      <c r="K45" s="399"/>
      <c r="L45" s="399"/>
      <c r="M45" s="399"/>
      <c r="N45" s="6"/>
    </row>
    <row r="46" spans="2:14" x14ac:dyDescent="0.3">
      <c r="B46" s="7"/>
      <c r="C46" s="389"/>
      <c r="D46" s="5"/>
      <c r="E46" s="5"/>
      <c r="F46" s="5"/>
      <c r="G46" s="5"/>
      <c r="H46" s="5"/>
      <c r="I46" s="399"/>
      <c r="J46" s="399"/>
      <c r="K46" s="382"/>
      <c r="L46" s="5"/>
      <c r="M46" s="5"/>
      <c r="N46" s="6"/>
    </row>
    <row r="47" spans="2:14" ht="15" thickBot="1" x14ac:dyDescent="0.35">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zoomScale="70" zoomScaleNormal="70" workbookViewId="0">
      <selection activeCell="E9" sqref="E9"/>
    </sheetView>
  </sheetViews>
  <sheetFormatPr defaultRowHeight="14.4" x14ac:dyDescent="0.3"/>
  <cols>
    <col min="4" max="4" width="40.109375" customWidth="1"/>
    <col min="5" max="5" width="38.109375" customWidth="1"/>
    <col min="6" max="6" width="21.44140625" style="11" customWidth="1"/>
  </cols>
  <sheetData>
    <row r="1" spans="2:12" ht="15" thickBot="1" x14ac:dyDescent="0.35"/>
    <row r="2" spans="2:12" ht="16.2" thickBot="1" x14ac:dyDescent="0.35">
      <c r="B2" s="760" t="s">
        <v>24</v>
      </c>
      <c r="C2" s="761"/>
      <c r="D2" s="761"/>
      <c r="E2" s="761"/>
      <c r="F2" s="761"/>
      <c r="G2" s="761"/>
      <c r="H2" s="761"/>
      <c r="I2" s="761"/>
      <c r="J2" s="761"/>
      <c r="K2" s="761"/>
      <c r="L2" s="314"/>
    </row>
    <row r="3" spans="2:12" x14ac:dyDescent="0.3">
      <c r="B3" s="1"/>
      <c r="C3" s="2"/>
      <c r="D3" s="2"/>
      <c r="E3" s="2"/>
      <c r="F3" s="32"/>
      <c r="G3" s="2"/>
      <c r="H3" s="2"/>
      <c r="I3" s="2"/>
      <c r="J3" s="2"/>
      <c r="K3" s="2"/>
      <c r="L3" s="3"/>
    </row>
    <row r="4" spans="2:12" x14ac:dyDescent="0.3">
      <c r="B4" s="4"/>
      <c r="C4" s="379"/>
      <c r="D4" s="12" t="s">
        <v>754</v>
      </c>
      <c r="E4" s="31" t="str">
        <f>+Introduction!E10</f>
        <v>Duynie Ingredients Ltd</v>
      </c>
      <c r="F4" s="13"/>
      <c r="G4" s="5"/>
      <c r="H4" s="5"/>
      <c r="I4" s="5"/>
      <c r="J4" s="5"/>
      <c r="K4" s="5"/>
      <c r="L4" s="6"/>
    </row>
    <row r="5" spans="2:12" x14ac:dyDescent="0.3">
      <c r="B5" s="4"/>
      <c r="C5" s="379"/>
      <c r="D5" s="12" t="s">
        <v>793</v>
      </c>
      <c r="E5" s="31" t="str">
        <f>+Introduction!K10</f>
        <v>n/a</v>
      </c>
      <c r="F5" s="22"/>
      <c r="G5" s="5"/>
      <c r="H5" s="5"/>
      <c r="I5" s="5"/>
      <c r="J5" s="5"/>
      <c r="K5" s="5"/>
      <c r="L5" s="6"/>
    </row>
    <row r="6" spans="2:12" x14ac:dyDescent="0.3">
      <c r="B6" s="4"/>
      <c r="C6" s="5"/>
      <c r="D6" s="5"/>
      <c r="E6" s="5"/>
      <c r="F6" s="5"/>
      <c r="G6" s="5"/>
      <c r="H6" s="5"/>
      <c r="I6" s="5"/>
      <c r="J6" s="5"/>
      <c r="K6" s="5"/>
      <c r="L6" s="6"/>
    </row>
    <row r="7" spans="2:12" ht="49.8" x14ac:dyDescent="0.3">
      <c r="B7" s="4"/>
      <c r="C7" s="14" t="s">
        <v>25</v>
      </c>
      <c r="D7" s="15" t="s">
        <v>26</v>
      </c>
      <c r="E7" s="15" t="s">
        <v>27</v>
      </c>
      <c r="F7" s="15" t="s">
        <v>28</v>
      </c>
      <c r="G7" s="5"/>
      <c r="H7" s="5"/>
      <c r="I7" s="5"/>
      <c r="J7" s="762" t="s">
        <v>29</v>
      </c>
      <c r="K7" s="763"/>
      <c r="L7" s="6"/>
    </row>
    <row r="8" spans="2:12" ht="20.100000000000001" customHeight="1" x14ac:dyDescent="0.3">
      <c r="B8" s="16"/>
      <c r="C8" s="313">
        <v>1</v>
      </c>
      <c r="D8" s="682" t="s">
        <v>802</v>
      </c>
      <c r="E8" s="630" t="s">
        <v>690</v>
      </c>
      <c r="F8" s="57" t="str">
        <f>IFERROR(VLOOKUP(E8,Picklists!$D$3:$E$139,2,FALSE),"")</f>
        <v>C</v>
      </c>
      <c r="G8" s="5"/>
      <c r="H8" s="5"/>
      <c r="I8" s="17"/>
      <c r="J8" s="18" t="s">
        <v>31</v>
      </c>
      <c r="K8" s="30">
        <f>COUNTIF($F$8:$F$32,J8)</f>
        <v>0</v>
      </c>
      <c r="L8" s="6"/>
    </row>
    <row r="9" spans="2:12" ht="20.100000000000001" customHeight="1" x14ac:dyDescent="0.3">
      <c r="B9" s="16"/>
      <c r="C9" s="313">
        <v>2</v>
      </c>
      <c r="D9" s="682"/>
      <c r="E9" s="630"/>
      <c r="F9" s="57" t="str">
        <f>IFERROR(VLOOKUP(E9,Picklists!$D$3:$E$139,2,FALSE),"")</f>
        <v/>
      </c>
      <c r="G9" s="5"/>
      <c r="H9" s="5"/>
      <c r="I9" s="17"/>
      <c r="J9" s="18" t="s">
        <v>32</v>
      </c>
      <c r="K9" s="30">
        <f t="shared" ref="K9:K12" si="0">COUNTIF($F$8:$F$32,J9)</f>
        <v>0</v>
      </c>
      <c r="L9" s="6"/>
    </row>
    <row r="10" spans="2:12" ht="20.100000000000001" customHeight="1" x14ac:dyDescent="0.3">
      <c r="B10" s="16"/>
      <c r="C10" s="313">
        <v>3</v>
      </c>
      <c r="D10" s="682"/>
      <c r="E10" s="630"/>
      <c r="F10" s="57" t="str">
        <f>IFERROR(VLOOKUP(E10,Picklists!$D$3:$E$139,2,FALSE),"")</f>
        <v/>
      </c>
      <c r="G10" s="5"/>
      <c r="H10" s="5"/>
      <c r="I10" s="17"/>
      <c r="J10" s="18" t="s">
        <v>30</v>
      </c>
      <c r="K10" s="30">
        <f t="shared" si="0"/>
        <v>1</v>
      </c>
      <c r="L10" s="6"/>
    </row>
    <row r="11" spans="2:12" ht="20.100000000000001" customHeight="1" x14ac:dyDescent="0.3">
      <c r="B11" s="16"/>
      <c r="C11" s="313">
        <v>4</v>
      </c>
      <c r="D11" s="682"/>
      <c r="E11" s="630"/>
      <c r="F11" s="57" t="str">
        <f>IFERROR(VLOOKUP(E11,Picklists!$D$3:$E$139,2,FALSE),"")</f>
        <v/>
      </c>
      <c r="G11" s="5"/>
      <c r="H11" s="5"/>
      <c r="I11" s="17"/>
      <c r="J11" s="18" t="s">
        <v>33</v>
      </c>
      <c r="K11" s="30">
        <f t="shared" si="0"/>
        <v>0</v>
      </c>
      <c r="L11" s="6"/>
    </row>
    <row r="12" spans="2:12" ht="20.100000000000001" customHeight="1" x14ac:dyDescent="0.3">
      <c r="B12" s="16"/>
      <c r="C12" s="313">
        <v>5</v>
      </c>
      <c r="D12" s="682"/>
      <c r="E12" s="630"/>
      <c r="F12" s="57" t="str">
        <f>IFERROR(VLOOKUP(E12,Picklists!$D$3:$E$139,2,FALSE),"")</f>
        <v/>
      </c>
      <c r="G12" s="5"/>
      <c r="H12" s="5"/>
      <c r="I12" s="17"/>
      <c r="J12" s="19" t="s">
        <v>34</v>
      </c>
      <c r="K12" s="30">
        <f t="shared" si="0"/>
        <v>0</v>
      </c>
      <c r="L12" s="6"/>
    </row>
    <row r="13" spans="2:12" ht="20.100000000000001" customHeight="1" x14ac:dyDescent="0.3">
      <c r="B13" s="16"/>
      <c r="C13" s="313">
        <v>6</v>
      </c>
      <c r="D13" s="682"/>
      <c r="E13" s="630"/>
      <c r="F13" s="57" t="str">
        <f>IFERROR(VLOOKUP(E13,Picklists!$D$3:$E$139,2,FALSE),"")</f>
        <v/>
      </c>
      <c r="G13" s="5"/>
      <c r="H13" s="5"/>
      <c r="I13" s="17"/>
      <c r="J13" s="20"/>
      <c r="K13" s="21"/>
      <c r="L13" s="6"/>
    </row>
    <row r="14" spans="2:12" ht="20.100000000000001" customHeight="1" x14ac:dyDescent="0.3">
      <c r="B14" s="16"/>
      <c r="C14" s="313">
        <v>7</v>
      </c>
      <c r="D14" s="682"/>
      <c r="E14" s="630"/>
      <c r="F14" s="57" t="str">
        <f>IFERROR(VLOOKUP(E14,Picklists!$D$3:$E$139,2,FALSE),"")</f>
        <v/>
      </c>
      <c r="G14" s="5"/>
      <c r="H14" s="5"/>
      <c r="I14" s="17"/>
      <c r="J14" s="5"/>
      <c r="K14" s="22"/>
      <c r="L14" s="6"/>
    </row>
    <row r="15" spans="2:12" ht="20.100000000000001" customHeight="1" x14ac:dyDescent="0.3">
      <c r="B15" s="16"/>
      <c r="C15" s="313">
        <v>8</v>
      </c>
      <c r="D15" s="682"/>
      <c r="E15" s="630"/>
      <c r="F15" s="57" t="str">
        <f>IFERROR(VLOOKUP(E15,Picklists!$D$3:$E$139,2,FALSE),"")</f>
        <v/>
      </c>
      <c r="G15" s="5"/>
      <c r="H15" s="5"/>
      <c r="I15" s="17"/>
      <c r="J15" s="5"/>
      <c r="K15" s="5"/>
      <c r="L15" s="6"/>
    </row>
    <row r="16" spans="2:12" ht="20.100000000000001" customHeight="1" x14ac:dyDescent="0.3">
      <c r="B16" s="16"/>
      <c r="C16" s="313">
        <v>9</v>
      </c>
      <c r="D16" s="682"/>
      <c r="E16" s="630"/>
      <c r="F16" s="57" t="str">
        <f>IFERROR(VLOOKUP(E16,Picklists!$D$3:$E$139,2,FALSE),"")</f>
        <v/>
      </c>
      <c r="G16" s="5"/>
      <c r="H16" s="5"/>
      <c r="I16" s="17"/>
      <c r="J16" s="764"/>
      <c r="K16" s="764"/>
      <c r="L16" s="6"/>
    </row>
    <row r="17" spans="2:12" ht="20.100000000000001" customHeight="1" x14ac:dyDescent="0.3">
      <c r="B17" s="16"/>
      <c r="C17" s="313">
        <v>10</v>
      </c>
      <c r="D17" s="682"/>
      <c r="E17" s="630"/>
      <c r="F17" s="57" t="str">
        <f>IFERROR(VLOOKUP(E17,Picklists!$D$3:$E$139,2,FALSE),"")</f>
        <v/>
      </c>
      <c r="G17" s="5"/>
      <c r="H17" s="5"/>
      <c r="I17" s="17"/>
      <c r="J17" s="764"/>
      <c r="K17" s="764"/>
      <c r="L17" s="6"/>
    </row>
    <row r="18" spans="2:12" ht="20.100000000000001" customHeight="1" x14ac:dyDescent="0.3">
      <c r="B18" s="16"/>
      <c r="C18" s="313">
        <v>11</v>
      </c>
      <c r="D18" s="682"/>
      <c r="E18" s="630"/>
      <c r="F18" s="57" t="str">
        <f>IFERROR(VLOOKUP(E18,Picklists!$D$3:$E$139,2,FALSE),"")</f>
        <v/>
      </c>
      <c r="G18" s="5"/>
      <c r="H18" s="5"/>
      <c r="I18" s="17"/>
      <c r="J18" s="764"/>
      <c r="K18" s="764"/>
      <c r="L18" s="6"/>
    </row>
    <row r="19" spans="2:12" ht="20.100000000000001" customHeight="1" x14ac:dyDescent="0.3">
      <c r="B19" s="16"/>
      <c r="C19" s="313">
        <v>12</v>
      </c>
      <c r="D19" s="682"/>
      <c r="E19" s="630"/>
      <c r="F19" s="57" t="str">
        <f>IFERROR(VLOOKUP(E19,Picklists!$D$3:$E$139,2,FALSE),"")</f>
        <v/>
      </c>
      <c r="G19" s="5"/>
      <c r="H19" s="5"/>
      <c r="I19" s="17"/>
      <c r="J19" s="764"/>
      <c r="K19" s="764"/>
      <c r="L19" s="6"/>
    </row>
    <row r="20" spans="2:12" ht="20.100000000000001" customHeight="1" x14ac:dyDescent="0.3">
      <c r="B20" s="16"/>
      <c r="C20" s="313">
        <v>13</v>
      </c>
      <c r="D20" s="682"/>
      <c r="E20" s="630"/>
      <c r="F20" s="57" t="str">
        <f>IFERROR(VLOOKUP(E20,Picklists!$D$3:$E$139,2,FALSE),"")</f>
        <v/>
      </c>
      <c r="G20" s="5"/>
      <c r="H20" s="5"/>
      <c r="I20" s="17"/>
      <c r="J20" s="764"/>
      <c r="K20" s="764"/>
      <c r="L20" s="6"/>
    </row>
    <row r="21" spans="2:12" ht="20.100000000000001" customHeight="1" x14ac:dyDescent="0.3">
      <c r="B21" s="16"/>
      <c r="C21" s="313">
        <v>14</v>
      </c>
      <c r="D21" s="682"/>
      <c r="E21" s="630"/>
      <c r="F21" s="57" t="str">
        <f>IFERROR(VLOOKUP(E21,Picklists!$D$3:$E$139,2,FALSE),"")</f>
        <v/>
      </c>
      <c r="G21" s="5"/>
      <c r="H21" s="5"/>
      <c r="I21" s="17"/>
      <c r="J21" s="23"/>
      <c r="K21" s="23"/>
      <c r="L21" s="6"/>
    </row>
    <row r="22" spans="2:12" ht="20.100000000000001" customHeight="1" x14ac:dyDescent="0.3">
      <c r="B22" s="16"/>
      <c r="C22" s="313">
        <v>15</v>
      </c>
      <c r="D22" s="682"/>
      <c r="E22" s="630"/>
      <c r="F22" s="57" t="str">
        <f>IFERROR(VLOOKUP(E22,Picklists!$D$3:$E$139,2,FALSE),"")</f>
        <v/>
      </c>
      <c r="G22" s="5"/>
      <c r="H22" s="5"/>
      <c r="I22" s="17"/>
      <c r="J22" s="24"/>
      <c r="K22" s="24"/>
      <c r="L22" s="6"/>
    </row>
    <row r="23" spans="2:12" ht="20.100000000000001" customHeight="1" x14ac:dyDescent="0.3">
      <c r="B23" s="16"/>
      <c r="C23" s="313">
        <v>16</v>
      </c>
      <c r="D23" s="682"/>
      <c r="E23" s="630"/>
      <c r="F23" s="57" t="str">
        <f>IFERROR(VLOOKUP(E23,Picklists!$D$3:$E$139,2,FALSE),"")</f>
        <v/>
      </c>
      <c r="G23" s="5"/>
      <c r="H23" s="5"/>
      <c r="I23" s="17"/>
      <c r="J23" s="24"/>
      <c r="K23" s="24"/>
      <c r="L23" s="6"/>
    </row>
    <row r="24" spans="2:12" ht="20.100000000000001" customHeight="1" x14ac:dyDescent="0.3">
      <c r="B24" s="16"/>
      <c r="C24" s="313">
        <v>17</v>
      </c>
      <c r="D24" s="682"/>
      <c r="E24" s="630"/>
      <c r="F24" s="57" t="str">
        <f>IFERROR(VLOOKUP(E24,Picklists!$D$3:$E$139,2,FALSE),"")</f>
        <v/>
      </c>
      <c r="G24" s="5"/>
      <c r="H24" s="5"/>
      <c r="I24" s="17"/>
      <c r="J24" s="24"/>
      <c r="K24" s="24"/>
      <c r="L24" s="6"/>
    </row>
    <row r="25" spans="2:12" ht="20.100000000000001" customHeight="1" x14ac:dyDescent="0.3">
      <c r="B25" s="16"/>
      <c r="C25" s="313">
        <v>18</v>
      </c>
      <c r="D25" s="682"/>
      <c r="E25" s="630"/>
      <c r="F25" s="57" t="str">
        <f>IFERROR(VLOOKUP(E25,Picklists!$D$3:$E$139,2,FALSE),"")</f>
        <v/>
      </c>
      <c r="G25" s="5"/>
      <c r="H25" s="5"/>
      <c r="I25" s="17"/>
      <c r="J25" s="765" t="s">
        <v>42</v>
      </c>
      <c r="K25" s="765"/>
      <c r="L25" s="6"/>
    </row>
    <row r="26" spans="2:12" ht="20.100000000000001" customHeight="1" x14ac:dyDescent="0.3">
      <c r="B26" s="16"/>
      <c r="C26" s="313">
        <v>19</v>
      </c>
      <c r="D26" s="682"/>
      <c r="E26" s="630"/>
      <c r="F26" s="57" t="str">
        <f>IFERROR(VLOOKUP(E26,Picklists!$D$3:$E$139,2,FALSE),"")</f>
        <v/>
      </c>
      <c r="G26" s="5"/>
      <c r="H26" s="5" t="str">
        <f t="shared" ref="H26:H32" si="1">IF(F26="E",5,(IF(F26="D",4,(IF(F26="C",3,(IF(F26="B",2,(IF(F26="A",1,"")))))))))</f>
        <v/>
      </c>
      <c r="I26" s="17"/>
      <c r="J26" s="765"/>
      <c r="K26" s="765"/>
      <c r="L26" s="6"/>
    </row>
    <row r="27" spans="2:12" ht="20.100000000000001" customHeight="1" x14ac:dyDescent="0.3">
      <c r="B27" s="16"/>
      <c r="C27" s="313">
        <v>20</v>
      </c>
      <c r="D27" s="682"/>
      <c r="E27" s="630"/>
      <c r="F27" s="57" t="str">
        <f>IFERROR(VLOOKUP(E27,Picklists!$D$3:$E$139,2,FALSE),"")</f>
        <v/>
      </c>
      <c r="G27" s="5"/>
      <c r="H27" s="5" t="str">
        <f>IF(F27="E",5,(IF(F27="D",4,(IF(F27="C",3,(IF(F27="B",2,(IF(F27="A",1,"")))))))))</f>
        <v/>
      </c>
      <c r="I27" s="17"/>
      <c r="J27" s="765"/>
      <c r="K27" s="765"/>
      <c r="L27" s="6"/>
    </row>
    <row r="28" spans="2:12" ht="20.100000000000001" customHeight="1" x14ac:dyDescent="0.3">
      <c r="B28" s="16"/>
      <c r="C28" s="313">
        <v>21</v>
      </c>
      <c r="D28" s="682"/>
      <c r="E28" s="630"/>
      <c r="F28" s="57" t="str">
        <f>IFERROR(VLOOKUP(E28,Picklists!$D$3:$E$139,2,FALSE),"")</f>
        <v/>
      </c>
      <c r="G28" s="5"/>
      <c r="H28" s="5" t="str">
        <f t="shared" si="1"/>
        <v/>
      </c>
      <c r="I28" s="17"/>
      <c r="J28" s="5"/>
      <c r="K28" s="5"/>
      <c r="L28" s="6"/>
    </row>
    <row r="29" spans="2:12" ht="20.100000000000001" customHeight="1" x14ac:dyDescent="0.3">
      <c r="B29" s="16"/>
      <c r="C29" s="313">
        <v>22</v>
      </c>
      <c r="D29" s="682"/>
      <c r="E29" s="630"/>
      <c r="F29" s="57" t="str">
        <f>IFERROR(VLOOKUP(E29,Picklists!$D$3:$E$139,2,FALSE),"")</f>
        <v/>
      </c>
      <c r="G29" s="5"/>
      <c r="H29" s="5" t="str">
        <f t="shared" si="1"/>
        <v/>
      </c>
      <c r="I29" s="17"/>
      <c r="J29" s="5"/>
      <c r="K29" s="5"/>
      <c r="L29" s="6"/>
    </row>
    <row r="30" spans="2:12" ht="20.100000000000001" customHeight="1" x14ac:dyDescent="0.3">
      <c r="B30" s="16"/>
      <c r="C30" s="313">
        <v>23</v>
      </c>
      <c r="D30" s="682"/>
      <c r="E30" s="630"/>
      <c r="F30" s="57" t="str">
        <f>IFERROR(VLOOKUP(E30,Picklists!$D$3:$E$139,2,FALSE),"")</f>
        <v/>
      </c>
      <c r="G30" s="5"/>
      <c r="H30" s="5" t="str">
        <f t="shared" si="1"/>
        <v/>
      </c>
      <c r="I30" s="17"/>
      <c r="J30" s="5"/>
      <c r="K30" s="5"/>
      <c r="L30" s="6"/>
    </row>
    <row r="31" spans="2:12" ht="20.100000000000001" customHeight="1" x14ac:dyDescent="0.3">
      <c r="B31" s="16"/>
      <c r="C31" s="313">
        <v>24</v>
      </c>
      <c r="D31" s="682"/>
      <c r="E31" s="630"/>
      <c r="F31" s="57" t="str">
        <f>IFERROR(VLOOKUP(E31,Picklists!$D$3:$E$139,2,FALSE),"")</f>
        <v/>
      </c>
      <c r="G31" s="5"/>
      <c r="H31" s="5" t="str">
        <f t="shared" si="1"/>
        <v/>
      </c>
      <c r="I31" s="17"/>
      <c r="J31" s="5"/>
      <c r="K31" s="5"/>
      <c r="L31" s="6"/>
    </row>
    <row r="32" spans="2:12" ht="20.100000000000001" customHeight="1" x14ac:dyDescent="0.3">
      <c r="B32" s="16"/>
      <c r="C32" s="313">
        <v>25</v>
      </c>
      <c r="D32" s="682"/>
      <c r="E32" s="630"/>
      <c r="F32" s="57" t="str">
        <f>IFERROR(VLOOKUP(E32,Picklists!$D$3:$E$139,2,FALSE),"")</f>
        <v/>
      </c>
      <c r="G32" s="5"/>
      <c r="H32" s="681" t="str">
        <f t="shared" si="1"/>
        <v/>
      </c>
      <c r="I32" s="17"/>
      <c r="J32" s="5"/>
      <c r="K32" s="5"/>
      <c r="L32" s="6"/>
    </row>
    <row r="33" spans="2:12" x14ac:dyDescent="0.3">
      <c r="B33" s="4"/>
      <c r="C33" s="5"/>
      <c r="D33" s="5"/>
      <c r="E33" s="5"/>
      <c r="F33" s="22"/>
      <c r="G33" s="5"/>
      <c r="H33" s="5"/>
      <c r="I33" s="5"/>
      <c r="J33" s="5"/>
      <c r="K33" s="5"/>
      <c r="L33" s="6"/>
    </row>
    <row r="34" spans="2:12" x14ac:dyDescent="0.3">
      <c r="B34" s="4"/>
      <c r="C34" s="5"/>
      <c r="D34" s="5"/>
      <c r="E34" s="5"/>
      <c r="F34" s="25"/>
      <c r="G34" s="5"/>
      <c r="H34" s="5"/>
      <c r="I34" s="5"/>
      <c r="J34" s="5"/>
      <c r="K34" s="5"/>
      <c r="L34" s="6"/>
    </row>
    <row r="35" spans="2:12" ht="15.75" customHeight="1" x14ac:dyDescent="0.3">
      <c r="B35" s="4"/>
      <c r="C35" s="25"/>
      <c r="D35" s="766" t="s">
        <v>735</v>
      </c>
      <c r="E35" s="766"/>
      <c r="F35" s="766"/>
      <c r="G35" s="766"/>
      <c r="H35" s="766"/>
      <c r="I35" s="5"/>
      <c r="J35" s="5"/>
      <c r="K35" s="5"/>
      <c r="L35" s="6"/>
    </row>
    <row r="36" spans="2:12" ht="15.75" customHeight="1" x14ac:dyDescent="0.3">
      <c r="B36" s="4"/>
      <c r="C36" s="5"/>
      <c r="D36" s="767"/>
      <c r="E36" s="767"/>
      <c r="F36" s="767"/>
      <c r="G36" s="767"/>
      <c r="H36" s="767"/>
      <c r="I36" s="5"/>
      <c r="J36" s="5"/>
      <c r="K36" s="5"/>
      <c r="L36" s="6"/>
    </row>
    <row r="37" spans="2:12" ht="27" x14ac:dyDescent="0.3">
      <c r="B37" s="4"/>
      <c r="C37" s="319"/>
      <c r="D37" s="320" t="s">
        <v>48</v>
      </c>
      <c r="E37" s="321" t="s">
        <v>49</v>
      </c>
      <c r="F37" s="322" t="s">
        <v>50</v>
      </c>
      <c r="G37" s="768" t="s">
        <v>51</v>
      </c>
      <c r="H37" s="768"/>
      <c r="I37" s="5"/>
      <c r="J37" s="5"/>
      <c r="K37" s="5"/>
      <c r="L37" s="6"/>
    </row>
    <row r="38" spans="2:12" x14ac:dyDescent="0.3">
      <c r="B38" s="4"/>
      <c r="C38" s="622">
        <v>1</v>
      </c>
      <c r="D38" s="323"/>
      <c r="E38" s="324"/>
      <c r="F38" s="324"/>
      <c r="G38" s="757" t="str">
        <f>IFERROR(VLOOKUP(F38,Picklists!D33:E81,2),"")</f>
        <v/>
      </c>
      <c r="H38" s="757"/>
      <c r="I38" s="5"/>
      <c r="J38" s="5"/>
      <c r="K38" s="5"/>
      <c r="L38" s="6"/>
    </row>
    <row r="39" spans="2:12" x14ac:dyDescent="0.3">
      <c r="B39" s="4"/>
      <c r="C39" s="622">
        <v>2</v>
      </c>
      <c r="D39" s="323"/>
      <c r="E39" s="324"/>
      <c r="F39" s="324"/>
      <c r="G39" s="757" t="str">
        <f>IFERROR(VLOOKUP(F39,Picklists!D34:E82,2),"")</f>
        <v/>
      </c>
      <c r="H39" s="757"/>
      <c r="I39" s="5"/>
      <c r="J39" s="5"/>
      <c r="K39" s="5"/>
      <c r="L39" s="6"/>
    </row>
    <row r="40" spans="2:12" x14ac:dyDescent="0.3">
      <c r="B40" s="4"/>
      <c r="C40" s="623"/>
      <c r="D40" s="624"/>
      <c r="E40" s="379"/>
      <c r="F40" s="379"/>
      <c r="G40" s="383"/>
      <c r="H40" s="383"/>
      <c r="I40" s="5"/>
      <c r="J40" s="5"/>
      <c r="K40" s="5"/>
      <c r="L40" s="6"/>
    </row>
    <row r="41" spans="2:12" x14ac:dyDescent="0.3">
      <c r="B41" s="4"/>
      <c r="C41" s="25"/>
      <c r="D41" s="379"/>
      <c r="E41" s="625" t="s">
        <v>52</v>
      </c>
      <c r="F41" s="758" t="s">
        <v>53</v>
      </c>
      <c r="G41" s="759"/>
      <c r="H41" s="5"/>
      <c r="I41" s="5"/>
      <c r="J41" s="5"/>
      <c r="K41" s="5"/>
      <c r="L41" s="6"/>
    </row>
    <row r="42" spans="2:12" ht="15" thickBot="1" x14ac:dyDescent="0.35">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zoomScale="55" zoomScaleNormal="55" workbookViewId="0">
      <selection activeCell="C12" sqref="C12"/>
    </sheetView>
  </sheetViews>
  <sheetFormatPr defaultRowHeight="14.4" x14ac:dyDescent="0.3"/>
  <cols>
    <col min="4" max="4" width="31.44140625" customWidth="1"/>
    <col min="5" max="5" width="21.88671875" customWidth="1"/>
    <col min="6" max="6" width="42.5546875" customWidth="1"/>
    <col min="7" max="7" width="22.5546875" customWidth="1"/>
  </cols>
  <sheetData>
    <row r="1" spans="2:8" ht="15" thickBot="1" x14ac:dyDescent="0.35"/>
    <row r="2" spans="2:8" ht="33" customHeight="1" thickBot="1" x14ac:dyDescent="0.35">
      <c r="B2" s="676"/>
      <c r="C2" s="772" t="s">
        <v>750</v>
      </c>
      <c r="D2" s="773"/>
      <c r="E2" s="773"/>
      <c r="F2" s="774"/>
      <c r="G2" s="676"/>
      <c r="H2" s="677"/>
    </row>
    <row r="3" spans="2:8" ht="16.5" customHeight="1" x14ac:dyDescent="0.3">
      <c r="B3" s="4"/>
      <c r="C3" s="25"/>
      <c r="D3" s="22"/>
      <c r="E3" s="779"/>
      <c r="F3" s="779"/>
      <c r="G3" s="5"/>
      <c r="H3" s="6"/>
    </row>
    <row r="4" spans="2:8" x14ac:dyDescent="0.3">
      <c r="B4" s="4"/>
      <c r="C4" s="769" t="s">
        <v>47</v>
      </c>
      <c r="D4" s="769"/>
      <c r="E4" s="770" t="str">
        <f>+Introduction!E10</f>
        <v>Duynie Ingredients Ltd</v>
      </c>
      <c r="F4" s="770"/>
      <c r="G4" s="765"/>
      <c r="H4" s="6"/>
    </row>
    <row r="5" spans="2:8" x14ac:dyDescent="0.3">
      <c r="B5" s="4"/>
      <c r="C5" s="769" t="s">
        <v>793</v>
      </c>
      <c r="D5" s="769"/>
      <c r="E5" s="770" t="str">
        <f>+Introduction!K10</f>
        <v>n/a</v>
      </c>
      <c r="F5" s="770"/>
      <c r="G5" s="765"/>
      <c r="H5" s="6"/>
    </row>
    <row r="6" spans="2:8" x14ac:dyDescent="0.3">
      <c r="B6" s="4"/>
      <c r="C6" s="25"/>
      <c r="D6" s="25"/>
      <c r="E6" s="33"/>
      <c r="F6" s="5"/>
      <c r="G6" s="765"/>
      <c r="H6" s="6"/>
    </row>
    <row r="7" spans="2:8" ht="51" customHeight="1" x14ac:dyDescent="0.3">
      <c r="B7" s="4"/>
      <c r="C7" s="771" t="s">
        <v>747</v>
      </c>
      <c r="D7" s="771"/>
      <c r="E7" s="771"/>
      <c r="F7" s="771"/>
      <c r="G7" s="626"/>
      <c r="H7" s="6"/>
    </row>
    <row r="8" spans="2:8" ht="36.75" customHeight="1" x14ac:dyDescent="0.3">
      <c r="B8" s="4"/>
      <c r="C8" s="312"/>
      <c r="D8" s="25"/>
      <c r="E8" s="312"/>
      <c r="F8" s="37"/>
      <c r="G8" s="312"/>
      <c r="H8" s="6"/>
    </row>
    <row r="9" spans="2:8" ht="35.25" customHeight="1" x14ac:dyDescent="0.3">
      <c r="B9" s="4"/>
      <c r="C9" s="775" t="s">
        <v>751</v>
      </c>
      <c r="D9" s="776"/>
      <c r="E9" s="776"/>
      <c r="F9" s="777"/>
      <c r="G9" s="38"/>
      <c r="H9" s="6"/>
    </row>
    <row r="10" spans="2:8" ht="39.6" x14ac:dyDescent="0.3">
      <c r="B10" s="4"/>
      <c r="C10" s="316"/>
      <c r="D10" s="45" t="s">
        <v>54</v>
      </c>
      <c r="E10" s="45" t="s">
        <v>746</v>
      </c>
      <c r="F10" s="15" t="s">
        <v>656</v>
      </c>
      <c r="G10" s="311"/>
      <c r="H10" s="6"/>
    </row>
    <row r="11" spans="2:8" ht="18" customHeight="1" x14ac:dyDescent="0.3">
      <c r="B11" s="4"/>
      <c r="C11" s="316">
        <v>1</v>
      </c>
      <c r="D11" s="680" t="s">
        <v>803</v>
      </c>
      <c r="E11" s="518" t="s">
        <v>647</v>
      </c>
      <c r="F11" s="318" t="s">
        <v>643</v>
      </c>
      <c r="G11" s="5"/>
      <c r="H11" s="36"/>
    </row>
    <row r="12" spans="2:8" ht="18" customHeight="1" x14ac:dyDescent="0.3">
      <c r="B12" s="4"/>
      <c r="C12" s="316">
        <v>2</v>
      </c>
      <c r="D12" s="715"/>
      <c r="E12" s="518"/>
      <c r="F12" s="318"/>
      <c r="G12" s="5"/>
      <c r="H12" s="36"/>
    </row>
    <row r="13" spans="2:8" ht="18" customHeight="1" x14ac:dyDescent="0.3">
      <c r="B13" s="4"/>
      <c r="C13" s="316">
        <v>3</v>
      </c>
      <c r="D13" s="680"/>
      <c r="E13" s="518"/>
      <c r="F13" s="318"/>
      <c r="G13" s="5"/>
      <c r="H13" s="36"/>
    </row>
    <row r="14" spans="2:8" ht="18" customHeight="1" x14ac:dyDescent="0.3">
      <c r="B14" s="4"/>
      <c r="C14" s="316">
        <v>4</v>
      </c>
      <c r="D14" s="680"/>
      <c r="E14" s="518"/>
      <c r="F14" s="318"/>
      <c r="G14" s="5"/>
      <c r="H14" s="36"/>
    </row>
    <row r="15" spans="2:8" ht="18" customHeight="1" x14ac:dyDescent="0.3">
      <c r="B15" s="4"/>
      <c r="C15" s="316">
        <v>5</v>
      </c>
      <c r="D15" s="680"/>
      <c r="E15" s="518"/>
      <c r="F15" s="318"/>
      <c r="G15" s="5"/>
      <c r="H15" s="36"/>
    </row>
    <row r="16" spans="2:8" ht="18" customHeight="1" x14ac:dyDescent="0.3">
      <c r="B16" s="4"/>
      <c r="C16" s="316">
        <v>6</v>
      </c>
      <c r="D16" s="317"/>
      <c r="E16" s="518"/>
      <c r="F16" s="318"/>
      <c r="G16" s="5"/>
      <c r="H16" s="36"/>
    </row>
    <row r="17" spans="2:8" ht="18" customHeight="1" x14ac:dyDescent="0.3">
      <c r="B17" s="4"/>
      <c r="C17" s="316">
        <v>7</v>
      </c>
      <c r="D17" s="317"/>
      <c r="E17" s="518"/>
      <c r="F17" s="318"/>
      <c r="G17" s="5"/>
      <c r="H17" s="36"/>
    </row>
    <row r="18" spans="2:8" ht="18" customHeight="1" x14ac:dyDescent="0.3">
      <c r="B18" s="4"/>
      <c r="C18" s="316">
        <v>8</v>
      </c>
      <c r="D18" s="317"/>
      <c r="E18" s="518"/>
      <c r="F18" s="318"/>
      <c r="G18" s="5"/>
      <c r="H18" s="36"/>
    </row>
    <row r="19" spans="2:8" ht="18" customHeight="1" x14ac:dyDescent="0.3">
      <c r="B19" s="4"/>
      <c r="C19" s="316">
        <v>9</v>
      </c>
      <c r="D19" s="317"/>
      <c r="E19" s="518"/>
      <c r="F19" s="318"/>
      <c r="G19" s="5"/>
      <c r="H19" s="36"/>
    </row>
    <row r="20" spans="2:8" ht="18" customHeight="1" x14ac:dyDescent="0.3">
      <c r="B20" s="4"/>
      <c r="C20" s="316">
        <v>10</v>
      </c>
      <c r="D20" s="317"/>
      <c r="E20" s="518"/>
      <c r="F20" s="318"/>
      <c r="G20" s="5"/>
      <c r="H20" s="36"/>
    </row>
    <row r="21" spans="2:8" ht="18" customHeight="1" x14ac:dyDescent="0.3">
      <c r="B21" s="4"/>
      <c r="C21" s="316">
        <v>11</v>
      </c>
      <c r="D21" s="317"/>
      <c r="E21" s="518"/>
      <c r="F21" s="318"/>
      <c r="G21" s="5"/>
      <c r="H21" s="36"/>
    </row>
    <row r="22" spans="2:8" ht="18" customHeight="1" x14ac:dyDescent="0.3">
      <c r="B22" s="4"/>
      <c r="C22" s="316">
        <v>12</v>
      </c>
      <c r="D22" s="317"/>
      <c r="E22" s="518"/>
      <c r="F22" s="318"/>
      <c r="G22" s="5"/>
      <c r="H22" s="36"/>
    </row>
    <row r="23" spans="2:8" ht="18" customHeight="1" x14ac:dyDescent="0.3">
      <c r="B23" s="4"/>
      <c r="C23" s="316">
        <v>13</v>
      </c>
      <c r="D23" s="317"/>
      <c r="E23" s="518"/>
      <c r="F23" s="318"/>
      <c r="G23" s="5"/>
      <c r="H23" s="36"/>
    </row>
    <row r="24" spans="2:8" ht="18" customHeight="1" x14ac:dyDescent="0.3">
      <c r="B24" s="4"/>
      <c r="C24" s="316">
        <v>14</v>
      </c>
      <c r="D24" s="317"/>
      <c r="E24" s="518"/>
      <c r="F24" s="318"/>
      <c r="G24" s="5"/>
      <c r="H24" s="36"/>
    </row>
    <row r="25" spans="2:8" ht="18" customHeight="1" x14ac:dyDescent="0.3">
      <c r="B25" s="4"/>
      <c r="C25" s="316">
        <v>15</v>
      </c>
      <c r="D25" s="317"/>
      <c r="E25" s="518"/>
      <c r="F25" s="318"/>
      <c r="G25" s="5"/>
      <c r="H25" s="36"/>
    </row>
    <row r="26" spans="2:8" ht="18" customHeight="1" x14ac:dyDescent="0.3">
      <c r="B26" s="4"/>
      <c r="C26" s="316">
        <v>16</v>
      </c>
      <c r="D26" s="317"/>
      <c r="E26" s="518"/>
      <c r="F26" s="318"/>
      <c r="G26" s="5"/>
      <c r="H26" s="36"/>
    </row>
    <row r="27" spans="2:8" ht="18" customHeight="1" x14ac:dyDescent="0.3">
      <c r="B27" s="4"/>
      <c r="C27" s="316">
        <v>17</v>
      </c>
      <c r="D27" s="317"/>
      <c r="E27" s="518"/>
      <c r="F27" s="318"/>
      <c r="G27" s="5"/>
      <c r="H27" s="36"/>
    </row>
    <row r="28" spans="2:8" ht="18" customHeight="1" x14ac:dyDescent="0.3">
      <c r="B28" s="4"/>
      <c r="C28" s="316">
        <v>18</v>
      </c>
      <c r="D28" s="317"/>
      <c r="E28" s="518"/>
      <c r="F28" s="318"/>
      <c r="G28" s="5"/>
      <c r="H28" s="36"/>
    </row>
    <row r="29" spans="2:8" ht="18" customHeight="1" x14ac:dyDescent="0.3">
      <c r="B29" s="4"/>
      <c r="C29" s="316">
        <v>19</v>
      </c>
      <c r="D29" s="317"/>
      <c r="E29" s="518"/>
      <c r="F29" s="318"/>
      <c r="G29" s="5"/>
      <c r="H29" s="36"/>
    </row>
    <row r="30" spans="2:8" ht="18" customHeight="1" x14ac:dyDescent="0.3">
      <c r="B30" s="4"/>
      <c r="C30" s="316">
        <v>20</v>
      </c>
      <c r="D30" s="43"/>
      <c r="E30" s="518"/>
      <c r="F30" s="318"/>
      <c r="G30" s="5"/>
      <c r="H30" s="36"/>
    </row>
    <row r="31" spans="2:8" x14ac:dyDescent="0.3">
      <c r="B31" s="4"/>
      <c r="C31" s="25"/>
      <c r="D31" s="40"/>
      <c r="E31" s="40"/>
      <c r="F31" s="5"/>
      <c r="G31" s="39"/>
      <c r="H31" s="36"/>
    </row>
    <row r="32" spans="2:8" x14ac:dyDescent="0.3">
      <c r="B32" s="4"/>
      <c r="C32" s="25"/>
      <c r="D32" s="778"/>
      <c r="E32" s="778"/>
      <c r="F32" s="5"/>
      <c r="G32" s="39"/>
      <c r="H32" s="36"/>
    </row>
    <row r="33" spans="2:8" ht="15" thickBot="1" x14ac:dyDescent="0.35">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3" zoomScale="70" zoomScaleNormal="70" workbookViewId="0">
      <selection activeCell="C9" sqref="C9"/>
    </sheetView>
  </sheetViews>
  <sheetFormatPr defaultRowHeight="14.4" x14ac:dyDescent="0.3"/>
  <cols>
    <col min="1" max="1" width="5.109375" customWidth="1"/>
    <col min="2" max="2" width="9.88671875" customWidth="1"/>
    <col min="3" max="3" width="16.109375" customWidth="1"/>
    <col min="4" max="4" width="21" customWidth="1"/>
    <col min="5" max="5" width="14.109375" customWidth="1"/>
    <col min="6" max="6" width="9.109375" style="290"/>
    <col min="7" max="7" width="20.109375" customWidth="1"/>
    <col min="8" max="8" width="18.109375" customWidth="1"/>
    <col min="9" max="9" width="14.109375" customWidth="1"/>
    <col min="10" max="10" width="11.88671875" style="290" customWidth="1"/>
    <col min="11" max="11" width="3.44140625" style="290" customWidth="1"/>
    <col min="12" max="12" width="24.88671875" customWidth="1"/>
    <col min="13" max="13" width="17.88671875" style="11" customWidth="1"/>
    <col min="14" max="14" width="14.109375" customWidth="1"/>
    <col min="15" max="15" width="10.88671875" customWidth="1"/>
    <col min="16" max="16" width="33.5546875" style="11" customWidth="1"/>
    <col min="17" max="17" width="23.88671875" style="11" customWidth="1"/>
  </cols>
  <sheetData>
    <row r="1" spans="1:23" ht="15" thickBot="1" x14ac:dyDescent="0.35"/>
    <row r="2" spans="1:23" ht="30.75" customHeight="1" thickBot="1" x14ac:dyDescent="0.35">
      <c r="A2" s="669"/>
      <c r="B2" s="670"/>
      <c r="C2" s="669"/>
      <c r="D2" s="670"/>
      <c r="E2" s="671"/>
      <c r="F2" s="671"/>
      <c r="G2" s="674" t="s">
        <v>78</v>
      </c>
      <c r="H2" s="671"/>
      <c r="I2" s="670"/>
      <c r="J2" s="670"/>
      <c r="K2" s="670"/>
      <c r="L2" s="670"/>
      <c r="M2" s="670"/>
      <c r="N2" s="670"/>
      <c r="O2" s="670"/>
      <c r="P2" s="670"/>
      <c r="Q2" s="670"/>
      <c r="R2" s="670"/>
      <c r="S2" s="672"/>
    </row>
    <row r="3" spans="1:23" ht="27.75" customHeight="1" x14ac:dyDescent="0.3">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3">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35">
      <c r="A5" s="4"/>
      <c r="B5" s="788" t="s">
        <v>753</v>
      </c>
      <c r="C5" s="789"/>
      <c r="D5" s="790" t="str">
        <f>+Introduction!E10</f>
        <v>Duynie Ingredients Ltd</v>
      </c>
      <c r="E5" s="791"/>
      <c r="F5" s="634"/>
      <c r="G5" s="792" t="s">
        <v>724</v>
      </c>
      <c r="H5" s="793"/>
      <c r="I5" s="793"/>
      <c r="J5" s="635"/>
      <c r="K5" s="636"/>
      <c r="L5" s="379"/>
      <c r="M5" s="383"/>
      <c r="N5" s="379"/>
      <c r="O5" s="383"/>
      <c r="P5" s="637" t="s">
        <v>731</v>
      </c>
      <c r="Q5" s="638"/>
      <c r="R5" s="379"/>
      <c r="S5" s="395"/>
    </row>
    <row r="6" spans="1:23" ht="31.5" customHeight="1" thickBot="1" x14ac:dyDescent="0.35">
      <c r="A6" s="4"/>
      <c r="B6" s="788" t="s">
        <v>794</v>
      </c>
      <c r="C6" s="789"/>
      <c r="D6" s="790" t="str">
        <f>+Introduction!K10</f>
        <v>n/a</v>
      </c>
      <c r="E6" s="791"/>
      <c r="F6" s="634"/>
      <c r="G6" s="5"/>
      <c r="H6" s="5"/>
      <c r="I6" s="5"/>
      <c r="J6" s="639"/>
      <c r="K6" s="636"/>
      <c r="L6" s="379"/>
      <c r="M6" s="383"/>
      <c r="N6" s="379"/>
      <c r="O6" s="379"/>
      <c r="P6" s="675" t="s">
        <v>18</v>
      </c>
      <c r="Q6" s="383"/>
      <c r="R6" s="379"/>
      <c r="S6" s="395"/>
    </row>
    <row r="7" spans="1:23" ht="42" customHeight="1" x14ac:dyDescent="0.3">
      <c r="A7" s="4"/>
      <c r="B7" s="5"/>
      <c r="C7" s="640" t="s">
        <v>675</v>
      </c>
      <c r="D7" s="640"/>
      <c r="E7" s="640"/>
      <c r="F7" s="404"/>
      <c r="G7" s="640" t="s">
        <v>637</v>
      </c>
      <c r="H7" s="640"/>
      <c r="I7" s="640"/>
      <c r="J7" s="640"/>
      <c r="K7" s="405"/>
      <c r="L7" s="640" t="s">
        <v>638</v>
      </c>
      <c r="M7" s="641"/>
      <c r="N7" s="640"/>
      <c r="O7" s="640"/>
      <c r="P7" s="642"/>
      <c r="Q7" s="383"/>
      <c r="R7" s="379"/>
      <c r="S7" s="395"/>
    </row>
    <row r="8" spans="1:23" ht="49.8" x14ac:dyDescent="0.3">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x14ac:dyDescent="0.3">
      <c r="A9" s="4"/>
      <c r="B9" s="15">
        <v>1</v>
      </c>
      <c r="C9" s="668" t="str">
        <f>+'1 Listed activity'!D8</f>
        <v>Organic compounds containing oxygen (e.g. alcohols, aldehydes, ketones, carboxylic acids, esters)</v>
      </c>
      <c r="D9" s="668" t="str">
        <f>+'1 Listed activity'!E8</f>
        <v>4.1 Part A1 a) (ii) &gt;2000TPA</v>
      </c>
      <c r="E9" s="663" t="str">
        <f>+'1 Listed activity'!F8</f>
        <v>C</v>
      </c>
      <c r="F9" s="572">
        <f t="shared" ref="F9:F38" si="0">+B9</f>
        <v>1</v>
      </c>
      <c r="G9" s="667" t="str" cm="1">
        <f t="array" ref="G9:I38">_xlfn.SORTBY(C9:E38,D9:D38,-1)</f>
        <v>Organic compounds containing oxygen (e.g. alcohols, aldehydes, ketones, carboxylic acids, esters)</v>
      </c>
      <c r="H9" s="667" t="str">
        <v>4.1 Part A1 a) (ii) &gt;2000TPA</v>
      </c>
      <c r="I9" s="377" t="str">
        <v>C</v>
      </c>
      <c r="J9" s="377" t="str">
        <f>IF(H9=0,"",IF(COUNTIF($H$9:H9,H9)&gt;3,"*Capped",I9))</f>
        <v>C</v>
      </c>
      <c r="K9" s="572"/>
      <c r="L9" s="667" t="str" cm="1">
        <f t="array" ref="L9:O38">_xlfn.SORTBY(G9:J38,J9:J38,-1)</f>
        <v>Organic compounds containing oxygen (e.g. alcohols, aldehydes, ketones, carboxylic acids, esters)</v>
      </c>
      <c r="M9" s="667" t="str">
        <v>4.1 Part A1 a) (ii) &gt;2000TPA</v>
      </c>
      <c r="N9" s="664" t="str">
        <v>C</v>
      </c>
      <c r="O9" s="665" t="str">
        <v>C</v>
      </c>
      <c r="P9" s="665" t="str">
        <f>IF(O9="E","E",IF(AND(T9=1,$P$6="yes",O9="D"),"E",IF(AND(U9=1,$P$6="yes",O9="C"),"D",IF(AND(V9=1,$P$6="yes",O9="b"),"c",IF(AND(W9=1,$P$6="yes",O9="a"),"b",IF($P$6="no",O9,O9))))))</f>
        <v>C</v>
      </c>
      <c r="Q9" s="377" t="str">
        <f t="shared" ref="Q9:Q38" si="1">IF(P9=0,"",IF(AND(F9&gt;6,P9="E"),"D",IF(AND(F9&gt;6,P9="D"),"C",IF(AND(F9&gt;6,P9="C"),"B",IF(AND(F9&gt;6,P9="B"),"A",P9)))))</f>
        <v>C</v>
      </c>
      <c r="R9" s="379"/>
      <c r="S9" s="644">
        <f>COUNTIF($O$9:O9,$S$8)</f>
        <v>0</v>
      </c>
      <c r="T9" s="632">
        <f>COUNTIF($O$9:O9,$T$8)</f>
        <v>0</v>
      </c>
      <c r="U9" s="632">
        <f>IF(T9=0,COUNTIF($O$9:O9,$U$8),0)</f>
        <v>1</v>
      </c>
      <c r="V9" s="632">
        <f>IF(U9=0,COUNTIF($O$9:O9,$V$8),0)</f>
        <v>0</v>
      </c>
      <c r="W9" s="632">
        <f>IF(V9=0,COUNTIF($O$9:O9,$W$8),0)</f>
        <v>0</v>
      </c>
    </row>
    <row r="10" spans="1:23" x14ac:dyDescent="0.3">
      <c r="A10" s="4"/>
      <c r="B10" s="15">
        <v>2</v>
      </c>
      <c r="C10" s="668">
        <f>+'1 Listed activity'!D9</f>
        <v>0</v>
      </c>
      <c r="D10" s="668">
        <f>+'1 Listed activity'!E9</f>
        <v>0</v>
      </c>
      <c r="E10" s="663" t="str">
        <f>+'1 Listed activity'!F9</f>
        <v/>
      </c>
      <c r="F10" s="572">
        <f t="shared" si="0"/>
        <v>2</v>
      </c>
      <c r="G10" s="667">
        <v>0</v>
      </c>
      <c r="H10" s="667">
        <v>0</v>
      </c>
      <c r="I10" s="377" t="str">
        <v/>
      </c>
      <c r="J10" s="377" t="str">
        <f>IF(H10=0,"",IF(COUNTIF($H$9:H10,H10)&gt;3,"*Capped",I10))</f>
        <v/>
      </c>
      <c r="K10" s="572"/>
      <c r="L10" s="667">
        <v>0</v>
      </c>
      <c r="M10" s="667">
        <v>0</v>
      </c>
      <c r="N10" s="664" t="str">
        <v/>
      </c>
      <c r="O10" s="665" t="str">
        <v/>
      </c>
      <c r="P10" s="665" t="str">
        <f t="shared" ref="P10:P38" si="2">IF(O10="E","E",IF(AND(T10=1,$P$6="yes",O10="D"),"E",IF(AND(U10=1,$P$6="yes",O10="C"),"D",IF(AND(V10=1,$P$6="yes",O10="b"),"c",IF(AND(W10=1,$P$6="yes",O10="a"),"b",IF($P$6="no",O10,O10))))))</f>
        <v/>
      </c>
      <c r="Q10" s="377" t="str">
        <f t="shared" si="1"/>
        <v/>
      </c>
      <c r="R10" s="379"/>
      <c r="S10" s="644">
        <f>COUNTIF($O$9:O10,$S$8)</f>
        <v>0</v>
      </c>
      <c r="T10" s="632">
        <f>COUNTIF($O$9:O10,$T$8)</f>
        <v>0</v>
      </c>
      <c r="U10" s="632">
        <f>IF(T10=0,COUNTIF($O$9:O10,$U$8),0)</f>
        <v>1</v>
      </c>
      <c r="V10" s="632">
        <f>IF(U10=0,COUNTIF($O$9:O10,$V$8),0)</f>
        <v>0</v>
      </c>
      <c r="W10" s="632">
        <f>IF(V10=0,COUNTIF($O$9:O10,$W$8),0)</f>
        <v>0</v>
      </c>
    </row>
    <row r="11" spans="1:23" x14ac:dyDescent="0.3">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0</v>
      </c>
      <c r="U11" s="632">
        <f>IF(T11=0,COUNTIF($O$9:O11,$U$8),0)</f>
        <v>1</v>
      </c>
      <c r="V11" s="632">
        <f>IF(U11=0,COUNTIF($O$9:O11,$V$8),0)</f>
        <v>0</v>
      </c>
      <c r="W11" s="632">
        <f>IF(V11=0,COUNTIF($O$9:O11,$W$8),0)</f>
        <v>0</v>
      </c>
    </row>
    <row r="12" spans="1:23" x14ac:dyDescent="0.3">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1</v>
      </c>
      <c r="V12" s="632">
        <f>IF(U12=0,COUNTIF($O$9:O12,$V$8),0)</f>
        <v>0</v>
      </c>
      <c r="W12" s="632">
        <f>IF(V12=0,COUNTIF($O$9:O12,$W$8),0)</f>
        <v>0</v>
      </c>
    </row>
    <row r="13" spans="1:23" x14ac:dyDescent="0.3">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1</v>
      </c>
      <c r="V13" s="632">
        <f>IF(U13=0,COUNTIF($O$9:O13,$V$8),0)</f>
        <v>0</v>
      </c>
      <c r="W13" s="632">
        <f>IF(V13=0,COUNTIF($O$9:O13,$W$8),0)</f>
        <v>0</v>
      </c>
    </row>
    <row r="14" spans="1:23" ht="15" thickBot="1" x14ac:dyDescent="0.35">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1</v>
      </c>
      <c r="V14" s="632">
        <f>IF(U14=0,COUNTIF($O$9:O14,$V$8),0)</f>
        <v>0</v>
      </c>
      <c r="W14" s="632">
        <f>IF(V14=0,COUNTIF($O$9:O14,$W$8),0)</f>
        <v>0</v>
      </c>
    </row>
    <row r="15" spans="1:23" x14ac:dyDescent="0.3">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1</v>
      </c>
      <c r="V15" s="632">
        <f>IF(U15=0,COUNTIF($O$9:O15,$V$8),0)</f>
        <v>0</v>
      </c>
      <c r="W15" s="632">
        <f>IF(V15=0,COUNTIF($O$9:O15,$W$8),0)</f>
        <v>0</v>
      </c>
    </row>
    <row r="16" spans="1:23" x14ac:dyDescent="0.3">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1</v>
      </c>
      <c r="V16" s="632">
        <f>IF(U16=0,COUNTIF($O$9:O16,$V$8),0)</f>
        <v>0</v>
      </c>
      <c r="W16" s="632">
        <f>IF(V16=0,COUNTIF($O$9:O16,$W$8),0)</f>
        <v>0</v>
      </c>
    </row>
    <row r="17" spans="1:23" x14ac:dyDescent="0.3">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1</v>
      </c>
      <c r="V17" s="632">
        <f>IF(U17=0,COUNTIF($O$9:O17,$V$8),0)</f>
        <v>0</v>
      </c>
      <c r="W17" s="632">
        <f>IF(V17=0,COUNTIF($O$9:O17,$W$8),0)</f>
        <v>0</v>
      </c>
    </row>
    <row r="18" spans="1:23" x14ac:dyDescent="0.3">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1</v>
      </c>
      <c r="V18" s="632">
        <f>IF(U18=0,COUNTIF($O$9:O18,$V$8),0)</f>
        <v>0</v>
      </c>
      <c r="W18" s="632">
        <f>IF(V18=0,COUNTIF($O$9:O18,$W$8),0)</f>
        <v>0</v>
      </c>
    </row>
    <row r="19" spans="1:23" x14ac:dyDescent="0.3">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1</v>
      </c>
      <c r="V19" s="632">
        <f>IF(U19=0,COUNTIF($O$9:O19,$V$8),0)</f>
        <v>0</v>
      </c>
      <c r="W19" s="632">
        <f>IF(V19=0,COUNTIF($O$9:O19,$W$8),0)</f>
        <v>0</v>
      </c>
    </row>
    <row r="20" spans="1:23" x14ac:dyDescent="0.3">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1</v>
      </c>
      <c r="V20" s="632">
        <f>IF(U20=0,COUNTIF($O$9:O20,$V$8),0)</f>
        <v>0</v>
      </c>
      <c r="W20" s="632">
        <f>IF(V20=0,COUNTIF($O$9:O20,$W$8),0)</f>
        <v>0</v>
      </c>
    </row>
    <row r="21" spans="1:23" x14ac:dyDescent="0.3">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1</v>
      </c>
      <c r="V21" s="632">
        <f>IF(U21=0,COUNTIF($O$9:O21,$V$8),0)</f>
        <v>0</v>
      </c>
      <c r="W21" s="632">
        <f>IF(V21=0,COUNTIF($O$9:O21,$W$8),0)</f>
        <v>0</v>
      </c>
    </row>
    <row r="22" spans="1:23" x14ac:dyDescent="0.3">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1</v>
      </c>
      <c r="V22" s="632">
        <f>IF(U22=0,COUNTIF($O$9:O22,$V$8),0)</f>
        <v>0</v>
      </c>
      <c r="W22" s="632">
        <f>IF(V22=0,COUNTIF($O$9:O22,$W$8),0)</f>
        <v>0</v>
      </c>
    </row>
    <row r="23" spans="1:23" x14ac:dyDescent="0.3">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1</v>
      </c>
      <c r="V23" s="632">
        <f>IF(U23=0,COUNTIF($O$9:O23,$V$8),0)</f>
        <v>0</v>
      </c>
      <c r="W23" s="632">
        <f>IF(V23=0,COUNTIF($O$9:O23,$W$8),0)</f>
        <v>0</v>
      </c>
    </row>
    <row r="24" spans="1:23" x14ac:dyDescent="0.3">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1</v>
      </c>
      <c r="V24" s="632">
        <f>IF(U24=0,COUNTIF($O$9:O24,$V$8),0)</f>
        <v>0</v>
      </c>
      <c r="W24" s="632">
        <f>IF(V24=0,COUNTIF($O$9:O24,$W$8),0)</f>
        <v>0</v>
      </c>
    </row>
    <row r="25" spans="1:23" x14ac:dyDescent="0.3">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1</v>
      </c>
      <c r="V25" s="632">
        <f>IF(U25=0,COUNTIF($O$9:O25,$V$8),0)</f>
        <v>0</v>
      </c>
      <c r="W25" s="632">
        <f>IF(V25=0,COUNTIF($O$9:O25,$W$8),0)</f>
        <v>0</v>
      </c>
    </row>
    <row r="26" spans="1:23" x14ac:dyDescent="0.3">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1</v>
      </c>
      <c r="V26" s="632">
        <f>IF(U26=0,COUNTIF($O$9:O26,$V$8),0)</f>
        <v>0</v>
      </c>
      <c r="W26" s="632">
        <f>IF(V26=0,COUNTIF($O$9:O26,$W$8),0)</f>
        <v>0</v>
      </c>
    </row>
    <row r="27" spans="1:23" x14ac:dyDescent="0.3">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1</v>
      </c>
      <c r="V27" s="632">
        <f>IF(U27=0,COUNTIF($O$9:O27,$V$8),0)</f>
        <v>0</v>
      </c>
      <c r="W27" s="632">
        <f>IF(V27=0,COUNTIF($O$9:O27,$W$8),0)</f>
        <v>0</v>
      </c>
    </row>
    <row r="28" spans="1:23" x14ac:dyDescent="0.3">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1</v>
      </c>
      <c r="V28" s="632">
        <f>IF(U28=0,COUNTIF($O$9:O28,$V$8),0)</f>
        <v>0</v>
      </c>
      <c r="W28" s="632">
        <f>IF(V28=0,COUNTIF($O$9:O28,$W$8),0)</f>
        <v>0</v>
      </c>
    </row>
    <row r="29" spans="1:23" x14ac:dyDescent="0.3">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1</v>
      </c>
      <c r="V29" s="632">
        <f>IF(U29=0,COUNTIF($O$9:O29,$V$8),0)</f>
        <v>0</v>
      </c>
      <c r="W29" s="632">
        <f>IF(V29=0,COUNTIF($O$9:O29,$W$8),0)</f>
        <v>0</v>
      </c>
    </row>
    <row r="30" spans="1:23" x14ac:dyDescent="0.3">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1</v>
      </c>
      <c r="V30" s="632">
        <f>IF(U30=0,COUNTIF($O$9:O30,$V$8),0)</f>
        <v>0</v>
      </c>
      <c r="W30" s="632">
        <f>IF(V30=0,COUNTIF($O$9:O30,$W$8),0)</f>
        <v>0</v>
      </c>
    </row>
    <row r="31" spans="1:23" x14ac:dyDescent="0.3">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1</v>
      </c>
      <c r="V31" s="632">
        <f>IF(U31=0,COUNTIF($O$9:O31,$V$8),0)</f>
        <v>0</v>
      </c>
      <c r="W31" s="632">
        <f>IF(V31=0,COUNTIF($O$9:O31,$W$8),0)</f>
        <v>0</v>
      </c>
    </row>
    <row r="32" spans="1:23" x14ac:dyDescent="0.3">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1</v>
      </c>
      <c r="V32" s="632">
        <f>IF(U32=0,COUNTIF($O$9:O32,$V$8),0)</f>
        <v>0</v>
      </c>
      <c r="W32" s="632">
        <f>IF(V32=0,COUNTIF($O$9:O32,$W$8),0)</f>
        <v>0</v>
      </c>
    </row>
    <row r="33" spans="1:23" x14ac:dyDescent="0.3">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1</v>
      </c>
      <c r="V33" s="632">
        <f>IF(U33=0,COUNTIF($O$9:O33,$V$8),0)</f>
        <v>0</v>
      </c>
      <c r="W33" s="632">
        <f>IF(V33=0,COUNTIF($O$9:O33,$W$8),0)</f>
        <v>0</v>
      </c>
    </row>
    <row r="34" spans="1:23" x14ac:dyDescent="0.3">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1</v>
      </c>
      <c r="V34" s="632">
        <f>IF(U34=0,COUNTIF($O$9:O34,$V$8),0)</f>
        <v>0</v>
      </c>
      <c r="W34" s="632">
        <f>IF(V34=0,COUNTIF($O$9:O34,$W$8),0)</f>
        <v>0</v>
      </c>
    </row>
    <row r="35" spans="1:23" x14ac:dyDescent="0.3">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1</v>
      </c>
      <c r="V35" s="632">
        <f>IF(U35=0,COUNTIF($O$9:O35,$V$8),0)</f>
        <v>0</v>
      </c>
      <c r="W35" s="632">
        <f>IF(V35=0,COUNTIF($O$9:O35,$W$8),0)</f>
        <v>0</v>
      </c>
    </row>
    <row r="36" spans="1:23" x14ac:dyDescent="0.3">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1</v>
      </c>
      <c r="V36" s="632">
        <f>IF(U36=0,COUNTIF($O$9:O36,$V$8),0)</f>
        <v>0</v>
      </c>
      <c r="W36" s="632">
        <f>IF(V36=0,COUNTIF($O$9:O36,$W$8),0)</f>
        <v>0</v>
      </c>
    </row>
    <row r="37" spans="1:23" x14ac:dyDescent="0.3">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1</v>
      </c>
      <c r="V37" s="632">
        <f>IF(U37=0,COUNTIF($O$9:O37,$V$8),0)</f>
        <v>0</v>
      </c>
      <c r="W37" s="632">
        <f>IF(V37=0,COUNTIF($O$9:O37,$W$8),0)</f>
        <v>0</v>
      </c>
    </row>
    <row r="38" spans="1:23" x14ac:dyDescent="0.3">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1</v>
      </c>
      <c r="V38" s="632">
        <f>IF(U38=0,COUNTIF($O$9:O38,$V$8),0)</f>
        <v>0</v>
      </c>
      <c r="W38" s="632">
        <f>IF(V38=0,COUNTIF($O$9:O38,$W$8),0)</f>
        <v>0</v>
      </c>
    </row>
    <row r="39" spans="1:23" x14ac:dyDescent="0.3">
      <c r="A39" s="4"/>
      <c r="B39" s="312"/>
      <c r="C39" s="25"/>
      <c r="D39" s="25"/>
      <c r="E39" s="645"/>
      <c r="F39" s="646"/>
      <c r="G39" s="645"/>
      <c r="H39" s="645"/>
      <c r="I39" s="645"/>
      <c r="J39" s="646"/>
      <c r="K39" s="647"/>
      <c r="L39" s="379"/>
      <c r="M39" s="383"/>
      <c r="N39" s="379"/>
      <c r="O39" s="379"/>
      <c r="P39" s="383"/>
      <c r="Q39" s="383"/>
      <c r="R39" s="379"/>
      <c r="S39" s="395"/>
    </row>
    <row r="40" spans="1:23" x14ac:dyDescent="0.3">
      <c r="A40" s="4"/>
      <c r="B40" s="25"/>
      <c r="C40" s="25"/>
      <c r="D40" s="25"/>
      <c r="E40" s="5"/>
      <c r="F40" s="404"/>
      <c r="G40" s="5"/>
      <c r="H40" s="5"/>
      <c r="I40" s="5"/>
      <c r="J40" s="404"/>
      <c r="K40" s="405"/>
      <c r="L40" s="379"/>
      <c r="M40" s="383"/>
      <c r="N40" s="379"/>
      <c r="O40" s="379"/>
      <c r="P40" s="383"/>
      <c r="Q40" s="383"/>
      <c r="R40" s="379"/>
      <c r="S40" s="395"/>
    </row>
    <row r="41" spans="1:23" x14ac:dyDescent="0.3">
      <c r="A41" s="4"/>
      <c r="B41" s="648"/>
      <c r="C41" s="25"/>
      <c r="D41" s="25"/>
      <c r="E41" s="5"/>
      <c r="F41" s="404"/>
      <c r="G41" s="5"/>
      <c r="H41" s="5"/>
      <c r="I41" s="5"/>
      <c r="J41" s="404"/>
      <c r="K41" s="405"/>
      <c r="L41" s="379"/>
      <c r="M41" s="383"/>
      <c r="N41" s="379"/>
      <c r="O41" s="379"/>
      <c r="P41" s="383"/>
      <c r="Q41" s="383"/>
      <c r="R41" s="379"/>
      <c r="S41" s="395"/>
    </row>
    <row r="42" spans="1:23" x14ac:dyDescent="0.3">
      <c r="A42" s="4"/>
      <c r="B42" s="25"/>
      <c r="C42" s="25"/>
      <c r="D42" s="25"/>
      <c r="E42" s="5"/>
      <c r="F42" s="404"/>
      <c r="G42" s="5"/>
      <c r="H42" s="5"/>
      <c r="I42" s="5"/>
      <c r="J42" s="404"/>
      <c r="K42" s="405"/>
      <c r="L42" s="379"/>
      <c r="M42" s="383"/>
      <c r="N42" s="379"/>
      <c r="O42" s="379"/>
      <c r="P42" s="383"/>
      <c r="Q42" s="383"/>
      <c r="R42" s="379"/>
      <c r="S42" s="395"/>
    </row>
    <row r="43" spans="1:23" x14ac:dyDescent="0.3">
      <c r="A43" s="4"/>
      <c r="B43" s="639"/>
      <c r="C43" s="781" t="s">
        <v>84</v>
      </c>
      <c r="D43" s="782"/>
      <c r="E43" s="5" t="s">
        <v>667</v>
      </c>
      <c r="F43" s="783" t="s">
        <v>85</v>
      </c>
      <c r="G43" s="783"/>
      <c r="H43" s="783"/>
      <c r="I43" s="783"/>
      <c r="J43" s="649"/>
      <c r="K43" s="650"/>
      <c r="L43" s="379"/>
      <c r="M43" s="383"/>
      <c r="N43" s="379"/>
      <c r="O43" s="379"/>
      <c r="P43" s="383"/>
      <c r="Q43" s="383"/>
      <c r="R43" s="379"/>
      <c r="S43" s="395"/>
    </row>
    <row r="44" spans="1:23" x14ac:dyDescent="0.3">
      <c r="A44" s="4"/>
      <c r="B44" s="651"/>
      <c r="C44" s="50" t="s">
        <v>86</v>
      </c>
      <c r="D44" s="283" t="str">
        <f>IF(COUNTIF(O9:O38,"*capped"),"Yes","no")</f>
        <v>no</v>
      </c>
      <c r="E44" s="5"/>
      <c r="F44" s="783"/>
      <c r="G44" s="783"/>
      <c r="H44" s="783"/>
      <c r="I44" s="783"/>
      <c r="J44" s="649"/>
      <c r="K44" s="650"/>
      <c r="L44" s="379"/>
      <c r="M44" s="383"/>
      <c r="N44" s="379"/>
      <c r="O44" s="379"/>
      <c r="P44" s="383"/>
      <c r="Q44" s="383"/>
      <c r="R44" s="379"/>
      <c r="S44" s="395"/>
    </row>
    <row r="45" spans="1:23" x14ac:dyDescent="0.3">
      <c r="A45" s="4"/>
      <c r="B45" s="651"/>
      <c r="C45" s="50" t="s">
        <v>76</v>
      </c>
      <c r="D45" s="282" t="s">
        <v>18</v>
      </c>
      <c r="E45" s="5"/>
      <c r="F45" s="783"/>
      <c r="G45" s="783"/>
      <c r="H45" s="783"/>
      <c r="I45" s="783"/>
      <c r="J45" s="649"/>
      <c r="K45" s="650"/>
      <c r="L45" s="379"/>
      <c r="M45" s="383"/>
      <c r="N45" s="379"/>
      <c r="O45" s="379"/>
      <c r="P45" s="383"/>
      <c r="Q45" s="383"/>
      <c r="R45" s="379"/>
      <c r="S45" s="395"/>
    </row>
    <row r="46" spans="1:23" x14ac:dyDescent="0.3">
      <c r="A46" s="4"/>
      <c r="B46" s="651"/>
      <c r="C46" s="50" t="s">
        <v>87</v>
      </c>
      <c r="D46" s="519" t="s">
        <v>733</v>
      </c>
      <c r="E46" s="5"/>
      <c r="F46" s="783"/>
      <c r="G46" s="783"/>
      <c r="H46" s="783"/>
      <c r="I46" s="783"/>
      <c r="J46" s="649"/>
      <c r="K46" s="650"/>
      <c r="L46" s="379"/>
      <c r="M46" s="383"/>
      <c r="N46" s="379"/>
      <c r="O46" s="379"/>
      <c r="P46" s="383"/>
      <c r="Q46" s="383"/>
      <c r="R46" s="379"/>
      <c r="S46" s="395"/>
    </row>
    <row r="47" spans="1:23" x14ac:dyDescent="0.3">
      <c r="A47" s="4"/>
      <c r="B47" s="651"/>
      <c r="C47" s="50" t="s">
        <v>88</v>
      </c>
      <c r="D47" s="284" t="str">
        <f>+P6</f>
        <v>No</v>
      </c>
      <c r="E47" s="652" t="str">
        <f>IF(P6=0,"Incomplete","Complete")</f>
        <v>Complete</v>
      </c>
      <c r="F47" s="404"/>
      <c r="G47" s="51"/>
      <c r="H47" s="649"/>
      <c r="I47" s="649"/>
      <c r="J47" s="649"/>
      <c r="K47" s="650"/>
      <c r="L47" s="379"/>
      <c r="M47" s="383"/>
      <c r="N47" s="379"/>
      <c r="O47" s="379"/>
      <c r="P47" s="383"/>
      <c r="Q47" s="383"/>
      <c r="R47" s="379"/>
      <c r="S47" s="395"/>
    </row>
    <row r="48" spans="1:23" ht="15.6" x14ac:dyDescent="0.3">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6" x14ac:dyDescent="0.3">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3">
      <c r="A50" s="4"/>
      <c r="B50" s="34"/>
      <c r="C50" s="784" t="s">
        <v>90</v>
      </c>
      <c r="D50" s="785"/>
      <c r="E50" s="786"/>
      <c r="F50" s="404"/>
      <c r="G50" s="787" t="s">
        <v>91</v>
      </c>
      <c r="H50" s="787"/>
      <c r="I50" s="22"/>
      <c r="J50" s="404"/>
      <c r="K50" s="405"/>
      <c r="L50" s="379"/>
      <c r="M50" s="383"/>
      <c r="N50" s="379"/>
      <c r="O50" s="379"/>
      <c r="P50" s="383"/>
      <c r="Q50" s="383"/>
      <c r="R50" s="379"/>
      <c r="S50" s="395"/>
    </row>
    <row r="51" spans="1:19" ht="27" x14ac:dyDescent="0.3">
      <c r="A51" s="4"/>
      <c r="B51" s="53" t="s">
        <v>51</v>
      </c>
      <c r="C51" s="54" t="s">
        <v>92</v>
      </c>
      <c r="D51" s="54" t="s">
        <v>93</v>
      </c>
      <c r="E51" s="55" t="s">
        <v>94</v>
      </c>
      <c r="F51" s="304"/>
      <c r="G51" s="787"/>
      <c r="H51" s="787"/>
      <c r="I51" s="5"/>
      <c r="J51" s="655"/>
      <c r="K51" s="656"/>
      <c r="L51" s="379"/>
      <c r="M51" s="383"/>
      <c r="N51" s="379"/>
      <c r="O51" s="379"/>
      <c r="P51" s="383"/>
      <c r="Q51" s="383"/>
      <c r="R51" s="379"/>
      <c r="S51" s="395"/>
    </row>
    <row r="52" spans="1:19" x14ac:dyDescent="0.3">
      <c r="A52" s="4"/>
      <c r="B52" s="55" t="s">
        <v>31</v>
      </c>
      <c r="C52" s="266">
        <f t="shared" ref="C52:C57" si="3">COUNTIF(Q$9:Q$14,B52)</f>
        <v>0</v>
      </c>
      <c r="D52" s="266">
        <f t="shared" ref="D52:D57" si="4">COUNTIF(Q$15:Q$38,B52)</f>
        <v>0</v>
      </c>
      <c r="E52" s="266">
        <f t="shared" ref="E52:E57" si="5">C52+D52</f>
        <v>0</v>
      </c>
      <c r="F52" s="304"/>
      <c r="G52" s="780">
        <f>COUNTIF(E$9:E$39,"A")</f>
        <v>0</v>
      </c>
      <c r="H52" s="780"/>
      <c r="I52" s="5"/>
      <c r="J52" s="655"/>
      <c r="K52" s="656"/>
      <c r="L52" s="379"/>
      <c r="M52" s="383"/>
      <c r="N52" s="379"/>
      <c r="O52" s="379"/>
      <c r="P52" s="383"/>
      <c r="Q52" s="383"/>
      <c r="R52" s="379"/>
      <c r="S52" s="395"/>
    </row>
    <row r="53" spans="1:19" x14ac:dyDescent="0.3">
      <c r="A53" s="4"/>
      <c r="B53" s="55" t="s">
        <v>32</v>
      </c>
      <c r="C53" s="266">
        <f t="shared" si="3"/>
        <v>0</v>
      </c>
      <c r="D53" s="266">
        <f t="shared" si="4"/>
        <v>0</v>
      </c>
      <c r="E53" s="266">
        <f t="shared" si="5"/>
        <v>0</v>
      </c>
      <c r="F53" s="304"/>
      <c r="G53" s="780">
        <f>COUNTIF(E$9:E$39,"B")</f>
        <v>0</v>
      </c>
      <c r="H53" s="780"/>
      <c r="I53" s="5"/>
      <c r="J53" s="655"/>
      <c r="K53" s="656"/>
      <c r="L53" s="379"/>
      <c r="M53" s="383"/>
      <c r="N53" s="379"/>
      <c r="O53" s="379"/>
      <c r="P53" s="383"/>
      <c r="Q53" s="383"/>
      <c r="R53" s="379"/>
      <c r="S53" s="395"/>
    </row>
    <row r="54" spans="1:19" x14ac:dyDescent="0.3">
      <c r="A54" s="4"/>
      <c r="B54" s="55" t="s">
        <v>30</v>
      </c>
      <c r="C54" s="266">
        <f t="shared" si="3"/>
        <v>1</v>
      </c>
      <c r="D54" s="266">
        <f t="shared" si="4"/>
        <v>0</v>
      </c>
      <c r="E54" s="266">
        <f t="shared" si="5"/>
        <v>1</v>
      </c>
      <c r="F54" s="304"/>
      <c r="G54" s="780">
        <f>COUNTIF(E$9:E$39,"C")</f>
        <v>1</v>
      </c>
      <c r="H54" s="780"/>
      <c r="I54" s="5"/>
      <c r="J54" s="655"/>
      <c r="K54" s="656"/>
      <c r="L54" s="379"/>
      <c r="M54" s="383"/>
      <c r="N54" s="379"/>
      <c r="O54" s="379"/>
      <c r="P54" s="383"/>
      <c r="Q54" s="383"/>
      <c r="R54" s="379"/>
      <c r="S54" s="395"/>
    </row>
    <row r="55" spans="1:19" x14ac:dyDescent="0.3">
      <c r="A55" s="4"/>
      <c r="B55" s="55" t="s">
        <v>33</v>
      </c>
      <c r="C55" s="266">
        <f t="shared" si="3"/>
        <v>0</v>
      </c>
      <c r="D55" s="266">
        <f t="shared" si="4"/>
        <v>0</v>
      </c>
      <c r="E55" s="266">
        <f t="shared" si="5"/>
        <v>0</v>
      </c>
      <c r="F55" s="304"/>
      <c r="G55" s="780">
        <f>COUNTIF(E$9:E$39,"D")</f>
        <v>0</v>
      </c>
      <c r="H55" s="780"/>
      <c r="I55" s="5"/>
      <c r="J55" s="655"/>
      <c r="K55" s="656"/>
      <c r="L55" s="379"/>
      <c r="M55" s="383"/>
      <c r="N55" s="379"/>
      <c r="O55" s="379"/>
      <c r="P55" s="383"/>
      <c r="Q55" s="383"/>
      <c r="R55" s="379"/>
      <c r="S55" s="395"/>
    </row>
    <row r="56" spans="1:19" x14ac:dyDescent="0.3">
      <c r="A56" s="4"/>
      <c r="B56" s="55" t="s">
        <v>34</v>
      </c>
      <c r="C56" s="266">
        <f t="shared" si="3"/>
        <v>0</v>
      </c>
      <c r="D56" s="266">
        <f t="shared" si="4"/>
        <v>0</v>
      </c>
      <c r="E56" s="266">
        <f t="shared" si="5"/>
        <v>0</v>
      </c>
      <c r="F56" s="304"/>
      <c r="G56" s="780">
        <f>COUNTIF(E$9:E$39,"E")</f>
        <v>0</v>
      </c>
      <c r="H56" s="780"/>
      <c r="I56" s="5"/>
      <c r="J56" s="655"/>
      <c r="K56" s="656"/>
      <c r="L56" s="379"/>
      <c r="M56" s="383"/>
      <c r="N56" s="379"/>
      <c r="O56" s="379"/>
      <c r="P56" s="383"/>
      <c r="Q56" s="383"/>
      <c r="R56" s="379"/>
      <c r="S56" s="395"/>
    </row>
    <row r="57" spans="1:19" x14ac:dyDescent="0.3">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 thickBot="1" x14ac:dyDescent="0.35">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zoomScale="70" zoomScaleNormal="70" workbookViewId="0">
      <selection activeCell="H18" sqref="H18"/>
    </sheetView>
  </sheetViews>
  <sheetFormatPr defaultRowHeight="14.4" x14ac:dyDescent="0.3"/>
  <cols>
    <col min="3" max="3" width="26.88671875" customWidth="1"/>
    <col min="4" max="4" width="14.109375" customWidth="1"/>
    <col min="5" max="5" width="11" customWidth="1"/>
    <col min="6" max="6" width="13.109375" customWidth="1"/>
    <col min="8" max="8" width="18.88671875" customWidth="1"/>
  </cols>
  <sheetData>
    <row r="1" spans="2:9" ht="15" thickBot="1" x14ac:dyDescent="0.35"/>
    <row r="2" spans="2:9" ht="18" thickBot="1" x14ac:dyDescent="0.35">
      <c r="B2" s="58"/>
      <c r="C2" s="795" t="s">
        <v>97</v>
      </c>
      <c r="D2" s="795"/>
      <c r="E2" s="795"/>
      <c r="F2" s="795"/>
      <c r="G2" s="795"/>
      <c r="H2" s="795"/>
      <c r="I2" s="315"/>
    </row>
    <row r="3" spans="2:9" x14ac:dyDescent="0.3">
      <c r="B3" s="4"/>
      <c r="C3" s="5"/>
      <c r="D3" s="5"/>
      <c r="E3" s="59"/>
      <c r="F3" s="5"/>
      <c r="G3" s="5"/>
      <c r="H3" s="5"/>
      <c r="I3" s="60"/>
    </row>
    <row r="4" spans="2:9" x14ac:dyDescent="0.3">
      <c r="B4" s="4"/>
      <c r="C4" s="44" t="s">
        <v>47</v>
      </c>
      <c r="D4" s="796" t="str">
        <f>+Introduction!E10</f>
        <v>Duynie Ingredients Ltd</v>
      </c>
      <c r="E4" s="796"/>
      <c r="F4" s="797"/>
      <c r="G4" s="61"/>
      <c r="H4" s="798" t="s">
        <v>98</v>
      </c>
      <c r="I4" s="60"/>
    </row>
    <row r="5" spans="2:9" x14ac:dyDescent="0.3">
      <c r="B5" s="4"/>
      <c r="C5" s="62" t="s">
        <v>793</v>
      </c>
      <c r="D5" s="796" t="str">
        <f>+Introduction!K10</f>
        <v>n/a</v>
      </c>
      <c r="E5" s="799"/>
      <c r="F5" s="797"/>
      <c r="G5" s="61"/>
      <c r="H5" s="798"/>
      <c r="I5" s="60"/>
    </row>
    <row r="6" spans="2:9" ht="38.25" customHeight="1" x14ac:dyDescent="0.3">
      <c r="B6" s="4"/>
      <c r="C6" s="794" t="s">
        <v>99</v>
      </c>
      <c r="D6" s="794"/>
      <c r="E6" s="794"/>
      <c r="F6" s="5"/>
      <c r="G6" s="5"/>
      <c r="H6" s="5"/>
      <c r="I6" s="60"/>
    </row>
    <row r="7" spans="2:9" ht="26.4" x14ac:dyDescent="0.3">
      <c r="B7" s="4"/>
      <c r="C7" s="64" t="s">
        <v>100</v>
      </c>
      <c r="D7" s="65" t="s">
        <v>101</v>
      </c>
      <c r="E7" s="66" t="s">
        <v>102</v>
      </c>
      <c r="F7" s="67" t="s">
        <v>103</v>
      </c>
      <c r="G7" s="68" t="s">
        <v>104</v>
      </c>
      <c r="H7" s="69" t="s">
        <v>105</v>
      </c>
      <c r="I7" s="70"/>
    </row>
    <row r="8" spans="2:9" ht="15" customHeight="1" x14ac:dyDescent="0.3">
      <c r="B8" s="4"/>
      <c r="C8" s="71" t="s">
        <v>106</v>
      </c>
      <c r="D8" s="72" t="s">
        <v>107</v>
      </c>
      <c r="E8" s="72">
        <v>10</v>
      </c>
      <c r="F8" s="73">
        <v>125</v>
      </c>
      <c r="G8" s="74">
        <f>IF(F8/E8&lt;1,0,(F8/E8))</f>
        <v>12.5</v>
      </c>
      <c r="H8" s="75"/>
      <c r="I8" s="60"/>
    </row>
    <row r="9" spans="2:9" ht="15" customHeight="1" x14ac:dyDescent="0.3">
      <c r="B9" s="4"/>
      <c r="C9" s="76" t="s">
        <v>108</v>
      </c>
      <c r="D9" s="77" t="s">
        <v>107</v>
      </c>
      <c r="E9" s="77">
        <v>10</v>
      </c>
      <c r="F9" s="73">
        <v>40</v>
      </c>
      <c r="G9" s="78">
        <f t="shared" ref="G9:G41" si="0">IF(F9/E9&lt;1,0,(F9/E9))</f>
        <v>4</v>
      </c>
      <c r="H9" s="75"/>
      <c r="I9" s="60"/>
    </row>
    <row r="10" spans="2:9" ht="15" customHeight="1" x14ac:dyDescent="0.3">
      <c r="B10" s="4"/>
      <c r="C10" s="76" t="s">
        <v>109</v>
      </c>
      <c r="D10" s="77" t="s">
        <v>107</v>
      </c>
      <c r="E10" s="77">
        <v>1000</v>
      </c>
      <c r="F10" s="73"/>
      <c r="G10" s="78">
        <f t="shared" si="0"/>
        <v>0</v>
      </c>
      <c r="H10" s="75"/>
      <c r="I10" s="60"/>
    </row>
    <row r="11" spans="2:9" ht="15" customHeight="1" x14ac:dyDescent="0.3">
      <c r="B11" s="4"/>
      <c r="C11" s="79"/>
      <c r="D11" s="80"/>
      <c r="E11" s="80"/>
      <c r="F11" s="80"/>
      <c r="G11" s="81"/>
      <c r="H11" s="82"/>
      <c r="I11" s="60"/>
    </row>
    <row r="12" spans="2:9" ht="15" customHeight="1" x14ac:dyDescent="0.3">
      <c r="B12" s="4"/>
      <c r="C12" s="79"/>
      <c r="D12" s="80"/>
      <c r="E12" s="80"/>
      <c r="F12" s="80"/>
      <c r="G12" s="81"/>
      <c r="H12" s="82"/>
      <c r="I12" s="60"/>
    </row>
    <row r="13" spans="2:9" ht="15" customHeight="1" x14ac:dyDescent="0.3">
      <c r="B13" s="4"/>
      <c r="C13" s="76" t="s">
        <v>110</v>
      </c>
      <c r="D13" s="77" t="s">
        <v>111</v>
      </c>
      <c r="E13" s="77">
        <v>1</v>
      </c>
      <c r="F13" s="73"/>
      <c r="G13" s="78">
        <f t="shared" si="0"/>
        <v>0</v>
      </c>
      <c r="H13" s="75"/>
      <c r="I13" s="60"/>
    </row>
    <row r="14" spans="2:9" ht="15" customHeight="1" x14ac:dyDescent="0.3">
      <c r="B14" s="4"/>
      <c r="C14" s="76" t="s">
        <v>112</v>
      </c>
      <c r="D14" s="77" t="s">
        <v>111</v>
      </c>
      <c r="E14" s="77">
        <v>1</v>
      </c>
      <c r="F14" s="73"/>
      <c r="G14" s="78">
        <f t="shared" si="0"/>
        <v>0</v>
      </c>
      <c r="H14" s="83"/>
      <c r="I14" s="60"/>
    </row>
    <row r="15" spans="2:9" ht="15" customHeight="1" x14ac:dyDescent="0.3">
      <c r="B15" s="4"/>
      <c r="C15" s="76" t="s">
        <v>113</v>
      </c>
      <c r="D15" s="77" t="s">
        <v>111</v>
      </c>
      <c r="E15" s="77">
        <v>1</v>
      </c>
      <c r="F15" s="73"/>
      <c r="G15" s="78">
        <f t="shared" si="0"/>
        <v>0</v>
      </c>
      <c r="H15" s="83"/>
      <c r="I15" s="60"/>
    </row>
    <row r="16" spans="2:9" ht="15" customHeight="1" x14ac:dyDescent="0.3">
      <c r="B16" s="4"/>
      <c r="C16" s="76" t="s">
        <v>114</v>
      </c>
      <c r="D16" s="77" t="s">
        <v>111</v>
      </c>
      <c r="E16" s="77">
        <v>1</v>
      </c>
      <c r="F16" s="73"/>
      <c r="G16" s="78">
        <f t="shared" si="0"/>
        <v>0</v>
      </c>
      <c r="H16" s="83"/>
      <c r="I16" s="60"/>
    </row>
    <row r="17" spans="2:9" ht="15" customHeight="1" x14ac:dyDescent="0.3">
      <c r="B17" s="4"/>
      <c r="C17" s="76"/>
      <c r="D17" s="77"/>
      <c r="E17" s="77"/>
      <c r="F17" s="77"/>
      <c r="G17" s="78"/>
      <c r="H17" s="84"/>
      <c r="I17" s="60"/>
    </row>
    <row r="18" spans="2:9" ht="15" customHeight="1" x14ac:dyDescent="0.3">
      <c r="B18" s="4"/>
      <c r="C18" s="76" t="s">
        <v>115</v>
      </c>
      <c r="D18" s="77" t="s">
        <v>111</v>
      </c>
      <c r="E18" s="77">
        <v>10</v>
      </c>
      <c r="F18" s="73"/>
      <c r="G18" s="78">
        <f t="shared" si="0"/>
        <v>0</v>
      </c>
      <c r="H18" s="83"/>
      <c r="I18" s="60"/>
    </row>
    <row r="19" spans="2:9" ht="15" customHeight="1" x14ac:dyDescent="0.3">
      <c r="B19" s="4"/>
      <c r="C19" s="76" t="s">
        <v>116</v>
      </c>
      <c r="D19" s="77" t="s">
        <v>111</v>
      </c>
      <c r="E19" s="77">
        <v>10</v>
      </c>
      <c r="F19" s="73"/>
      <c r="G19" s="78">
        <f t="shared" si="0"/>
        <v>0</v>
      </c>
      <c r="H19" s="83"/>
      <c r="I19" s="60"/>
    </row>
    <row r="20" spans="2:9" ht="15" customHeight="1" x14ac:dyDescent="0.3">
      <c r="B20" s="4"/>
      <c r="C20" s="76" t="s">
        <v>117</v>
      </c>
      <c r="D20" s="77" t="s">
        <v>111</v>
      </c>
      <c r="E20" s="77">
        <v>10</v>
      </c>
      <c r="F20" s="73"/>
      <c r="G20" s="78">
        <f t="shared" si="0"/>
        <v>0</v>
      </c>
      <c r="H20" s="83"/>
      <c r="I20" s="60"/>
    </row>
    <row r="21" spans="2:9" ht="15" customHeight="1" x14ac:dyDescent="0.3">
      <c r="B21" s="4"/>
      <c r="C21" s="76" t="s">
        <v>118</v>
      </c>
      <c r="D21" s="77" t="s">
        <v>111</v>
      </c>
      <c r="E21" s="77">
        <v>10</v>
      </c>
      <c r="F21" s="73"/>
      <c r="G21" s="78">
        <f t="shared" si="0"/>
        <v>0</v>
      </c>
      <c r="H21" s="83"/>
      <c r="I21" s="60"/>
    </row>
    <row r="22" spans="2:9" ht="15" customHeight="1" x14ac:dyDescent="0.3">
      <c r="B22" s="4"/>
      <c r="C22" s="76" t="s">
        <v>119</v>
      </c>
      <c r="D22" s="77" t="s">
        <v>111</v>
      </c>
      <c r="E22" s="77">
        <v>10</v>
      </c>
      <c r="F22" s="73"/>
      <c r="G22" s="78">
        <f t="shared" si="0"/>
        <v>0</v>
      </c>
      <c r="H22" s="83"/>
      <c r="I22" s="60"/>
    </row>
    <row r="23" spans="2:9" ht="15" customHeight="1" x14ac:dyDescent="0.3">
      <c r="B23" s="4"/>
      <c r="C23" s="76"/>
      <c r="D23" s="77"/>
      <c r="E23" s="77"/>
      <c r="F23" s="77"/>
      <c r="G23" s="78"/>
      <c r="H23" s="84"/>
      <c r="I23" s="60"/>
    </row>
    <row r="24" spans="2:9" ht="15" customHeight="1" x14ac:dyDescent="0.3">
      <c r="B24" s="4"/>
      <c r="C24" s="85" t="s">
        <v>120</v>
      </c>
      <c r="D24" s="77"/>
      <c r="E24" s="77"/>
      <c r="F24" s="86"/>
      <c r="G24" s="78"/>
      <c r="H24" s="83"/>
      <c r="I24" s="60"/>
    </row>
    <row r="25" spans="2:9" ht="15" customHeight="1" x14ac:dyDescent="0.3">
      <c r="B25" s="4"/>
      <c r="C25" s="87"/>
      <c r="D25" s="77" t="s">
        <v>111</v>
      </c>
      <c r="E25" s="77">
        <v>100</v>
      </c>
      <c r="F25" s="73"/>
      <c r="G25" s="78">
        <f t="shared" si="0"/>
        <v>0</v>
      </c>
      <c r="H25" s="83"/>
      <c r="I25" s="60"/>
    </row>
    <row r="26" spans="2:9" ht="15" customHeight="1" x14ac:dyDescent="0.3">
      <c r="B26" s="4"/>
      <c r="C26" s="87"/>
      <c r="D26" s="77" t="s">
        <v>111</v>
      </c>
      <c r="E26" s="77">
        <v>100</v>
      </c>
      <c r="F26" s="73"/>
      <c r="G26" s="78">
        <f t="shared" si="0"/>
        <v>0</v>
      </c>
      <c r="H26" s="83"/>
      <c r="I26" s="60"/>
    </row>
    <row r="27" spans="2:9" ht="15" customHeight="1" x14ac:dyDescent="0.3">
      <c r="B27" s="4"/>
      <c r="C27" s="87"/>
      <c r="D27" s="77" t="s">
        <v>111</v>
      </c>
      <c r="E27" s="77">
        <v>100</v>
      </c>
      <c r="F27" s="73"/>
      <c r="G27" s="78">
        <f t="shared" si="0"/>
        <v>0</v>
      </c>
      <c r="H27" s="83"/>
      <c r="I27" s="60"/>
    </row>
    <row r="28" spans="2:9" ht="15" customHeight="1" x14ac:dyDescent="0.3">
      <c r="B28" s="4"/>
      <c r="C28" s="87"/>
      <c r="D28" s="77" t="s">
        <v>111</v>
      </c>
      <c r="E28" s="77">
        <v>100</v>
      </c>
      <c r="F28" s="73"/>
      <c r="G28" s="78">
        <f t="shared" si="0"/>
        <v>0</v>
      </c>
      <c r="H28" s="83"/>
      <c r="I28" s="60"/>
    </row>
    <row r="29" spans="2:9" ht="15" customHeight="1" x14ac:dyDescent="0.3">
      <c r="B29" s="4"/>
      <c r="C29" s="88"/>
      <c r="D29" s="77" t="s">
        <v>111</v>
      </c>
      <c r="E29" s="77">
        <v>100</v>
      </c>
      <c r="F29" s="73"/>
      <c r="G29" s="78">
        <f t="shared" si="0"/>
        <v>0</v>
      </c>
      <c r="H29" s="83"/>
      <c r="I29" s="60"/>
    </row>
    <row r="30" spans="2:9" ht="15" customHeight="1" x14ac:dyDescent="0.3">
      <c r="B30" s="4"/>
      <c r="C30" s="76"/>
      <c r="D30" s="77"/>
      <c r="E30" s="77"/>
      <c r="F30" s="77"/>
      <c r="G30" s="78"/>
      <c r="H30" s="84"/>
      <c r="I30" s="60"/>
    </row>
    <row r="31" spans="2:9" ht="15" customHeight="1" x14ac:dyDescent="0.3">
      <c r="B31" s="4"/>
      <c r="C31" s="85" t="s">
        <v>123</v>
      </c>
      <c r="D31" s="77"/>
      <c r="E31" s="77"/>
      <c r="F31" s="73"/>
      <c r="G31" s="78"/>
      <c r="H31" s="83"/>
      <c r="I31" s="60"/>
    </row>
    <row r="32" spans="2:9" ht="15" customHeight="1" x14ac:dyDescent="0.3">
      <c r="B32" s="4"/>
      <c r="C32" s="76" t="s">
        <v>124</v>
      </c>
      <c r="D32" s="77" t="s">
        <v>125</v>
      </c>
      <c r="E32" s="77">
        <v>0.1</v>
      </c>
      <c r="F32" s="73"/>
      <c r="G32" s="78">
        <f t="shared" si="0"/>
        <v>0</v>
      </c>
      <c r="H32" s="83"/>
      <c r="I32" s="60"/>
    </row>
    <row r="33" spans="2:9" ht="15" customHeight="1" x14ac:dyDescent="0.3">
      <c r="B33" s="4"/>
      <c r="C33" s="76" t="s">
        <v>126</v>
      </c>
      <c r="D33" s="77" t="s">
        <v>127</v>
      </c>
      <c r="E33" s="77">
        <v>0.1</v>
      </c>
      <c r="F33" s="73"/>
      <c r="G33" s="78">
        <f t="shared" si="0"/>
        <v>0</v>
      </c>
      <c r="H33" s="83"/>
      <c r="I33" s="60"/>
    </row>
    <row r="34" spans="2:9" ht="15" customHeight="1" x14ac:dyDescent="0.3">
      <c r="B34" s="4"/>
      <c r="C34" s="76"/>
      <c r="D34" s="77"/>
      <c r="E34" s="77"/>
      <c r="F34" s="77"/>
      <c r="G34" s="78"/>
      <c r="H34" s="84"/>
      <c r="I34" s="60"/>
    </row>
    <row r="35" spans="2:9" ht="15" customHeight="1" x14ac:dyDescent="0.3">
      <c r="B35" s="4"/>
      <c r="C35" s="76" t="s">
        <v>128</v>
      </c>
      <c r="D35" s="77" t="s">
        <v>111</v>
      </c>
      <c r="E35" s="77">
        <v>1</v>
      </c>
      <c r="F35" s="73"/>
      <c r="G35" s="78">
        <f t="shared" si="0"/>
        <v>0</v>
      </c>
      <c r="H35" s="83"/>
      <c r="I35" s="60"/>
    </row>
    <row r="36" spans="2:9" ht="15" customHeight="1" x14ac:dyDescent="0.3">
      <c r="B36" s="4"/>
      <c r="C36" s="76" t="s">
        <v>129</v>
      </c>
      <c r="D36" s="77" t="s">
        <v>111</v>
      </c>
      <c r="E36" s="77">
        <v>1</v>
      </c>
      <c r="F36" s="73"/>
      <c r="G36" s="78">
        <f t="shared" si="0"/>
        <v>0</v>
      </c>
      <c r="H36" s="83"/>
      <c r="I36" s="60"/>
    </row>
    <row r="37" spans="2:9" ht="15" customHeight="1" x14ac:dyDescent="0.3">
      <c r="B37" s="4"/>
      <c r="C37" s="76" t="s">
        <v>130</v>
      </c>
      <c r="D37" s="77" t="s">
        <v>111</v>
      </c>
      <c r="E37" s="77">
        <v>1</v>
      </c>
      <c r="F37" s="73"/>
      <c r="G37" s="78">
        <f t="shared" si="0"/>
        <v>0</v>
      </c>
      <c r="H37" s="83"/>
      <c r="I37" s="60"/>
    </row>
    <row r="38" spans="2:9" ht="15" customHeight="1" x14ac:dyDescent="0.3">
      <c r="B38" s="4"/>
      <c r="C38" s="76" t="s">
        <v>131</v>
      </c>
      <c r="D38" s="77" t="s">
        <v>111</v>
      </c>
      <c r="E38" s="77">
        <v>1</v>
      </c>
      <c r="F38" s="73"/>
      <c r="G38" s="78">
        <f t="shared" si="0"/>
        <v>0</v>
      </c>
      <c r="H38" s="83"/>
      <c r="I38" s="60"/>
    </row>
    <row r="39" spans="2:9" ht="15" customHeight="1" x14ac:dyDescent="0.3">
      <c r="B39" s="4"/>
      <c r="C39" s="76" t="s">
        <v>132</v>
      </c>
      <c r="D39" s="77" t="s">
        <v>111</v>
      </c>
      <c r="E39" s="77">
        <v>1</v>
      </c>
      <c r="F39" s="73"/>
      <c r="G39" s="78">
        <f t="shared" si="0"/>
        <v>0</v>
      </c>
      <c r="H39" s="83"/>
      <c r="I39" s="60"/>
    </row>
    <row r="40" spans="2:9" ht="15" customHeight="1" x14ac:dyDescent="0.3">
      <c r="B40" s="4"/>
      <c r="C40" s="76"/>
      <c r="D40" s="77"/>
      <c r="E40" s="77"/>
      <c r="F40" s="77"/>
      <c r="G40" s="78"/>
      <c r="H40" s="84"/>
      <c r="I40" s="60"/>
    </row>
    <row r="41" spans="2:9" ht="15" customHeight="1" x14ac:dyDescent="0.3">
      <c r="B41" s="4"/>
      <c r="C41" s="76" t="s">
        <v>133</v>
      </c>
      <c r="D41" s="77" t="s">
        <v>111</v>
      </c>
      <c r="E41" s="77">
        <v>10</v>
      </c>
      <c r="F41" s="73"/>
      <c r="G41" s="78">
        <f t="shared" si="0"/>
        <v>0</v>
      </c>
      <c r="H41" s="83"/>
      <c r="I41" s="60"/>
    </row>
    <row r="42" spans="2:9" ht="15" customHeight="1" x14ac:dyDescent="0.3">
      <c r="B42" s="4"/>
      <c r="C42" s="76" t="s">
        <v>134</v>
      </c>
      <c r="D42" s="77" t="s">
        <v>111</v>
      </c>
      <c r="E42" s="77">
        <v>10</v>
      </c>
      <c r="F42" s="73"/>
      <c r="G42" s="78">
        <f>IF(F42/E42&lt;1,0,(F42/E42))</f>
        <v>0</v>
      </c>
      <c r="H42" s="83"/>
      <c r="I42" s="60"/>
    </row>
    <row r="43" spans="2:9" ht="15" customHeight="1" x14ac:dyDescent="0.3">
      <c r="B43" s="4"/>
      <c r="C43" s="76" t="s">
        <v>135</v>
      </c>
      <c r="D43" s="77" t="s">
        <v>111</v>
      </c>
      <c r="E43" s="77">
        <v>10</v>
      </c>
      <c r="F43" s="73"/>
      <c r="G43" s="78">
        <f>IF(F43/E43&lt;1,0,(F43/E43))</f>
        <v>0</v>
      </c>
      <c r="H43" s="83"/>
      <c r="I43" s="60"/>
    </row>
    <row r="44" spans="2:9" ht="15" customHeight="1" x14ac:dyDescent="0.3">
      <c r="B44" s="4"/>
      <c r="C44" s="76" t="s">
        <v>136</v>
      </c>
      <c r="D44" s="77" t="s">
        <v>111</v>
      </c>
      <c r="E44" s="77">
        <v>10</v>
      </c>
      <c r="F44" s="73"/>
      <c r="G44" s="78">
        <f t="shared" ref="G44:G52" si="1">IF(F44/E44&lt;1,0,(F44/E44))</f>
        <v>0</v>
      </c>
      <c r="H44" s="83"/>
      <c r="I44" s="60"/>
    </row>
    <row r="45" spans="2:9" ht="15" customHeight="1" x14ac:dyDescent="0.3">
      <c r="B45" s="4"/>
      <c r="C45" s="76" t="s">
        <v>137</v>
      </c>
      <c r="D45" s="77" t="s">
        <v>111</v>
      </c>
      <c r="E45" s="77">
        <v>10</v>
      </c>
      <c r="F45" s="73"/>
      <c r="G45" s="78">
        <f t="shared" si="1"/>
        <v>0</v>
      </c>
      <c r="H45" s="83"/>
      <c r="I45" s="60"/>
    </row>
    <row r="46" spans="2:9" ht="15" customHeight="1" x14ac:dyDescent="0.3">
      <c r="B46" s="4"/>
      <c r="C46" s="76" t="s">
        <v>138</v>
      </c>
      <c r="D46" s="77" t="s">
        <v>111</v>
      </c>
      <c r="E46" s="77">
        <v>10</v>
      </c>
      <c r="F46" s="73"/>
      <c r="G46" s="78">
        <f t="shared" si="1"/>
        <v>0</v>
      </c>
      <c r="H46" s="83"/>
      <c r="I46" s="60"/>
    </row>
    <row r="47" spans="2:9" ht="15" customHeight="1" x14ac:dyDescent="0.3">
      <c r="B47" s="4"/>
      <c r="C47" s="76" t="s">
        <v>139</v>
      </c>
      <c r="D47" s="77" t="s">
        <v>111</v>
      </c>
      <c r="E47" s="77">
        <v>10</v>
      </c>
      <c r="F47" s="73"/>
      <c r="G47" s="78">
        <f t="shared" si="1"/>
        <v>0</v>
      </c>
      <c r="H47" s="83"/>
      <c r="I47" s="60"/>
    </row>
    <row r="48" spans="2:9" ht="15" customHeight="1" x14ac:dyDescent="0.3">
      <c r="B48" s="4"/>
      <c r="C48" s="76" t="s">
        <v>140</v>
      </c>
      <c r="D48" s="77" t="s">
        <v>111</v>
      </c>
      <c r="E48" s="77">
        <v>10</v>
      </c>
      <c r="F48" s="73"/>
      <c r="G48" s="78">
        <f t="shared" si="1"/>
        <v>0</v>
      </c>
      <c r="H48" s="83"/>
      <c r="I48" s="60"/>
    </row>
    <row r="49" spans="2:9" ht="15" customHeight="1" x14ac:dyDescent="0.3">
      <c r="B49" s="4"/>
      <c r="C49" s="76" t="s">
        <v>141</v>
      </c>
      <c r="D49" s="77" t="s">
        <v>111</v>
      </c>
      <c r="E49" s="77">
        <v>10</v>
      </c>
      <c r="F49" s="73"/>
      <c r="G49" s="78">
        <f t="shared" si="1"/>
        <v>0</v>
      </c>
      <c r="H49" s="83"/>
      <c r="I49" s="60"/>
    </row>
    <row r="50" spans="2:9" ht="15" customHeight="1" x14ac:dyDescent="0.3">
      <c r="B50" s="4"/>
      <c r="C50" s="76" t="s">
        <v>142</v>
      </c>
      <c r="D50" s="77" t="s">
        <v>111</v>
      </c>
      <c r="E50" s="77">
        <v>10</v>
      </c>
      <c r="F50" s="73"/>
      <c r="G50" s="78">
        <f t="shared" si="1"/>
        <v>0</v>
      </c>
      <c r="H50" s="83"/>
      <c r="I50" s="60"/>
    </row>
    <row r="51" spans="2:9" ht="15" customHeight="1" x14ac:dyDescent="0.3">
      <c r="B51" s="4"/>
      <c r="C51" s="76" t="s">
        <v>143</v>
      </c>
      <c r="D51" s="77" t="s">
        <v>111</v>
      </c>
      <c r="E51" s="77">
        <v>10</v>
      </c>
      <c r="F51" s="73"/>
      <c r="G51" s="78">
        <f t="shared" si="1"/>
        <v>0</v>
      </c>
      <c r="H51" s="83"/>
      <c r="I51" s="60"/>
    </row>
    <row r="52" spans="2:9" ht="15" customHeight="1" x14ac:dyDescent="0.3">
      <c r="B52" s="4"/>
      <c r="C52" s="76" t="s">
        <v>144</v>
      </c>
      <c r="D52" s="77" t="s">
        <v>111</v>
      </c>
      <c r="E52" s="77">
        <v>10</v>
      </c>
      <c r="F52" s="73"/>
      <c r="G52" s="78">
        <f t="shared" si="1"/>
        <v>0</v>
      </c>
      <c r="H52" s="83"/>
      <c r="I52" s="60"/>
    </row>
    <row r="53" spans="2:9" ht="15" customHeight="1" x14ac:dyDescent="0.3">
      <c r="B53" s="4"/>
      <c r="C53" s="76"/>
      <c r="D53" s="77"/>
      <c r="E53" s="77"/>
      <c r="F53" s="77"/>
      <c r="G53" s="78"/>
      <c r="H53" s="84"/>
      <c r="I53" s="60"/>
    </row>
    <row r="54" spans="2:9" ht="15" customHeight="1" x14ac:dyDescent="0.3">
      <c r="B54" s="4"/>
      <c r="C54" s="76"/>
      <c r="D54" s="77"/>
      <c r="E54" s="77"/>
      <c r="F54" s="77"/>
      <c r="G54" s="78"/>
      <c r="H54" s="84"/>
      <c r="I54" s="60"/>
    </row>
    <row r="55" spans="2:9" ht="15" customHeight="1" x14ac:dyDescent="0.3">
      <c r="B55" s="4"/>
      <c r="C55" s="76" t="s">
        <v>145</v>
      </c>
      <c r="D55" s="77" t="s">
        <v>111</v>
      </c>
      <c r="E55" s="77">
        <v>100</v>
      </c>
      <c r="F55" s="73"/>
      <c r="G55" s="78">
        <f>IF(F55/E55&lt;1,0,(F55/E55))</f>
        <v>0</v>
      </c>
      <c r="H55" s="83"/>
      <c r="I55" s="60"/>
    </row>
    <row r="56" spans="2:9" ht="15" customHeight="1" x14ac:dyDescent="0.3">
      <c r="B56" s="4"/>
      <c r="C56" s="76" t="s">
        <v>146</v>
      </c>
      <c r="D56" s="77" t="s">
        <v>111</v>
      </c>
      <c r="E56" s="77">
        <v>100</v>
      </c>
      <c r="F56" s="73"/>
      <c r="G56" s="78">
        <f t="shared" ref="G56:G73" si="2">IF(F56/E56&lt;1,0,(F56/E56))</f>
        <v>0</v>
      </c>
      <c r="H56" s="83"/>
      <c r="I56" s="60"/>
    </row>
    <row r="57" spans="2:9" ht="15" customHeight="1" x14ac:dyDescent="0.3">
      <c r="B57" s="4"/>
      <c r="C57" s="76" t="s">
        <v>147</v>
      </c>
      <c r="D57" s="77" t="s">
        <v>111</v>
      </c>
      <c r="E57" s="77">
        <v>100</v>
      </c>
      <c r="F57" s="73"/>
      <c r="G57" s="78">
        <f t="shared" si="2"/>
        <v>0</v>
      </c>
      <c r="H57" s="83"/>
      <c r="I57" s="60"/>
    </row>
    <row r="58" spans="2:9" ht="15" customHeight="1" x14ac:dyDescent="0.3">
      <c r="B58" s="4"/>
      <c r="C58" s="76" t="s">
        <v>148</v>
      </c>
      <c r="D58" s="77" t="s">
        <v>111</v>
      </c>
      <c r="E58" s="77">
        <v>100</v>
      </c>
      <c r="F58" s="73"/>
      <c r="G58" s="78">
        <f t="shared" si="2"/>
        <v>0</v>
      </c>
      <c r="H58" s="83"/>
      <c r="I58" s="60"/>
    </row>
    <row r="59" spans="2:9" ht="15" customHeight="1" x14ac:dyDescent="0.3">
      <c r="B59" s="4"/>
      <c r="C59" s="76" t="s">
        <v>149</v>
      </c>
      <c r="D59" s="77" t="s">
        <v>111</v>
      </c>
      <c r="E59" s="77">
        <v>100</v>
      </c>
      <c r="F59" s="73"/>
      <c r="G59" s="78">
        <f t="shared" si="2"/>
        <v>0</v>
      </c>
      <c r="H59" s="83"/>
      <c r="I59" s="60"/>
    </row>
    <row r="60" spans="2:9" ht="15" customHeight="1" x14ac:dyDescent="0.3">
      <c r="B60" s="4"/>
      <c r="C60" s="76" t="s">
        <v>150</v>
      </c>
      <c r="D60" s="77" t="s">
        <v>111</v>
      </c>
      <c r="E60" s="77">
        <v>100</v>
      </c>
      <c r="F60" s="73"/>
      <c r="G60" s="78">
        <f t="shared" si="2"/>
        <v>0</v>
      </c>
      <c r="H60" s="83"/>
      <c r="I60" s="60"/>
    </row>
    <row r="61" spans="2:9" ht="15" customHeight="1" x14ac:dyDescent="0.3">
      <c r="B61" s="4"/>
      <c r="C61" s="76" t="s">
        <v>151</v>
      </c>
      <c r="D61" s="77" t="s">
        <v>111</v>
      </c>
      <c r="E61" s="77">
        <v>100</v>
      </c>
      <c r="F61" s="73"/>
      <c r="G61" s="78">
        <f t="shared" si="2"/>
        <v>0</v>
      </c>
      <c r="H61" s="83"/>
      <c r="I61" s="60"/>
    </row>
    <row r="62" spans="2:9" ht="15" customHeight="1" x14ac:dyDescent="0.3">
      <c r="B62" s="4"/>
      <c r="C62" s="76" t="s">
        <v>152</v>
      </c>
      <c r="D62" s="77" t="s">
        <v>111</v>
      </c>
      <c r="E62" s="77">
        <v>100</v>
      </c>
      <c r="F62" s="73"/>
      <c r="G62" s="78">
        <f t="shared" si="2"/>
        <v>0</v>
      </c>
      <c r="H62" s="83"/>
      <c r="I62" s="60"/>
    </row>
    <row r="63" spans="2:9" ht="15" customHeight="1" x14ac:dyDescent="0.3">
      <c r="B63" s="4"/>
      <c r="C63" s="76" t="s">
        <v>153</v>
      </c>
      <c r="D63" s="77" t="s">
        <v>111</v>
      </c>
      <c r="E63" s="77">
        <v>100</v>
      </c>
      <c r="F63" s="73"/>
      <c r="G63" s="78">
        <f t="shared" si="2"/>
        <v>0</v>
      </c>
      <c r="H63" s="83"/>
      <c r="I63" s="60"/>
    </row>
    <row r="64" spans="2:9" ht="15" customHeight="1" x14ac:dyDescent="0.3">
      <c r="B64" s="4"/>
      <c r="C64" s="76" t="s">
        <v>154</v>
      </c>
      <c r="D64" s="77" t="s">
        <v>111</v>
      </c>
      <c r="E64" s="77">
        <v>100</v>
      </c>
      <c r="F64" s="73"/>
      <c r="G64" s="78">
        <f t="shared" si="2"/>
        <v>0</v>
      </c>
      <c r="H64" s="83"/>
      <c r="I64" s="60"/>
    </row>
    <row r="65" spans="2:9" ht="15" customHeight="1" x14ac:dyDescent="0.3">
      <c r="B65" s="4"/>
      <c r="C65" s="76" t="s">
        <v>155</v>
      </c>
      <c r="D65" s="77" t="s">
        <v>111</v>
      </c>
      <c r="E65" s="77">
        <v>100</v>
      </c>
      <c r="F65" s="73"/>
      <c r="G65" s="78">
        <f t="shared" si="2"/>
        <v>0</v>
      </c>
      <c r="H65" s="83"/>
      <c r="I65" s="60"/>
    </row>
    <row r="66" spans="2:9" ht="15" customHeight="1" x14ac:dyDescent="0.3">
      <c r="B66" s="4"/>
      <c r="C66" s="76" t="s">
        <v>156</v>
      </c>
      <c r="D66" s="77" t="s">
        <v>111</v>
      </c>
      <c r="E66" s="77">
        <v>100</v>
      </c>
      <c r="F66" s="73"/>
      <c r="G66" s="78">
        <f t="shared" si="2"/>
        <v>0</v>
      </c>
      <c r="H66" s="83"/>
      <c r="I66" s="60"/>
    </row>
    <row r="67" spans="2:9" ht="15" customHeight="1" x14ac:dyDescent="0.3">
      <c r="B67" s="4"/>
      <c r="C67" s="76" t="s">
        <v>157</v>
      </c>
      <c r="D67" s="77" t="s">
        <v>111</v>
      </c>
      <c r="E67" s="77">
        <v>100</v>
      </c>
      <c r="F67" s="73"/>
      <c r="G67" s="78">
        <f t="shared" si="2"/>
        <v>0</v>
      </c>
      <c r="H67" s="83"/>
      <c r="I67" s="60"/>
    </row>
    <row r="68" spans="2:9" ht="15" customHeight="1" x14ac:dyDescent="0.3">
      <c r="B68" s="4"/>
      <c r="C68" s="76" t="s">
        <v>158</v>
      </c>
      <c r="D68" s="77" t="s">
        <v>111</v>
      </c>
      <c r="E68" s="77">
        <v>100</v>
      </c>
      <c r="F68" s="73"/>
      <c r="G68" s="78">
        <f t="shared" si="2"/>
        <v>0</v>
      </c>
      <c r="H68" s="83"/>
      <c r="I68" s="60"/>
    </row>
    <row r="69" spans="2:9" ht="15" customHeight="1" x14ac:dyDescent="0.3">
      <c r="B69" s="4"/>
      <c r="C69" s="76" t="s">
        <v>159</v>
      </c>
      <c r="D69" s="77" t="s">
        <v>111</v>
      </c>
      <c r="E69" s="77">
        <v>100</v>
      </c>
      <c r="F69" s="73"/>
      <c r="G69" s="78">
        <f t="shared" si="2"/>
        <v>0</v>
      </c>
      <c r="H69" s="83"/>
      <c r="I69" s="60"/>
    </row>
    <row r="70" spans="2:9" ht="15" customHeight="1" x14ac:dyDescent="0.3">
      <c r="B70" s="4"/>
      <c r="C70" s="76" t="s">
        <v>160</v>
      </c>
      <c r="D70" s="77" t="s">
        <v>111</v>
      </c>
      <c r="E70" s="77">
        <v>100</v>
      </c>
      <c r="F70" s="73"/>
      <c r="G70" s="78">
        <f t="shared" si="2"/>
        <v>0</v>
      </c>
      <c r="H70" s="83"/>
      <c r="I70" s="60"/>
    </row>
    <row r="71" spans="2:9" ht="15" customHeight="1" x14ac:dyDescent="0.3">
      <c r="B71" s="4"/>
      <c r="C71" s="76" t="s">
        <v>161</v>
      </c>
      <c r="D71" s="77" t="s">
        <v>111</v>
      </c>
      <c r="E71" s="77">
        <v>100</v>
      </c>
      <c r="F71" s="73"/>
      <c r="G71" s="78">
        <f t="shared" si="2"/>
        <v>0</v>
      </c>
      <c r="H71" s="83"/>
      <c r="I71" s="60"/>
    </row>
    <row r="72" spans="2:9" ht="15" customHeight="1" x14ac:dyDescent="0.3">
      <c r="B72" s="4"/>
      <c r="C72" s="76" t="s">
        <v>162</v>
      </c>
      <c r="D72" s="77" t="s">
        <v>111</v>
      </c>
      <c r="E72" s="77">
        <v>100</v>
      </c>
      <c r="F72" s="73"/>
      <c r="G72" s="78">
        <f t="shared" si="2"/>
        <v>0</v>
      </c>
      <c r="H72" s="83"/>
      <c r="I72" s="60"/>
    </row>
    <row r="73" spans="2:9" ht="15" customHeight="1" x14ac:dyDescent="0.3">
      <c r="B73" s="4"/>
      <c r="C73" s="76" t="s">
        <v>163</v>
      </c>
      <c r="D73" s="77" t="s">
        <v>111</v>
      </c>
      <c r="E73" s="77">
        <v>100</v>
      </c>
      <c r="F73" s="73"/>
      <c r="G73" s="78">
        <f t="shared" si="2"/>
        <v>0</v>
      </c>
      <c r="H73" s="83"/>
      <c r="I73" s="60"/>
    </row>
    <row r="74" spans="2:9" ht="15" customHeight="1" x14ac:dyDescent="0.3">
      <c r="B74" s="4"/>
      <c r="C74" s="76"/>
      <c r="D74" s="77" t="s">
        <v>111</v>
      </c>
      <c r="E74" s="77"/>
      <c r="F74" s="77"/>
      <c r="G74" s="78"/>
      <c r="H74" s="84"/>
      <c r="I74" s="60"/>
    </row>
    <row r="75" spans="2:9" ht="15" customHeight="1" x14ac:dyDescent="0.3">
      <c r="B75" s="4"/>
      <c r="C75" s="76" t="s">
        <v>164</v>
      </c>
      <c r="D75" s="77" t="s">
        <v>111</v>
      </c>
      <c r="E75" s="77">
        <v>500</v>
      </c>
      <c r="F75" s="73"/>
      <c r="G75" s="78">
        <f t="shared" ref="G75:G92" si="3">IF(F75/E75&lt;1,0,(F75/E75))</f>
        <v>0</v>
      </c>
      <c r="H75" s="83"/>
      <c r="I75" s="60"/>
    </row>
    <row r="76" spans="2:9" ht="15" customHeight="1" x14ac:dyDescent="0.3">
      <c r="B76" s="4"/>
      <c r="C76" s="76" t="s">
        <v>165</v>
      </c>
      <c r="D76" s="77" t="s">
        <v>111</v>
      </c>
      <c r="E76" s="77">
        <v>500</v>
      </c>
      <c r="F76" s="73"/>
      <c r="G76" s="78">
        <f t="shared" si="3"/>
        <v>0</v>
      </c>
      <c r="H76" s="83"/>
      <c r="I76" s="60"/>
    </row>
    <row r="77" spans="2:9" ht="15" customHeight="1" x14ac:dyDescent="0.3">
      <c r="B77" s="4"/>
      <c r="C77" s="76" t="s">
        <v>166</v>
      </c>
      <c r="D77" s="77" t="s">
        <v>111</v>
      </c>
      <c r="E77" s="77">
        <v>500</v>
      </c>
      <c r="F77" s="73"/>
      <c r="G77" s="78">
        <f t="shared" si="3"/>
        <v>0</v>
      </c>
      <c r="H77" s="83"/>
      <c r="I77" s="60"/>
    </row>
    <row r="78" spans="2:9" ht="15" customHeight="1" x14ac:dyDescent="0.3">
      <c r="B78" s="4"/>
      <c r="C78" s="76" t="s">
        <v>167</v>
      </c>
      <c r="D78" s="77" t="s">
        <v>111</v>
      </c>
      <c r="E78" s="77">
        <v>500</v>
      </c>
      <c r="F78" s="73"/>
      <c r="G78" s="78">
        <f t="shared" si="3"/>
        <v>0</v>
      </c>
      <c r="H78" s="83"/>
      <c r="I78" s="60"/>
    </row>
    <row r="79" spans="2:9" ht="15" customHeight="1" x14ac:dyDescent="0.3">
      <c r="B79" s="4"/>
      <c r="C79" s="76" t="s">
        <v>168</v>
      </c>
      <c r="D79" s="77" t="s">
        <v>111</v>
      </c>
      <c r="E79" s="77">
        <v>500</v>
      </c>
      <c r="F79" s="73"/>
      <c r="G79" s="78">
        <f t="shared" si="3"/>
        <v>0</v>
      </c>
      <c r="H79" s="83"/>
      <c r="I79" s="60"/>
    </row>
    <row r="80" spans="2:9" ht="15" customHeight="1" x14ac:dyDescent="0.3">
      <c r="B80" s="4"/>
      <c r="C80" s="76" t="s">
        <v>169</v>
      </c>
      <c r="D80" s="77" t="s">
        <v>111</v>
      </c>
      <c r="E80" s="77">
        <v>500</v>
      </c>
      <c r="F80" s="73"/>
      <c r="G80" s="78">
        <f t="shared" si="3"/>
        <v>0</v>
      </c>
      <c r="H80" s="83"/>
      <c r="I80" s="60"/>
    </row>
    <row r="81" spans="2:9" ht="15" customHeight="1" x14ac:dyDescent="0.3">
      <c r="B81" s="4"/>
      <c r="C81" s="76" t="s">
        <v>170</v>
      </c>
      <c r="D81" s="77" t="s">
        <v>111</v>
      </c>
      <c r="E81" s="77">
        <v>500</v>
      </c>
      <c r="F81" s="73"/>
      <c r="G81" s="78">
        <f t="shared" si="3"/>
        <v>0</v>
      </c>
      <c r="H81" s="83"/>
      <c r="I81" s="60"/>
    </row>
    <row r="82" spans="2:9" ht="15" customHeight="1" x14ac:dyDescent="0.3">
      <c r="B82" s="4"/>
      <c r="C82" s="76" t="s">
        <v>171</v>
      </c>
      <c r="D82" s="77" t="s">
        <v>111</v>
      </c>
      <c r="E82" s="77">
        <v>500</v>
      </c>
      <c r="F82" s="73"/>
      <c r="G82" s="78">
        <f t="shared" si="3"/>
        <v>0</v>
      </c>
      <c r="H82" s="83"/>
      <c r="I82" s="60"/>
    </row>
    <row r="83" spans="2:9" ht="15" customHeight="1" x14ac:dyDescent="0.3">
      <c r="B83" s="4"/>
      <c r="C83" s="76" t="s">
        <v>172</v>
      </c>
      <c r="D83" s="77" t="s">
        <v>111</v>
      </c>
      <c r="E83" s="77">
        <v>500</v>
      </c>
      <c r="F83" s="73"/>
      <c r="G83" s="78">
        <f t="shared" si="3"/>
        <v>0</v>
      </c>
      <c r="H83" s="83"/>
      <c r="I83" s="60"/>
    </row>
    <row r="84" spans="2:9" ht="15" customHeight="1" x14ac:dyDescent="0.3">
      <c r="B84" s="4"/>
      <c r="C84" s="76" t="s">
        <v>173</v>
      </c>
      <c r="D84" s="77" t="s">
        <v>111</v>
      </c>
      <c r="E84" s="77">
        <v>500</v>
      </c>
      <c r="F84" s="73"/>
      <c r="G84" s="78">
        <f t="shared" si="3"/>
        <v>0</v>
      </c>
      <c r="H84" s="83"/>
      <c r="I84" s="60"/>
    </row>
    <row r="85" spans="2:9" ht="15" customHeight="1" x14ac:dyDescent="0.3">
      <c r="B85" s="4"/>
      <c r="C85" s="76" t="s">
        <v>174</v>
      </c>
      <c r="D85" s="77" t="s">
        <v>111</v>
      </c>
      <c r="E85" s="77">
        <v>500</v>
      </c>
      <c r="F85" s="73"/>
      <c r="G85" s="78">
        <f t="shared" si="3"/>
        <v>0</v>
      </c>
      <c r="H85" s="83"/>
      <c r="I85" s="60"/>
    </row>
    <row r="86" spans="2:9" ht="15" customHeight="1" x14ac:dyDescent="0.3">
      <c r="B86" s="4"/>
      <c r="C86" s="76" t="s">
        <v>175</v>
      </c>
      <c r="D86" s="77" t="s">
        <v>111</v>
      </c>
      <c r="E86" s="77">
        <v>500</v>
      </c>
      <c r="F86" s="73"/>
      <c r="G86" s="78">
        <f t="shared" si="3"/>
        <v>0</v>
      </c>
      <c r="H86" s="83"/>
      <c r="I86" s="60"/>
    </row>
    <row r="87" spans="2:9" ht="15" customHeight="1" x14ac:dyDescent="0.3">
      <c r="B87" s="4"/>
      <c r="C87" s="76" t="s">
        <v>176</v>
      </c>
      <c r="D87" s="77" t="s">
        <v>111</v>
      </c>
      <c r="E87" s="77">
        <v>500</v>
      </c>
      <c r="F87" s="73"/>
      <c r="G87" s="78">
        <f t="shared" si="3"/>
        <v>0</v>
      </c>
      <c r="H87" s="83"/>
      <c r="I87" s="60"/>
    </row>
    <row r="88" spans="2:9" ht="15" customHeight="1" x14ac:dyDescent="0.3">
      <c r="B88" s="4"/>
      <c r="C88" s="76" t="s">
        <v>177</v>
      </c>
      <c r="D88" s="77" t="s">
        <v>111</v>
      </c>
      <c r="E88" s="77">
        <v>500</v>
      </c>
      <c r="F88" s="73"/>
      <c r="G88" s="78">
        <f t="shared" si="3"/>
        <v>0</v>
      </c>
      <c r="H88" s="83"/>
      <c r="I88" s="60"/>
    </row>
    <row r="89" spans="2:9" ht="15" customHeight="1" x14ac:dyDescent="0.3">
      <c r="B89" s="4"/>
      <c r="C89" s="76" t="s">
        <v>178</v>
      </c>
      <c r="D89" s="77" t="s">
        <v>111</v>
      </c>
      <c r="E89" s="77">
        <v>500</v>
      </c>
      <c r="F89" s="73"/>
      <c r="G89" s="78">
        <f t="shared" si="3"/>
        <v>0</v>
      </c>
      <c r="H89" s="83"/>
      <c r="I89" s="60"/>
    </row>
    <row r="90" spans="2:9" ht="15" customHeight="1" x14ac:dyDescent="0.3">
      <c r="B90" s="4"/>
      <c r="C90" s="76" t="s">
        <v>179</v>
      </c>
      <c r="D90" s="77" t="s">
        <v>111</v>
      </c>
      <c r="E90" s="77">
        <v>500</v>
      </c>
      <c r="F90" s="73"/>
      <c r="G90" s="78">
        <f t="shared" si="3"/>
        <v>0</v>
      </c>
      <c r="H90" s="83"/>
      <c r="I90" s="60"/>
    </row>
    <row r="91" spans="2:9" ht="15" customHeight="1" x14ac:dyDescent="0.3">
      <c r="B91" s="4"/>
      <c r="C91" s="76" t="s">
        <v>180</v>
      </c>
      <c r="D91" s="77" t="s">
        <v>111</v>
      </c>
      <c r="E91" s="77">
        <v>500</v>
      </c>
      <c r="F91" s="73"/>
      <c r="G91" s="78">
        <f t="shared" si="3"/>
        <v>0</v>
      </c>
      <c r="H91" s="83"/>
      <c r="I91" s="60"/>
    </row>
    <row r="92" spans="2:9" ht="15" customHeight="1" x14ac:dyDescent="0.3">
      <c r="B92" s="4"/>
      <c r="C92" s="76" t="s">
        <v>181</v>
      </c>
      <c r="D92" s="77" t="s">
        <v>111</v>
      </c>
      <c r="E92" s="77">
        <v>500</v>
      </c>
      <c r="F92" s="73"/>
      <c r="G92" s="78">
        <f t="shared" si="3"/>
        <v>0</v>
      </c>
      <c r="H92" s="83"/>
      <c r="I92" s="60"/>
    </row>
    <row r="93" spans="2:9" ht="15" customHeight="1" x14ac:dyDescent="0.3">
      <c r="B93" s="4"/>
      <c r="C93" s="76" t="s">
        <v>182</v>
      </c>
      <c r="D93" s="77" t="s">
        <v>111</v>
      </c>
      <c r="E93" s="77">
        <v>500</v>
      </c>
      <c r="F93" s="73"/>
      <c r="G93" s="78">
        <f>IF(F93/E93&lt;1,0,(F93/E93))</f>
        <v>0</v>
      </c>
      <c r="H93" s="83"/>
      <c r="I93" s="60"/>
    </row>
    <row r="94" spans="2:9" ht="15" customHeight="1" x14ac:dyDescent="0.3">
      <c r="B94" s="4"/>
      <c r="C94" s="76" t="s">
        <v>183</v>
      </c>
      <c r="D94" s="77" t="s">
        <v>111</v>
      </c>
      <c r="E94" s="77">
        <v>500</v>
      </c>
      <c r="F94" s="73"/>
      <c r="G94" s="78">
        <f>IF(F94/E94&lt;1,0,(F94/E94))</f>
        <v>0</v>
      </c>
      <c r="H94" s="83"/>
      <c r="I94" s="60"/>
    </row>
    <row r="95" spans="2:9" ht="15" customHeight="1" x14ac:dyDescent="0.3">
      <c r="B95" s="4"/>
      <c r="C95" s="76" t="s">
        <v>184</v>
      </c>
      <c r="D95" s="77" t="s">
        <v>111</v>
      </c>
      <c r="E95" s="77">
        <v>500</v>
      </c>
      <c r="F95" s="73"/>
      <c r="G95" s="78">
        <f>IF(F95/E95&lt;1,0,(F95/E95))</f>
        <v>0</v>
      </c>
      <c r="H95" s="83"/>
      <c r="I95" s="60"/>
    </row>
    <row r="96" spans="2:9" ht="15" customHeight="1" x14ac:dyDescent="0.3">
      <c r="B96" s="4"/>
      <c r="C96" s="76"/>
      <c r="D96" s="77"/>
      <c r="E96" s="77"/>
      <c r="F96" s="77"/>
      <c r="G96" s="78"/>
      <c r="H96" s="84"/>
      <c r="I96" s="60"/>
    </row>
    <row r="97" spans="2:9" ht="15" customHeight="1" x14ac:dyDescent="0.3">
      <c r="B97" s="4"/>
      <c r="C97" s="76"/>
      <c r="D97" s="77"/>
      <c r="E97" s="77"/>
      <c r="F97" s="77"/>
      <c r="G97" s="78"/>
      <c r="H97" s="84"/>
      <c r="I97" s="60"/>
    </row>
    <row r="98" spans="2:9" ht="15" customHeight="1" x14ac:dyDescent="0.3">
      <c r="B98" s="4"/>
      <c r="C98" s="85" t="s">
        <v>185</v>
      </c>
      <c r="D98" s="77"/>
      <c r="E98" s="77"/>
      <c r="F98" s="77"/>
      <c r="G98" s="78"/>
      <c r="H98" s="84"/>
      <c r="I98" s="60"/>
    </row>
    <row r="99" spans="2:9" ht="15" customHeight="1" x14ac:dyDescent="0.3">
      <c r="B99" s="4"/>
      <c r="C99" s="87"/>
      <c r="D99" s="77" t="s">
        <v>111</v>
      </c>
      <c r="E99" s="77">
        <v>1000</v>
      </c>
      <c r="F99" s="73"/>
      <c r="G99" s="78">
        <f t="shared" ref="G99:G114" si="4">IF(F99/E99&lt;1,0,(F99/E99))</f>
        <v>0</v>
      </c>
      <c r="H99" s="83"/>
      <c r="I99" s="60"/>
    </row>
    <row r="100" spans="2:9" ht="15" customHeight="1" x14ac:dyDescent="0.3">
      <c r="B100" s="4"/>
      <c r="C100" s="87"/>
      <c r="D100" s="77" t="s">
        <v>111</v>
      </c>
      <c r="E100" s="77">
        <v>1000</v>
      </c>
      <c r="F100" s="73"/>
      <c r="G100" s="78">
        <f t="shared" si="4"/>
        <v>0</v>
      </c>
      <c r="H100" s="83"/>
      <c r="I100" s="60"/>
    </row>
    <row r="101" spans="2:9" ht="15" customHeight="1" x14ac:dyDescent="0.3">
      <c r="B101" s="4"/>
      <c r="C101" s="88"/>
      <c r="D101" s="77" t="s">
        <v>111</v>
      </c>
      <c r="E101" s="77">
        <v>1000</v>
      </c>
      <c r="F101" s="73"/>
      <c r="G101" s="78">
        <f t="shared" si="4"/>
        <v>0</v>
      </c>
      <c r="H101" s="83"/>
      <c r="I101" s="60"/>
    </row>
    <row r="102" spans="2:9" ht="15" customHeight="1" x14ac:dyDescent="0.3">
      <c r="B102" s="4"/>
      <c r="C102" s="88"/>
      <c r="D102" s="77" t="s">
        <v>111</v>
      </c>
      <c r="E102" s="77">
        <v>1000</v>
      </c>
      <c r="F102" s="73"/>
      <c r="G102" s="78">
        <f t="shared" si="4"/>
        <v>0</v>
      </c>
      <c r="H102" s="83"/>
      <c r="I102" s="60"/>
    </row>
    <row r="103" spans="2:9" ht="15" customHeight="1" x14ac:dyDescent="0.3">
      <c r="B103" s="4"/>
      <c r="C103" s="88"/>
      <c r="D103" s="77" t="s">
        <v>111</v>
      </c>
      <c r="E103" s="77">
        <v>1000</v>
      </c>
      <c r="F103" s="73"/>
      <c r="G103" s="78">
        <f t="shared" si="4"/>
        <v>0</v>
      </c>
      <c r="H103" s="83"/>
      <c r="I103" s="60"/>
    </row>
    <row r="104" spans="2:9" ht="15" customHeight="1" x14ac:dyDescent="0.3">
      <c r="B104" s="4"/>
      <c r="C104" s="85" t="s">
        <v>186</v>
      </c>
      <c r="D104" s="77"/>
      <c r="E104" s="77"/>
      <c r="F104" s="77"/>
      <c r="G104" s="78"/>
      <c r="H104" s="84"/>
      <c r="I104" s="60"/>
    </row>
    <row r="105" spans="2:9" ht="15" customHeight="1" x14ac:dyDescent="0.3">
      <c r="B105" s="4"/>
      <c r="C105" s="76" t="s">
        <v>187</v>
      </c>
      <c r="D105" s="77" t="s">
        <v>111</v>
      </c>
      <c r="E105" s="77">
        <v>10</v>
      </c>
      <c r="F105" s="73"/>
      <c r="G105" s="78">
        <f t="shared" si="4"/>
        <v>0</v>
      </c>
      <c r="H105" s="83"/>
      <c r="I105" s="60"/>
    </row>
    <row r="106" spans="2:9" ht="15" customHeight="1" x14ac:dyDescent="0.3">
      <c r="B106" s="4"/>
      <c r="C106" s="76" t="s">
        <v>188</v>
      </c>
      <c r="D106" s="77" t="s">
        <v>111</v>
      </c>
      <c r="E106" s="77">
        <v>10</v>
      </c>
      <c r="F106" s="73"/>
      <c r="G106" s="78">
        <f t="shared" si="4"/>
        <v>0</v>
      </c>
      <c r="H106" s="83"/>
      <c r="I106" s="60"/>
    </row>
    <row r="107" spans="2:9" ht="15" customHeight="1" x14ac:dyDescent="0.3">
      <c r="B107" s="4"/>
      <c r="C107" s="76" t="s">
        <v>189</v>
      </c>
      <c r="D107" s="77" t="s">
        <v>111</v>
      </c>
      <c r="E107" s="77">
        <v>10</v>
      </c>
      <c r="F107" s="73"/>
      <c r="G107" s="78">
        <f t="shared" si="4"/>
        <v>0</v>
      </c>
      <c r="H107" s="83"/>
      <c r="I107" s="60"/>
    </row>
    <row r="108" spans="2:9" ht="15" customHeight="1" x14ac:dyDescent="0.3">
      <c r="B108" s="4"/>
      <c r="C108" s="76" t="s">
        <v>190</v>
      </c>
      <c r="D108" s="77" t="s">
        <v>111</v>
      </c>
      <c r="E108" s="77">
        <v>10</v>
      </c>
      <c r="F108" s="73"/>
      <c r="G108" s="78">
        <f t="shared" si="4"/>
        <v>0</v>
      </c>
      <c r="H108" s="83"/>
      <c r="I108" s="60"/>
    </row>
    <row r="109" spans="2:9" ht="15" customHeight="1" x14ac:dyDescent="0.3">
      <c r="B109" s="4"/>
      <c r="C109" s="76" t="s">
        <v>191</v>
      </c>
      <c r="D109" s="77" t="s">
        <v>111</v>
      </c>
      <c r="E109" s="77">
        <v>10</v>
      </c>
      <c r="F109" s="73"/>
      <c r="G109" s="78">
        <f t="shared" si="4"/>
        <v>0</v>
      </c>
      <c r="H109" s="83"/>
      <c r="I109" s="60"/>
    </row>
    <row r="110" spans="2:9" ht="15" customHeight="1" x14ac:dyDescent="0.3">
      <c r="B110" s="4"/>
      <c r="C110" s="76" t="s">
        <v>192</v>
      </c>
      <c r="D110" s="77" t="s">
        <v>111</v>
      </c>
      <c r="E110" s="77">
        <v>10</v>
      </c>
      <c r="F110" s="73"/>
      <c r="G110" s="78">
        <f t="shared" si="4"/>
        <v>0</v>
      </c>
      <c r="H110" s="83"/>
      <c r="I110" s="60"/>
    </row>
    <row r="111" spans="2:9" ht="15" customHeight="1" x14ac:dyDescent="0.3">
      <c r="B111" s="4"/>
      <c r="C111" s="76" t="s">
        <v>193</v>
      </c>
      <c r="D111" s="77" t="s">
        <v>111</v>
      </c>
      <c r="E111" s="77">
        <v>10</v>
      </c>
      <c r="F111" s="73"/>
      <c r="G111" s="78">
        <f t="shared" si="4"/>
        <v>0</v>
      </c>
      <c r="H111" s="83"/>
      <c r="I111" s="60"/>
    </row>
    <row r="112" spans="2:9" ht="15" customHeight="1" x14ac:dyDescent="0.3">
      <c r="B112" s="4"/>
      <c r="C112" s="76" t="s">
        <v>194</v>
      </c>
      <c r="D112" s="77" t="s">
        <v>111</v>
      </c>
      <c r="E112" s="77">
        <v>1000</v>
      </c>
      <c r="F112" s="73"/>
      <c r="G112" s="78">
        <f t="shared" si="4"/>
        <v>0</v>
      </c>
      <c r="H112" s="83"/>
      <c r="I112" s="60"/>
    </row>
    <row r="113" spans="2:9" ht="15" customHeight="1" x14ac:dyDescent="0.3">
      <c r="B113" s="4"/>
      <c r="C113" s="76" t="s">
        <v>195</v>
      </c>
      <c r="D113" s="77" t="s">
        <v>111</v>
      </c>
      <c r="E113" s="77">
        <v>10</v>
      </c>
      <c r="F113" s="73"/>
      <c r="G113" s="78">
        <f t="shared" si="4"/>
        <v>0</v>
      </c>
      <c r="H113" s="83"/>
      <c r="I113" s="60"/>
    </row>
    <row r="114" spans="2:9" ht="15" customHeight="1" x14ac:dyDescent="0.3">
      <c r="B114" s="4"/>
      <c r="C114" s="76" t="s">
        <v>196</v>
      </c>
      <c r="D114" s="77" t="s">
        <v>111</v>
      </c>
      <c r="E114" s="77">
        <v>100</v>
      </c>
      <c r="F114" s="73"/>
      <c r="G114" s="78">
        <f t="shared" si="4"/>
        <v>0</v>
      </c>
      <c r="H114" s="83"/>
      <c r="I114" s="60"/>
    </row>
    <row r="115" spans="2:9" ht="15" customHeight="1" x14ac:dyDescent="0.3">
      <c r="B115" s="4"/>
      <c r="C115" s="76" t="s">
        <v>197</v>
      </c>
      <c r="D115" s="77" t="s">
        <v>111</v>
      </c>
      <c r="E115" s="77">
        <v>100</v>
      </c>
      <c r="F115" s="73"/>
      <c r="G115" s="78">
        <f>IF(F115/E115&lt;1,0,(F115/E115))</f>
        <v>0</v>
      </c>
      <c r="H115" s="83"/>
      <c r="I115" s="60"/>
    </row>
    <row r="116" spans="2:9" ht="15" customHeight="1" x14ac:dyDescent="0.3">
      <c r="B116" s="4"/>
      <c r="C116" s="76" t="s">
        <v>198</v>
      </c>
      <c r="D116" s="77" t="s">
        <v>111</v>
      </c>
      <c r="E116" s="77">
        <v>100</v>
      </c>
      <c r="F116" s="73"/>
      <c r="G116" s="78">
        <f>IF(F116/E116&lt;1,0,(F116/E116))</f>
        <v>0</v>
      </c>
      <c r="H116" s="83"/>
      <c r="I116" s="60"/>
    </row>
    <row r="117" spans="2:9" ht="15" customHeight="1" x14ac:dyDescent="0.3">
      <c r="B117" s="4"/>
      <c r="C117" s="76"/>
      <c r="D117" s="77"/>
      <c r="E117" s="77"/>
      <c r="F117" s="77"/>
      <c r="G117" s="78"/>
      <c r="H117" s="84"/>
      <c r="I117" s="60"/>
    </row>
    <row r="118" spans="2:9" ht="15" customHeight="1" x14ac:dyDescent="0.3">
      <c r="B118" s="4"/>
      <c r="C118" s="85" t="s">
        <v>199</v>
      </c>
      <c r="D118" s="77"/>
      <c r="E118" s="77"/>
      <c r="F118" s="77"/>
      <c r="G118" s="78"/>
      <c r="H118" s="84"/>
      <c r="I118" s="60"/>
    </row>
    <row r="119" spans="2:9" ht="15" customHeight="1" x14ac:dyDescent="0.3">
      <c r="B119" s="4"/>
      <c r="C119" s="88" t="s">
        <v>200</v>
      </c>
      <c r="D119" s="77" t="s">
        <v>111</v>
      </c>
      <c r="E119" s="77">
        <v>0.1</v>
      </c>
      <c r="F119" s="86"/>
      <c r="G119" s="78">
        <f>IF(E119&gt;0,IF(F119/E119&lt;1,0,(F119/E119)),)</f>
        <v>0</v>
      </c>
      <c r="H119" s="83"/>
      <c r="I119" s="60"/>
    </row>
    <row r="120" spans="2:9" ht="15" customHeight="1" x14ac:dyDescent="0.3">
      <c r="B120" s="4"/>
      <c r="C120" s="88" t="s">
        <v>201</v>
      </c>
      <c r="D120" s="77" t="s">
        <v>111</v>
      </c>
      <c r="E120" s="77">
        <v>1</v>
      </c>
      <c r="F120" s="86"/>
      <c r="G120" s="78">
        <f>IF(E120&gt;0,IF(F120/E120&lt;1,0,(F120/E120)),)</f>
        <v>0</v>
      </c>
      <c r="H120" s="83"/>
      <c r="I120" s="60"/>
    </row>
    <row r="121" spans="2:9" ht="15" customHeight="1" x14ac:dyDescent="0.3">
      <c r="B121" s="4"/>
      <c r="C121" s="88" t="s">
        <v>202</v>
      </c>
      <c r="D121" s="77" t="s">
        <v>111</v>
      </c>
      <c r="E121" s="77">
        <v>10</v>
      </c>
      <c r="F121" s="86"/>
      <c r="G121" s="78">
        <f>IF(E121&gt;0,IF(F121/E121&lt;1,0,(F121/E121)),)</f>
        <v>0</v>
      </c>
      <c r="H121" s="83"/>
      <c r="I121" s="60"/>
    </row>
    <row r="122" spans="2:9" ht="15" customHeight="1" x14ac:dyDescent="0.3">
      <c r="B122" s="4"/>
      <c r="C122" s="88" t="s">
        <v>203</v>
      </c>
      <c r="D122" s="77" t="s">
        <v>111</v>
      </c>
      <c r="E122" s="77">
        <v>100</v>
      </c>
      <c r="F122" s="86"/>
      <c r="G122" s="78">
        <f>IF(E122&gt;0,IF(F122/E122&lt;1,0,(F122/E122)),)</f>
        <v>0</v>
      </c>
      <c r="H122" s="83"/>
      <c r="I122" s="60"/>
    </row>
    <row r="123" spans="2:9" ht="15" customHeight="1" x14ac:dyDescent="0.3">
      <c r="B123" s="4"/>
      <c r="C123" s="88" t="s">
        <v>204</v>
      </c>
      <c r="D123" s="77" t="s">
        <v>111</v>
      </c>
      <c r="E123" s="77">
        <v>1000</v>
      </c>
      <c r="F123" s="86"/>
      <c r="G123" s="78">
        <f>IF(E123&gt;0,IF(F123/E123&lt;1,0,(F123/E123)),)</f>
        <v>0</v>
      </c>
      <c r="H123" s="83"/>
      <c r="I123" s="60"/>
    </row>
    <row r="124" spans="2:9" ht="30.75" customHeight="1" x14ac:dyDescent="0.3">
      <c r="B124" s="4"/>
      <c r="C124" s="800" t="s">
        <v>263</v>
      </c>
      <c r="D124" s="801"/>
      <c r="E124" s="801"/>
      <c r="F124" s="801"/>
      <c r="G124" s="801"/>
      <c r="H124" s="802"/>
      <c r="I124" s="60"/>
    </row>
    <row r="125" spans="2:9" ht="15" customHeight="1" x14ac:dyDescent="0.3">
      <c r="B125" s="4"/>
      <c r="C125" s="89" t="s">
        <v>83</v>
      </c>
      <c r="D125" s="77" t="s">
        <v>83</v>
      </c>
      <c r="E125" s="90" t="s">
        <v>83</v>
      </c>
      <c r="F125" s="86"/>
      <c r="G125" s="78">
        <v>0</v>
      </c>
      <c r="H125" s="91"/>
      <c r="I125" s="60"/>
    </row>
    <row r="126" spans="2:9" ht="15" customHeight="1" x14ac:dyDescent="0.3">
      <c r="B126" s="4"/>
      <c r="C126" s="76" t="s">
        <v>83</v>
      </c>
      <c r="D126" s="77" t="s">
        <v>83</v>
      </c>
      <c r="E126" s="90" t="s">
        <v>83</v>
      </c>
      <c r="F126" s="86"/>
      <c r="G126" s="78">
        <v>0</v>
      </c>
      <c r="H126" s="91"/>
      <c r="I126" s="60"/>
    </row>
    <row r="127" spans="2:9" ht="15" customHeight="1" x14ac:dyDescent="0.3">
      <c r="B127" s="4"/>
      <c r="C127" s="76" t="s">
        <v>83</v>
      </c>
      <c r="D127" s="77" t="s">
        <v>83</v>
      </c>
      <c r="E127" s="90" t="s">
        <v>83</v>
      </c>
      <c r="F127" s="86"/>
      <c r="G127" s="78">
        <v>0</v>
      </c>
      <c r="H127" s="91"/>
      <c r="I127" s="60"/>
    </row>
    <row r="128" spans="2:9" ht="15" customHeight="1" x14ac:dyDescent="0.3">
      <c r="B128" s="4"/>
      <c r="C128" s="76" t="s">
        <v>83</v>
      </c>
      <c r="D128" s="77" t="s">
        <v>83</v>
      </c>
      <c r="E128" s="90" t="s">
        <v>83</v>
      </c>
      <c r="F128" s="86"/>
      <c r="G128" s="78">
        <v>0</v>
      </c>
      <c r="H128" s="91"/>
      <c r="I128" s="60"/>
    </row>
    <row r="129" spans="2:9" ht="15" customHeight="1" x14ac:dyDescent="0.3">
      <c r="B129" s="4"/>
      <c r="C129" s="92"/>
      <c r="D129" s="93"/>
      <c r="E129" s="93"/>
      <c r="F129" s="94" t="s">
        <v>94</v>
      </c>
      <c r="G129" s="95">
        <f>SUM(G8:G128)</f>
        <v>16.5</v>
      </c>
      <c r="H129" s="96"/>
      <c r="I129" s="60"/>
    </row>
    <row r="130" spans="2:9" x14ac:dyDescent="0.3">
      <c r="B130" s="4"/>
      <c r="C130" s="5"/>
      <c r="D130" s="5"/>
      <c r="E130" s="5"/>
      <c r="F130" s="5"/>
      <c r="G130" s="5"/>
      <c r="H130" s="5"/>
      <c r="I130" s="60"/>
    </row>
    <row r="131" spans="2:9" x14ac:dyDescent="0.3">
      <c r="B131" s="4"/>
      <c r="C131" s="720"/>
      <c r="D131" s="720"/>
      <c r="E131" s="720"/>
      <c r="F131" s="720"/>
      <c r="G131" s="720"/>
      <c r="H131" s="720"/>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373380</xdr:colOff>
                    <xdr:row>5</xdr:row>
                    <xdr:rowOff>144780</xdr:rowOff>
                  </from>
                  <to>
                    <xdr:col>6</xdr:col>
                    <xdr:colOff>297180</xdr:colOff>
                    <xdr:row>5</xdr:row>
                    <xdr:rowOff>373380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zoomScale="70" zoomScaleNormal="70" workbookViewId="0">
      <selection activeCell="B7" sqref="B7:D7"/>
    </sheetView>
  </sheetViews>
  <sheetFormatPr defaultRowHeight="14.4" x14ac:dyDescent="0.3"/>
  <cols>
    <col min="2" max="2" width="29" customWidth="1"/>
    <col min="4" max="4" width="11.88671875" customWidth="1"/>
    <col min="5" max="5" width="10.5546875" customWidth="1"/>
    <col min="7" max="7" width="24.88671875" customWidth="1"/>
  </cols>
  <sheetData>
    <row r="2" spans="2:7" ht="15" thickBot="1" x14ac:dyDescent="0.35"/>
    <row r="3" spans="2:7" ht="18" thickBot="1" x14ac:dyDescent="0.35">
      <c r="B3" s="807" t="s">
        <v>205</v>
      </c>
      <c r="C3" s="795"/>
      <c r="D3" s="795"/>
      <c r="E3" s="795"/>
      <c r="F3" s="795"/>
      <c r="G3" s="808"/>
    </row>
    <row r="4" spans="2:7" x14ac:dyDescent="0.3">
      <c r="B4" s="4"/>
      <c r="C4" s="5"/>
      <c r="D4" s="59"/>
      <c r="E4" s="5"/>
      <c r="F4" s="5"/>
      <c r="G4" s="6"/>
    </row>
    <row r="5" spans="2:7" x14ac:dyDescent="0.3">
      <c r="B5" s="520" t="s">
        <v>47</v>
      </c>
      <c r="C5" s="770" t="str">
        <f>+Introduction!E10</f>
        <v>Duynie Ingredients Ltd</v>
      </c>
      <c r="D5" s="770"/>
      <c r="E5" s="809" t="s">
        <v>98</v>
      </c>
      <c r="F5" s="810"/>
      <c r="G5" s="811"/>
    </row>
    <row r="6" spans="2:7" x14ac:dyDescent="0.3">
      <c r="B6" s="520" t="s">
        <v>793</v>
      </c>
      <c r="C6" s="770" t="str">
        <f>+Introduction!K10</f>
        <v>n/a</v>
      </c>
      <c r="D6" s="770"/>
      <c r="E6" s="812"/>
      <c r="F6" s="813"/>
      <c r="G6" s="814"/>
    </row>
    <row r="7" spans="2:7" ht="33.75" customHeight="1" thickBot="1" x14ac:dyDescent="0.35">
      <c r="B7" s="805" t="s">
        <v>99</v>
      </c>
      <c r="C7" s="806"/>
      <c r="D7" s="806"/>
      <c r="E7" s="9"/>
      <c r="F7" s="9"/>
      <c r="G7" s="10"/>
    </row>
    <row r="8" spans="2:7" ht="28.8" x14ac:dyDescent="0.3">
      <c r="B8" s="521" t="s">
        <v>100</v>
      </c>
      <c r="C8" s="522" t="s">
        <v>101</v>
      </c>
      <c r="D8" s="523" t="s">
        <v>102</v>
      </c>
      <c r="E8" s="523" t="s">
        <v>103</v>
      </c>
      <c r="F8" s="523" t="s">
        <v>104</v>
      </c>
      <c r="G8" s="524" t="s">
        <v>105</v>
      </c>
    </row>
    <row r="9" spans="2:7" x14ac:dyDescent="0.3">
      <c r="B9" s="525" t="s">
        <v>206</v>
      </c>
      <c r="C9" s="98" t="s">
        <v>111</v>
      </c>
      <c r="D9" s="98">
        <v>1E-3</v>
      </c>
      <c r="E9" s="99"/>
      <c r="F9" s="100">
        <f>IF(E9/D9&lt;1,0,(E9/D9))</f>
        <v>0</v>
      </c>
      <c r="G9" s="526"/>
    </row>
    <row r="10" spans="2:7" x14ac:dyDescent="0.3">
      <c r="B10" s="527" t="s">
        <v>207</v>
      </c>
      <c r="C10" s="103" t="s">
        <v>111</v>
      </c>
      <c r="D10" s="103">
        <v>1E-3</v>
      </c>
      <c r="E10" s="104"/>
      <c r="F10" s="105">
        <f>IF(E10/D10&lt;1,0,(E10/D10))</f>
        <v>0</v>
      </c>
      <c r="G10" s="528"/>
    </row>
    <row r="11" spans="2:7" x14ac:dyDescent="0.3">
      <c r="B11" s="527" t="s">
        <v>208</v>
      </c>
      <c r="C11" s="103" t="s">
        <v>111</v>
      </c>
      <c r="D11" s="103">
        <v>1E-3</v>
      </c>
      <c r="E11" s="104"/>
      <c r="F11" s="105">
        <f t="shared" ref="F11:F74" si="0">IF(E11/D11&lt;1,0,(E11/D11))</f>
        <v>0</v>
      </c>
      <c r="G11" s="528"/>
    </row>
    <row r="12" spans="2:7" x14ac:dyDescent="0.3">
      <c r="B12" s="527" t="s">
        <v>209</v>
      </c>
      <c r="C12" s="103" t="s">
        <v>111</v>
      </c>
      <c r="D12" s="103">
        <v>1E-3</v>
      </c>
      <c r="E12" s="104"/>
      <c r="F12" s="105">
        <f t="shared" si="0"/>
        <v>0</v>
      </c>
      <c r="G12" s="528"/>
    </row>
    <row r="13" spans="2:7" x14ac:dyDescent="0.3">
      <c r="B13" s="527" t="s">
        <v>210</v>
      </c>
      <c r="C13" s="103" t="s">
        <v>111</v>
      </c>
      <c r="D13" s="103">
        <v>1E-3</v>
      </c>
      <c r="E13" s="104"/>
      <c r="F13" s="105">
        <f t="shared" si="0"/>
        <v>0</v>
      </c>
      <c r="G13" s="528"/>
    </row>
    <row r="14" spans="2:7" x14ac:dyDescent="0.3">
      <c r="B14" s="527" t="s">
        <v>211</v>
      </c>
      <c r="C14" s="103" t="s">
        <v>111</v>
      </c>
      <c r="D14" s="103">
        <v>1E-3</v>
      </c>
      <c r="E14" s="104"/>
      <c r="F14" s="105">
        <f t="shared" si="0"/>
        <v>0</v>
      </c>
      <c r="G14" s="528"/>
    </row>
    <row r="15" spans="2:7" x14ac:dyDescent="0.3">
      <c r="B15" s="527" t="s">
        <v>212</v>
      </c>
      <c r="C15" s="103" t="s">
        <v>111</v>
      </c>
      <c r="D15" s="103">
        <v>1E-3</v>
      </c>
      <c r="E15" s="104"/>
      <c r="F15" s="105">
        <f t="shared" si="0"/>
        <v>0</v>
      </c>
      <c r="G15" s="528"/>
    </row>
    <row r="16" spans="2:7" x14ac:dyDescent="0.3">
      <c r="B16" s="527" t="s">
        <v>213</v>
      </c>
      <c r="C16" s="103" t="s">
        <v>111</v>
      </c>
      <c r="D16" s="103">
        <v>1E-3</v>
      </c>
      <c r="E16" s="104"/>
      <c r="F16" s="105">
        <f t="shared" si="0"/>
        <v>0</v>
      </c>
      <c r="G16" s="528"/>
    </row>
    <row r="17" spans="2:7" x14ac:dyDescent="0.3">
      <c r="B17" s="527" t="s">
        <v>214</v>
      </c>
      <c r="C17" s="103" t="s">
        <v>111</v>
      </c>
      <c r="D17" s="103">
        <v>1E-3</v>
      </c>
      <c r="E17" s="104"/>
      <c r="F17" s="105">
        <f t="shared" si="0"/>
        <v>0</v>
      </c>
      <c r="G17" s="528"/>
    </row>
    <row r="18" spans="2:7" x14ac:dyDescent="0.3">
      <c r="B18" s="527" t="s">
        <v>215</v>
      </c>
      <c r="C18" s="103" t="s">
        <v>111</v>
      </c>
      <c r="D18" s="103">
        <v>1E-3</v>
      </c>
      <c r="E18" s="104"/>
      <c r="F18" s="105">
        <f t="shared" si="0"/>
        <v>0</v>
      </c>
      <c r="G18" s="528"/>
    </row>
    <row r="19" spans="2:7" x14ac:dyDescent="0.3">
      <c r="B19" s="527"/>
      <c r="C19" s="103"/>
      <c r="D19" s="103"/>
      <c r="E19" s="103"/>
      <c r="F19" s="105"/>
      <c r="G19" s="529"/>
    </row>
    <row r="20" spans="2:7" x14ac:dyDescent="0.3">
      <c r="B20" s="527" t="s">
        <v>216</v>
      </c>
      <c r="C20" s="103" t="s">
        <v>111</v>
      </c>
      <c r="D20" s="103">
        <v>0.01</v>
      </c>
      <c r="E20" s="104"/>
      <c r="F20" s="105">
        <f t="shared" si="0"/>
        <v>0</v>
      </c>
      <c r="G20" s="528"/>
    </row>
    <row r="21" spans="2:7" x14ac:dyDescent="0.3">
      <c r="B21" s="527" t="s">
        <v>217</v>
      </c>
      <c r="C21" s="103" t="s">
        <v>111</v>
      </c>
      <c r="D21" s="103">
        <v>0.01</v>
      </c>
      <c r="E21" s="104"/>
      <c r="F21" s="105">
        <f t="shared" si="0"/>
        <v>0</v>
      </c>
      <c r="G21" s="528"/>
    </row>
    <row r="22" spans="2:7" x14ac:dyDescent="0.3">
      <c r="B22" s="527" t="s">
        <v>218</v>
      </c>
      <c r="C22" s="103" t="s">
        <v>111</v>
      </c>
      <c r="D22" s="103">
        <v>0.01</v>
      </c>
      <c r="E22" s="104"/>
      <c r="F22" s="105">
        <f t="shared" si="0"/>
        <v>0</v>
      </c>
      <c r="G22" s="528"/>
    </row>
    <row r="23" spans="2:7" x14ac:dyDescent="0.3">
      <c r="B23" s="527" t="s">
        <v>219</v>
      </c>
      <c r="C23" s="103" t="s">
        <v>111</v>
      </c>
      <c r="D23" s="103">
        <v>0.01</v>
      </c>
      <c r="E23" s="104"/>
      <c r="F23" s="105">
        <f t="shared" si="0"/>
        <v>0</v>
      </c>
      <c r="G23" s="528"/>
    </row>
    <row r="24" spans="2:7" x14ac:dyDescent="0.3">
      <c r="B24" s="527" t="s">
        <v>220</v>
      </c>
      <c r="C24" s="103" t="s">
        <v>111</v>
      </c>
      <c r="D24" s="103">
        <v>0.01</v>
      </c>
      <c r="E24" s="104"/>
      <c r="F24" s="105">
        <f t="shared" si="0"/>
        <v>0</v>
      </c>
      <c r="G24" s="528"/>
    </row>
    <row r="25" spans="2:7" x14ac:dyDescent="0.3">
      <c r="B25" s="527" t="s">
        <v>221</v>
      </c>
      <c r="C25" s="103" t="s">
        <v>111</v>
      </c>
      <c r="D25" s="103">
        <v>0.01</v>
      </c>
      <c r="E25" s="104"/>
      <c r="F25" s="105">
        <f t="shared" si="0"/>
        <v>0</v>
      </c>
      <c r="G25" s="528"/>
    </row>
    <row r="26" spans="2:7" x14ac:dyDescent="0.3">
      <c r="B26" s="527" t="s">
        <v>222</v>
      </c>
      <c r="C26" s="103" t="s">
        <v>111</v>
      </c>
      <c r="D26" s="103">
        <v>0.01</v>
      </c>
      <c r="E26" s="104"/>
      <c r="F26" s="105">
        <f t="shared" si="0"/>
        <v>0</v>
      </c>
      <c r="G26" s="528"/>
    </row>
    <row r="27" spans="2:7" x14ac:dyDescent="0.3">
      <c r="B27" s="527" t="s">
        <v>223</v>
      </c>
      <c r="C27" s="103" t="s">
        <v>111</v>
      </c>
      <c r="D27" s="103">
        <v>0.01</v>
      </c>
      <c r="E27" s="104"/>
      <c r="F27" s="105">
        <f t="shared" si="0"/>
        <v>0</v>
      </c>
      <c r="G27" s="528"/>
    </row>
    <row r="28" spans="2:7" x14ac:dyDescent="0.3">
      <c r="B28" s="527" t="s">
        <v>224</v>
      </c>
      <c r="C28" s="103" t="s">
        <v>111</v>
      </c>
      <c r="D28" s="103">
        <v>0.01</v>
      </c>
      <c r="E28" s="104"/>
      <c r="F28" s="105">
        <f t="shared" si="0"/>
        <v>0</v>
      </c>
      <c r="G28" s="528"/>
    </row>
    <row r="29" spans="2:7" x14ac:dyDescent="0.3">
      <c r="B29" s="527" t="s">
        <v>225</v>
      </c>
      <c r="C29" s="103" t="s">
        <v>111</v>
      </c>
      <c r="D29" s="103">
        <v>0.01</v>
      </c>
      <c r="E29" s="104"/>
      <c r="F29" s="105">
        <f t="shared" si="0"/>
        <v>0</v>
      </c>
      <c r="G29" s="528"/>
    </row>
    <row r="30" spans="2:7" x14ac:dyDescent="0.3">
      <c r="B30" s="527" t="s">
        <v>226</v>
      </c>
      <c r="C30" s="103" t="s">
        <v>111</v>
      </c>
      <c r="D30" s="103">
        <v>0.01</v>
      </c>
      <c r="E30" s="104"/>
      <c r="F30" s="105">
        <f t="shared" si="0"/>
        <v>0</v>
      </c>
      <c r="G30" s="528"/>
    </row>
    <row r="31" spans="2:7" x14ac:dyDescent="0.3">
      <c r="B31" s="527" t="s">
        <v>227</v>
      </c>
      <c r="C31" s="103" t="s">
        <v>111</v>
      </c>
      <c r="D31" s="103">
        <v>0.01</v>
      </c>
      <c r="E31" s="104"/>
      <c r="F31" s="105">
        <f t="shared" si="0"/>
        <v>0</v>
      </c>
      <c r="G31" s="528"/>
    </row>
    <row r="32" spans="2:7" x14ac:dyDescent="0.3">
      <c r="B32" s="527" t="s">
        <v>228</v>
      </c>
      <c r="C32" s="103" t="s">
        <v>111</v>
      </c>
      <c r="D32" s="103">
        <v>0.01</v>
      </c>
      <c r="E32" s="104"/>
      <c r="F32" s="105">
        <f t="shared" si="0"/>
        <v>0</v>
      </c>
      <c r="G32" s="528"/>
    </row>
    <row r="33" spans="2:7" x14ac:dyDescent="0.3">
      <c r="B33" s="527" t="s">
        <v>229</v>
      </c>
      <c r="C33" s="103" t="s">
        <v>111</v>
      </c>
      <c r="D33" s="103">
        <v>0.01</v>
      </c>
      <c r="E33" s="104"/>
      <c r="F33" s="105">
        <f t="shared" si="0"/>
        <v>0</v>
      </c>
      <c r="G33" s="528"/>
    </row>
    <row r="34" spans="2:7" x14ac:dyDescent="0.3">
      <c r="B34" s="527" t="s">
        <v>230</v>
      </c>
      <c r="C34" s="103" t="s">
        <v>111</v>
      </c>
      <c r="D34" s="103">
        <v>0.01</v>
      </c>
      <c r="E34" s="104"/>
      <c r="F34" s="105">
        <f t="shared" si="0"/>
        <v>0</v>
      </c>
      <c r="G34" s="528"/>
    </row>
    <row r="35" spans="2:7" x14ac:dyDescent="0.3">
      <c r="B35" s="527" t="s">
        <v>231</v>
      </c>
      <c r="C35" s="103" t="s">
        <v>111</v>
      </c>
      <c r="D35" s="103">
        <v>0.01</v>
      </c>
      <c r="E35" s="104"/>
      <c r="F35" s="105">
        <f t="shared" si="0"/>
        <v>0</v>
      </c>
      <c r="G35" s="528"/>
    </row>
    <row r="36" spans="2:7" x14ac:dyDescent="0.3">
      <c r="B36" s="527"/>
      <c r="C36" s="103"/>
      <c r="D36" s="103"/>
      <c r="E36" s="103"/>
      <c r="F36" s="105"/>
      <c r="G36" s="529"/>
    </row>
    <row r="37" spans="2:7" x14ac:dyDescent="0.3">
      <c r="B37" s="527" t="s">
        <v>232</v>
      </c>
      <c r="C37" s="103" t="s">
        <v>111</v>
      </c>
      <c r="D37" s="103">
        <v>0.1</v>
      </c>
      <c r="E37" s="104"/>
      <c r="F37" s="105">
        <f t="shared" si="0"/>
        <v>0</v>
      </c>
      <c r="G37" s="528"/>
    </row>
    <row r="38" spans="2:7" ht="28.8" x14ac:dyDescent="0.3">
      <c r="B38" s="530" t="s">
        <v>233</v>
      </c>
      <c r="C38" s="103" t="s">
        <v>111</v>
      </c>
      <c r="D38" s="103">
        <v>0.1</v>
      </c>
      <c r="E38" s="104"/>
      <c r="F38" s="105">
        <f t="shared" si="0"/>
        <v>0</v>
      </c>
      <c r="G38" s="528"/>
    </row>
    <row r="39" spans="2:7" x14ac:dyDescent="0.3">
      <c r="B39" s="530" t="s">
        <v>234</v>
      </c>
      <c r="C39" s="103" t="s">
        <v>111</v>
      </c>
      <c r="D39" s="103">
        <v>0.1</v>
      </c>
      <c r="E39" s="104"/>
      <c r="F39" s="105">
        <f t="shared" si="0"/>
        <v>0</v>
      </c>
      <c r="G39" s="528"/>
    </row>
    <row r="40" spans="2:7" x14ac:dyDescent="0.3">
      <c r="B40" s="530" t="s">
        <v>235</v>
      </c>
      <c r="C40" s="103" t="s">
        <v>111</v>
      </c>
      <c r="D40" s="103">
        <v>0.1</v>
      </c>
      <c r="E40" s="104"/>
      <c r="F40" s="105">
        <f t="shared" si="0"/>
        <v>0</v>
      </c>
      <c r="G40" s="528"/>
    </row>
    <row r="41" spans="2:7" x14ac:dyDescent="0.3">
      <c r="B41" s="527"/>
      <c r="C41" s="103" t="s">
        <v>111</v>
      </c>
      <c r="D41" s="103"/>
      <c r="E41" s="103"/>
      <c r="F41" s="105"/>
      <c r="G41" s="529"/>
    </row>
    <row r="42" spans="2:7" x14ac:dyDescent="0.3">
      <c r="B42" s="527" t="s">
        <v>135</v>
      </c>
      <c r="C42" s="103" t="s">
        <v>111</v>
      </c>
      <c r="D42" s="103">
        <v>1</v>
      </c>
      <c r="E42" s="104"/>
      <c r="F42" s="105">
        <f t="shared" si="0"/>
        <v>0</v>
      </c>
      <c r="G42" s="528"/>
    </row>
    <row r="43" spans="2:7" x14ac:dyDescent="0.3">
      <c r="B43" s="527" t="s">
        <v>236</v>
      </c>
      <c r="C43" s="103" t="s">
        <v>111</v>
      </c>
      <c r="D43" s="103">
        <v>1</v>
      </c>
      <c r="E43" s="104"/>
      <c r="F43" s="105">
        <f t="shared" si="0"/>
        <v>0</v>
      </c>
      <c r="G43" s="528"/>
    </row>
    <row r="44" spans="2:7" x14ac:dyDescent="0.3">
      <c r="B44" s="527" t="s">
        <v>237</v>
      </c>
      <c r="C44" s="103" t="s">
        <v>111</v>
      </c>
      <c r="D44" s="103">
        <v>1</v>
      </c>
      <c r="E44" s="104"/>
      <c r="F44" s="105">
        <f t="shared" si="0"/>
        <v>0</v>
      </c>
      <c r="G44" s="528"/>
    </row>
    <row r="45" spans="2:7" x14ac:dyDescent="0.3">
      <c r="B45" s="527" t="s">
        <v>238</v>
      </c>
      <c r="C45" s="103" t="s">
        <v>111</v>
      </c>
      <c r="D45" s="103">
        <v>1</v>
      </c>
      <c r="E45" s="104"/>
      <c r="F45" s="105">
        <f t="shared" si="0"/>
        <v>0</v>
      </c>
      <c r="G45" s="528"/>
    </row>
    <row r="46" spans="2:7" x14ac:dyDescent="0.3">
      <c r="B46" s="527" t="s">
        <v>138</v>
      </c>
      <c r="C46" s="103" t="s">
        <v>111</v>
      </c>
      <c r="D46" s="103">
        <v>1</v>
      </c>
      <c r="E46" s="104"/>
      <c r="F46" s="105">
        <f t="shared" si="0"/>
        <v>0</v>
      </c>
      <c r="G46" s="528"/>
    </row>
    <row r="47" spans="2:7" x14ac:dyDescent="0.3">
      <c r="B47" s="527" t="s">
        <v>239</v>
      </c>
      <c r="C47" s="103" t="s">
        <v>111</v>
      </c>
      <c r="D47" s="103">
        <v>1</v>
      </c>
      <c r="E47" s="104"/>
      <c r="F47" s="105">
        <f t="shared" si="0"/>
        <v>0</v>
      </c>
      <c r="G47" s="528"/>
    </row>
    <row r="48" spans="2:7" x14ac:dyDescent="0.3">
      <c r="B48" s="527" t="s">
        <v>240</v>
      </c>
      <c r="C48" s="103" t="s">
        <v>111</v>
      </c>
      <c r="D48" s="103">
        <v>1</v>
      </c>
      <c r="E48" s="104"/>
      <c r="F48" s="105">
        <f t="shared" si="0"/>
        <v>0</v>
      </c>
      <c r="G48" s="528"/>
    </row>
    <row r="49" spans="2:7" x14ac:dyDescent="0.3">
      <c r="B49" s="527" t="s">
        <v>241</v>
      </c>
      <c r="C49" s="103" t="s">
        <v>111</v>
      </c>
      <c r="D49" s="103">
        <v>1</v>
      </c>
      <c r="E49" s="104"/>
      <c r="F49" s="105">
        <f t="shared" si="0"/>
        <v>0</v>
      </c>
      <c r="G49" s="528"/>
    </row>
    <row r="50" spans="2:7" x14ac:dyDescent="0.3">
      <c r="B50" s="527" t="s">
        <v>242</v>
      </c>
      <c r="C50" s="103" t="s">
        <v>111</v>
      </c>
      <c r="D50" s="103">
        <v>1</v>
      </c>
      <c r="E50" s="104"/>
      <c r="F50" s="105">
        <f t="shared" si="0"/>
        <v>0</v>
      </c>
      <c r="G50" s="528"/>
    </row>
    <row r="51" spans="2:7" x14ac:dyDescent="0.3">
      <c r="B51" s="527" t="s">
        <v>243</v>
      </c>
      <c r="C51" s="103" t="s">
        <v>111</v>
      </c>
      <c r="D51" s="103">
        <v>1</v>
      </c>
      <c r="E51" s="104"/>
      <c r="F51" s="105">
        <f t="shared" si="0"/>
        <v>0</v>
      </c>
      <c r="G51" s="528"/>
    </row>
    <row r="52" spans="2:7" x14ac:dyDescent="0.3">
      <c r="B52" s="527" t="s">
        <v>244</v>
      </c>
      <c r="C52" s="103" t="s">
        <v>111</v>
      </c>
      <c r="D52" s="103">
        <v>1</v>
      </c>
      <c r="E52" s="104"/>
      <c r="F52" s="105">
        <f t="shared" si="0"/>
        <v>0</v>
      </c>
      <c r="G52" s="528"/>
    </row>
    <row r="53" spans="2:7" x14ac:dyDescent="0.3">
      <c r="B53" s="527" t="s">
        <v>245</v>
      </c>
      <c r="C53" s="103" t="s">
        <v>111</v>
      </c>
      <c r="D53" s="103">
        <v>1</v>
      </c>
      <c r="E53" s="104"/>
      <c r="F53" s="105">
        <f t="shared" si="0"/>
        <v>0</v>
      </c>
      <c r="G53" s="528"/>
    </row>
    <row r="54" spans="2:7" x14ac:dyDescent="0.3">
      <c r="B54" s="527" t="s">
        <v>246</v>
      </c>
      <c r="C54" s="103" t="s">
        <v>111</v>
      </c>
      <c r="D54" s="103">
        <v>1</v>
      </c>
      <c r="E54" s="104"/>
      <c r="F54" s="105">
        <f t="shared" si="0"/>
        <v>0</v>
      </c>
      <c r="G54" s="528"/>
    </row>
    <row r="55" spans="2:7" x14ac:dyDescent="0.3">
      <c r="B55" s="527" t="s">
        <v>247</v>
      </c>
      <c r="C55" s="103" t="s">
        <v>111</v>
      </c>
      <c r="D55" s="103">
        <v>1</v>
      </c>
      <c r="E55" s="104"/>
      <c r="F55" s="105">
        <f t="shared" si="0"/>
        <v>0</v>
      </c>
      <c r="G55" s="528"/>
    </row>
    <row r="56" spans="2:7" x14ac:dyDescent="0.3">
      <c r="B56" s="527" t="s">
        <v>248</v>
      </c>
      <c r="C56" s="103" t="s">
        <v>111</v>
      </c>
      <c r="D56" s="103">
        <v>1</v>
      </c>
      <c r="E56" s="104"/>
      <c r="F56" s="105">
        <f t="shared" si="0"/>
        <v>0</v>
      </c>
      <c r="G56" s="528"/>
    </row>
    <row r="57" spans="2:7" x14ac:dyDescent="0.3">
      <c r="B57" s="527" t="s">
        <v>249</v>
      </c>
      <c r="C57" s="103" t="s">
        <v>111</v>
      </c>
      <c r="D57" s="103">
        <v>1</v>
      </c>
      <c r="E57" s="104"/>
      <c r="F57" s="105">
        <f t="shared" si="0"/>
        <v>0</v>
      </c>
      <c r="G57" s="528"/>
    </row>
    <row r="58" spans="2:7" x14ac:dyDescent="0.3">
      <c r="B58" s="527" t="s">
        <v>250</v>
      </c>
      <c r="C58" s="103" t="s">
        <v>111</v>
      </c>
      <c r="D58" s="103">
        <v>1</v>
      </c>
      <c r="E58" s="104"/>
      <c r="F58" s="105">
        <f t="shared" si="0"/>
        <v>0</v>
      </c>
      <c r="G58" s="528"/>
    </row>
    <row r="59" spans="2:7" x14ac:dyDescent="0.3">
      <c r="B59" s="527" t="s">
        <v>251</v>
      </c>
      <c r="C59" s="103" t="s">
        <v>111</v>
      </c>
      <c r="D59" s="103">
        <v>1</v>
      </c>
      <c r="E59" s="104"/>
      <c r="F59" s="105">
        <f t="shared" si="0"/>
        <v>0</v>
      </c>
      <c r="G59" s="528"/>
    </row>
    <row r="60" spans="2:7" x14ac:dyDescent="0.3">
      <c r="B60" s="527" t="s">
        <v>252</v>
      </c>
      <c r="C60" s="103" t="s">
        <v>111</v>
      </c>
      <c r="D60" s="103">
        <v>1</v>
      </c>
      <c r="E60" s="104"/>
      <c r="F60" s="105">
        <f t="shared" si="0"/>
        <v>0</v>
      </c>
      <c r="G60" s="528"/>
    </row>
    <row r="61" spans="2:7" x14ac:dyDescent="0.3">
      <c r="B61" s="527" t="s">
        <v>112</v>
      </c>
      <c r="C61" s="103" t="s">
        <v>111</v>
      </c>
      <c r="D61" s="103">
        <v>1</v>
      </c>
      <c r="E61" s="104"/>
      <c r="F61" s="105">
        <f t="shared" si="0"/>
        <v>0</v>
      </c>
      <c r="G61" s="531"/>
    </row>
    <row r="62" spans="2:7" x14ac:dyDescent="0.3">
      <c r="B62" s="527" t="s">
        <v>114</v>
      </c>
      <c r="C62" s="103" t="s">
        <v>111</v>
      </c>
      <c r="D62" s="103">
        <v>1</v>
      </c>
      <c r="E62" s="104"/>
      <c r="F62" s="105">
        <f t="shared" si="0"/>
        <v>0</v>
      </c>
      <c r="G62" s="531"/>
    </row>
    <row r="63" spans="2:7" x14ac:dyDescent="0.3">
      <c r="B63" s="527"/>
      <c r="C63" s="103"/>
      <c r="D63" s="103"/>
      <c r="E63" s="103"/>
      <c r="F63" s="105"/>
      <c r="G63" s="529"/>
    </row>
    <row r="64" spans="2:7" x14ac:dyDescent="0.3">
      <c r="B64" s="527" t="s">
        <v>253</v>
      </c>
      <c r="C64" s="103" t="s">
        <v>111</v>
      </c>
      <c r="D64" s="103">
        <v>20</v>
      </c>
      <c r="E64" s="104"/>
      <c r="F64" s="105">
        <f t="shared" si="0"/>
        <v>0</v>
      </c>
      <c r="G64" s="528"/>
    </row>
    <row r="65" spans="2:7" x14ac:dyDescent="0.3">
      <c r="B65" s="527" t="s">
        <v>254</v>
      </c>
      <c r="C65" s="103" t="s">
        <v>111</v>
      </c>
      <c r="D65" s="103">
        <v>20</v>
      </c>
      <c r="E65" s="104"/>
      <c r="F65" s="105">
        <f t="shared" si="0"/>
        <v>0</v>
      </c>
      <c r="G65" s="528"/>
    </row>
    <row r="66" spans="2:7" x14ac:dyDescent="0.3">
      <c r="B66" s="527" t="s">
        <v>255</v>
      </c>
      <c r="C66" s="103" t="s">
        <v>111</v>
      </c>
      <c r="D66" s="103">
        <v>20</v>
      </c>
      <c r="E66" s="104"/>
      <c r="F66" s="105">
        <f t="shared" si="0"/>
        <v>0</v>
      </c>
      <c r="G66" s="528"/>
    </row>
    <row r="67" spans="2:7" x14ac:dyDescent="0.3">
      <c r="B67" s="527" t="s">
        <v>256</v>
      </c>
      <c r="C67" s="103" t="s">
        <v>111</v>
      </c>
      <c r="D67" s="103">
        <v>20</v>
      </c>
      <c r="E67" s="104"/>
      <c r="F67" s="105">
        <f t="shared" si="0"/>
        <v>0</v>
      </c>
      <c r="G67" s="528"/>
    </row>
    <row r="68" spans="2:7" x14ac:dyDescent="0.3">
      <c r="B68" s="527" t="s">
        <v>181</v>
      </c>
      <c r="C68" s="103" t="s">
        <v>111</v>
      </c>
      <c r="D68" s="103">
        <v>20</v>
      </c>
      <c r="E68" s="104"/>
      <c r="F68" s="105">
        <f t="shared" si="0"/>
        <v>0</v>
      </c>
      <c r="G68" s="528"/>
    </row>
    <row r="69" spans="2:7" x14ac:dyDescent="0.3">
      <c r="B69" s="527" t="s">
        <v>257</v>
      </c>
      <c r="C69" s="103" t="s">
        <v>111</v>
      </c>
      <c r="D69" s="103">
        <v>20</v>
      </c>
      <c r="E69" s="104"/>
      <c r="F69" s="105">
        <f t="shared" si="0"/>
        <v>0</v>
      </c>
      <c r="G69" s="528"/>
    </row>
    <row r="70" spans="2:7" x14ac:dyDescent="0.3">
      <c r="B70" s="527" t="s">
        <v>116</v>
      </c>
      <c r="C70" s="103" t="s">
        <v>111</v>
      </c>
      <c r="D70" s="103">
        <v>20</v>
      </c>
      <c r="E70" s="104"/>
      <c r="F70" s="105">
        <f t="shared" si="0"/>
        <v>0</v>
      </c>
      <c r="G70" s="531"/>
    </row>
    <row r="71" spans="2:7" x14ac:dyDescent="0.3">
      <c r="B71" s="527" t="s">
        <v>117</v>
      </c>
      <c r="C71" s="103" t="s">
        <v>111</v>
      </c>
      <c r="D71" s="103">
        <v>20</v>
      </c>
      <c r="E71" s="104"/>
      <c r="F71" s="105">
        <f t="shared" si="0"/>
        <v>0</v>
      </c>
      <c r="G71" s="531"/>
    </row>
    <row r="72" spans="2:7" x14ac:dyDescent="0.3">
      <c r="B72" s="527" t="s">
        <v>121</v>
      </c>
      <c r="C72" s="103" t="s">
        <v>111</v>
      </c>
      <c r="D72" s="103">
        <v>20</v>
      </c>
      <c r="E72" s="104"/>
      <c r="F72" s="105">
        <f t="shared" si="0"/>
        <v>0</v>
      </c>
      <c r="G72" s="531"/>
    </row>
    <row r="73" spans="2:7" x14ac:dyDescent="0.3">
      <c r="B73" s="527" t="s">
        <v>113</v>
      </c>
      <c r="C73" s="103" t="s">
        <v>111</v>
      </c>
      <c r="D73" s="103">
        <v>20</v>
      </c>
      <c r="E73" s="104"/>
      <c r="F73" s="105">
        <f t="shared" si="0"/>
        <v>0</v>
      </c>
      <c r="G73" s="531"/>
    </row>
    <row r="74" spans="2:7" x14ac:dyDescent="0.3">
      <c r="B74" s="527" t="s">
        <v>118</v>
      </c>
      <c r="C74" s="103" t="s">
        <v>111</v>
      </c>
      <c r="D74" s="103">
        <v>20</v>
      </c>
      <c r="E74" s="104"/>
      <c r="F74" s="105">
        <f t="shared" si="0"/>
        <v>0</v>
      </c>
      <c r="G74" s="531"/>
    </row>
    <row r="75" spans="2:7" x14ac:dyDescent="0.3">
      <c r="B75" s="527" t="s">
        <v>122</v>
      </c>
      <c r="C75" s="103" t="s">
        <v>111</v>
      </c>
      <c r="D75" s="103">
        <v>20</v>
      </c>
      <c r="E75" s="104"/>
      <c r="F75" s="105">
        <f>IF(E75/D75&lt;1,0,(E75/D75))</f>
        <v>0</v>
      </c>
      <c r="G75" s="531"/>
    </row>
    <row r="76" spans="2:7" x14ac:dyDescent="0.3">
      <c r="B76" s="527"/>
      <c r="C76" s="103"/>
      <c r="D76" s="103"/>
      <c r="E76" s="104"/>
      <c r="F76" s="105"/>
      <c r="G76" s="528"/>
    </row>
    <row r="77" spans="2:7" x14ac:dyDescent="0.3">
      <c r="B77" s="815" t="s">
        <v>258</v>
      </c>
      <c r="C77" s="816"/>
      <c r="D77" s="109"/>
      <c r="E77" s="109"/>
      <c r="F77" s="110"/>
      <c r="G77" s="532"/>
    </row>
    <row r="78" spans="2:7" x14ac:dyDescent="0.3">
      <c r="B78" s="533" t="s">
        <v>756</v>
      </c>
      <c r="C78" s="103" t="s">
        <v>111</v>
      </c>
      <c r="D78" s="103">
        <v>0.01</v>
      </c>
      <c r="E78" s="104"/>
      <c r="F78" s="105">
        <f>IF(D78&gt;0,IF(E78/D78&lt;1,0,(E78/D78)),)</f>
        <v>0</v>
      </c>
      <c r="G78" s="528"/>
    </row>
    <row r="79" spans="2:7" x14ac:dyDescent="0.3">
      <c r="B79" s="533" t="s">
        <v>259</v>
      </c>
      <c r="C79" s="103" t="s">
        <v>111</v>
      </c>
      <c r="D79" s="103">
        <v>0.1</v>
      </c>
      <c r="E79" s="104"/>
      <c r="F79" s="105">
        <f t="shared" ref="F79:F85" si="1">IF(D79&gt;0,IF(E79/D79&lt;1,0,(E79/D79)),)</f>
        <v>0</v>
      </c>
      <c r="G79" s="528"/>
    </row>
    <row r="80" spans="2:7" x14ac:dyDescent="0.3">
      <c r="B80" s="533" t="s">
        <v>260</v>
      </c>
      <c r="C80" s="103" t="s">
        <v>111</v>
      </c>
      <c r="D80" s="103">
        <v>1</v>
      </c>
      <c r="E80" s="104"/>
      <c r="F80" s="105">
        <f t="shared" si="1"/>
        <v>0</v>
      </c>
      <c r="G80" s="528"/>
    </row>
    <row r="81" spans="2:7" x14ac:dyDescent="0.3">
      <c r="B81" s="533" t="s">
        <v>261</v>
      </c>
      <c r="C81" s="103" t="s">
        <v>111</v>
      </c>
      <c r="D81" s="103">
        <v>20</v>
      </c>
      <c r="E81" s="104"/>
      <c r="F81" s="105">
        <f t="shared" si="1"/>
        <v>0</v>
      </c>
      <c r="G81" s="528"/>
    </row>
    <row r="82" spans="2:7" x14ac:dyDescent="0.3">
      <c r="B82" s="533" t="s">
        <v>262</v>
      </c>
      <c r="C82" s="103" t="s">
        <v>111</v>
      </c>
      <c r="D82" s="103">
        <v>100</v>
      </c>
      <c r="E82" s="104"/>
      <c r="F82" s="105">
        <f t="shared" si="1"/>
        <v>0</v>
      </c>
      <c r="G82" s="528"/>
    </row>
    <row r="83" spans="2:7" x14ac:dyDescent="0.3">
      <c r="B83" s="533"/>
      <c r="C83" s="103" t="s">
        <v>111</v>
      </c>
      <c r="D83" s="103"/>
      <c r="E83" s="104"/>
      <c r="F83" s="105">
        <f t="shared" si="1"/>
        <v>0</v>
      </c>
      <c r="G83" s="528"/>
    </row>
    <row r="84" spans="2:7" x14ac:dyDescent="0.3">
      <c r="B84" s="533"/>
      <c r="C84" s="103" t="s">
        <v>111</v>
      </c>
      <c r="D84" s="103"/>
      <c r="E84" s="104"/>
      <c r="F84" s="105">
        <f t="shared" si="1"/>
        <v>0</v>
      </c>
      <c r="G84" s="528"/>
    </row>
    <row r="85" spans="2:7" x14ac:dyDescent="0.3">
      <c r="B85" s="533"/>
      <c r="C85" s="103" t="s">
        <v>111</v>
      </c>
      <c r="D85" s="103"/>
      <c r="E85" s="104"/>
      <c r="F85" s="105">
        <f t="shared" si="1"/>
        <v>0</v>
      </c>
      <c r="G85" s="528"/>
    </row>
    <row r="86" spans="2:7" ht="30.75" customHeight="1" x14ac:dyDescent="0.3">
      <c r="B86" s="803" t="s">
        <v>263</v>
      </c>
      <c r="C86" s="801"/>
      <c r="D86" s="801"/>
      <c r="E86" s="801"/>
      <c r="F86" s="801"/>
      <c r="G86" s="804"/>
    </row>
    <row r="87" spans="2:7" x14ac:dyDescent="0.3">
      <c r="B87" s="527" t="s">
        <v>83</v>
      </c>
      <c r="C87" s="103" t="s">
        <v>83</v>
      </c>
      <c r="D87" s="112" t="s">
        <v>83</v>
      </c>
      <c r="E87" s="104"/>
      <c r="F87" s="105">
        <v>0</v>
      </c>
      <c r="G87" s="528"/>
    </row>
    <row r="88" spans="2:7" x14ac:dyDescent="0.3">
      <c r="B88" s="527" t="s">
        <v>83</v>
      </c>
      <c r="C88" s="103" t="s">
        <v>83</v>
      </c>
      <c r="D88" s="112" t="s">
        <v>83</v>
      </c>
      <c r="E88" s="104"/>
      <c r="F88" s="105">
        <v>0</v>
      </c>
      <c r="G88" s="528"/>
    </row>
    <row r="89" spans="2:7" x14ac:dyDescent="0.3">
      <c r="B89" s="527" t="s">
        <v>83</v>
      </c>
      <c r="C89" s="103" t="s">
        <v>83</v>
      </c>
      <c r="D89" s="112" t="s">
        <v>83</v>
      </c>
      <c r="E89" s="104"/>
      <c r="F89" s="105">
        <v>0</v>
      </c>
      <c r="G89" s="528"/>
    </row>
    <row r="90" spans="2:7" x14ac:dyDescent="0.3">
      <c r="B90" s="527" t="s">
        <v>83</v>
      </c>
      <c r="C90" s="103" t="s">
        <v>83</v>
      </c>
      <c r="D90" s="112" t="s">
        <v>83</v>
      </c>
      <c r="E90" s="104"/>
      <c r="F90" s="105">
        <v>0</v>
      </c>
      <c r="G90" s="528"/>
    </row>
    <row r="91" spans="2:7" x14ac:dyDescent="0.3">
      <c r="B91" s="527"/>
      <c r="C91" s="103"/>
      <c r="D91" s="112"/>
      <c r="E91" s="113" t="s">
        <v>94</v>
      </c>
      <c r="F91" s="114">
        <f>SUM(F9:F90)</f>
        <v>0</v>
      </c>
      <c r="G91" s="534"/>
    </row>
    <row r="92" spans="2:7" ht="15" thickBot="1" x14ac:dyDescent="0.35">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182880</xdr:colOff>
                    <xdr:row>6</xdr:row>
                    <xdr:rowOff>144780</xdr:rowOff>
                  </from>
                  <to>
                    <xdr:col>5</xdr:col>
                    <xdr:colOff>297180</xdr:colOff>
                    <xdr:row>6</xdr:row>
                    <xdr:rowOff>373380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4" x14ac:dyDescent="0.3"/>
  <cols>
    <col min="3" max="3" width="19.109375" customWidth="1"/>
    <col min="5" max="5" width="12.44140625" customWidth="1"/>
    <col min="6" max="6" width="10.44140625" customWidth="1"/>
    <col min="8" max="8" width="27.88671875" customWidth="1"/>
  </cols>
  <sheetData>
    <row r="2" spans="2:9" ht="15" thickBot="1" x14ac:dyDescent="0.35"/>
    <row r="3" spans="2:9" ht="18" thickBot="1" x14ac:dyDescent="0.35">
      <c r="B3" s="817" t="s">
        <v>264</v>
      </c>
      <c r="C3" s="818"/>
      <c r="D3" s="818"/>
      <c r="E3" s="818"/>
      <c r="F3" s="818"/>
      <c r="G3" s="818"/>
      <c r="H3" s="818"/>
      <c r="I3" s="819"/>
    </row>
    <row r="4" spans="2:9" x14ac:dyDescent="0.3">
      <c r="B4" s="1"/>
      <c r="C4" s="2"/>
      <c r="D4" s="2"/>
      <c r="E4" s="47"/>
      <c r="F4" s="2"/>
      <c r="G4" s="2"/>
      <c r="H4" s="406"/>
      <c r="I4" s="3"/>
    </row>
    <row r="5" spans="2:9" x14ac:dyDescent="0.3">
      <c r="B5" s="4"/>
      <c r="C5" s="12" t="s">
        <v>47</v>
      </c>
      <c r="D5" s="822" t="str">
        <f>+Introduction!E10</f>
        <v>Duynie Ingredients Ltd</v>
      </c>
      <c r="E5" s="823"/>
      <c r="F5" s="809" t="s">
        <v>98</v>
      </c>
      <c r="G5" s="810"/>
      <c r="H5" s="820"/>
      <c r="I5" s="6"/>
    </row>
    <row r="6" spans="2:9" x14ac:dyDescent="0.3">
      <c r="B6" s="4"/>
      <c r="C6" s="12" t="s">
        <v>793</v>
      </c>
      <c r="D6" s="824" t="str">
        <f>+Introduction!K10</f>
        <v>n/a</v>
      </c>
      <c r="E6" s="825"/>
      <c r="F6" s="812"/>
      <c r="G6" s="813"/>
      <c r="H6" s="821"/>
      <c r="I6" s="6"/>
    </row>
    <row r="7" spans="2:9" ht="42.75" customHeight="1" x14ac:dyDescent="0.3">
      <c r="B7" s="4"/>
      <c r="C7" s="794" t="s">
        <v>99</v>
      </c>
      <c r="D7" s="794"/>
      <c r="E7" s="794"/>
      <c r="F7" s="5"/>
      <c r="G7" s="5"/>
      <c r="H7" s="5"/>
      <c r="I7" s="6"/>
    </row>
    <row r="8" spans="2:9" ht="27" x14ac:dyDescent="0.3">
      <c r="B8" s="4"/>
      <c r="C8" s="116" t="s">
        <v>265</v>
      </c>
      <c r="D8" s="117" t="s">
        <v>101</v>
      </c>
      <c r="E8" s="118" t="s">
        <v>102</v>
      </c>
      <c r="F8" s="118" t="s">
        <v>103</v>
      </c>
      <c r="G8" s="118" t="s">
        <v>104</v>
      </c>
      <c r="H8" s="119" t="s">
        <v>105</v>
      </c>
      <c r="I8" s="6"/>
    </row>
    <row r="9" spans="2:9" x14ac:dyDescent="0.3">
      <c r="B9" s="4"/>
      <c r="C9" s="120" t="s">
        <v>266</v>
      </c>
      <c r="D9" s="121" t="s">
        <v>267</v>
      </c>
      <c r="E9" s="121">
        <v>1000</v>
      </c>
      <c r="F9" s="122"/>
      <c r="G9" s="123">
        <f>IF(F9/E9&lt;1,0,(F9/E9))</f>
        <v>0</v>
      </c>
      <c r="H9" s="124"/>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08"/>
      <c r="D13" s="103"/>
      <c r="E13" s="103"/>
      <c r="F13" s="103"/>
      <c r="G13" s="105"/>
      <c r="H13" s="126"/>
      <c r="I13" s="6"/>
    </row>
    <row r="14" spans="2:9" ht="15" thickBot="1" x14ac:dyDescent="0.35">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182880</xdr:colOff>
                    <xdr:row>6</xdr:row>
                    <xdr:rowOff>144780</xdr:rowOff>
                  </from>
                  <to>
                    <xdr:col>6</xdr:col>
                    <xdr:colOff>297180</xdr:colOff>
                    <xdr:row>6</xdr:row>
                    <xdr:rowOff>373380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zoomScale="70" zoomScaleNormal="70" workbookViewId="0">
      <selection activeCell="F8" sqref="F8"/>
    </sheetView>
  </sheetViews>
  <sheetFormatPr defaultRowHeight="14.4" x14ac:dyDescent="0.3"/>
  <cols>
    <col min="3" max="3" width="27.109375" customWidth="1"/>
    <col min="5" max="5" width="11.88671875" customWidth="1"/>
    <col min="6" max="6" width="11.109375" customWidth="1"/>
    <col min="8" max="8" width="17.88671875" customWidth="1"/>
  </cols>
  <sheetData>
    <row r="1" spans="2:9" ht="15" thickBot="1" x14ac:dyDescent="0.35"/>
    <row r="2" spans="2:9" ht="18" thickBot="1" x14ac:dyDescent="0.35">
      <c r="B2" s="817" t="s">
        <v>271</v>
      </c>
      <c r="C2" s="818"/>
      <c r="D2" s="818"/>
      <c r="E2" s="818"/>
      <c r="F2" s="818"/>
      <c r="G2" s="818"/>
      <c r="H2" s="818"/>
      <c r="I2" s="819"/>
    </row>
    <row r="3" spans="2:9" x14ac:dyDescent="0.3">
      <c r="B3" s="4"/>
      <c r="C3" s="5"/>
      <c r="D3" s="5"/>
      <c r="E3" s="59"/>
      <c r="F3" s="5"/>
      <c r="G3" s="5"/>
      <c r="H3" s="5"/>
      <c r="I3" s="60"/>
    </row>
    <row r="4" spans="2:9" ht="21" customHeight="1" x14ac:dyDescent="0.3">
      <c r="B4" s="4"/>
      <c r="C4" s="12" t="s">
        <v>47</v>
      </c>
      <c r="D4" s="770" t="str">
        <f>+Introduction!E10</f>
        <v>Duynie Ingredients Ltd</v>
      </c>
      <c r="E4" s="770"/>
      <c r="F4" s="809" t="s">
        <v>726</v>
      </c>
      <c r="G4" s="810"/>
      <c r="H4" s="820"/>
      <c r="I4" s="60"/>
    </row>
    <row r="5" spans="2:9" ht="22.5" customHeight="1" x14ac:dyDescent="0.3">
      <c r="B5" s="4"/>
      <c r="C5" s="12" t="s">
        <v>795</v>
      </c>
      <c r="D5" s="770" t="str">
        <f>+Introduction!K10</f>
        <v>n/a</v>
      </c>
      <c r="E5" s="770"/>
      <c r="F5" s="812"/>
      <c r="G5" s="813"/>
      <c r="H5" s="821"/>
      <c r="I5" s="60"/>
    </row>
    <row r="6" spans="2:9" ht="42.75" customHeight="1" x14ac:dyDescent="0.3">
      <c r="B6" s="4"/>
      <c r="C6" s="794" t="s">
        <v>99</v>
      </c>
      <c r="D6" s="794"/>
      <c r="E6" s="794"/>
      <c r="F6" s="5"/>
      <c r="G6" s="5"/>
      <c r="H6" s="5"/>
      <c r="I6" s="6"/>
    </row>
    <row r="7" spans="2:9" ht="27" x14ac:dyDescent="0.3">
      <c r="B7" s="4"/>
      <c r="C7" s="12" t="s">
        <v>100</v>
      </c>
      <c r="D7" s="12" t="s">
        <v>101</v>
      </c>
      <c r="E7" s="127" t="s">
        <v>102</v>
      </c>
      <c r="F7" s="127" t="s">
        <v>272</v>
      </c>
      <c r="G7" s="127" t="s">
        <v>104</v>
      </c>
      <c r="H7" s="127" t="s">
        <v>105</v>
      </c>
      <c r="I7" s="60"/>
    </row>
    <row r="8" spans="2:9" x14ac:dyDescent="0.3">
      <c r="B8" s="4"/>
      <c r="C8" s="97" t="s">
        <v>206</v>
      </c>
      <c r="D8" s="98" t="s">
        <v>111</v>
      </c>
      <c r="E8" s="98">
        <v>1E-3</v>
      </c>
      <c r="F8" s="99"/>
      <c r="G8" s="100">
        <f t="shared" ref="G8:G17" si="0">IF(F8/E8&lt;1,0,(F8/E8))</f>
        <v>0</v>
      </c>
      <c r="H8" s="101"/>
      <c r="I8" s="60"/>
    </row>
    <row r="9" spans="2:9" x14ac:dyDescent="0.3">
      <c r="B9" s="4"/>
      <c r="C9" s="102" t="s">
        <v>207</v>
      </c>
      <c r="D9" s="103" t="s">
        <v>111</v>
      </c>
      <c r="E9" s="103">
        <v>1E-3</v>
      </c>
      <c r="F9" s="104"/>
      <c r="G9" s="105">
        <f t="shared" si="0"/>
        <v>0</v>
      </c>
      <c r="H9" s="106"/>
      <c r="I9" s="60"/>
    </row>
    <row r="10" spans="2:9" x14ac:dyDescent="0.3">
      <c r="B10" s="4"/>
      <c r="C10" s="102" t="s">
        <v>208</v>
      </c>
      <c r="D10" s="103" t="s">
        <v>111</v>
      </c>
      <c r="E10" s="103">
        <v>1E-3</v>
      </c>
      <c r="F10" s="104"/>
      <c r="G10" s="105">
        <f t="shared" si="0"/>
        <v>0</v>
      </c>
      <c r="H10" s="106"/>
      <c r="I10" s="60"/>
    </row>
    <row r="11" spans="2:9" x14ac:dyDescent="0.3">
      <c r="B11" s="4"/>
      <c r="C11" s="102" t="s">
        <v>209</v>
      </c>
      <c r="D11" s="103" t="s">
        <v>111</v>
      </c>
      <c r="E11" s="103">
        <v>1E-3</v>
      </c>
      <c r="F11" s="104"/>
      <c r="G11" s="105">
        <f t="shared" si="0"/>
        <v>0</v>
      </c>
      <c r="H11" s="106"/>
      <c r="I11" s="60"/>
    </row>
    <row r="12" spans="2:9" x14ac:dyDescent="0.3">
      <c r="B12" s="4"/>
      <c r="C12" s="102" t="s">
        <v>210</v>
      </c>
      <c r="D12" s="103" t="s">
        <v>111</v>
      </c>
      <c r="E12" s="103">
        <v>1E-3</v>
      </c>
      <c r="F12" s="104"/>
      <c r="G12" s="105">
        <f t="shared" si="0"/>
        <v>0</v>
      </c>
      <c r="H12" s="106"/>
      <c r="I12" s="60"/>
    </row>
    <row r="13" spans="2:9" x14ac:dyDescent="0.3">
      <c r="B13" s="4"/>
      <c r="C13" s="102" t="s">
        <v>211</v>
      </c>
      <c r="D13" s="103" t="s">
        <v>111</v>
      </c>
      <c r="E13" s="103">
        <v>1E-3</v>
      </c>
      <c r="F13" s="104"/>
      <c r="G13" s="105">
        <f t="shared" si="0"/>
        <v>0</v>
      </c>
      <c r="H13" s="106"/>
      <c r="I13" s="60"/>
    </row>
    <row r="14" spans="2:9" x14ac:dyDescent="0.3">
      <c r="B14" s="4"/>
      <c r="C14" s="102" t="s">
        <v>212</v>
      </c>
      <c r="D14" s="103" t="s">
        <v>111</v>
      </c>
      <c r="E14" s="103">
        <v>1E-3</v>
      </c>
      <c r="F14" s="104"/>
      <c r="G14" s="105">
        <f t="shared" si="0"/>
        <v>0</v>
      </c>
      <c r="H14" s="106"/>
      <c r="I14" s="60"/>
    </row>
    <row r="15" spans="2:9" x14ac:dyDescent="0.3">
      <c r="B15" s="4"/>
      <c r="C15" s="102" t="s">
        <v>213</v>
      </c>
      <c r="D15" s="103" t="s">
        <v>111</v>
      </c>
      <c r="E15" s="103">
        <v>1E-3</v>
      </c>
      <c r="F15" s="104"/>
      <c r="G15" s="105">
        <f t="shared" si="0"/>
        <v>0</v>
      </c>
      <c r="H15" s="106"/>
      <c r="I15" s="60"/>
    </row>
    <row r="16" spans="2:9" x14ac:dyDescent="0.3">
      <c r="B16" s="4"/>
      <c r="C16" s="102" t="s">
        <v>214</v>
      </c>
      <c r="D16" s="103" t="s">
        <v>111</v>
      </c>
      <c r="E16" s="103">
        <v>1E-3</v>
      </c>
      <c r="F16" s="104"/>
      <c r="G16" s="105">
        <f t="shared" si="0"/>
        <v>0</v>
      </c>
      <c r="H16" s="106"/>
      <c r="I16" s="60"/>
    </row>
    <row r="17" spans="2:9" x14ac:dyDescent="0.3">
      <c r="B17" s="4"/>
      <c r="C17" s="102" t="s">
        <v>215</v>
      </c>
      <c r="D17" s="103" t="s">
        <v>111</v>
      </c>
      <c r="E17" s="103">
        <v>1E-3</v>
      </c>
      <c r="F17" s="104"/>
      <c r="G17" s="105">
        <f t="shared" si="0"/>
        <v>0</v>
      </c>
      <c r="H17" s="106"/>
      <c r="I17" s="60"/>
    </row>
    <row r="18" spans="2:9" x14ac:dyDescent="0.3">
      <c r="B18" s="4"/>
      <c r="C18" s="102"/>
      <c r="D18" s="103" t="s">
        <v>111</v>
      </c>
      <c r="E18" s="103"/>
      <c r="F18" s="103"/>
      <c r="G18" s="105"/>
      <c r="H18" s="107"/>
      <c r="I18" s="60"/>
    </row>
    <row r="19" spans="2:9" x14ac:dyDescent="0.3">
      <c r="B19" s="4"/>
      <c r="C19" s="102" t="s">
        <v>216</v>
      </c>
      <c r="D19" s="103" t="s">
        <v>111</v>
      </c>
      <c r="E19" s="103">
        <v>0.01</v>
      </c>
      <c r="F19" s="104"/>
      <c r="G19" s="105">
        <f t="shared" ref="G19:G34" si="1">IF(F19/E19&lt;1,0,(F19/E19))</f>
        <v>0</v>
      </c>
      <c r="H19" s="106"/>
      <c r="I19" s="60"/>
    </row>
    <row r="20" spans="2:9" x14ac:dyDescent="0.3">
      <c r="B20" s="4"/>
      <c r="C20" s="102" t="s">
        <v>273</v>
      </c>
      <c r="D20" s="103" t="s">
        <v>111</v>
      </c>
      <c r="E20" s="103">
        <v>0.01</v>
      </c>
      <c r="F20" s="104"/>
      <c r="G20" s="105">
        <f t="shared" si="1"/>
        <v>0</v>
      </c>
      <c r="H20" s="106"/>
      <c r="I20" s="60"/>
    </row>
    <row r="21" spans="2:9" x14ac:dyDescent="0.3">
      <c r="B21" s="4"/>
      <c r="C21" s="102" t="s">
        <v>218</v>
      </c>
      <c r="D21" s="103" t="s">
        <v>111</v>
      </c>
      <c r="E21" s="103">
        <v>0.01</v>
      </c>
      <c r="F21" s="104"/>
      <c r="G21" s="105">
        <f t="shared" si="1"/>
        <v>0</v>
      </c>
      <c r="H21" s="106"/>
      <c r="I21" s="60"/>
    </row>
    <row r="22" spans="2:9" x14ac:dyDescent="0.3">
      <c r="B22" s="4"/>
      <c r="C22" s="102" t="s">
        <v>219</v>
      </c>
      <c r="D22" s="103" t="s">
        <v>111</v>
      </c>
      <c r="E22" s="103">
        <v>0.01</v>
      </c>
      <c r="F22" s="104"/>
      <c r="G22" s="105">
        <f t="shared" si="1"/>
        <v>0</v>
      </c>
      <c r="H22" s="106"/>
      <c r="I22" s="60"/>
    </row>
    <row r="23" spans="2:9" x14ac:dyDescent="0.3">
      <c r="B23" s="4"/>
      <c r="C23" s="102" t="s">
        <v>220</v>
      </c>
      <c r="D23" s="103" t="s">
        <v>111</v>
      </c>
      <c r="E23" s="103">
        <v>0.01</v>
      </c>
      <c r="F23" s="104"/>
      <c r="G23" s="105">
        <f t="shared" si="1"/>
        <v>0</v>
      </c>
      <c r="H23" s="106"/>
      <c r="I23" s="60"/>
    </row>
    <row r="24" spans="2:9" x14ac:dyDescent="0.3">
      <c r="B24" s="4"/>
      <c r="C24" s="102" t="s">
        <v>221</v>
      </c>
      <c r="D24" s="103" t="s">
        <v>111</v>
      </c>
      <c r="E24" s="103">
        <v>0.01</v>
      </c>
      <c r="F24" s="104"/>
      <c r="G24" s="105">
        <f t="shared" si="1"/>
        <v>0</v>
      </c>
      <c r="H24" s="106"/>
      <c r="I24" s="60"/>
    </row>
    <row r="25" spans="2:9" x14ac:dyDescent="0.3">
      <c r="B25" s="4"/>
      <c r="C25" s="102" t="s">
        <v>222</v>
      </c>
      <c r="D25" s="103" t="s">
        <v>111</v>
      </c>
      <c r="E25" s="103">
        <v>0.01</v>
      </c>
      <c r="F25" s="104"/>
      <c r="G25" s="105">
        <f t="shared" si="1"/>
        <v>0</v>
      </c>
      <c r="H25" s="106"/>
      <c r="I25" s="60"/>
    </row>
    <row r="26" spans="2:9" x14ac:dyDescent="0.3">
      <c r="B26" s="4"/>
      <c r="C26" s="102" t="s">
        <v>223</v>
      </c>
      <c r="D26" s="103" t="s">
        <v>111</v>
      </c>
      <c r="E26" s="103">
        <v>0.01</v>
      </c>
      <c r="F26" s="104"/>
      <c r="G26" s="105">
        <f t="shared" si="1"/>
        <v>0</v>
      </c>
      <c r="H26" s="106"/>
      <c r="I26" s="60"/>
    </row>
    <row r="27" spans="2:9" x14ac:dyDescent="0.3">
      <c r="B27" s="4"/>
      <c r="C27" s="102" t="s">
        <v>224</v>
      </c>
      <c r="D27" s="103" t="s">
        <v>111</v>
      </c>
      <c r="E27" s="103">
        <v>0.01</v>
      </c>
      <c r="F27" s="104"/>
      <c r="G27" s="105">
        <f t="shared" si="1"/>
        <v>0</v>
      </c>
      <c r="H27" s="106"/>
      <c r="I27" s="60"/>
    </row>
    <row r="28" spans="2:9" x14ac:dyDescent="0.3">
      <c r="B28" s="4"/>
      <c r="C28" s="102" t="s">
        <v>225</v>
      </c>
      <c r="D28" s="103" t="s">
        <v>111</v>
      </c>
      <c r="E28" s="103">
        <v>0.01</v>
      </c>
      <c r="F28" s="104"/>
      <c r="G28" s="105">
        <f t="shared" si="1"/>
        <v>0</v>
      </c>
      <c r="H28" s="106"/>
      <c r="I28" s="60"/>
    </row>
    <row r="29" spans="2:9" x14ac:dyDescent="0.3">
      <c r="B29" s="4"/>
      <c r="C29" s="102" t="s">
        <v>226</v>
      </c>
      <c r="D29" s="103" t="s">
        <v>111</v>
      </c>
      <c r="E29" s="103">
        <v>0.01</v>
      </c>
      <c r="F29" s="104"/>
      <c r="G29" s="105">
        <f t="shared" si="1"/>
        <v>0</v>
      </c>
      <c r="H29" s="106"/>
      <c r="I29" s="60"/>
    </row>
    <row r="30" spans="2:9" x14ac:dyDescent="0.3">
      <c r="B30" s="4"/>
      <c r="C30" s="102" t="s">
        <v>227</v>
      </c>
      <c r="D30" s="103" t="s">
        <v>111</v>
      </c>
      <c r="E30" s="103">
        <v>0.01</v>
      </c>
      <c r="F30" s="104"/>
      <c r="G30" s="105">
        <f t="shared" si="1"/>
        <v>0</v>
      </c>
      <c r="H30" s="106"/>
      <c r="I30" s="60"/>
    </row>
    <row r="31" spans="2:9" x14ac:dyDescent="0.3">
      <c r="B31" s="4"/>
      <c r="C31" s="102" t="s">
        <v>228</v>
      </c>
      <c r="D31" s="103" t="s">
        <v>111</v>
      </c>
      <c r="E31" s="103">
        <v>0.01</v>
      </c>
      <c r="F31" s="104"/>
      <c r="G31" s="105">
        <f t="shared" si="1"/>
        <v>0</v>
      </c>
      <c r="H31" s="106"/>
      <c r="I31" s="60"/>
    </row>
    <row r="32" spans="2:9" x14ac:dyDescent="0.3">
      <c r="B32" s="4"/>
      <c r="C32" s="102" t="s">
        <v>229</v>
      </c>
      <c r="D32" s="103" t="s">
        <v>111</v>
      </c>
      <c r="E32" s="103">
        <v>0.01</v>
      </c>
      <c r="F32" s="104"/>
      <c r="G32" s="105">
        <f t="shared" si="1"/>
        <v>0</v>
      </c>
      <c r="H32" s="106"/>
      <c r="I32" s="60"/>
    </row>
    <row r="33" spans="2:9" x14ac:dyDescent="0.3">
      <c r="B33" s="4"/>
      <c r="C33" s="102" t="s">
        <v>230</v>
      </c>
      <c r="D33" s="103" t="s">
        <v>111</v>
      </c>
      <c r="E33" s="103">
        <v>0.01</v>
      </c>
      <c r="F33" s="104"/>
      <c r="G33" s="105">
        <f t="shared" si="1"/>
        <v>0</v>
      </c>
      <c r="H33" s="106"/>
      <c r="I33" s="60"/>
    </row>
    <row r="34" spans="2:9" x14ac:dyDescent="0.3">
      <c r="B34" s="4"/>
      <c r="C34" s="102" t="s">
        <v>231</v>
      </c>
      <c r="D34" s="103" t="s">
        <v>111</v>
      </c>
      <c r="E34" s="103">
        <v>0.01</v>
      </c>
      <c r="F34" s="104"/>
      <c r="G34" s="105">
        <f t="shared" si="1"/>
        <v>0</v>
      </c>
      <c r="H34" s="106"/>
      <c r="I34" s="60"/>
    </row>
    <row r="35" spans="2:9" x14ac:dyDescent="0.3">
      <c r="B35" s="4"/>
      <c r="C35" s="102"/>
      <c r="D35" s="103"/>
      <c r="E35" s="103"/>
      <c r="F35" s="103"/>
      <c r="G35" s="105"/>
      <c r="H35" s="107"/>
      <c r="I35" s="60"/>
    </row>
    <row r="36" spans="2:9" x14ac:dyDescent="0.3">
      <c r="B36" s="4"/>
      <c r="C36" s="102" t="s">
        <v>232</v>
      </c>
      <c r="D36" s="103" t="s">
        <v>111</v>
      </c>
      <c r="E36" s="103">
        <v>0.1</v>
      </c>
      <c r="F36" s="104"/>
      <c r="G36" s="105">
        <f>IF(F36/E36&lt;1,0,(F36/E36))</f>
        <v>0</v>
      </c>
      <c r="H36" s="106"/>
      <c r="I36" s="60"/>
    </row>
    <row r="37" spans="2:9" ht="28.8" x14ac:dyDescent="0.3">
      <c r="B37" s="4"/>
      <c r="C37" s="108" t="s">
        <v>233</v>
      </c>
      <c r="D37" s="103" t="s">
        <v>111</v>
      </c>
      <c r="E37" s="103">
        <v>0.1</v>
      </c>
      <c r="F37" s="104"/>
      <c r="G37" s="105">
        <f>IF(F37/E37&lt;1,0,(F37/E37))</f>
        <v>0</v>
      </c>
      <c r="H37" s="106"/>
      <c r="I37" s="60"/>
    </row>
    <row r="38" spans="2:9" x14ac:dyDescent="0.3">
      <c r="B38" s="4"/>
      <c r="C38" s="108" t="s">
        <v>234</v>
      </c>
      <c r="D38" s="103" t="s">
        <v>111</v>
      </c>
      <c r="E38" s="103">
        <v>0.1</v>
      </c>
      <c r="F38" s="104"/>
      <c r="G38" s="105">
        <f>IF(F38/E38&lt;1,0,(F38/E38))</f>
        <v>0</v>
      </c>
      <c r="H38" s="106"/>
      <c r="I38" s="60"/>
    </row>
    <row r="39" spans="2:9" x14ac:dyDescent="0.3">
      <c r="B39" s="4"/>
      <c r="C39" s="108" t="s">
        <v>235</v>
      </c>
      <c r="D39" s="103" t="s">
        <v>111</v>
      </c>
      <c r="E39" s="103">
        <v>0.1</v>
      </c>
      <c r="F39" s="104"/>
      <c r="G39" s="105">
        <f>IF(F39/E39&lt;1,0,(F39/E39))</f>
        <v>0</v>
      </c>
      <c r="H39" s="106"/>
      <c r="I39" s="60"/>
    </row>
    <row r="40" spans="2:9" x14ac:dyDescent="0.3">
      <c r="B40" s="4"/>
      <c r="C40" s="102"/>
      <c r="D40" s="103"/>
      <c r="E40" s="103"/>
      <c r="F40" s="103"/>
      <c r="G40" s="105"/>
      <c r="H40" s="107"/>
      <c r="I40" s="60"/>
    </row>
    <row r="41" spans="2:9" x14ac:dyDescent="0.3">
      <c r="B41" s="4"/>
      <c r="C41" s="102" t="s">
        <v>135</v>
      </c>
      <c r="D41" s="103" t="s">
        <v>111</v>
      </c>
      <c r="E41" s="103">
        <v>1</v>
      </c>
      <c r="F41" s="104"/>
      <c r="G41" s="105">
        <f t="shared" ref="G41:G61" si="2">IF(F41/E41&lt;1,0,(F41/E41))</f>
        <v>0</v>
      </c>
      <c r="H41" s="106"/>
      <c r="I41" s="60"/>
    </row>
    <row r="42" spans="2:9" x14ac:dyDescent="0.3">
      <c r="B42" s="4"/>
      <c r="C42" s="102" t="s">
        <v>236</v>
      </c>
      <c r="D42" s="103" t="s">
        <v>111</v>
      </c>
      <c r="E42" s="103">
        <v>1</v>
      </c>
      <c r="F42" s="104"/>
      <c r="G42" s="105">
        <f t="shared" si="2"/>
        <v>0</v>
      </c>
      <c r="H42" s="106"/>
      <c r="I42" s="60"/>
    </row>
    <row r="43" spans="2:9" x14ac:dyDescent="0.3">
      <c r="B43" s="4"/>
      <c r="C43" s="102" t="s">
        <v>237</v>
      </c>
      <c r="D43" s="103" t="s">
        <v>111</v>
      </c>
      <c r="E43" s="103">
        <v>1</v>
      </c>
      <c r="F43" s="104"/>
      <c r="G43" s="105">
        <f t="shared" si="2"/>
        <v>0</v>
      </c>
      <c r="H43" s="106"/>
      <c r="I43" s="60"/>
    </row>
    <row r="44" spans="2:9" x14ac:dyDescent="0.3">
      <c r="B44" s="4"/>
      <c r="C44" s="102" t="s">
        <v>238</v>
      </c>
      <c r="D44" s="103" t="s">
        <v>111</v>
      </c>
      <c r="E44" s="103">
        <v>1</v>
      </c>
      <c r="F44" s="104"/>
      <c r="G44" s="105">
        <f t="shared" si="2"/>
        <v>0</v>
      </c>
      <c r="H44" s="106"/>
      <c r="I44" s="60"/>
    </row>
    <row r="45" spans="2:9" x14ac:dyDescent="0.3">
      <c r="B45" s="4"/>
      <c r="C45" s="102" t="s">
        <v>138</v>
      </c>
      <c r="D45" s="103" t="s">
        <v>111</v>
      </c>
      <c r="E45" s="103">
        <v>1</v>
      </c>
      <c r="F45" s="104"/>
      <c r="G45" s="105">
        <f t="shared" si="2"/>
        <v>0</v>
      </c>
      <c r="H45" s="106"/>
      <c r="I45" s="60"/>
    </row>
    <row r="46" spans="2:9" x14ac:dyDescent="0.3">
      <c r="B46" s="4"/>
      <c r="C46" s="102" t="s">
        <v>239</v>
      </c>
      <c r="D46" s="103" t="s">
        <v>111</v>
      </c>
      <c r="E46" s="103">
        <v>1</v>
      </c>
      <c r="F46" s="104"/>
      <c r="G46" s="105">
        <f t="shared" si="2"/>
        <v>0</v>
      </c>
      <c r="H46" s="106"/>
      <c r="I46" s="60"/>
    </row>
    <row r="47" spans="2:9" x14ac:dyDescent="0.3">
      <c r="B47" s="4"/>
      <c r="C47" s="102" t="s">
        <v>240</v>
      </c>
      <c r="D47" s="103" t="s">
        <v>111</v>
      </c>
      <c r="E47" s="103">
        <v>1</v>
      </c>
      <c r="F47" s="104"/>
      <c r="G47" s="105">
        <f t="shared" si="2"/>
        <v>0</v>
      </c>
      <c r="H47" s="106"/>
      <c r="I47" s="60"/>
    </row>
    <row r="48" spans="2:9" x14ac:dyDescent="0.3">
      <c r="B48" s="4"/>
      <c r="C48" s="102" t="s">
        <v>241</v>
      </c>
      <c r="D48" s="103" t="s">
        <v>111</v>
      </c>
      <c r="E48" s="103">
        <v>1</v>
      </c>
      <c r="F48" s="104"/>
      <c r="G48" s="105">
        <f t="shared" si="2"/>
        <v>0</v>
      </c>
      <c r="H48" s="106"/>
      <c r="I48" s="60"/>
    </row>
    <row r="49" spans="2:9" x14ac:dyDescent="0.3">
      <c r="B49" s="4"/>
      <c r="C49" s="102" t="s">
        <v>242</v>
      </c>
      <c r="D49" s="103" t="s">
        <v>111</v>
      </c>
      <c r="E49" s="103">
        <v>1</v>
      </c>
      <c r="F49" s="104"/>
      <c r="G49" s="105">
        <f t="shared" si="2"/>
        <v>0</v>
      </c>
      <c r="H49" s="106"/>
      <c r="I49" s="60"/>
    </row>
    <row r="50" spans="2:9" x14ac:dyDescent="0.3">
      <c r="B50" s="4"/>
      <c r="C50" s="102" t="s">
        <v>243</v>
      </c>
      <c r="D50" s="103" t="s">
        <v>111</v>
      </c>
      <c r="E50" s="103">
        <v>1</v>
      </c>
      <c r="F50" s="104"/>
      <c r="G50" s="105">
        <f t="shared" si="2"/>
        <v>0</v>
      </c>
      <c r="H50" s="106"/>
      <c r="I50" s="60"/>
    </row>
    <row r="51" spans="2:9" x14ac:dyDescent="0.3">
      <c r="B51" s="4"/>
      <c r="C51" s="102" t="s">
        <v>244</v>
      </c>
      <c r="D51" s="103" t="s">
        <v>111</v>
      </c>
      <c r="E51" s="103">
        <v>1</v>
      </c>
      <c r="F51" s="104"/>
      <c r="G51" s="105">
        <f t="shared" si="2"/>
        <v>0</v>
      </c>
      <c r="H51" s="106"/>
      <c r="I51" s="60"/>
    </row>
    <row r="52" spans="2:9" x14ac:dyDescent="0.3">
      <c r="B52" s="4"/>
      <c r="C52" s="102" t="s">
        <v>245</v>
      </c>
      <c r="D52" s="103" t="s">
        <v>111</v>
      </c>
      <c r="E52" s="103">
        <v>1</v>
      </c>
      <c r="F52" s="104"/>
      <c r="G52" s="105">
        <f t="shared" si="2"/>
        <v>0</v>
      </c>
      <c r="H52" s="106"/>
      <c r="I52" s="60"/>
    </row>
    <row r="53" spans="2:9" x14ac:dyDescent="0.3">
      <c r="B53" s="4"/>
      <c r="C53" s="102" t="s">
        <v>246</v>
      </c>
      <c r="D53" s="103" t="s">
        <v>111</v>
      </c>
      <c r="E53" s="103">
        <v>1</v>
      </c>
      <c r="F53" s="104"/>
      <c r="G53" s="105">
        <f t="shared" si="2"/>
        <v>0</v>
      </c>
      <c r="H53" s="106"/>
      <c r="I53" s="60"/>
    </row>
    <row r="54" spans="2:9" x14ac:dyDescent="0.3">
      <c r="B54" s="4"/>
      <c r="C54" s="102" t="s">
        <v>247</v>
      </c>
      <c r="D54" s="103" t="s">
        <v>111</v>
      </c>
      <c r="E54" s="103">
        <v>1</v>
      </c>
      <c r="F54" s="104"/>
      <c r="G54" s="105">
        <f t="shared" si="2"/>
        <v>0</v>
      </c>
      <c r="H54" s="106"/>
      <c r="I54" s="60"/>
    </row>
    <row r="55" spans="2:9" x14ac:dyDescent="0.3">
      <c r="B55" s="4"/>
      <c r="C55" s="102" t="s">
        <v>248</v>
      </c>
      <c r="D55" s="103" t="s">
        <v>111</v>
      </c>
      <c r="E55" s="103">
        <v>1</v>
      </c>
      <c r="F55" s="104"/>
      <c r="G55" s="105">
        <f t="shared" si="2"/>
        <v>0</v>
      </c>
      <c r="H55" s="106"/>
      <c r="I55" s="60"/>
    </row>
    <row r="56" spans="2:9" x14ac:dyDescent="0.3">
      <c r="B56" s="4"/>
      <c r="C56" s="102" t="s">
        <v>249</v>
      </c>
      <c r="D56" s="103" t="s">
        <v>111</v>
      </c>
      <c r="E56" s="103">
        <v>1</v>
      </c>
      <c r="F56" s="104"/>
      <c r="G56" s="105">
        <f t="shared" si="2"/>
        <v>0</v>
      </c>
      <c r="H56" s="106"/>
      <c r="I56" s="60"/>
    </row>
    <row r="57" spans="2:9" x14ac:dyDescent="0.3">
      <c r="B57" s="4"/>
      <c r="C57" s="102" t="s">
        <v>250</v>
      </c>
      <c r="D57" s="103" t="s">
        <v>111</v>
      </c>
      <c r="E57" s="103">
        <v>1</v>
      </c>
      <c r="F57" s="104"/>
      <c r="G57" s="105">
        <f t="shared" si="2"/>
        <v>0</v>
      </c>
      <c r="H57" s="106"/>
      <c r="I57" s="60"/>
    </row>
    <row r="58" spans="2:9" x14ac:dyDescent="0.3">
      <c r="B58" s="4"/>
      <c r="C58" s="102" t="s">
        <v>251</v>
      </c>
      <c r="D58" s="103" t="s">
        <v>111</v>
      </c>
      <c r="E58" s="103">
        <v>1</v>
      </c>
      <c r="F58" s="104"/>
      <c r="G58" s="105">
        <f t="shared" si="2"/>
        <v>0</v>
      </c>
      <c r="H58" s="106"/>
      <c r="I58" s="60"/>
    </row>
    <row r="59" spans="2:9" x14ac:dyDescent="0.3">
      <c r="B59" s="4"/>
      <c r="C59" s="102" t="s">
        <v>252</v>
      </c>
      <c r="D59" s="103" t="s">
        <v>111</v>
      </c>
      <c r="E59" s="103">
        <v>1</v>
      </c>
      <c r="F59" s="104"/>
      <c r="G59" s="105">
        <f t="shared" si="2"/>
        <v>0</v>
      </c>
      <c r="H59" s="106"/>
      <c r="I59" s="60"/>
    </row>
    <row r="60" spans="2:9" x14ac:dyDescent="0.3">
      <c r="B60" s="4"/>
      <c r="C60" s="102" t="s">
        <v>112</v>
      </c>
      <c r="D60" s="103" t="s">
        <v>111</v>
      </c>
      <c r="E60" s="103">
        <v>1</v>
      </c>
      <c r="F60" s="104"/>
      <c r="G60" s="105">
        <f t="shared" si="2"/>
        <v>0</v>
      </c>
      <c r="H60" s="106"/>
      <c r="I60" s="60"/>
    </row>
    <row r="61" spans="2:9" x14ac:dyDescent="0.3">
      <c r="B61" s="4"/>
      <c r="C61" s="102" t="s">
        <v>114</v>
      </c>
      <c r="D61" s="103" t="s">
        <v>111</v>
      </c>
      <c r="E61" s="103">
        <v>1</v>
      </c>
      <c r="F61" s="104"/>
      <c r="G61" s="105">
        <f t="shared" si="2"/>
        <v>0</v>
      </c>
      <c r="H61" s="106"/>
      <c r="I61" s="60"/>
    </row>
    <row r="62" spans="2:9" x14ac:dyDescent="0.3">
      <c r="B62" s="4"/>
      <c r="C62" s="102"/>
      <c r="D62" s="103"/>
      <c r="E62" s="103"/>
      <c r="F62" s="103"/>
      <c r="G62" s="105"/>
      <c r="H62" s="107"/>
      <c r="I62" s="60"/>
    </row>
    <row r="63" spans="2:9" x14ac:dyDescent="0.3">
      <c r="B63" s="4"/>
      <c r="C63" s="102" t="s">
        <v>253</v>
      </c>
      <c r="D63" s="103" t="s">
        <v>111</v>
      </c>
      <c r="E63" s="103">
        <v>20</v>
      </c>
      <c r="F63" s="104"/>
      <c r="G63" s="105">
        <f t="shared" ref="G63:G74" si="3">IF(F63/E63&lt;1,0,(F63/E63))</f>
        <v>0</v>
      </c>
      <c r="H63" s="106"/>
      <c r="I63" s="60"/>
    </row>
    <row r="64" spans="2:9" x14ac:dyDescent="0.3">
      <c r="B64" s="4"/>
      <c r="C64" s="102" t="s">
        <v>254</v>
      </c>
      <c r="D64" s="103" t="s">
        <v>111</v>
      </c>
      <c r="E64" s="103">
        <v>20</v>
      </c>
      <c r="F64" s="104"/>
      <c r="G64" s="105">
        <f t="shared" si="3"/>
        <v>0</v>
      </c>
      <c r="H64" s="106"/>
      <c r="I64" s="60"/>
    </row>
    <row r="65" spans="2:9" x14ac:dyDescent="0.3">
      <c r="B65" s="4"/>
      <c r="C65" s="102" t="s">
        <v>255</v>
      </c>
      <c r="D65" s="103" t="s">
        <v>111</v>
      </c>
      <c r="E65" s="103">
        <v>20</v>
      </c>
      <c r="F65" s="104"/>
      <c r="G65" s="105">
        <f t="shared" si="3"/>
        <v>0</v>
      </c>
      <c r="H65" s="106"/>
      <c r="I65" s="60"/>
    </row>
    <row r="66" spans="2:9" x14ac:dyDescent="0.3">
      <c r="B66" s="4"/>
      <c r="C66" s="102" t="s">
        <v>256</v>
      </c>
      <c r="D66" s="103" t="s">
        <v>111</v>
      </c>
      <c r="E66" s="103">
        <v>20</v>
      </c>
      <c r="F66" s="104"/>
      <c r="G66" s="105">
        <f t="shared" si="3"/>
        <v>0</v>
      </c>
      <c r="H66" s="106"/>
      <c r="I66" s="60"/>
    </row>
    <row r="67" spans="2:9" x14ac:dyDescent="0.3">
      <c r="B67" s="4"/>
      <c r="C67" s="102" t="s">
        <v>181</v>
      </c>
      <c r="D67" s="103" t="s">
        <v>111</v>
      </c>
      <c r="E67" s="103">
        <v>20</v>
      </c>
      <c r="F67" s="104"/>
      <c r="G67" s="105">
        <f t="shared" si="3"/>
        <v>0</v>
      </c>
      <c r="H67" s="106"/>
      <c r="I67" s="60"/>
    </row>
    <row r="68" spans="2:9" x14ac:dyDescent="0.3">
      <c r="B68" s="4"/>
      <c r="C68" s="102" t="s">
        <v>257</v>
      </c>
      <c r="D68" s="103" t="s">
        <v>111</v>
      </c>
      <c r="E68" s="103">
        <v>20</v>
      </c>
      <c r="F68" s="104"/>
      <c r="G68" s="105">
        <f t="shared" si="3"/>
        <v>0</v>
      </c>
      <c r="H68" s="106"/>
      <c r="I68" s="60"/>
    </row>
    <row r="69" spans="2:9" x14ac:dyDescent="0.3">
      <c r="B69" s="4"/>
      <c r="C69" s="102" t="s">
        <v>116</v>
      </c>
      <c r="D69" s="103" t="s">
        <v>111</v>
      </c>
      <c r="E69" s="103">
        <v>20</v>
      </c>
      <c r="F69" s="104"/>
      <c r="G69" s="105">
        <f t="shared" si="3"/>
        <v>0</v>
      </c>
      <c r="H69" s="106"/>
      <c r="I69" s="60"/>
    </row>
    <row r="70" spans="2:9" x14ac:dyDescent="0.3">
      <c r="B70" s="4"/>
      <c r="C70" s="102" t="s">
        <v>117</v>
      </c>
      <c r="D70" s="103" t="s">
        <v>111</v>
      </c>
      <c r="E70" s="103">
        <v>20</v>
      </c>
      <c r="F70" s="104"/>
      <c r="G70" s="105">
        <f t="shared" si="3"/>
        <v>0</v>
      </c>
      <c r="H70" s="106"/>
      <c r="I70" s="60"/>
    </row>
    <row r="71" spans="2:9" x14ac:dyDescent="0.3">
      <c r="B71" s="4"/>
      <c r="C71" s="102" t="s">
        <v>121</v>
      </c>
      <c r="D71" s="103" t="s">
        <v>111</v>
      </c>
      <c r="E71" s="103">
        <v>20</v>
      </c>
      <c r="F71" s="104"/>
      <c r="G71" s="105">
        <f t="shared" si="3"/>
        <v>0</v>
      </c>
      <c r="H71" s="106"/>
      <c r="I71" s="60"/>
    </row>
    <row r="72" spans="2:9" x14ac:dyDescent="0.3">
      <c r="B72" s="4"/>
      <c r="C72" s="102" t="s">
        <v>113</v>
      </c>
      <c r="D72" s="103" t="s">
        <v>111</v>
      </c>
      <c r="E72" s="103">
        <v>20</v>
      </c>
      <c r="F72" s="104"/>
      <c r="G72" s="105">
        <f t="shared" si="3"/>
        <v>0</v>
      </c>
      <c r="H72" s="106"/>
      <c r="I72" s="60"/>
    </row>
    <row r="73" spans="2:9" x14ac:dyDescent="0.3">
      <c r="B73" s="4"/>
      <c r="C73" s="102" t="s">
        <v>118</v>
      </c>
      <c r="D73" s="103" t="s">
        <v>111</v>
      </c>
      <c r="E73" s="103">
        <v>20</v>
      </c>
      <c r="F73" s="104"/>
      <c r="G73" s="105">
        <f t="shared" si="3"/>
        <v>0</v>
      </c>
      <c r="H73" s="106"/>
      <c r="I73" s="60"/>
    </row>
    <row r="74" spans="2:9" x14ac:dyDescent="0.3">
      <c r="B74" s="4"/>
      <c r="C74" s="102" t="s">
        <v>122</v>
      </c>
      <c r="D74" s="103" t="s">
        <v>111</v>
      </c>
      <c r="E74" s="103">
        <v>20</v>
      </c>
      <c r="F74" s="104"/>
      <c r="G74" s="105">
        <f t="shared" si="3"/>
        <v>0</v>
      </c>
      <c r="H74" s="106"/>
      <c r="I74" s="60"/>
    </row>
    <row r="75" spans="2:9" x14ac:dyDescent="0.3">
      <c r="B75" s="4"/>
      <c r="C75" s="102"/>
      <c r="D75" s="103"/>
      <c r="E75" s="103"/>
      <c r="F75" s="103"/>
      <c r="G75" s="105"/>
      <c r="H75" s="107"/>
      <c r="I75" s="60"/>
    </row>
    <row r="76" spans="2:9" x14ac:dyDescent="0.3">
      <c r="B76" s="4"/>
      <c r="C76" s="830" t="s">
        <v>258</v>
      </c>
      <c r="D76" s="831"/>
      <c r="E76" s="831"/>
      <c r="F76" s="832"/>
      <c r="G76" s="105"/>
      <c r="H76" s="107"/>
      <c r="I76" s="60"/>
    </row>
    <row r="77" spans="2:9" x14ac:dyDescent="0.3">
      <c r="B77" s="4"/>
      <c r="C77" s="102" t="s">
        <v>274</v>
      </c>
      <c r="D77" s="103" t="s">
        <v>111</v>
      </c>
      <c r="E77" s="103">
        <v>10000</v>
      </c>
      <c r="F77" s="104"/>
      <c r="G77" s="105">
        <f>IF(F77/E77&lt;1,0,(F77/E77))</f>
        <v>0</v>
      </c>
      <c r="H77" s="106"/>
      <c r="I77" s="60"/>
    </row>
    <row r="78" spans="2:9" x14ac:dyDescent="0.3">
      <c r="B78" s="4"/>
      <c r="C78" s="102" t="s">
        <v>275</v>
      </c>
      <c r="D78" s="103" t="s">
        <v>111</v>
      </c>
      <c r="E78" s="103">
        <v>10000</v>
      </c>
      <c r="F78" s="104"/>
      <c r="G78" s="105">
        <f>IF(F78/E78&lt;1,0,(F78/E78))</f>
        <v>0</v>
      </c>
      <c r="H78" s="106"/>
      <c r="I78" s="60"/>
    </row>
    <row r="79" spans="2:9" x14ac:dyDescent="0.3">
      <c r="B79" s="4"/>
      <c r="C79" s="111" t="s">
        <v>276</v>
      </c>
      <c r="D79" s="103" t="s">
        <v>111</v>
      </c>
      <c r="E79" s="103">
        <v>0.01</v>
      </c>
      <c r="F79" s="104"/>
      <c r="G79" s="105">
        <f t="shared" ref="G79:G84" si="4">IF(E79&gt;0,IF(F79/E79&lt;1,0,(F79/E79)),)</f>
        <v>0</v>
      </c>
      <c r="H79" s="106"/>
      <c r="I79" s="60"/>
    </row>
    <row r="80" spans="2:9" x14ac:dyDescent="0.3">
      <c r="B80" s="4"/>
      <c r="C80" s="111" t="s">
        <v>277</v>
      </c>
      <c r="D80" s="103" t="s">
        <v>111</v>
      </c>
      <c r="E80" s="103">
        <v>0.1</v>
      </c>
      <c r="F80" s="104"/>
      <c r="G80" s="105">
        <f t="shared" si="4"/>
        <v>0</v>
      </c>
      <c r="H80" s="106"/>
      <c r="I80" s="60"/>
    </row>
    <row r="81" spans="2:9" x14ac:dyDescent="0.3">
      <c r="B81" s="4"/>
      <c r="C81" s="111" t="s">
        <v>278</v>
      </c>
      <c r="D81" s="103" t="s">
        <v>111</v>
      </c>
      <c r="E81" s="103">
        <v>1</v>
      </c>
      <c r="F81" s="104"/>
      <c r="G81" s="105">
        <f t="shared" si="4"/>
        <v>0</v>
      </c>
      <c r="H81" s="106"/>
      <c r="I81" s="60"/>
    </row>
    <row r="82" spans="2:9" x14ac:dyDescent="0.3">
      <c r="B82" s="4"/>
      <c r="C82" s="111" t="s">
        <v>279</v>
      </c>
      <c r="D82" s="103" t="s">
        <v>111</v>
      </c>
      <c r="E82" s="103">
        <v>20</v>
      </c>
      <c r="F82" s="104"/>
      <c r="G82" s="105">
        <f t="shared" si="4"/>
        <v>0</v>
      </c>
      <c r="H82" s="106"/>
      <c r="I82" s="60"/>
    </row>
    <row r="83" spans="2:9" x14ac:dyDescent="0.3">
      <c r="B83" s="4"/>
      <c r="C83" s="111" t="s">
        <v>280</v>
      </c>
      <c r="D83" s="103" t="s">
        <v>111</v>
      </c>
      <c r="E83" s="103">
        <v>100</v>
      </c>
      <c r="F83" s="104"/>
      <c r="G83" s="105">
        <f t="shared" si="4"/>
        <v>0</v>
      </c>
      <c r="H83" s="106"/>
      <c r="I83" s="60"/>
    </row>
    <row r="84" spans="2:9" x14ac:dyDescent="0.3">
      <c r="B84" s="4"/>
      <c r="C84" s="111"/>
      <c r="D84" s="103" t="s">
        <v>111</v>
      </c>
      <c r="E84" s="103"/>
      <c r="F84" s="104"/>
      <c r="G84" s="105">
        <f t="shared" si="4"/>
        <v>0</v>
      </c>
      <c r="H84" s="106"/>
      <c r="I84" s="60"/>
    </row>
    <row r="85" spans="2:9" ht="35.25" customHeight="1" x14ac:dyDescent="0.3">
      <c r="B85" s="4"/>
      <c r="C85" s="833" t="s">
        <v>284</v>
      </c>
      <c r="D85" s="834"/>
      <c r="E85" s="834"/>
      <c r="F85" s="834"/>
      <c r="G85" s="834"/>
      <c r="H85" s="835"/>
      <c r="I85" s="60"/>
    </row>
    <row r="86" spans="2:9" x14ac:dyDescent="0.3">
      <c r="B86" s="4"/>
      <c r="C86" s="102" t="s">
        <v>83</v>
      </c>
      <c r="D86" s="103" t="s">
        <v>83</v>
      </c>
      <c r="E86" s="112" t="s">
        <v>83</v>
      </c>
      <c r="F86" s="104"/>
      <c r="G86" s="105">
        <v>0</v>
      </c>
      <c r="H86" s="106"/>
      <c r="I86" s="60"/>
    </row>
    <row r="87" spans="2:9" x14ac:dyDescent="0.3">
      <c r="B87" s="4"/>
      <c r="C87" s="102" t="s">
        <v>83</v>
      </c>
      <c r="D87" s="103" t="s">
        <v>83</v>
      </c>
      <c r="E87" s="112" t="s">
        <v>83</v>
      </c>
      <c r="F87" s="104"/>
      <c r="G87" s="105">
        <v>0</v>
      </c>
      <c r="H87" s="106"/>
      <c r="I87" s="60"/>
    </row>
    <row r="88" spans="2:9" x14ac:dyDescent="0.3">
      <c r="B88" s="4"/>
      <c r="C88" s="102" t="s">
        <v>83</v>
      </c>
      <c r="D88" s="103" t="s">
        <v>83</v>
      </c>
      <c r="E88" s="112" t="s">
        <v>83</v>
      </c>
      <c r="F88" s="104"/>
      <c r="G88" s="105">
        <v>0</v>
      </c>
      <c r="H88" s="106"/>
      <c r="I88" s="60"/>
    </row>
    <row r="89" spans="2:9" x14ac:dyDescent="0.3">
      <c r="B89" s="4"/>
      <c r="C89" s="102" t="s">
        <v>83</v>
      </c>
      <c r="D89" s="103" t="s">
        <v>83</v>
      </c>
      <c r="E89" s="112" t="s">
        <v>83</v>
      </c>
      <c r="F89" s="104"/>
      <c r="G89" s="105">
        <v>0</v>
      </c>
      <c r="H89" s="106"/>
      <c r="I89" s="60"/>
    </row>
    <row r="90" spans="2:9" x14ac:dyDescent="0.3">
      <c r="B90" s="4"/>
      <c r="C90" s="128"/>
      <c r="D90" s="129"/>
      <c r="E90" s="826" t="s">
        <v>94</v>
      </c>
      <c r="F90" s="827"/>
      <c r="G90" s="105">
        <f>SUM(G8:G89)</f>
        <v>0</v>
      </c>
      <c r="H90" s="130"/>
      <c r="I90" s="60"/>
    </row>
    <row r="91" spans="2:9" x14ac:dyDescent="0.3">
      <c r="B91" s="4"/>
      <c r="C91" s="56"/>
      <c r="D91" s="131"/>
      <c r="E91" s="132" t="s">
        <v>281</v>
      </c>
      <c r="F91" s="132"/>
      <c r="G91" s="133">
        <v>0.33</v>
      </c>
      <c r="H91" s="134" t="s">
        <v>282</v>
      </c>
      <c r="I91" s="60"/>
    </row>
    <row r="92" spans="2:9" x14ac:dyDescent="0.3">
      <c r="B92" s="412"/>
      <c r="C92" s="413"/>
      <c r="D92" s="142"/>
      <c r="E92" s="828" t="s">
        <v>283</v>
      </c>
      <c r="F92" s="829"/>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106680</xdr:colOff>
                    <xdr:row>5</xdr:row>
                    <xdr:rowOff>182880</xdr:rowOff>
                  </from>
                  <to>
                    <xdr:col>6</xdr:col>
                    <xdr:colOff>182880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zoomScale="70" zoomScaleNormal="70" workbookViewId="0">
      <selection activeCell="C45" sqref="C45"/>
    </sheetView>
  </sheetViews>
  <sheetFormatPr defaultRowHeight="14.4" x14ac:dyDescent="0.3"/>
  <cols>
    <col min="3" max="3" width="19.44140625" customWidth="1"/>
    <col min="4" max="4" width="19.5546875" customWidth="1"/>
    <col min="5" max="5" width="11.44140625" customWidth="1"/>
    <col min="6" max="6" width="10.88671875" customWidth="1"/>
    <col min="8" max="8" width="24.109375" customWidth="1"/>
  </cols>
  <sheetData>
    <row r="2" spans="2:9" ht="15" thickBot="1" x14ac:dyDescent="0.35"/>
    <row r="3" spans="2:9" ht="18" thickBot="1" x14ac:dyDescent="0.35">
      <c r="B3" s="135"/>
      <c r="C3" s="836" t="s">
        <v>285</v>
      </c>
      <c r="D3" s="836"/>
      <c r="E3" s="836"/>
      <c r="F3" s="836"/>
      <c r="G3" s="836"/>
      <c r="H3" s="836"/>
      <c r="I3" s="136"/>
    </row>
    <row r="4" spans="2:9" x14ac:dyDescent="0.3">
      <c r="B4" s="4"/>
      <c r="C4" s="5"/>
      <c r="D4" s="5"/>
      <c r="E4" s="5"/>
      <c r="F4" s="5"/>
      <c r="G4" s="5"/>
      <c r="H4" s="51"/>
      <c r="I4" s="6"/>
    </row>
    <row r="5" spans="2:9" x14ac:dyDescent="0.3">
      <c r="B5" s="4"/>
      <c r="C5" s="12" t="s">
        <v>47</v>
      </c>
      <c r="D5" s="31" t="str">
        <f>+Introduction!E10</f>
        <v>Duynie Ingredients Ltd</v>
      </c>
      <c r="E5" s="5"/>
      <c r="F5" s="809" t="s">
        <v>98</v>
      </c>
      <c r="G5" s="810"/>
      <c r="H5" s="820"/>
      <c r="I5" s="6"/>
    </row>
    <row r="6" spans="2:9" x14ac:dyDescent="0.3">
      <c r="B6" s="4"/>
      <c r="C6" s="12" t="s">
        <v>793</v>
      </c>
      <c r="D6" s="31" t="str">
        <f>+Introduction!K10</f>
        <v>n/a</v>
      </c>
      <c r="E6" s="5"/>
      <c r="F6" s="812"/>
      <c r="G6" s="813"/>
      <c r="H6" s="821"/>
      <c r="I6" s="6"/>
    </row>
    <row r="7" spans="2:9" x14ac:dyDescent="0.3">
      <c r="B7" s="4"/>
      <c r="C7" s="5"/>
      <c r="D7" s="5"/>
      <c r="E7" s="5"/>
      <c r="F7" s="5"/>
      <c r="G7" s="5"/>
      <c r="H7" s="51"/>
      <c r="I7" s="6"/>
    </row>
    <row r="8" spans="2:9" ht="27" x14ac:dyDescent="0.3">
      <c r="B8" s="4"/>
      <c r="C8" s="12" t="s">
        <v>100</v>
      </c>
      <c r="D8" s="12" t="s">
        <v>101</v>
      </c>
      <c r="E8" s="127" t="s">
        <v>102</v>
      </c>
      <c r="F8" s="127" t="s">
        <v>103</v>
      </c>
      <c r="G8" s="127" t="s">
        <v>104</v>
      </c>
      <c r="H8" s="127" t="s">
        <v>105</v>
      </c>
      <c r="I8" s="6"/>
    </row>
    <row r="9" spans="2:9" x14ac:dyDescent="0.3">
      <c r="B9" s="4"/>
      <c r="C9" s="97" t="s">
        <v>266</v>
      </c>
      <c r="D9" s="98" t="s">
        <v>267</v>
      </c>
      <c r="E9" s="98">
        <v>1000</v>
      </c>
      <c r="F9" s="104"/>
      <c r="G9" s="100">
        <f>IF(F9/E9&lt;1,0,(F9/E9))</f>
        <v>0</v>
      </c>
      <c r="H9" s="137"/>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28"/>
      <c r="D13" s="129"/>
      <c r="E13" s="837" t="s">
        <v>94</v>
      </c>
      <c r="F13" s="838"/>
      <c r="G13" s="105">
        <f>SUM(G9:G12)</f>
        <v>0</v>
      </c>
      <c r="H13" s="139"/>
      <c r="I13" s="6"/>
    </row>
    <row r="14" spans="2:9" x14ac:dyDescent="0.3">
      <c r="B14" s="4"/>
      <c r="C14" s="56"/>
      <c r="D14" s="131"/>
      <c r="E14" s="837" t="s">
        <v>281</v>
      </c>
      <c r="F14" s="838"/>
      <c r="G14" s="133">
        <v>0.33</v>
      </c>
      <c r="H14" s="140" t="s">
        <v>282</v>
      </c>
      <c r="I14" s="6"/>
    </row>
    <row r="15" spans="2:9" x14ac:dyDescent="0.3">
      <c r="B15" s="4"/>
      <c r="C15" s="141"/>
      <c r="D15" s="142"/>
      <c r="E15" s="839" t="s">
        <v>283</v>
      </c>
      <c r="F15" s="840"/>
      <c r="G15" s="115">
        <f>G13*G14</f>
        <v>0</v>
      </c>
      <c r="H15" s="143"/>
      <c r="I15" s="6"/>
    </row>
    <row r="16" spans="2:9" x14ac:dyDescent="0.3">
      <c r="B16" s="4"/>
      <c r="C16" s="5"/>
      <c r="D16" s="5"/>
      <c r="E16" s="5"/>
      <c r="F16" s="5"/>
      <c r="G16" s="5"/>
      <c r="H16" s="51"/>
      <c r="I16" s="6"/>
    </row>
    <row r="17" spans="2:9" ht="15" thickBot="1" x14ac:dyDescent="0.35">
      <c r="B17" s="8"/>
      <c r="C17" s="9"/>
      <c r="D17" s="9"/>
      <c r="E17" s="9"/>
      <c r="F17" s="9"/>
      <c r="G17" s="9"/>
      <c r="H17" s="144"/>
      <c r="I17" s="10"/>
    </row>
    <row r="18" spans="2:9" x14ac:dyDescent="0.3">
      <c r="H18" s="145"/>
    </row>
    <row r="19" spans="2:9" x14ac:dyDescent="0.3">
      <c r="H19" s="145"/>
    </row>
    <row r="20" spans="2:9" x14ac:dyDescent="0.3">
      <c r="B20" s="844"/>
      <c r="C20" s="845"/>
      <c r="D20" s="845"/>
      <c r="E20" s="845"/>
      <c r="F20" s="845"/>
      <c r="G20" s="845"/>
      <c r="H20" s="845"/>
      <c r="I20" s="846"/>
    </row>
    <row r="21" spans="2:9" ht="15" thickBot="1" x14ac:dyDescent="0.35">
      <c r="H21" s="145"/>
    </row>
    <row r="22" spans="2:9" ht="18" thickBot="1" x14ac:dyDescent="0.35">
      <c r="B22" s="135"/>
      <c r="C22" s="836" t="s">
        <v>286</v>
      </c>
      <c r="D22" s="836"/>
      <c r="E22" s="836"/>
      <c r="F22" s="836"/>
      <c r="G22" s="836"/>
      <c r="H22" s="836"/>
      <c r="I22" s="136"/>
    </row>
    <row r="23" spans="2:9" x14ac:dyDescent="0.3">
      <c r="B23" s="4"/>
      <c r="C23" s="5"/>
      <c r="D23" s="5"/>
      <c r="E23" s="5"/>
      <c r="F23" s="5"/>
      <c r="G23" s="5"/>
      <c r="H23" s="51"/>
      <c r="I23" s="6"/>
    </row>
    <row r="24" spans="2:9" x14ac:dyDescent="0.3">
      <c r="B24" s="4"/>
      <c r="C24" s="12" t="s">
        <v>725</v>
      </c>
      <c r="D24" s="31" t="str">
        <f>D5</f>
        <v>Duynie Ingredients Ltd</v>
      </c>
      <c r="E24" s="5"/>
      <c r="F24" s="809" t="s">
        <v>98</v>
      </c>
      <c r="G24" s="810"/>
      <c r="H24" s="820"/>
      <c r="I24" s="6"/>
    </row>
    <row r="25" spans="2:9" x14ac:dyDescent="0.3">
      <c r="B25" s="4"/>
      <c r="C25" s="12" t="s">
        <v>793</v>
      </c>
      <c r="D25" s="31" t="str">
        <f>D6</f>
        <v>n/a</v>
      </c>
      <c r="E25" s="5"/>
      <c r="F25" s="812"/>
      <c r="G25" s="813"/>
      <c r="H25" s="821"/>
      <c r="I25" s="6"/>
    </row>
    <row r="26" spans="2:9" x14ac:dyDescent="0.3">
      <c r="B26" s="4"/>
      <c r="C26" s="5"/>
      <c r="D26" s="5"/>
      <c r="E26" s="5"/>
      <c r="F26" s="5"/>
      <c r="G26" s="5"/>
      <c r="H26" s="51"/>
      <c r="I26" s="6"/>
    </row>
    <row r="27" spans="2:9" ht="27" x14ac:dyDescent="0.3">
      <c r="B27" s="4"/>
      <c r="C27" s="12" t="s">
        <v>100</v>
      </c>
      <c r="D27" s="12" t="s">
        <v>101</v>
      </c>
      <c r="E27" s="127" t="s">
        <v>102</v>
      </c>
      <c r="F27" s="127" t="s">
        <v>103</v>
      </c>
      <c r="G27" s="127" t="s">
        <v>104</v>
      </c>
      <c r="H27" s="127" t="s">
        <v>105</v>
      </c>
      <c r="I27" s="6"/>
    </row>
    <row r="28" spans="2:9" x14ac:dyDescent="0.3">
      <c r="B28" s="4"/>
      <c r="C28" s="97" t="s">
        <v>266</v>
      </c>
      <c r="D28" s="98" t="s">
        <v>267</v>
      </c>
      <c r="E28" s="98">
        <v>1000</v>
      </c>
      <c r="F28" s="99"/>
      <c r="G28" s="100">
        <f>IF(F28/E28&lt;1,0,(F28/E28))</f>
        <v>0</v>
      </c>
      <c r="H28" s="146"/>
      <c r="I28" s="6"/>
    </row>
    <row r="29" spans="2:9" ht="28.8" x14ac:dyDescent="0.3">
      <c r="B29" s="4"/>
      <c r="C29" s="108" t="s">
        <v>268</v>
      </c>
      <c r="D29" s="103" t="s">
        <v>267</v>
      </c>
      <c r="E29" s="103">
        <v>350</v>
      </c>
      <c r="F29" s="104"/>
      <c r="G29" s="105">
        <f>IF(F29/E29&lt;1,0,(F29/E29))</f>
        <v>0</v>
      </c>
      <c r="H29" s="138"/>
      <c r="I29" s="6"/>
    </row>
    <row r="30" spans="2:9" x14ac:dyDescent="0.3">
      <c r="B30" s="4"/>
      <c r="C30" s="102" t="s">
        <v>269</v>
      </c>
      <c r="D30" s="103" t="s">
        <v>267</v>
      </c>
      <c r="E30" s="103">
        <v>100</v>
      </c>
      <c r="F30" s="104"/>
      <c r="G30" s="105">
        <f>IF(F30/E30&lt;1,0,(F30/E30))</f>
        <v>0</v>
      </c>
      <c r="H30" s="138"/>
      <c r="I30" s="6"/>
    </row>
    <row r="31" spans="2:9" ht="28.8" x14ac:dyDescent="0.3">
      <c r="B31" s="4"/>
      <c r="C31" s="108" t="s">
        <v>270</v>
      </c>
      <c r="D31" s="103" t="s">
        <v>267</v>
      </c>
      <c r="E31" s="103">
        <v>100</v>
      </c>
      <c r="F31" s="104"/>
      <c r="G31" s="105">
        <f>IF(F31/E31&lt;1,0,(F31/E31))</f>
        <v>0</v>
      </c>
      <c r="H31" s="138"/>
      <c r="I31" s="6"/>
    </row>
    <row r="32" spans="2:9" x14ac:dyDescent="0.3">
      <c r="B32" s="4"/>
      <c r="C32" s="147"/>
      <c r="D32" s="129"/>
      <c r="E32" s="148"/>
      <c r="F32" s="109"/>
      <c r="G32" s="149"/>
      <c r="H32" s="139"/>
      <c r="I32" s="6"/>
    </row>
    <row r="33" spans="2:9" x14ac:dyDescent="0.3">
      <c r="B33" s="4"/>
      <c r="C33" s="56"/>
      <c r="D33" s="131"/>
      <c r="E33" s="837" t="s">
        <v>94</v>
      </c>
      <c r="F33" s="838"/>
      <c r="G33" s="105">
        <f>SUM(G28:G31)</f>
        <v>0</v>
      </c>
      <c r="H33" s="140"/>
      <c r="I33" s="6"/>
    </row>
    <row r="34" spans="2:9" x14ac:dyDescent="0.3">
      <c r="B34" s="4"/>
      <c r="C34" s="56"/>
      <c r="D34" s="131"/>
      <c r="E34" s="837" t="s">
        <v>281</v>
      </c>
      <c r="F34" s="838"/>
      <c r="G34" s="150">
        <v>0.1</v>
      </c>
      <c r="H34" s="140" t="s">
        <v>287</v>
      </c>
      <c r="I34" s="6"/>
    </row>
    <row r="35" spans="2:9" x14ac:dyDescent="0.3">
      <c r="B35" s="4"/>
      <c r="C35" s="141"/>
      <c r="D35" s="142"/>
      <c r="E35" s="839" t="s">
        <v>283</v>
      </c>
      <c r="F35" s="840"/>
      <c r="G35" s="115">
        <f>G33*G34</f>
        <v>0</v>
      </c>
      <c r="H35" s="143"/>
      <c r="I35" s="6"/>
    </row>
    <row r="36" spans="2:9" x14ac:dyDescent="0.3">
      <c r="B36" s="4"/>
      <c r="C36" s="151"/>
      <c r="D36" s="63"/>
      <c r="E36" s="152" t="s">
        <v>288</v>
      </c>
      <c r="F36" s="152"/>
      <c r="G36" s="153">
        <f>G15+G35</f>
        <v>0</v>
      </c>
      <c r="H36" s="154"/>
      <c r="I36" s="6"/>
    </row>
    <row r="37" spans="2:9" ht="15" thickBot="1" x14ac:dyDescent="0.35">
      <c r="B37" s="8"/>
      <c r="C37" s="9"/>
      <c r="D37" s="9"/>
      <c r="E37" s="9"/>
      <c r="F37" s="9"/>
      <c r="G37" s="9"/>
      <c r="H37" s="144"/>
      <c r="I37" s="10"/>
    </row>
    <row r="38" spans="2:9" x14ac:dyDescent="0.3">
      <c r="H38" s="145"/>
    </row>
    <row r="39" spans="2:9" ht="27.75" customHeight="1" x14ac:dyDescent="0.3">
      <c r="B39" s="841" t="s">
        <v>289</v>
      </c>
      <c r="C39" s="842"/>
      <c r="D39" s="842"/>
      <c r="E39" s="842"/>
      <c r="F39" s="842"/>
      <c r="G39" s="842"/>
      <c r="H39" s="842"/>
      <c r="I39" s="843"/>
    </row>
    <row r="40" spans="2:9" ht="15" thickBot="1" x14ac:dyDescent="0.35">
      <c r="H40" s="145"/>
    </row>
    <row r="41" spans="2:9" ht="18" thickBot="1" x14ac:dyDescent="0.35">
      <c r="B41" s="135"/>
      <c r="C41" s="836" t="s">
        <v>290</v>
      </c>
      <c r="D41" s="836"/>
      <c r="E41" s="836"/>
      <c r="F41" s="836"/>
      <c r="G41" s="836"/>
      <c r="H41" s="836"/>
      <c r="I41" s="136"/>
    </row>
    <row r="42" spans="2:9" x14ac:dyDescent="0.3">
      <c r="B42" s="4"/>
      <c r="C42" s="5"/>
      <c r="D42" s="5"/>
      <c r="E42" s="5"/>
      <c r="F42" s="5"/>
      <c r="G42" s="5"/>
      <c r="H42" s="51"/>
      <c r="I42" s="6"/>
    </row>
    <row r="43" spans="2:9" x14ac:dyDescent="0.3">
      <c r="B43" s="4"/>
      <c r="C43" s="12" t="s">
        <v>725</v>
      </c>
      <c r="D43" s="31" t="str">
        <f>D24</f>
        <v>Duynie Ingredients Ltd</v>
      </c>
      <c r="E43" s="5"/>
      <c r="F43" s="809" t="s">
        <v>98</v>
      </c>
      <c r="G43" s="810"/>
      <c r="H43" s="820"/>
      <c r="I43" s="6"/>
    </row>
    <row r="44" spans="2:9" x14ac:dyDescent="0.3">
      <c r="B44" s="4"/>
      <c r="C44" s="12" t="s">
        <v>793</v>
      </c>
      <c r="D44" s="31" t="str">
        <f>D25</f>
        <v>n/a</v>
      </c>
      <c r="E44" s="5"/>
      <c r="F44" s="812"/>
      <c r="G44" s="813"/>
      <c r="H44" s="821"/>
      <c r="I44" s="6"/>
    </row>
    <row r="45" spans="2:9" x14ac:dyDescent="0.3">
      <c r="B45" s="4"/>
      <c r="C45" s="5"/>
      <c r="D45" s="5"/>
      <c r="E45" s="5"/>
      <c r="F45" s="5"/>
      <c r="G45" s="5"/>
      <c r="H45" s="51"/>
      <c r="I45" s="6"/>
    </row>
    <row r="46" spans="2:9" ht="27" x14ac:dyDescent="0.3">
      <c r="B46" s="4"/>
      <c r="C46" s="12" t="s">
        <v>100</v>
      </c>
      <c r="D46" s="12" t="s">
        <v>101</v>
      </c>
      <c r="E46" s="127" t="s">
        <v>102</v>
      </c>
      <c r="F46" s="127" t="s">
        <v>103</v>
      </c>
      <c r="G46" s="127" t="s">
        <v>104</v>
      </c>
      <c r="H46" s="127" t="s">
        <v>105</v>
      </c>
      <c r="I46" s="6"/>
    </row>
    <row r="47" spans="2:9" x14ac:dyDescent="0.3">
      <c r="B47" s="4"/>
      <c r="C47" s="97" t="s">
        <v>266</v>
      </c>
      <c r="D47" s="98" t="s">
        <v>267</v>
      </c>
      <c r="E47" s="98">
        <v>1000</v>
      </c>
      <c r="F47" s="99"/>
      <c r="G47" s="100">
        <f>IF(F47/E47&lt;1,0,(F47/E47))</f>
        <v>0</v>
      </c>
      <c r="H47" s="146"/>
      <c r="I47" s="6"/>
    </row>
    <row r="48" spans="2:9" ht="28.8" x14ac:dyDescent="0.3">
      <c r="B48" s="4"/>
      <c r="C48" s="108" t="s">
        <v>268</v>
      </c>
      <c r="D48" s="103" t="s">
        <v>267</v>
      </c>
      <c r="E48" s="103">
        <v>750</v>
      </c>
      <c r="F48" s="104"/>
      <c r="G48" s="105">
        <f>IF(F48/E48&lt;1,0,(F48/E48))</f>
        <v>0</v>
      </c>
      <c r="H48" s="125"/>
      <c r="I48" s="6"/>
    </row>
    <row r="49" spans="2:9" x14ac:dyDescent="0.3">
      <c r="B49" s="4"/>
      <c r="C49" s="102" t="s">
        <v>269</v>
      </c>
      <c r="D49" s="103" t="s">
        <v>267</v>
      </c>
      <c r="E49" s="103">
        <v>250</v>
      </c>
      <c r="F49" s="104"/>
      <c r="G49" s="105">
        <f>IF(F49/E49&lt;1,0,(F49/E49))</f>
        <v>0</v>
      </c>
      <c r="H49" s="138"/>
      <c r="I49" s="6"/>
    </row>
    <row r="50" spans="2:9" ht="28.8" x14ac:dyDescent="0.3">
      <c r="B50" s="4"/>
      <c r="C50" s="108" t="s">
        <v>270</v>
      </c>
      <c r="D50" s="103" t="s">
        <v>267</v>
      </c>
      <c r="E50" s="103">
        <v>500</v>
      </c>
      <c r="F50" s="104"/>
      <c r="G50" s="105">
        <f>IF(F50/E50&lt;1,0,(F50/E50))</f>
        <v>0</v>
      </c>
      <c r="H50" s="138"/>
      <c r="I50" s="6"/>
    </row>
    <row r="51" spans="2:9" x14ac:dyDescent="0.3">
      <c r="B51" s="4"/>
      <c r="C51" s="147"/>
      <c r="D51" s="129"/>
      <c r="E51" s="148"/>
      <c r="F51" s="109"/>
      <c r="G51" s="149"/>
      <c r="H51" s="139"/>
      <c r="I51" s="6"/>
    </row>
    <row r="52" spans="2:9" x14ac:dyDescent="0.3">
      <c r="B52" s="4"/>
      <c r="C52" s="151"/>
      <c r="D52" s="63"/>
      <c r="E52" s="26" t="s">
        <v>291</v>
      </c>
      <c r="F52" s="152"/>
      <c r="G52" s="153">
        <f>SUM(G47:G50)</f>
        <v>0</v>
      </c>
      <c r="H52" s="154"/>
      <c r="I52" s="6"/>
    </row>
    <row r="53" spans="2:9" ht="15" thickBot="1" x14ac:dyDescent="0.35">
      <c r="B53" s="8"/>
      <c r="C53" s="9"/>
      <c r="D53" s="9"/>
      <c r="E53" s="155"/>
      <c r="F53" s="9"/>
      <c r="G53" s="156"/>
      <c r="H53" s="144"/>
      <c r="I53" s="10"/>
    </row>
    <row r="54" spans="2:9" x14ac:dyDescent="0.3">
      <c r="H54" s="145"/>
    </row>
    <row r="55" spans="2:9" x14ac:dyDescent="0.3">
      <c r="H55" s="145"/>
    </row>
    <row r="56" spans="2:9" x14ac:dyDescent="0.3">
      <c r="H56" s="145"/>
    </row>
    <row r="57" spans="2:9" x14ac:dyDescent="0.3">
      <c r="H57" s="145"/>
    </row>
    <row r="58" spans="2:9" x14ac:dyDescent="0.3">
      <c r="H58" s="145"/>
    </row>
    <row r="59" spans="2:9" x14ac:dyDescent="0.3">
      <c r="H59" s="145"/>
    </row>
    <row r="60" spans="2:9" x14ac:dyDescent="0.3">
      <c r="H60" s="145"/>
    </row>
    <row r="61" spans="2:9" x14ac:dyDescent="0.3">
      <c r="H61" s="145"/>
    </row>
    <row r="62" spans="2:9" x14ac:dyDescent="0.3">
      <c r="H62" s="145"/>
    </row>
    <row r="63" spans="2:9" x14ac:dyDescent="0.3">
      <c r="H63" s="145"/>
    </row>
    <row r="64" spans="2:9" x14ac:dyDescent="0.3">
      <c r="H64" s="145"/>
    </row>
    <row r="65" spans="8:8" x14ac:dyDescent="0.3">
      <c r="H65" s="145"/>
    </row>
    <row r="66" spans="8:8" x14ac:dyDescent="0.3">
      <c r="H66" s="145"/>
    </row>
    <row r="67" spans="8:8" x14ac:dyDescent="0.3">
      <c r="H67" s="145"/>
    </row>
    <row r="68" spans="8:8" x14ac:dyDescent="0.3">
      <c r="H68" s="145"/>
    </row>
    <row r="69" spans="8:8" x14ac:dyDescent="0.3">
      <c r="H69" s="145"/>
    </row>
    <row r="70" spans="8:8" x14ac:dyDescent="0.3">
      <c r="H70" s="145"/>
    </row>
    <row r="71" spans="8:8" x14ac:dyDescent="0.3">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zoomScale="70" zoomScaleNormal="70" workbookViewId="0">
      <selection activeCell="C8" sqref="C8"/>
    </sheetView>
  </sheetViews>
  <sheetFormatPr defaultRowHeight="14.4" x14ac:dyDescent="0.3"/>
  <cols>
    <col min="3" max="3" width="19" customWidth="1"/>
    <col min="4" max="4" width="17.109375" customWidth="1"/>
  </cols>
  <sheetData>
    <row r="3" spans="2:13" ht="15" thickBot="1" x14ac:dyDescent="0.35"/>
    <row r="4" spans="2:13" ht="18" thickBot="1" x14ac:dyDescent="0.35">
      <c r="B4" s="807" t="s">
        <v>292</v>
      </c>
      <c r="C4" s="795"/>
      <c r="D4" s="795"/>
      <c r="E4" s="795"/>
      <c r="F4" s="795"/>
      <c r="G4" s="795"/>
      <c r="H4" s="795"/>
      <c r="I4" s="795"/>
      <c r="J4" s="795"/>
      <c r="K4" s="795"/>
      <c r="L4" s="795"/>
      <c r="M4" s="808"/>
    </row>
    <row r="5" spans="2:13" x14ac:dyDescent="0.3">
      <c r="B5" s="4"/>
      <c r="C5" s="5"/>
      <c r="D5" s="5"/>
      <c r="E5" s="5"/>
      <c r="F5" s="5"/>
      <c r="G5" s="5"/>
      <c r="H5" s="5"/>
      <c r="I5" s="5"/>
      <c r="J5" s="5"/>
      <c r="K5" s="5"/>
      <c r="L5" s="5"/>
      <c r="M5" s="6"/>
    </row>
    <row r="6" spans="2:13" x14ac:dyDescent="0.3">
      <c r="B6" s="4"/>
      <c r="C6" s="12" t="s">
        <v>753</v>
      </c>
      <c r="D6" s="770" t="str">
        <f>+Introduction!E10</f>
        <v>Duynie Ingredients Ltd</v>
      </c>
      <c r="E6" s="770"/>
      <c r="F6" s="5"/>
      <c r="G6" s="5"/>
      <c r="H6" s="5"/>
      <c r="I6" s="5"/>
      <c r="J6" s="5"/>
      <c r="K6" s="5"/>
      <c r="L6" s="5"/>
      <c r="M6" s="6"/>
    </row>
    <row r="7" spans="2:13" x14ac:dyDescent="0.3">
      <c r="B7" s="4"/>
      <c r="C7" s="12" t="s">
        <v>793</v>
      </c>
      <c r="D7" s="770" t="str">
        <f>+Introduction!K10</f>
        <v>n/a</v>
      </c>
      <c r="E7" s="770"/>
      <c r="F7" s="5"/>
      <c r="G7" s="5"/>
      <c r="H7" s="5"/>
      <c r="I7" s="5"/>
      <c r="J7" s="5"/>
      <c r="K7" s="5"/>
      <c r="L7" s="5"/>
      <c r="M7" s="6"/>
    </row>
    <row r="8" spans="2:13" x14ac:dyDescent="0.3">
      <c r="B8" s="4"/>
      <c r="C8" s="5"/>
      <c r="D8" s="5"/>
      <c r="E8" s="5"/>
      <c r="F8" s="5"/>
      <c r="G8" s="5"/>
      <c r="H8" s="5"/>
      <c r="I8" s="5"/>
      <c r="J8" s="5"/>
      <c r="K8" s="5"/>
      <c r="L8" s="5"/>
      <c r="M8" s="6"/>
    </row>
    <row r="9" spans="2:13" ht="26.4" x14ac:dyDescent="0.3">
      <c r="B9" s="4"/>
      <c r="C9" s="12" t="s">
        <v>293</v>
      </c>
      <c r="D9" s="15" t="s">
        <v>294</v>
      </c>
      <c r="E9" s="5"/>
      <c r="F9" s="5"/>
      <c r="G9" s="5"/>
      <c r="H9" s="5"/>
      <c r="I9" s="5"/>
      <c r="J9" s="5"/>
      <c r="K9" s="5"/>
      <c r="L9" s="5"/>
      <c r="M9" s="6"/>
    </row>
    <row r="10" spans="2:13" x14ac:dyDescent="0.3">
      <c r="B10" s="4"/>
      <c r="C10" s="34" t="s">
        <v>295</v>
      </c>
      <c r="D10" s="161">
        <f>ROUND('4 Air'!G129,0)</f>
        <v>17</v>
      </c>
      <c r="E10" s="157"/>
      <c r="F10" s="5"/>
      <c r="G10" s="5"/>
      <c r="H10" s="5"/>
      <c r="I10" s="5"/>
      <c r="J10" s="5"/>
      <c r="K10" s="5"/>
      <c r="L10" s="5"/>
      <c r="M10" s="6"/>
    </row>
    <row r="11" spans="2:13" x14ac:dyDescent="0.3">
      <c r="B11" s="4"/>
      <c r="C11" s="34" t="s">
        <v>296</v>
      </c>
      <c r="D11" s="161">
        <f>ROUND('5 Water'!F91,0)</f>
        <v>0</v>
      </c>
      <c r="E11" s="5"/>
      <c r="F11" s="5"/>
      <c r="G11" s="5"/>
      <c r="H11" s="5"/>
      <c r="I11" s="5"/>
      <c r="J11" s="5"/>
      <c r="K11" s="5"/>
      <c r="L11" s="5"/>
      <c r="M11" s="6"/>
    </row>
    <row r="12" spans="2:13" x14ac:dyDescent="0.3">
      <c r="B12" s="4"/>
      <c r="C12" s="34" t="s">
        <v>297</v>
      </c>
      <c r="D12" s="161">
        <f>ROUND('6 Land'!G14,0)</f>
        <v>0</v>
      </c>
      <c r="E12" s="5"/>
      <c r="F12" s="5"/>
      <c r="G12" s="5"/>
      <c r="H12" s="5"/>
      <c r="I12" s="5"/>
      <c r="J12" s="5"/>
      <c r="K12" s="5"/>
      <c r="L12" s="5"/>
      <c r="M12" s="6"/>
    </row>
    <row r="13" spans="2:13" x14ac:dyDescent="0.3">
      <c r="B13" s="4"/>
      <c r="C13" s="34" t="s">
        <v>298</v>
      </c>
      <c r="D13" s="161">
        <f>ROUND('7 Sewer'!G92,0)</f>
        <v>0</v>
      </c>
      <c r="E13" s="5"/>
      <c r="F13" s="5"/>
      <c r="G13" s="5"/>
      <c r="H13" s="5"/>
      <c r="I13" s="5"/>
      <c r="J13" s="5"/>
      <c r="K13" s="5"/>
      <c r="L13" s="5"/>
      <c r="M13" s="6"/>
    </row>
    <row r="14" spans="2:13" x14ac:dyDescent="0.3">
      <c r="B14" s="4"/>
      <c r="C14" s="34" t="s">
        <v>299</v>
      </c>
      <c r="D14" s="161">
        <f>ROUND('8 Waste'!G36,0)</f>
        <v>0</v>
      </c>
      <c r="E14" s="5"/>
      <c r="F14" s="5"/>
      <c r="G14" s="5"/>
      <c r="H14" s="5"/>
      <c r="I14" s="5"/>
      <c r="J14" s="5"/>
      <c r="K14" s="5"/>
      <c r="L14" s="5"/>
      <c r="M14" s="6"/>
    </row>
    <row r="15" spans="2:13" x14ac:dyDescent="0.3">
      <c r="B15" s="4"/>
      <c r="C15" s="34" t="s">
        <v>300</v>
      </c>
      <c r="D15" s="161">
        <f>ROUND('8 Waste'!G52,0)</f>
        <v>0</v>
      </c>
      <c r="E15" s="5"/>
      <c r="F15" s="5"/>
      <c r="G15" s="5"/>
      <c r="H15" s="5"/>
      <c r="I15" s="5"/>
      <c r="J15" s="5"/>
      <c r="K15" s="5"/>
      <c r="L15" s="5"/>
      <c r="M15" s="6"/>
    </row>
    <row r="16" spans="2:13" x14ac:dyDescent="0.3">
      <c r="B16" s="4"/>
      <c r="C16" s="5"/>
      <c r="D16" s="5"/>
      <c r="E16" s="5"/>
      <c r="F16" s="5"/>
      <c r="G16" s="5"/>
      <c r="H16" s="5"/>
      <c r="I16" s="5"/>
      <c r="J16" s="5"/>
      <c r="K16" s="5"/>
      <c r="L16" s="5"/>
      <c r="M16" s="6"/>
    </row>
    <row r="17" spans="2:13" x14ac:dyDescent="0.3">
      <c r="B17" s="4"/>
      <c r="C17" s="158"/>
      <c r="D17" s="159"/>
      <c r="E17" s="5"/>
      <c r="F17" s="5"/>
      <c r="G17" s="5"/>
      <c r="H17" s="5"/>
      <c r="I17" s="5"/>
      <c r="J17" s="5"/>
      <c r="K17" s="5"/>
      <c r="L17" s="5"/>
      <c r="M17" s="6"/>
    </row>
    <row r="18" spans="2:13" x14ac:dyDescent="0.3">
      <c r="B18" s="4"/>
      <c r="C18" s="59"/>
      <c r="D18" s="159"/>
      <c r="E18" s="5"/>
      <c r="F18" s="5"/>
      <c r="G18" s="5"/>
      <c r="H18" s="5"/>
      <c r="I18" s="5"/>
      <c r="J18" s="5"/>
      <c r="K18" s="5"/>
      <c r="L18" s="5"/>
      <c r="M18" s="6"/>
    </row>
    <row r="19" spans="2:13" x14ac:dyDescent="0.3">
      <c r="B19" s="4"/>
      <c r="C19" s="5"/>
      <c r="D19" s="5"/>
      <c r="E19" s="5"/>
      <c r="F19" s="5"/>
      <c r="G19" s="5"/>
      <c r="H19" s="5"/>
      <c r="I19" s="5"/>
      <c r="J19" s="5"/>
      <c r="K19" s="5"/>
      <c r="L19" s="5"/>
      <c r="M19" s="6"/>
    </row>
    <row r="20" spans="2:13" x14ac:dyDescent="0.3">
      <c r="B20" s="4"/>
      <c r="C20" s="5"/>
      <c r="D20" s="5"/>
      <c r="E20" s="5"/>
      <c r="F20" s="5"/>
      <c r="G20" s="5"/>
      <c r="H20" s="5"/>
      <c r="I20" s="5"/>
      <c r="J20" s="5"/>
      <c r="K20" s="5"/>
      <c r="L20" s="5"/>
      <c r="M20" s="6"/>
    </row>
    <row r="21" spans="2:13" x14ac:dyDescent="0.3">
      <c r="B21" s="4"/>
      <c r="C21" s="5"/>
      <c r="D21" s="5"/>
      <c r="E21" s="5"/>
      <c r="F21" s="5"/>
      <c r="G21" s="5"/>
      <c r="H21" s="5"/>
      <c r="I21" s="5"/>
      <c r="J21" s="5"/>
      <c r="K21" s="5"/>
      <c r="L21" s="5"/>
      <c r="M21" s="6"/>
    </row>
    <row r="22" spans="2:13" x14ac:dyDescent="0.3">
      <c r="B22" s="4"/>
      <c r="C22" s="5"/>
      <c r="D22" s="5"/>
      <c r="E22" s="5"/>
      <c r="F22" s="5"/>
      <c r="G22" s="5"/>
      <c r="H22" s="5"/>
      <c r="I22" s="5"/>
      <c r="J22" s="5"/>
      <c r="K22" s="5"/>
      <c r="L22" s="5"/>
      <c r="M22" s="6"/>
    </row>
    <row r="23" spans="2:13" x14ac:dyDescent="0.3">
      <c r="B23" s="4"/>
      <c r="C23" s="12" t="s">
        <v>301</v>
      </c>
      <c r="D23" s="847" t="s">
        <v>302</v>
      </c>
      <c r="E23" s="847"/>
      <c r="F23" s="5"/>
      <c r="G23" s="5"/>
      <c r="H23" s="5"/>
      <c r="I23" s="5"/>
      <c r="J23" s="5"/>
      <c r="K23" s="5"/>
      <c r="L23" s="5"/>
      <c r="M23" s="6"/>
    </row>
    <row r="24" spans="2:13" x14ac:dyDescent="0.3">
      <c r="B24" s="4"/>
      <c r="C24" s="34" t="s">
        <v>295</v>
      </c>
      <c r="D24" s="46">
        <f t="shared" ref="D24:D29" si="0">IF(D10&gt;0,IF(D10&gt;=10,IF(D10&gt;=100,IF(D10&gt;=1000,IF(D10&gt;=10000,5,4),3),2),1),0)</f>
        <v>2</v>
      </c>
      <c r="E24" s="35" t="str">
        <f t="shared" ref="E24:E29" si="1">IF(D24=0,"-",IF(D24=1,"A",IF(D24=2,"B",IF(D24=3,"C",IF(D24=4,"D","E")))))</f>
        <v>B</v>
      </c>
      <c r="F24" s="5"/>
      <c r="G24" s="5"/>
      <c r="H24" s="5"/>
      <c r="I24" s="5"/>
      <c r="J24" s="5"/>
      <c r="K24" s="5"/>
      <c r="L24" s="5"/>
      <c r="M24" s="6"/>
    </row>
    <row r="25" spans="2:13" x14ac:dyDescent="0.3">
      <c r="B25" s="4"/>
      <c r="C25" s="34" t="s">
        <v>296</v>
      </c>
      <c r="D25" s="46">
        <f t="shared" si="0"/>
        <v>0</v>
      </c>
      <c r="E25" s="35" t="str">
        <f t="shared" si="1"/>
        <v>-</v>
      </c>
      <c r="F25" s="5"/>
      <c r="G25" s="5"/>
      <c r="H25" s="5"/>
      <c r="I25" s="5"/>
      <c r="J25" s="5"/>
      <c r="K25" s="5"/>
      <c r="L25" s="5"/>
      <c r="M25" s="6"/>
    </row>
    <row r="26" spans="2:13" x14ac:dyDescent="0.3">
      <c r="B26" s="4"/>
      <c r="C26" s="34" t="s">
        <v>297</v>
      </c>
      <c r="D26" s="46">
        <f t="shared" si="0"/>
        <v>0</v>
      </c>
      <c r="E26" s="35" t="str">
        <f t="shared" si="1"/>
        <v>-</v>
      </c>
      <c r="F26" s="5"/>
      <c r="G26" s="5"/>
      <c r="H26" s="5"/>
      <c r="I26" s="5"/>
      <c r="J26" s="5"/>
      <c r="K26" s="5"/>
      <c r="L26" s="5"/>
      <c r="M26" s="6"/>
    </row>
    <row r="27" spans="2:13" x14ac:dyDescent="0.3">
      <c r="B27" s="4"/>
      <c r="C27" s="34" t="s">
        <v>298</v>
      </c>
      <c r="D27" s="46">
        <f t="shared" si="0"/>
        <v>0</v>
      </c>
      <c r="E27" s="35" t="str">
        <f t="shared" si="1"/>
        <v>-</v>
      </c>
      <c r="F27" s="5"/>
      <c r="G27" s="5"/>
      <c r="H27" s="5"/>
      <c r="I27" s="5"/>
      <c r="J27" s="5"/>
      <c r="K27" s="5"/>
      <c r="L27" s="5"/>
      <c r="M27" s="6"/>
    </row>
    <row r="28" spans="2:13" x14ac:dyDescent="0.3">
      <c r="B28" s="4"/>
      <c r="C28" s="34" t="s">
        <v>299</v>
      </c>
      <c r="D28" s="46">
        <f t="shared" si="0"/>
        <v>0</v>
      </c>
      <c r="E28" s="35" t="str">
        <f t="shared" si="1"/>
        <v>-</v>
      </c>
      <c r="F28" s="5"/>
      <c r="G28" s="5"/>
      <c r="H28" s="5"/>
      <c r="I28" s="5"/>
      <c r="J28" s="5"/>
      <c r="K28" s="5"/>
      <c r="L28" s="5"/>
      <c r="M28" s="6"/>
    </row>
    <row r="29" spans="2:13" x14ac:dyDescent="0.3">
      <c r="B29" s="4"/>
      <c r="C29" s="34" t="s">
        <v>300</v>
      </c>
      <c r="D29" s="46">
        <f t="shared" si="0"/>
        <v>0</v>
      </c>
      <c r="E29" s="35" t="str">
        <f t="shared" si="1"/>
        <v>-</v>
      </c>
      <c r="F29" s="5"/>
      <c r="G29" s="5"/>
      <c r="H29" s="5"/>
      <c r="I29" s="5"/>
      <c r="J29" s="5"/>
      <c r="K29" s="5"/>
      <c r="L29" s="5"/>
      <c r="M29" s="6"/>
    </row>
    <row r="30" spans="2:13" x14ac:dyDescent="0.3">
      <c r="B30" s="4"/>
      <c r="C30" s="5"/>
      <c r="D30" s="5"/>
      <c r="E30" s="5"/>
      <c r="F30" s="5"/>
      <c r="G30" s="5"/>
      <c r="H30" s="5"/>
      <c r="I30" s="5"/>
      <c r="J30" s="5"/>
      <c r="K30" s="5"/>
      <c r="L30" s="5"/>
      <c r="M30" s="6"/>
    </row>
    <row r="31" spans="2:13" x14ac:dyDescent="0.3">
      <c r="B31" s="4"/>
      <c r="C31" s="158"/>
      <c r="D31" s="160"/>
      <c r="E31" s="160"/>
      <c r="F31" s="5"/>
      <c r="G31" s="5"/>
      <c r="H31" s="5"/>
      <c r="I31" s="5"/>
      <c r="J31" s="5"/>
      <c r="K31" s="5"/>
      <c r="L31" s="5"/>
      <c r="M31" s="6"/>
    </row>
    <row r="32" spans="2:13" x14ac:dyDescent="0.3">
      <c r="B32" s="4"/>
      <c r="C32" s="158"/>
      <c r="D32" s="160"/>
      <c r="E32" s="160"/>
      <c r="F32" s="5"/>
      <c r="G32" s="5"/>
      <c r="H32" s="5"/>
      <c r="I32" s="5"/>
      <c r="J32" s="5"/>
      <c r="K32" s="5"/>
      <c r="L32" s="5"/>
      <c r="M32" s="6"/>
    </row>
    <row r="33" spans="2:13" x14ac:dyDescent="0.3">
      <c r="B33" s="4"/>
      <c r="C33" s="5"/>
      <c r="D33" s="5"/>
      <c r="E33" s="5"/>
      <c r="F33" s="5"/>
      <c r="G33" s="5"/>
      <c r="H33" s="5"/>
      <c r="I33" s="5"/>
      <c r="J33" s="5"/>
      <c r="K33" s="5"/>
      <c r="L33" s="5"/>
      <c r="M33" s="6"/>
    </row>
    <row r="34" spans="2:13" ht="15" thickBot="1" x14ac:dyDescent="0.35">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zoomScale="55" zoomScaleNormal="55" workbookViewId="0">
      <selection activeCell="I33" sqref="I33"/>
    </sheetView>
  </sheetViews>
  <sheetFormatPr defaultColWidth="9.109375" defaultRowHeight="14.4" x14ac:dyDescent="0.3"/>
  <cols>
    <col min="1" max="2" width="9.109375" style="326"/>
    <col min="3" max="3" width="68.5546875" style="326" customWidth="1"/>
    <col min="4" max="4" width="10.88671875" style="326" customWidth="1"/>
    <col min="5" max="6" width="9.109375" style="326"/>
    <col min="7" max="7" width="14" style="326" customWidth="1"/>
    <col min="8" max="16384" width="9.109375" style="326"/>
  </cols>
  <sheetData>
    <row r="2" spans="2:7" ht="15" thickBot="1" x14ac:dyDescent="0.35"/>
    <row r="3" spans="2:7" ht="18" thickBot="1" x14ac:dyDescent="0.35">
      <c r="B3" s="854" t="s">
        <v>303</v>
      </c>
      <c r="C3" s="855"/>
      <c r="D3" s="855"/>
      <c r="E3" s="855"/>
      <c r="F3" s="855"/>
      <c r="G3" s="856"/>
    </row>
    <row r="4" spans="2:7" x14ac:dyDescent="0.3">
      <c r="B4" s="267"/>
      <c r="C4" s="538"/>
      <c r="D4" s="268"/>
      <c r="E4" s="268"/>
      <c r="F4" s="268"/>
      <c r="G4" s="472"/>
    </row>
    <row r="5" spans="2:7" x14ac:dyDescent="0.3">
      <c r="B5" s="270"/>
      <c r="C5" s="327" t="s">
        <v>47</v>
      </c>
      <c r="D5" s="857" t="str">
        <f>+Introduction!E10</f>
        <v>Duynie Ingredients Ltd</v>
      </c>
      <c r="E5" s="857"/>
      <c r="F5" s="857"/>
      <c r="G5" s="36"/>
    </row>
    <row r="6" spans="2:7" x14ac:dyDescent="0.3">
      <c r="B6" s="270"/>
      <c r="C6" s="327" t="s">
        <v>793</v>
      </c>
      <c r="D6" s="857" t="str">
        <f>+Introduction!K10</f>
        <v>n/a</v>
      </c>
      <c r="E6" s="857"/>
      <c r="F6" s="857"/>
      <c r="G6" s="36"/>
    </row>
    <row r="7" spans="2:7" x14ac:dyDescent="0.3">
      <c r="B7" s="270"/>
      <c r="C7" s="17"/>
      <c r="D7" s="17"/>
      <c r="E7" s="17"/>
      <c r="F7" s="17"/>
      <c r="G7" s="36"/>
    </row>
    <row r="8" spans="2:7" x14ac:dyDescent="0.3">
      <c r="B8" s="270"/>
      <c r="C8" s="327" t="s">
        <v>304</v>
      </c>
      <c r="D8" s="327" t="s">
        <v>305</v>
      </c>
      <c r="E8" s="327" t="s">
        <v>306</v>
      </c>
      <c r="F8" s="327" t="s">
        <v>307</v>
      </c>
      <c r="G8" s="36"/>
    </row>
    <row r="9" spans="2:7" x14ac:dyDescent="0.3">
      <c r="B9" s="270"/>
      <c r="C9" s="328" t="s">
        <v>308</v>
      </c>
      <c r="D9" s="329"/>
      <c r="E9" s="330"/>
      <c r="F9" s="858">
        <f>IF(D10="Yes",5,(IF(D12="yes",3,(IF(D14="Yes",1,0)))))</f>
        <v>5</v>
      </c>
      <c r="G9" s="36"/>
    </row>
    <row r="10" spans="2:7" x14ac:dyDescent="0.3">
      <c r="B10" s="270"/>
      <c r="C10" s="331" t="s">
        <v>309</v>
      </c>
      <c r="D10" s="480" t="s">
        <v>17</v>
      </c>
      <c r="E10" s="332">
        <v>5</v>
      </c>
      <c r="F10" s="859"/>
      <c r="G10" s="36"/>
    </row>
    <row r="11" spans="2:7" x14ac:dyDescent="0.3">
      <c r="B11" s="270"/>
      <c r="C11" s="333" t="s">
        <v>310</v>
      </c>
      <c r="D11" s="539"/>
      <c r="E11" s="334"/>
      <c r="F11" s="859"/>
      <c r="G11" s="36"/>
    </row>
    <row r="12" spans="2:7" x14ac:dyDescent="0.3">
      <c r="B12" s="270"/>
      <c r="C12" s="331" t="s">
        <v>311</v>
      </c>
      <c r="D12" s="480" t="s">
        <v>18</v>
      </c>
      <c r="E12" s="334">
        <v>3</v>
      </c>
      <c r="F12" s="859"/>
      <c r="G12" s="36"/>
    </row>
    <row r="13" spans="2:7" x14ac:dyDescent="0.3">
      <c r="B13" s="270"/>
      <c r="C13" s="333" t="s">
        <v>312</v>
      </c>
      <c r="D13" s="335"/>
      <c r="E13" s="334"/>
      <c r="F13" s="859"/>
      <c r="G13" s="36"/>
    </row>
    <row r="14" spans="2:7" x14ac:dyDescent="0.3">
      <c r="B14" s="270"/>
      <c r="C14" s="336" t="s">
        <v>313</v>
      </c>
      <c r="D14" s="480" t="s">
        <v>18</v>
      </c>
      <c r="E14" s="337">
        <v>1</v>
      </c>
      <c r="F14" s="860"/>
      <c r="G14" s="36"/>
    </row>
    <row r="15" spans="2:7" ht="63.75" customHeight="1" x14ac:dyDescent="0.3">
      <c r="B15" s="270"/>
      <c r="C15" s="500" t="s">
        <v>709</v>
      </c>
      <c r="D15" s="338"/>
      <c r="E15" s="330"/>
      <c r="F15" s="858">
        <f>IF(D16="yes",3,(IF(D18="Yes",2,0)))</f>
        <v>3</v>
      </c>
      <c r="G15" s="36"/>
    </row>
    <row r="16" spans="2:7" x14ac:dyDescent="0.3">
      <c r="B16" s="270"/>
      <c r="C16" s="339" t="s">
        <v>314</v>
      </c>
      <c r="D16" s="480" t="s">
        <v>17</v>
      </c>
      <c r="E16" s="332">
        <v>3</v>
      </c>
      <c r="F16" s="859"/>
      <c r="G16" s="36"/>
    </row>
    <row r="17" spans="2:8" x14ac:dyDescent="0.3">
      <c r="B17" s="270"/>
      <c r="C17" s="333" t="s">
        <v>315</v>
      </c>
      <c r="D17" s="539"/>
      <c r="E17" s="334"/>
      <c r="F17" s="859"/>
      <c r="G17" s="36"/>
    </row>
    <row r="18" spans="2:8" x14ac:dyDescent="0.3">
      <c r="B18" s="270"/>
      <c r="C18" s="340" t="s">
        <v>316</v>
      </c>
      <c r="D18" s="481" t="s">
        <v>18</v>
      </c>
      <c r="E18" s="341">
        <v>2</v>
      </c>
      <c r="F18" s="860"/>
      <c r="G18" s="36"/>
    </row>
    <row r="19" spans="2:8" x14ac:dyDescent="0.3">
      <c r="B19" s="270"/>
      <c r="C19" s="342" t="s">
        <v>317</v>
      </c>
      <c r="D19" s="483" t="s">
        <v>18</v>
      </c>
      <c r="E19" s="343">
        <v>2</v>
      </c>
      <c r="F19" s="858">
        <f>IF(D19="yes",2,(IF(D21="Yes",1,0)))</f>
        <v>1</v>
      </c>
      <c r="G19" s="36"/>
    </row>
    <row r="20" spans="2:8" x14ac:dyDescent="0.3">
      <c r="B20" s="270"/>
      <c r="C20" s="333" t="s">
        <v>315</v>
      </c>
      <c r="D20" s="335"/>
      <c r="E20" s="539"/>
      <c r="F20" s="859"/>
      <c r="G20" s="36"/>
    </row>
    <row r="21" spans="2:8" x14ac:dyDescent="0.3">
      <c r="B21" s="270"/>
      <c r="C21" s="344" t="s">
        <v>318</v>
      </c>
      <c r="D21" s="480" t="s">
        <v>17</v>
      </c>
      <c r="E21" s="539">
        <v>1</v>
      </c>
      <c r="F21" s="859"/>
      <c r="G21" s="36"/>
    </row>
    <row r="22" spans="2:8" x14ac:dyDescent="0.3">
      <c r="B22" s="270"/>
      <c r="C22" s="345"/>
      <c r="D22" s="341"/>
      <c r="E22" s="341"/>
      <c r="F22" s="499"/>
      <c r="G22" s="36"/>
    </row>
    <row r="23" spans="2:8" ht="48.75" customHeight="1" x14ac:dyDescent="0.3">
      <c r="B23" s="270"/>
      <c r="C23" s="346" t="s">
        <v>685</v>
      </c>
      <c r="D23" s="863" t="s">
        <v>686</v>
      </c>
      <c r="E23" s="864"/>
      <c r="F23" s="858">
        <f>IF(D26="Yes",3,(IF(D25="yes",2,(IF(D24="Yes",1,0)))))</f>
        <v>2</v>
      </c>
      <c r="G23" s="36"/>
    </row>
    <row r="24" spans="2:8" x14ac:dyDescent="0.3">
      <c r="B24" s="270"/>
      <c r="C24" s="339" t="s">
        <v>683</v>
      </c>
      <c r="D24" s="480" t="s">
        <v>18</v>
      </c>
      <c r="E24" s="539">
        <v>1</v>
      </c>
      <c r="F24" s="859"/>
      <c r="G24" s="36"/>
      <c r="H24" s="537"/>
    </row>
    <row r="25" spans="2:8" x14ac:dyDescent="0.3">
      <c r="B25" s="270"/>
      <c r="C25" s="339" t="s">
        <v>682</v>
      </c>
      <c r="D25" s="480" t="s">
        <v>17</v>
      </c>
      <c r="E25" s="539">
        <v>2</v>
      </c>
      <c r="F25" s="859"/>
      <c r="G25" s="36"/>
      <c r="H25" s="537"/>
    </row>
    <row r="26" spans="2:8" x14ac:dyDescent="0.3">
      <c r="B26" s="270"/>
      <c r="C26" s="339" t="s">
        <v>684</v>
      </c>
      <c r="D26" s="480" t="s">
        <v>18</v>
      </c>
      <c r="E26" s="337">
        <v>3</v>
      </c>
      <c r="F26" s="860"/>
      <c r="G26" s="36"/>
      <c r="H26" s="537"/>
    </row>
    <row r="27" spans="2:8" x14ac:dyDescent="0.3">
      <c r="B27" s="270"/>
      <c r="C27" s="861" t="s">
        <v>319</v>
      </c>
      <c r="D27" s="329"/>
      <c r="E27" s="334"/>
      <c r="F27" s="858">
        <f>IF(D28="yes",2,(IF(D30="Yes",1,0)))</f>
        <v>1</v>
      </c>
      <c r="G27" s="36"/>
      <c r="H27" s="537"/>
    </row>
    <row r="28" spans="2:8" x14ac:dyDescent="0.3">
      <c r="B28" s="270"/>
      <c r="C28" s="862"/>
      <c r="D28" s="480" t="s">
        <v>18</v>
      </c>
      <c r="E28" s="332">
        <v>2</v>
      </c>
      <c r="F28" s="859"/>
      <c r="G28" s="36"/>
      <c r="H28" s="537"/>
    </row>
    <row r="29" spans="2:8" x14ac:dyDescent="0.3">
      <c r="B29" s="270"/>
      <c r="C29" s="333" t="s">
        <v>315</v>
      </c>
      <c r="D29" s="335"/>
      <c r="E29" s="334"/>
      <c r="F29" s="859"/>
      <c r="G29" s="36"/>
    </row>
    <row r="30" spans="2:8" x14ac:dyDescent="0.3">
      <c r="B30" s="270"/>
      <c r="C30" s="347" t="s">
        <v>320</v>
      </c>
      <c r="D30" s="481" t="s">
        <v>17</v>
      </c>
      <c r="E30" s="337">
        <v>1</v>
      </c>
      <c r="F30" s="859"/>
      <c r="G30" s="36"/>
    </row>
    <row r="31" spans="2:8" x14ac:dyDescent="0.3">
      <c r="B31" s="270"/>
      <c r="C31" s="344"/>
      <c r="D31" s="348"/>
      <c r="E31" s="349"/>
      <c r="F31" s="325"/>
      <c r="G31" s="36"/>
    </row>
    <row r="32" spans="2:8" ht="14.25" customHeight="1" x14ac:dyDescent="0.3">
      <c r="B32" s="270"/>
      <c r="C32" s="350" t="s">
        <v>321</v>
      </c>
      <c r="D32" s="351"/>
      <c r="E32" s="334"/>
      <c r="F32" s="859">
        <f>IF(D33="Yes",3,(IF(D36="yes",2,(IF(D38="Yes",1,0)))))</f>
        <v>0</v>
      </c>
      <c r="G32" s="36"/>
    </row>
    <row r="33" spans="2:7" x14ac:dyDescent="0.3">
      <c r="B33" s="270"/>
      <c r="C33" s="352" t="s">
        <v>322</v>
      </c>
      <c r="D33" s="480" t="s">
        <v>18</v>
      </c>
      <c r="E33" s="332">
        <v>3</v>
      </c>
      <c r="F33" s="859"/>
      <c r="G33" s="36"/>
    </row>
    <row r="34" spans="2:7" x14ac:dyDescent="0.3">
      <c r="B34" s="270"/>
      <c r="C34" s="333" t="s">
        <v>315</v>
      </c>
      <c r="D34" s="353"/>
      <c r="E34" s="334"/>
      <c r="F34" s="859"/>
      <c r="G34" s="36"/>
    </row>
    <row r="35" spans="2:7" x14ac:dyDescent="0.3">
      <c r="B35" s="270"/>
      <c r="C35" s="354" t="s">
        <v>323</v>
      </c>
      <c r="D35" s="351"/>
      <c r="E35" s="334"/>
      <c r="F35" s="859"/>
      <c r="G35" s="36"/>
    </row>
    <row r="36" spans="2:7" x14ac:dyDescent="0.3">
      <c r="B36" s="270"/>
      <c r="C36" s="352" t="s">
        <v>322</v>
      </c>
      <c r="D36" s="480" t="s">
        <v>18</v>
      </c>
      <c r="E36" s="332">
        <v>2</v>
      </c>
      <c r="F36" s="859">
        <v>0</v>
      </c>
      <c r="G36" s="36"/>
    </row>
    <row r="37" spans="2:7" x14ac:dyDescent="0.3">
      <c r="B37" s="270"/>
      <c r="C37" s="333" t="s">
        <v>315</v>
      </c>
      <c r="D37" s="335"/>
      <c r="E37" s="334"/>
      <c r="F37" s="859"/>
      <c r="G37" s="36"/>
    </row>
    <row r="38" spans="2:7" ht="17.25" customHeight="1" x14ac:dyDescent="0.3">
      <c r="B38" s="270"/>
      <c r="C38" s="355" t="s">
        <v>717</v>
      </c>
      <c r="D38" s="480" t="s">
        <v>18</v>
      </c>
      <c r="E38" s="332">
        <v>1</v>
      </c>
      <c r="F38" s="859"/>
      <c r="G38" s="36"/>
    </row>
    <row r="39" spans="2:7" x14ac:dyDescent="0.3">
      <c r="B39" s="270"/>
      <c r="C39" s="352" t="s">
        <v>716</v>
      </c>
      <c r="D39" s="353"/>
      <c r="E39" s="334"/>
      <c r="F39" s="860"/>
      <c r="G39" s="36"/>
    </row>
    <row r="40" spans="2:7" x14ac:dyDescent="0.3">
      <c r="B40" s="270"/>
      <c r="C40" s="356" t="s">
        <v>324</v>
      </c>
      <c r="D40" s="482" t="s">
        <v>18</v>
      </c>
      <c r="E40" s="357">
        <v>2</v>
      </c>
      <c r="F40" s="162">
        <f>IF(D40="Yes",2,0)</f>
        <v>0</v>
      </c>
      <c r="G40" s="36"/>
    </row>
    <row r="41" spans="2:7" x14ac:dyDescent="0.3">
      <c r="B41" s="270"/>
      <c r="C41" s="848" t="s">
        <v>325</v>
      </c>
      <c r="D41" s="850" t="s">
        <v>94</v>
      </c>
      <c r="E41" s="851"/>
      <c r="F41" s="163">
        <f>SUM(F9:F40)</f>
        <v>12</v>
      </c>
      <c r="G41" s="36"/>
    </row>
    <row r="42" spans="2:7" x14ac:dyDescent="0.3">
      <c r="B42" s="270"/>
      <c r="C42" s="849"/>
      <c r="D42" s="852" t="s">
        <v>302</v>
      </c>
      <c r="E42" s="853"/>
      <c r="F42" s="164" t="str">
        <f>IF(F41&gt;17,"E",(IF(F41&gt;12,"D",(IF(F41&gt;8,"C",(IF(F41&gt;4,"B","A")))))))</f>
        <v>C</v>
      </c>
      <c r="G42" s="36"/>
    </row>
    <row r="43" spans="2:7" x14ac:dyDescent="0.3">
      <c r="B43" s="270"/>
      <c r="C43" s="17"/>
      <c r="D43" s="17"/>
      <c r="E43" s="17"/>
      <c r="F43" s="17"/>
      <c r="G43" s="36"/>
    </row>
    <row r="44" spans="2:7" x14ac:dyDescent="0.3">
      <c r="B44" s="270"/>
      <c r="C44" s="358" t="s">
        <v>666</v>
      </c>
      <c r="D44" s="358" t="s">
        <v>667</v>
      </c>
      <c r="E44" s="17"/>
      <c r="F44" s="17"/>
      <c r="G44" s="36"/>
    </row>
    <row r="45" spans="2:7" x14ac:dyDescent="0.3">
      <c r="B45" s="270"/>
      <c r="C45" s="359" t="s">
        <v>663</v>
      </c>
      <c r="D45" s="359" t="str">
        <f>IF(AND(D10=0,D12=0,D14=0),"Incomplete","Complete")</f>
        <v>Complete</v>
      </c>
      <c r="E45" s="17"/>
      <c r="F45" s="17"/>
      <c r="G45" s="36"/>
    </row>
    <row r="46" spans="2:7" x14ac:dyDescent="0.3">
      <c r="B46" s="270"/>
      <c r="C46" s="359" t="s">
        <v>328</v>
      </c>
      <c r="D46" s="359" t="str">
        <f>IF(AND(D16=0,D18=0),"Incomplete","Complete")</f>
        <v>Complete</v>
      </c>
      <c r="E46" s="17"/>
      <c r="F46" s="17"/>
      <c r="G46" s="36"/>
    </row>
    <row r="47" spans="2:7" x14ac:dyDescent="0.3">
      <c r="B47" s="270"/>
      <c r="C47" s="359" t="s">
        <v>329</v>
      </c>
      <c r="D47" s="359" t="str">
        <f>IF(AND(D19=0,D21=0),"Incomplete","Complete")</f>
        <v>Complete</v>
      </c>
      <c r="E47" s="17"/>
      <c r="F47" s="17"/>
      <c r="G47" s="36"/>
    </row>
    <row r="48" spans="2:7" x14ac:dyDescent="0.3">
      <c r="B48" s="270"/>
      <c r="C48" s="359" t="s">
        <v>710</v>
      </c>
      <c r="D48" s="359" t="str">
        <f>IF(AND(D24=0,D25=0,D26=0),"Incomplete","Complete")</f>
        <v>Complete</v>
      </c>
      <c r="E48" s="17"/>
      <c r="F48" s="17"/>
      <c r="G48" s="36"/>
    </row>
    <row r="49" spans="2:7" x14ac:dyDescent="0.3">
      <c r="B49" s="270"/>
      <c r="C49" s="359" t="s">
        <v>664</v>
      </c>
      <c r="D49" s="359" t="str">
        <f>IF(AND(D28=0,D30=0),"Incomplete","Complete")</f>
        <v>Complete</v>
      </c>
      <c r="E49" s="17"/>
      <c r="F49" s="17"/>
      <c r="G49" s="36"/>
    </row>
    <row r="50" spans="2:7" x14ac:dyDescent="0.3">
      <c r="B50" s="270"/>
      <c r="C50" s="359" t="s">
        <v>332</v>
      </c>
      <c r="D50" s="359" t="str">
        <f>IF(AND(D33=0,D36=0,D38=0),"Incomplete","Complete")</f>
        <v>Complete</v>
      </c>
      <c r="E50" s="17"/>
      <c r="F50" s="17"/>
      <c r="G50" s="36"/>
    </row>
    <row r="51" spans="2:7" x14ac:dyDescent="0.3">
      <c r="B51" s="270"/>
      <c r="C51" s="359" t="s">
        <v>665</v>
      </c>
      <c r="D51" s="359" t="str">
        <f>IF(D40=0,"Incomplete","Complete")</f>
        <v>Complete</v>
      </c>
      <c r="E51" s="17"/>
      <c r="F51" s="17"/>
      <c r="G51" s="36"/>
    </row>
    <row r="52" spans="2:7" x14ac:dyDescent="0.3">
      <c r="B52" s="270"/>
      <c r="C52" s="17"/>
      <c r="D52" s="17"/>
      <c r="E52" s="17"/>
      <c r="F52" s="17"/>
      <c r="G52" s="36"/>
    </row>
    <row r="53" spans="2:7" x14ac:dyDescent="0.3">
      <c r="B53" s="270"/>
      <c r="C53" s="17"/>
      <c r="D53" s="17"/>
      <c r="E53" s="17"/>
      <c r="F53" s="17"/>
      <c r="G53" s="36"/>
    </row>
    <row r="54" spans="2:7" x14ac:dyDescent="0.3">
      <c r="B54" s="270"/>
      <c r="C54" s="17"/>
      <c r="D54" s="17"/>
      <c r="E54" s="17"/>
      <c r="F54" s="17"/>
      <c r="G54" s="36"/>
    </row>
    <row r="55" spans="2:7" x14ac:dyDescent="0.3">
      <c r="B55" s="270"/>
      <c r="C55" s="17"/>
      <c r="D55" s="17"/>
      <c r="E55" s="17"/>
      <c r="F55" s="17"/>
      <c r="G55" s="36"/>
    </row>
    <row r="56" spans="2:7" x14ac:dyDescent="0.3">
      <c r="B56" s="270"/>
      <c r="C56" s="360" t="s">
        <v>326</v>
      </c>
      <c r="D56" s="361" t="s">
        <v>307</v>
      </c>
      <c r="E56" s="17"/>
      <c r="F56" s="17"/>
      <c r="G56" s="36"/>
    </row>
    <row r="57" spans="2:7" x14ac:dyDescent="0.3">
      <c r="B57" s="270"/>
      <c r="C57" s="362" t="s">
        <v>327</v>
      </c>
      <c r="D57" s="363">
        <f>+F9</f>
        <v>5</v>
      </c>
      <c r="E57" s="17"/>
      <c r="F57" s="17"/>
      <c r="G57" s="36"/>
    </row>
    <row r="58" spans="2:7" x14ac:dyDescent="0.3">
      <c r="B58" s="270"/>
      <c r="C58" s="364" t="s">
        <v>328</v>
      </c>
      <c r="D58" s="363">
        <f>+F15</f>
        <v>3</v>
      </c>
      <c r="E58" s="17"/>
      <c r="F58" s="17"/>
      <c r="G58" s="36"/>
    </row>
    <row r="59" spans="2:7" x14ac:dyDescent="0.3">
      <c r="B59" s="270"/>
      <c r="C59" s="364" t="s">
        <v>329</v>
      </c>
      <c r="D59" s="363">
        <f>F19</f>
        <v>1</v>
      </c>
      <c r="E59" s="17"/>
      <c r="F59" s="17"/>
      <c r="G59" s="36"/>
    </row>
    <row r="60" spans="2:7" x14ac:dyDescent="0.3">
      <c r="B60" s="270"/>
      <c r="C60" s="364" t="s">
        <v>330</v>
      </c>
      <c r="D60" s="363">
        <f>+F23</f>
        <v>2</v>
      </c>
      <c r="E60" s="17"/>
      <c r="F60" s="17"/>
      <c r="G60" s="36"/>
    </row>
    <row r="61" spans="2:7" x14ac:dyDescent="0.3">
      <c r="B61" s="270"/>
      <c r="C61" s="364" t="s">
        <v>331</v>
      </c>
      <c r="D61" s="363">
        <f>F27</f>
        <v>1</v>
      </c>
      <c r="E61" s="17"/>
      <c r="F61" s="17"/>
      <c r="G61" s="36"/>
    </row>
    <row r="62" spans="2:7" x14ac:dyDescent="0.3">
      <c r="B62" s="270"/>
      <c r="C62" s="364" t="s">
        <v>332</v>
      </c>
      <c r="D62" s="365">
        <f>+F32</f>
        <v>0</v>
      </c>
      <c r="E62" s="17"/>
      <c r="F62" s="17"/>
      <c r="G62" s="36"/>
    </row>
    <row r="63" spans="2:7" x14ac:dyDescent="0.3">
      <c r="B63" s="270"/>
      <c r="C63" s="366" t="s">
        <v>333</v>
      </c>
      <c r="D63" s="367">
        <f>F40</f>
        <v>0</v>
      </c>
      <c r="E63" s="17"/>
      <c r="F63" s="17"/>
      <c r="G63" s="36"/>
    </row>
    <row r="64" spans="2:7" x14ac:dyDescent="0.3">
      <c r="B64" s="270"/>
      <c r="C64" s="17"/>
      <c r="D64" s="17"/>
      <c r="E64" s="17"/>
      <c r="F64" s="17"/>
      <c r="G64" s="36"/>
    </row>
    <row r="65" spans="2:7" x14ac:dyDescent="0.3">
      <c r="B65" s="270"/>
      <c r="C65" s="17"/>
      <c r="D65" s="17"/>
      <c r="E65" s="17"/>
      <c r="F65" s="17"/>
      <c r="G65" s="36"/>
    </row>
    <row r="66" spans="2:7" x14ac:dyDescent="0.3">
      <c r="B66" s="270"/>
      <c r="C66" s="17"/>
      <c r="D66" s="17"/>
      <c r="E66" s="17"/>
      <c r="F66" s="17"/>
      <c r="G66" s="36"/>
    </row>
    <row r="67" spans="2:7" x14ac:dyDescent="0.3">
      <c r="B67" s="270"/>
      <c r="C67" s="17"/>
      <c r="D67" s="17"/>
      <c r="E67" s="17"/>
      <c r="F67" s="17"/>
      <c r="G67" s="36"/>
    </row>
    <row r="68" spans="2:7" ht="15" thickBot="1" x14ac:dyDescent="0.35">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94" zoomScale="80" zoomScaleNormal="80" workbookViewId="0">
      <selection activeCell="G80" sqref="G80:H80"/>
    </sheetView>
  </sheetViews>
  <sheetFormatPr defaultRowHeight="14.4" x14ac:dyDescent="0.3"/>
  <cols>
    <col min="3" max="3" width="48.88671875" customWidth="1"/>
    <col min="5" max="5" width="12.5546875" customWidth="1"/>
    <col min="7" max="7" width="13" customWidth="1"/>
    <col min="8" max="8" width="18.44140625" customWidth="1"/>
    <col min="9" max="9" width="29.88671875" customWidth="1"/>
    <col min="10" max="10" width="21.88671875" customWidth="1"/>
    <col min="11" max="11" width="11.88671875" customWidth="1"/>
    <col min="12" max="12" width="10.5546875" customWidth="1"/>
  </cols>
  <sheetData>
    <row r="1" spans="2:10" x14ac:dyDescent="0.3">
      <c r="C1" s="12" t="s">
        <v>47</v>
      </c>
      <c r="D1" s="770" t="str">
        <f>+Introduction!E10</f>
        <v>Duynie Ingredients Ltd</v>
      </c>
      <c r="E1" s="770"/>
      <c r="F1" s="770"/>
    </row>
    <row r="2" spans="2:10" x14ac:dyDescent="0.3">
      <c r="C2" s="12" t="s">
        <v>793</v>
      </c>
      <c r="D2" s="770" t="str">
        <f>+Introduction!K10</f>
        <v>n/a</v>
      </c>
      <c r="E2" s="770"/>
      <c r="F2" s="770"/>
    </row>
    <row r="3" spans="2:10" ht="15" thickBot="1" x14ac:dyDescent="0.35"/>
    <row r="4" spans="2:10" ht="18" x14ac:dyDescent="0.35">
      <c r="B4" s="865" t="s">
        <v>335</v>
      </c>
      <c r="C4" s="866"/>
      <c r="D4" s="866"/>
      <c r="E4" s="866"/>
      <c r="F4" s="866"/>
      <c r="G4" s="866"/>
      <c r="H4" s="866"/>
      <c r="I4" s="866"/>
      <c r="J4" s="867"/>
    </row>
    <row r="5" spans="2:10" x14ac:dyDescent="0.3">
      <c r="B5" s="416"/>
      <c r="C5" s="417"/>
      <c r="D5" s="59"/>
      <c r="E5" s="417"/>
      <c r="F5" s="417"/>
      <c r="G5" s="417"/>
      <c r="H5" s="417"/>
      <c r="I5" s="417"/>
      <c r="J5" s="395"/>
    </row>
    <row r="6" spans="2:10" ht="59.25" customHeight="1" thickBot="1" x14ac:dyDescent="0.35">
      <c r="B6" s="418"/>
      <c r="C6" s="165"/>
      <c r="D6" s="166" t="s">
        <v>305</v>
      </c>
      <c r="E6" s="165" t="s">
        <v>336</v>
      </c>
      <c r="F6" s="165" t="s">
        <v>337</v>
      </c>
      <c r="G6" s="943" t="s">
        <v>338</v>
      </c>
      <c r="H6" s="944"/>
      <c r="I6" s="540" t="s">
        <v>339</v>
      </c>
      <c r="J6" s="696"/>
    </row>
    <row r="7" spans="2:10" x14ac:dyDescent="0.3">
      <c r="B7" s="419"/>
      <c r="C7" s="167"/>
      <c r="D7" s="168"/>
      <c r="E7" s="167"/>
      <c r="F7" s="167"/>
      <c r="G7" s="167"/>
      <c r="H7" s="167"/>
      <c r="I7" s="541"/>
      <c r="J7" s="697"/>
    </row>
    <row r="8" spans="2:10" x14ac:dyDescent="0.3">
      <c r="B8" s="933" t="s">
        <v>340</v>
      </c>
      <c r="C8" s="934"/>
      <c r="D8" s="934"/>
      <c r="E8" s="934"/>
      <c r="F8" s="934"/>
      <c r="G8" s="934"/>
      <c r="H8" s="934"/>
      <c r="I8" s="512"/>
      <c r="J8" s="698"/>
    </row>
    <row r="9" spans="2:10" ht="33" customHeight="1" x14ac:dyDescent="0.3">
      <c r="B9" s="420"/>
      <c r="C9" s="918" t="s">
        <v>341</v>
      </c>
      <c r="D9" s="918"/>
      <c r="E9" s="918"/>
      <c r="F9" s="918"/>
      <c r="G9" s="918"/>
      <c r="H9" s="918"/>
      <c r="I9" s="509"/>
      <c r="J9" s="699"/>
    </row>
    <row r="10" spans="2:10" ht="45.75" customHeight="1" x14ac:dyDescent="0.3">
      <c r="B10" s="421">
        <v>1</v>
      </c>
      <c r="C10" s="169" t="s">
        <v>342</v>
      </c>
      <c r="D10" s="244" t="s">
        <v>17</v>
      </c>
      <c r="E10" s="170">
        <v>2</v>
      </c>
      <c r="F10" s="246">
        <f>IF(D10="yes",2,0)</f>
        <v>2</v>
      </c>
      <c r="G10" s="945"/>
      <c r="H10" s="946"/>
      <c r="I10" s="542"/>
      <c r="J10" s="700"/>
    </row>
    <row r="11" spans="2:10" ht="60.75" customHeight="1" x14ac:dyDescent="0.3">
      <c r="B11" s="422">
        <v>2</v>
      </c>
      <c r="C11" s="172" t="s">
        <v>343</v>
      </c>
      <c r="D11" s="244" t="s">
        <v>17</v>
      </c>
      <c r="E11" s="171">
        <v>2</v>
      </c>
      <c r="F11" s="246">
        <f>IF(D11="yes",2,0)</f>
        <v>2</v>
      </c>
      <c r="G11" s="901"/>
      <c r="H11" s="922"/>
      <c r="I11" s="543"/>
      <c r="J11" s="701"/>
    </row>
    <row r="12" spans="2:10" ht="26.4" x14ac:dyDescent="0.3">
      <c r="B12" s="422">
        <v>3</v>
      </c>
      <c r="C12" s="172" t="s">
        <v>344</v>
      </c>
      <c r="D12" s="244" t="s">
        <v>17</v>
      </c>
      <c r="E12" s="171">
        <v>2</v>
      </c>
      <c r="F12" s="246">
        <f>IF(D12="yes",2,0)</f>
        <v>2</v>
      </c>
      <c r="G12" s="901"/>
      <c r="H12" s="922"/>
      <c r="I12" s="543"/>
      <c r="J12" s="701"/>
    </row>
    <row r="13" spans="2:10" ht="39.6" x14ac:dyDescent="0.3">
      <c r="B13" s="422">
        <v>4</v>
      </c>
      <c r="C13" s="172" t="s">
        <v>345</v>
      </c>
      <c r="D13" s="244" t="s">
        <v>17</v>
      </c>
      <c r="E13" s="171">
        <v>1</v>
      </c>
      <c r="F13" s="246">
        <f>IF(D13="yes",1,0)</f>
        <v>1</v>
      </c>
      <c r="G13" s="901"/>
      <c r="H13" s="922"/>
      <c r="I13" s="543"/>
      <c r="J13" s="701"/>
    </row>
    <row r="14" spans="2:10" ht="52.8" x14ac:dyDescent="0.3">
      <c r="B14" s="422">
        <v>5</v>
      </c>
      <c r="C14" s="172" t="s">
        <v>346</v>
      </c>
      <c r="D14" s="244" t="s">
        <v>17</v>
      </c>
      <c r="E14" s="171">
        <v>1</v>
      </c>
      <c r="F14" s="246">
        <f>IF(D14="yes",1,0)</f>
        <v>1</v>
      </c>
      <c r="G14" s="901"/>
      <c r="H14" s="922"/>
      <c r="I14" s="543"/>
      <c r="J14" s="701"/>
    </row>
    <row r="15" spans="2:10" ht="26.4" x14ac:dyDescent="0.3">
      <c r="B15" s="422">
        <v>6</v>
      </c>
      <c r="C15" s="172" t="s">
        <v>347</v>
      </c>
      <c r="D15" s="244" t="s">
        <v>17</v>
      </c>
      <c r="E15" s="171">
        <v>2</v>
      </c>
      <c r="F15" s="246">
        <f>IF(D15="yes",2,0)</f>
        <v>2</v>
      </c>
      <c r="G15" s="901"/>
      <c r="H15" s="922"/>
      <c r="I15" s="543"/>
      <c r="J15" s="701"/>
    </row>
    <row r="16" spans="2:10" ht="39.6" x14ac:dyDescent="0.3">
      <c r="B16" s="422">
        <v>7</v>
      </c>
      <c r="C16" s="172" t="s">
        <v>348</v>
      </c>
      <c r="D16" s="244" t="s">
        <v>17</v>
      </c>
      <c r="E16" s="171">
        <v>2</v>
      </c>
      <c r="F16" s="246">
        <f>IF(D16="yes",2,0)</f>
        <v>2</v>
      </c>
      <c r="G16" s="901"/>
      <c r="H16" s="922"/>
      <c r="I16" s="543"/>
      <c r="J16" s="701"/>
    </row>
    <row r="17" spans="2:10" ht="39.6" x14ac:dyDescent="0.3">
      <c r="B17" s="422">
        <v>8</v>
      </c>
      <c r="C17" s="172" t="s">
        <v>349</v>
      </c>
      <c r="D17" s="244" t="s">
        <v>18</v>
      </c>
      <c r="E17" s="171">
        <v>-2</v>
      </c>
      <c r="F17" s="246">
        <f>IF(D17="yes",-2,0)</f>
        <v>0</v>
      </c>
      <c r="G17" s="901"/>
      <c r="H17" s="922"/>
      <c r="I17" s="543"/>
      <c r="J17" s="701"/>
    </row>
    <row r="18" spans="2:10" ht="39.6" x14ac:dyDescent="0.3">
      <c r="B18" s="422">
        <v>9</v>
      </c>
      <c r="C18" s="172" t="s">
        <v>350</v>
      </c>
      <c r="D18" s="244" t="s">
        <v>18</v>
      </c>
      <c r="E18" s="171">
        <v>-3</v>
      </c>
      <c r="F18" s="246">
        <f>IF(D18="yes",-3,0)</f>
        <v>0</v>
      </c>
      <c r="G18" s="901"/>
      <c r="H18" s="922"/>
      <c r="I18" s="543"/>
      <c r="J18" s="701"/>
    </row>
    <row r="19" spans="2:10" x14ac:dyDescent="0.3">
      <c r="B19" s="423"/>
      <c r="C19" s="173" t="s">
        <v>351</v>
      </c>
      <c r="D19" s="174"/>
      <c r="E19" s="175">
        <v>12</v>
      </c>
      <c r="F19" s="251">
        <f>SUM(F10:F18)</f>
        <v>12</v>
      </c>
      <c r="G19" s="949">
        <f>+F19/E19</f>
        <v>1</v>
      </c>
      <c r="H19" s="950"/>
      <c r="I19" s="544"/>
      <c r="J19" s="701"/>
    </row>
    <row r="20" spans="2:10" x14ac:dyDescent="0.3">
      <c r="B20" s="424"/>
      <c r="C20" s="177"/>
      <c r="D20" s="178"/>
      <c r="E20" s="179"/>
      <c r="F20" s="180"/>
      <c r="G20" s="180"/>
      <c r="H20" s="180"/>
      <c r="I20" s="545"/>
      <c r="J20" s="701"/>
    </row>
    <row r="21" spans="2:10" x14ac:dyDescent="0.3">
      <c r="B21" s="933" t="s">
        <v>352</v>
      </c>
      <c r="C21" s="934"/>
      <c r="D21" s="934"/>
      <c r="E21" s="934"/>
      <c r="F21" s="934"/>
      <c r="G21" s="934"/>
      <c r="H21" s="934"/>
      <c r="I21" s="512"/>
      <c r="J21" s="701"/>
    </row>
    <row r="22" spans="2:10" ht="45.75" customHeight="1" x14ac:dyDescent="0.3">
      <c r="B22" s="425"/>
      <c r="C22" s="936" t="s">
        <v>353</v>
      </c>
      <c r="D22" s="936"/>
      <c r="E22" s="936"/>
      <c r="F22" s="936"/>
      <c r="G22" s="936"/>
      <c r="H22" s="936"/>
      <c r="I22" s="513"/>
      <c r="J22" s="701"/>
    </row>
    <row r="23" spans="2:10" x14ac:dyDescent="0.3">
      <c r="B23" s="426"/>
      <c r="C23" s="938" t="s">
        <v>354</v>
      </c>
      <c r="D23" s="938"/>
      <c r="E23" s="938"/>
      <c r="F23" s="938"/>
      <c r="G23" s="938"/>
      <c r="H23" s="938"/>
      <c r="I23" s="514"/>
      <c r="J23" s="701"/>
    </row>
    <row r="24" spans="2:10" x14ac:dyDescent="0.3">
      <c r="B24" s="426"/>
      <c r="C24" s="938" t="s">
        <v>355</v>
      </c>
      <c r="D24" s="938"/>
      <c r="E24" s="938"/>
      <c r="F24" s="938"/>
      <c r="G24" s="938"/>
      <c r="H24" s="938"/>
      <c r="I24" s="514"/>
      <c r="J24" s="701"/>
    </row>
    <row r="25" spans="2:10" x14ac:dyDescent="0.3">
      <c r="B25" s="427"/>
      <c r="C25" s="951" t="s">
        <v>356</v>
      </c>
      <c r="D25" s="951"/>
      <c r="E25" s="951"/>
      <c r="F25" s="951"/>
      <c r="G25" s="951"/>
      <c r="H25" s="951"/>
      <c r="I25" s="515"/>
      <c r="J25" s="701"/>
    </row>
    <row r="26" spans="2:10" ht="27.75" customHeight="1" x14ac:dyDescent="0.3">
      <c r="B26" s="428">
        <v>1</v>
      </c>
      <c r="C26" s="181" t="s">
        <v>357</v>
      </c>
      <c r="D26" s="952" t="s">
        <v>17</v>
      </c>
      <c r="E26" s="954">
        <v>3</v>
      </c>
      <c r="F26" s="956">
        <f>IF(D26="yes",3,0)</f>
        <v>3</v>
      </c>
      <c r="G26" s="958"/>
      <c r="H26" s="959"/>
      <c r="I26" s="947"/>
      <c r="J26" s="701"/>
    </row>
    <row r="27" spans="2:10" ht="72.75" customHeight="1" x14ac:dyDescent="0.3">
      <c r="B27" s="429"/>
      <c r="C27" s="182" t="s">
        <v>358</v>
      </c>
      <c r="D27" s="953"/>
      <c r="E27" s="955"/>
      <c r="F27" s="957"/>
      <c r="G27" s="960"/>
      <c r="H27" s="961"/>
      <c r="I27" s="948"/>
      <c r="J27" s="701"/>
    </row>
    <row r="28" spans="2:10" ht="47.25" customHeight="1" x14ac:dyDescent="0.3">
      <c r="B28" s="430">
        <v>2</v>
      </c>
      <c r="C28" s="172" t="s">
        <v>359</v>
      </c>
      <c r="D28" s="504"/>
      <c r="E28" s="183"/>
      <c r="F28" s="172"/>
      <c r="G28" s="964"/>
      <c r="H28" s="965"/>
      <c r="I28" s="546"/>
      <c r="J28" s="701"/>
    </row>
    <row r="29" spans="2:10" ht="63.75" customHeight="1" x14ac:dyDescent="0.3">
      <c r="B29" s="431"/>
      <c r="C29" s="184" t="s">
        <v>360</v>
      </c>
      <c r="D29" s="516" t="s">
        <v>17</v>
      </c>
      <c r="E29" s="171">
        <v>2</v>
      </c>
      <c r="F29" s="246">
        <f>IF(D29="yes",2,0)</f>
        <v>2</v>
      </c>
      <c r="G29" s="962"/>
      <c r="H29" s="963"/>
      <c r="I29" s="543"/>
      <c r="J29" s="701"/>
    </row>
    <row r="30" spans="2:10" ht="39.6" x14ac:dyDescent="0.3">
      <c r="B30" s="432"/>
      <c r="C30" s="184" t="s">
        <v>361</v>
      </c>
      <c r="D30" s="517" t="s">
        <v>17</v>
      </c>
      <c r="E30" s="171">
        <v>2</v>
      </c>
      <c r="F30" s="246">
        <f t="shared" ref="F30:F39" si="0">IF(D30="yes",2,0)</f>
        <v>2</v>
      </c>
      <c r="G30" s="962"/>
      <c r="H30" s="963"/>
      <c r="I30" s="543"/>
      <c r="J30" s="701"/>
    </row>
    <row r="31" spans="2:10" ht="63" customHeight="1" x14ac:dyDescent="0.3">
      <c r="B31" s="433"/>
      <c r="C31" s="184" t="s">
        <v>362</v>
      </c>
      <c r="D31" s="516" t="s">
        <v>17</v>
      </c>
      <c r="E31" s="171">
        <v>1</v>
      </c>
      <c r="F31" s="246">
        <f>IF(D31="yes",1,0)</f>
        <v>1</v>
      </c>
      <c r="G31" s="962"/>
      <c r="H31" s="963"/>
      <c r="I31" s="543"/>
      <c r="J31" s="701"/>
    </row>
    <row r="32" spans="2:10" ht="39.6" x14ac:dyDescent="0.3">
      <c r="B32" s="434"/>
      <c r="C32" s="184" t="s">
        <v>758</v>
      </c>
      <c r="D32" s="516" t="s">
        <v>17</v>
      </c>
      <c r="E32" s="171">
        <v>2</v>
      </c>
      <c r="F32" s="246">
        <f t="shared" si="0"/>
        <v>2</v>
      </c>
      <c r="G32" s="962"/>
      <c r="H32" s="963"/>
      <c r="I32" s="543"/>
      <c r="J32" s="701"/>
    </row>
    <row r="33" spans="2:10" ht="26.4" x14ac:dyDescent="0.3">
      <c r="B33" s="434"/>
      <c r="C33" s="184" t="s">
        <v>363</v>
      </c>
      <c r="D33" s="516" t="s">
        <v>17</v>
      </c>
      <c r="E33" s="171">
        <v>2</v>
      </c>
      <c r="F33" s="246">
        <f t="shared" si="0"/>
        <v>2</v>
      </c>
      <c r="G33" s="962"/>
      <c r="H33" s="963"/>
      <c r="I33" s="543"/>
      <c r="J33" s="701"/>
    </row>
    <row r="34" spans="2:10" ht="39.6" x14ac:dyDescent="0.3">
      <c r="B34" s="422">
        <v>3</v>
      </c>
      <c r="C34" s="172" t="s">
        <v>364</v>
      </c>
      <c r="D34" s="516" t="s">
        <v>17</v>
      </c>
      <c r="E34" s="171">
        <v>1</v>
      </c>
      <c r="F34" s="246">
        <f>IF(D34="yes",1,0)</f>
        <v>1</v>
      </c>
      <c r="G34" s="962"/>
      <c r="H34" s="963"/>
      <c r="I34" s="543"/>
      <c r="J34" s="701"/>
    </row>
    <row r="35" spans="2:10" ht="39.6" x14ac:dyDescent="0.3">
      <c r="B35" s="422">
        <v>4</v>
      </c>
      <c r="C35" s="172" t="s">
        <v>365</v>
      </c>
      <c r="D35" s="516" t="s">
        <v>17</v>
      </c>
      <c r="E35" s="171">
        <v>1</v>
      </c>
      <c r="F35" s="246">
        <f>IF(D35="yes",1,0)</f>
        <v>1</v>
      </c>
      <c r="G35" s="962"/>
      <c r="H35" s="963"/>
      <c r="I35" s="543"/>
      <c r="J35" s="701"/>
    </row>
    <row r="36" spans="2:10" ht="52.8" x14ac:dyDescent="0.3">
      <c r="B36" s="422">
        <v>5</v>
      </c>
      <c r="C36" s="172" t="s">
        <v>366</v>
      </c>
      <c r="D36" s="516" t="s">
        <v>17</v>
      </c>
      <c r="E36" s="171">
        <v>1</v>
      </c>
      <c r="F36" s="246">
        <f>IF(D36="yes",1,0)</f>
        <v>1</v>
      </c>
      <c r="G36" s="962"/>
      <c r="H36" s="963"/>
      <c r="I36" s="543"/>
      <c r="J36" s="701"/>
    </row>
    <row r="37" spans="2:10" ht="39.6" x14ac:dyDescent="0.3">
      <c r="B37" s="422">
        <v>6</v>
      </c>
      <c r="C37" s="172" t="s">
        <v>367</v>
      </c>
      <c r="D37" s="516" t="s">
        <v>18</v>
      </c>
      <c r="E37" s="171">
        <v>-2</v>
      </c>
      <c r="F37" s="246">
        <f>IF(D37="yes",-2,0)</f>
        <v>0</v>
      </c>
      <c r="G37" s="962"/>
      <c r="H37" s="963"/>
      <c r="I37" s="543"/>
      <c r="J37" s="701"/>
    </row>
    <row r="38" spans="2:10" ht="39.6" x14ac:dyDescent="0.3">
      <c r="B38" s="422">
        <v>7</v>
      </c>
      <c r="C38" s="172" t="s">
        <v>727</v>
      </c>
      <c r="D38" s="516" t="s">
        <v>671</v>
      </c>
      <c r="E38" s="171">
        <v>-2</v>
      </c>
      <c r="F38" s="246">
        <f>IF(D38="no",-2,0)</f>
        <v>0</v>
      </c>
      <c r="G38" s="962"/>
      <c r="H38" s="963"/>
      <c r="I38" s="543"/>
      <c r="J38" s="701"/>
    </row>
    <row r="39" spans="2:10" ht="26.4" x14ac:dyDescent="0.3">
      <c r="B39" s="422">
        <v>8</v>
      </c>
      <c r="C39" s="172" t="s">
        <v>368</v>
      </c>
      <c r="D39" s="245" t="s">
        <v>17</v>
      </c>
      <c r="E39" s="171">
        <v>2</v>
      </c>
      <c r="F39" s="246">
        <f t="shared" si="0"/>
        <v>2</v>
      </c>
      <c r="G39" s="962"/>
      <c r="H39" s="963"/>
      <c r="I39" s="543"/>
      <c r="J39" s="701"/>
    </row>
    <row r="40" spans="2:10" x14ac:dyDescent="0.3">
      <c r="B40" s="435"/>
      <c r="C40" s="185" t="s">
        <v>369</v>
      </c>
      <c r="D40" s="186"/>
      <c r="E40" s="187">
        <v>17</v>
      </c>
      <c r="F40" s="250">
        <f>SUM(F26:F39)</f>
        <v>17</v>
      </c>
      <c r="G40" s="931">
        <f>+F40/E40</f>
        <v>1</v>
      </c>
      <c r="H40" s="932"/>
      <c r="I40" s="547"/>
      <c r="J40" s="701"/>
    </row>
    <row r="41" spans="2:10" x14ac:dyDescent="0.3">
      <c r="B41" s="436"/>
      <c r="C41" s="188"/>
      <c r="D41" s="189"/>
      <c r="E41" s="190"/>
      <c r="F41" s="188"/>
      <c r="G41" s="191"/>
      <c r="H41" s="191"/>
      <c r="I41" s="452"/>
      <c r="J41" s="701"/>
    </row>
    <row r="42" spans="2:10" x14ac:dyDescent="0.3">
      <c r="B42" s="933" t="s">
        <v>370</v>
      </c>
      <c r="C42" s="934"/>
      <c r="D42" s="934"/>
      <c r="E42" s="934"/>
      <c r="F42" s="934"/>
      <c r="G42" s="934"/>
      <c r="H42" s="934"/>
      <c r="I42" s="512"/>
      <c r="J42" s="701"/>
    </row>
    <row r="43" spans="2:10" ht="32.25" customHeight="1" x14ac:dyDescent="0.3">
      <c r="B43" s="437"/>
      <c r="C43" s="935" t="s">
        <v>371</v>
      </c>
      <c r="D43" s="936"/>
      <c r="E43" s="936"/>
      <c r="F43" s="936"/>
      <c r="G43" s="936"/>
      <c r="H43" s="936"/>
      <c r="I43" s="513"/>
      <c r="J43" s="701"/>
    </row>
    <row r="44" spans="2:10" x14ac:dyDescent="0.3">
      <c r="B44" s="438"/>
      <c r="C44" s="937" t="s">
        <v>372</v>
      </c>
      <c r="D44" s="938"/>
      <c r="E44" s="938"/>
      <c r="F44" s="938"/>
      <c r="G44" s="938"/>
      <c r="H44" s="938"/>
      <c r="I44" s="514"/>
      <c r="J44" s="701"/>
    </row>
    <row r="45" spans="2:10" x14ac:dyDescent="0.3">
      <c r="B45" s="438"/>
      <c r="C45" s="937" t="s">
        <v>373</v>
      </c>
      <c r="D45" s="938"/>
      <c r="E45" s="938"/>
      <c r="F45" s="938"/>
      <c r="G45" s="938"/>
      <c r="H45" s="938"/>
      <c r="I45" s="514"/>
      <c r="J45" s="701"/>
    </row>
    <row r="46" spans="2:10" x14ac:dyDescent="0.3">
      <c r="B46" s="438"/>
      <c r="C46" s="937" t="s">
        <v>374</v>
      </c>
      <c r="D46" s="938"/>
      <c r="E46" s="938"/>
      <c r="F46" s="938"/>
      <c r="G46" s="938"/>
      <c r="H46" s="938"/>
      <c r="I46" s="548"/>
      <c r="J46" s="701"/>
    </row>
    <row r="47" spans="2:10" x14ac:dyDescent="0.3">
      <c r="B47" s="438"/>
      <c r="C47" s="937"/>
      <c r="D47" s="938"/>
      <c r="E47" s="938"/>
      <c r="F47" s="938"/>
      <c r="G47" s="938"/>
      <c r="H47" s="938"/>
      <c r="I47" s="514"/>
      <c r="J47" s="701"/>
    </row>
    <row r="48" spans="2:10" x14ac:dyDescent="0.3">
      <c r="B48" s="438"/>
      <c r="C48" s="929" t="s">
        <v>375</v>
      </c>
      <c r="D48" s="930"/>
      <c r="E48" s="930"/>
      <c r="F48" s="930"/>
      <c r="G48" s="930"/>
      <c r="H48" s="930"/>
      <c r="I48" s="549"/>
      <c r="J48" s="701"/>
    </row>
    <row r="49" spans="1:10" x14ac:dyDescent="0.3">
      <c r="B49" s="438"/>
      <c r="C49" s="929" t="s">
        <v>376</v>
      </c>
      <c r="D49" s="930"/>
      <c r="E49" s="930"/>
      <c r="F49" s="930"/>
      <c r="G49" s="930"/>
      <c r="H49" s="930"/>
      <c r="I49" s="549"/>
      <c r="J49" s="701"/>
    </row>
    <row r="50" spans="1:10" x14ac:dyDescent="0.3">
      <c r="B50" s="439"/>
      <c r="C50" s="929" t="s">
        <v>377</v>
      </c>
      <c r="D50" s="930"/>
      <c r="E50" s="930"/>
      <c r="F50" s="930"/>
      <c r="G50" s="930"/>
      <c r="H50" s="930"/>
      <c r="I50" s="550"/>
      <c r="J50" s="701"/>
    </row>
    <row r="51" spans="1:10" ht="55.5" customHeight="1" x14ac:dyDescent="0.3">
      <c r="B51" s="421">
        <v>1</v>
      </c>
      <c r="C51" s="169" t="s">
        <v>378</v>
      </c>
      <c r="D51" s="245" t="s">
        <v>17</v>
      </c>
      <c r="E51" s="170">
        <v>4</v>
      </c>
      <c r="F51" s="247">
        <f>IF(D51="yes",4,0)</f>
        <v>4</v>
      </c>
      <c r="G51" s="941"/>
      <c r="H51" s="942"/>
      <c r="I51" s="551"/>
      <c r="J51" s="701"/>
    </row>
    <row r="52" spans="1:10" ht="26.4" x14ac:dyDescent="0.3">
      <c r="B52" s="422">
        <v>2</v>
      </c>
      <c r="C52" s="172" t="s">
        <v>379</v>
      </c>
      <c r="D52" s="245" t="s">
        <v>18</v>
      </c>
      <c r="E52" s="171">
        <v>1</v>
      </c>
      <c r="F52" s="247">
        <f>IF(D52="no",1,0)</f>
        <v>1</v>
      </c>
      <c r="G52" s="939"/>
      <c r="H52" s="940"/>
      <c r="I52" s="543"/>
      <c r="J52" s="701"/>
    </row>
    <row r="53" spans="1:10" ht="71.25" customHeight="1" x14ac:dyDescent="0.3">
      <c r="A53" s="145"/>
      <c r="B53" s="440">
        <v>2.1</v>
      </c>
      <c r="C53" s="184" t="s">
        <v>678</v>
      </c>
      <c r="D53" s="245" t="s">
        <v>671</v>
      </c>
      <c r="E53" s="171">
        <v>-2</v>
      </c>
      <c r="F53" s="247">
        <f>IF(D53="NO",-2,0)</f>
        <v>0</v>
      </c>
      <c r="G53" s="923"/>
      <c r="H53" s="924"/>
      <c r="I53" s="543"/>
      <c r="J53" s="702"/>
    </row>
    <row r="54" spans="1:10" ht="55.5" customHeight="1" x14ac:dyDescent="0.3">
      <c r="B54" s="422">
        <v>3</v>
      </c>
      <c r="C54" s="172" t="s">
        <v>380</v>
      </c>
      <c r="D54" s="245" t="s">
        <v>17</v>
      </c>
      <c r="E54" s="171">
        <v>1</v>
      </c>
      <c r="F54" s="247">
        <f>IF(D54="yes",1,0)</f>
        <v>1</v>
      </c>
      <c r="G54" s="901"/>
      <c r="H54" s="922"/>
      <c r="I54" s="543"/>
      <c r="J54" s="701"/>
    </row>
    <row r="55" spans="1:10" ht="49.5" customHeight="1" x14ac:dyDescent="0.3">
      <c r="B55" s="422">
        <v>4</v>
      </c>
      <c r="C55" s="172" t="s">
        <v>381</v>
      </c>
      <c r="D55" s="245" t="s">
        <v>17</v>
      </c>
      <c r="E55" s="171">
        <v>1</v>
      </c>
      <c r="F55" s="247">
        <f>IF(D55="yes",1,0)</f>
        <v>1</v>
      </c>
      <c r="G55" s="901"/>
      <c r="H55" s="922"/>
      <c r="I55" s="543"/>
      <c r="J55" s="701"/>
    </row>
    <row r="56" spans="1:10" ht="68.25" customHeight="1" x14ac:dyDescent="0.3">
      <c r="B56" s="422">
        <v>5</v>
      </c>
      <c r="C56" s="172" t="s">
        <v>382</v>
      </c>
      <c r="D56" s="245" t="s">
        <v>17</v>
      </c>
      <c r="E56" s="171">
        <v>2</v>
      </c>
      <c r="F56" s="247">
        <f>IF(D56="yes",2,0)</f>
        <v>2</v>
      </c>
      <c r="G56" s="901"/>
      <c r="H56" s="922"/>
      <c r="I56" s="543"/>
      <c r="J56" s="701"/>
    </row>
    <row r="57" spans="1:10" ht="69.75" customHeight="1" x14ac:dyDescent="0.3">
      <c r="B57" s="422">
        <v>6</v>
      </c>
      <c r="C57" s="172" t="s">
        <v>383</v>
      </c>
      <c r="D57" s="245" t="s">
        <v>18</v>
      </c>
      <c r="E57" s="171">
        <v>-2</v>
      </c>
      <c r="F57" s="247">
        <f>IF(D57="yes",-2,0)</f>
        <v>0</v>
      </c>
      <c r="G57" s="901"/>
      <c r="H57" s="922"/>
      <c r="I57" s="543"/>
      <c r="J57" s="701"/>
    </row>
    <row r="58" spans="1:10" ht="71.25" customHeight="1" x14ac:dyDescent="0.3">
      <c r="B58" s="422">
        <v>7</v>
      </c>
      <c r="C58" s="172" t="s">
        <v>384</v>
      </c>
      <c r="D58" s="245" t="s">
        <v>18</v>
      </c>
      <c r="E58" s="171">
        <v>3</v>
      </c>
      <c r="F58" s="247">
        <f>IF(D58="yes",3,0)</f>
        <v>0</v>
      </c>
      <c r="G58" s="901"/>
      <c r="H58" s="922"/>
      <c r="I58" s="543"/>
      <c r="J58" s="701"/>
    </row>
    <row r="59" spans="1:10" x14ac:dyDescent="0.3">
      <c r="B59" s="435"/>
      <c r="C59" s="185" t="s">
        <v>385</v>
      </c>
      <c r="D59" s="186"/>
      <c r="E59" s="187">
        <f>SUMIF(E51:E58,"&gt;0",E51:E58)</f>
        <v>12</v>
      </c>
      <c r="F59" s="250">
        <f>SUM(F51:F58)</f>
        <v>9</v>
      </c>
      <c r="G59" s="925">
        <f>+F59/E59</f>
        <v>0.75</v>
      </c>
      <c r="H59" s="926"/>
      <c r="I59" s="552"/>
      <c r="J59" s="701"/>
    </row>
    <row r="60" spans="1:10" x14ac:dyDescent="0.3">
      <c r="B60" s="436"/>
      <c r="C60" s="188"/>
      <c r="D60" s="189"/>
      <c r="E60" s="190"/>
      <c r="F60" s="188"/>
      <c r="G60" s="191"/>
      <c r="H60" s="191"/>
      <c r="I60" s="452"/>
      <c r="J60" s="701"/>
    </row>
    <row r="61" spans="1:10" x14ac:dyDescent="0.3">
      <c r="B61" s="933" t="s">
        <v>386</v>
      </c>
      <c r="C61" s="934"/>
      <c r="D61" s="934"/>
      <c r="E61" s="934"/>
      <c r="F61" s="934"/>
      <c r="G61" s="934"/>
      <c r="H61" s="934"/>
      <c r="I61" s="512"/>
      <c r="J61" s="701"/>
    </row>
    <row r="62" spans="1:10" ht="33" customHeight="1" x14ac:dyDescent="0.3">
      <c r="B62" s="511"/>
      <c r="C62" s="927" t="s">
        <v>674</v>
      </c>
      <c r="D62" s="928"/>
      <c r="E62" s="928"/>
      <c r="F62" s="928"/>
      <c r="G62" s="928"/>
      <c r="H62" s="928"/>
      <c r="I62" s="512"/>
      <c r="J62" s="701"/>
    </row>
    <row r="63" spans="1:10" ht="33.75" customHeight="1" x14ac:dyDescent="0.3">
      <c r="B63" s="441"/>
      <c r="C63" s="918" t="s">
        <v>759</v>
      </c>
      <c r="D63" s="918"/>
      <c r="E63" s="918"/>
      <c r="F63" s="918"/>
      <c r="G63" s="918"/>
      <c r="H63" s="918"/>
      <c r="I63" s="509"/>
      <c r="J63" s="701"/>
    </row>
    <row r="64" spans="1:10" ht="45" customHeight="1" x14ac:dyDescent="0.3">
      <c r="B64" s="442">
        <v>1</v>
      </c>
      <c r="C64" s="919" t="s">
        <v>387</v>
      </c>
      <c r="D64" s="920"/>
      <c r="E64" s="921"/>
      <c r="F64" s="921"/>
      <c r="G64" s="921"/>
      <c r="H64" s="921"/>
      <c r="I64" s="510"/>
      <c r="J64" s="701"/>
    </row>
    <row r="65" spans="2:11" ht="59.25" customHeight="1" x14ac:dyDescent="0.3">
      <c r="B65" s="501">
        <v>1.1000000000000001</v>
      </c>
      <c r="C65" s="192" t="s">
        <v>680</v>
      </c>
      <c r="D65" s="245" t="s">
        <v>18</v>
      </c>
      <c r="E65" s="291">
        <v>20</v>
      </c>
      <c r="F65" s="248">
        <f>IF(D65="yes",20,0)</f>
        <v>0</v>
      </c>
      <c r="G65" s="901"/>
      <c r="H65" s="922"/>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3">
      <c r="B66" s="501">
        <v>1.2</v>
      </c>
      <c r="C66" s="192" t="s">
        <v>679</v>
      </c>
      <c r="D66" s="245" t="s">
        <v>18</v>
      </c>
      <c r="E66" s="291">
        <v>15</v>
      </c>
      <c r="F66" s="248">
        <f>IF(D66="yes",15,0)</f>
        <v>0</v>
      </c>
      <c r="G66" s="901"/>
      <c r="H66" s="922"/>
      <c r="I66" s="553"/>
      <c r="J66" s="703" t="str">
        <f>IF(OR(AND(D66="yes",I66=""),(AND(D66="",I66="")),D66=""),"incomplete","complete")</f>
        <v>complete</v>
      </c>
      <c r="K66" s="145" t="str">
        <f>IF(D66="yes", "Enter details of your EMS certifcate number, certification body and their UKAS registration number into cell I66","")</f>
        <v/>
      </c>
    </row>
    <row r="67" spans="2:11" ht="144" x14ac:dyDescent="0.3">
      <c r="B67" s="501">
        <v>1.3</v>
      </c>
      <c r="C67" s="192" t="s">
        <v>748</v>
      </c>
      <c r="D67" s="245" t="s">
        <v>17</v>
      </c>
      <c r="E67" s="292">
        <v>12</v>
      </c>
      <c r="F67" s="248">
        <f>IF(D67="yes",12,0)</f>
        <v>12</v>
      </c>
      <c r="G67" s="901"/>
      <c r="H67" s="922"/>
      <c r="I67" s="553" t="s">
        <v>804</v>
      </c>
      <c r="J67" s="703"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
      <c r="B68" s="435"/>
      <c r="C68" s="193" t="s">
        <v>388</v>
      </c>
      <c r="D68" s="504"/>
      <c r="E68" s="504">
        <v>20</v>
      </c>
      <c r="F68" s="249">
        <f>IF(D65="yes",F65,(IF(D66="yes",F66,(IF(D67="yes",F67,0)))))</f>
        <v>12</v>
      </c>
      <c r="G68" s="914">
        <f>+F68/E68</f>
        <v>0.6</v>
      </c>
      <c r="H68" s="915"/>
      <c r="I68" s="554" t="s">
        <v>431</v>
      </c>
      <c r="J68" s="701"/>
    </row>
    <row r="69" spans="2:11" x14ac:dyDescent="0.3">
      <c r="B69" s="443">
        <v>2</v>
      </c>
      <c r="C69" s="916" t="s">
        <v>658</v>
      </c>
      <c r="D69" s="917"/>
      <c r="E69" s="917"/>
      <c r="F69" s="917"/>
      <c r="G69" s="917"/>
      <c r="H69" s="917"/>
      <c r="I69" s="917"/>
      <c r="J69" s="701"/>
    </row>
    <row r="70" spans="2:11" ht="47.25" customHeight="1" x14ac:dyDescent="0.3">
      <c r="B70" s="430">
        <v>2.1</v>
      </c>
      <c r="C70" s="911" t="s">
        <v>389</v>
      </c>
      <c r="D70" s="913"/>
      <c r="E70" s="913"/>
      <c r="F70" s="913"/>
      <c r="G70" s="913"/>
      <c r="H70" s="913"/>
      <c r="I70" s="913"/>
      <c r="J70" s="701"/>
    </row>
    <row r="71" spans="2:11" ht="90.75" customHeight="1" x14ac:dyDescent="0.3">
      <c r="B71" s="422"/>
      <c r="C71" s="194" t="s">
        <v>390</v>
      </c>
      <c r="D71" s="245" t="s">
        <v>17</v>
      </c>
      <c r="E71" s="293">
        <v>1</v>
      </c>
      <c r="F71" s="246">
        <f>IF(D71="Yes",1,0)</f>
        <v>1</v>
      </c>
      <c r="G71" s="901"/>
      <c r="H71" s="902"/>
      <c r="I71" s="543" t="s">
        <v>796</v>
      </c>
      <c r="J71" s="703" t="str">
        <f>IF(OR(AND(D71="yes",I71=""),(AND(D71="",I71="")),D71=""),"incomplete","complete")</f>
        <v>complete</v>
      </c>
    </row>
    <row r="72" spans="2:11" ht="53.25" customHeight="1" x14ac:dyDescent="0.3">
      <c r="B72" s="422"/>
      <c r="C72" s="194" t="s">
        <v>391</v>
      </c>
      <c r="D72" s="245" t="s">
        <v>17</v>
      </c>
      <c r="E72" s="293">
        <v>1</v>
      </c>
      <c r="F72" s="246">
        <f t="shared" ref="F72:F83" si="1">IF(D72="Yes",1,0)</f>
        <v>1</v>
      </c>
      <c r="G72" s="901"/>
      <c r="H72" s="902"/>
      <c r="I72" s="543" t="s">
        <v>796</v>
      </c>
      <c r="J72" s="703" t="str">
        <f>IF(OR(AND(D72="yes",I72=""),(AND(D72="",I72="")),D72=""),"incomplete","complete")</f>
        <v>complete</v>
      </c>
    </row>
    <row r="73" spans="2:11" ht="39.6" x14ac:dyDescent="0.3">
      <c r="B73" s="444"/>
      <c r="C73" s="195" t="s">
        <v>392</v>
      </c>
      <c r="D73" s="245" t="s">
        <v>17</v>
      </c>
      <c r="E73" s="294">
        <v>1</v>
      </c>
      <c r="F73" s="246">
        <f t="shared" si="1"/>
        <v>1</v>
      </c>
      <c r="G73" s="901"/>
      <c r="H73" s="902"/>
      <c r="I73" s="555" t="s">
        <v>796</v>
      </c>
      <c r="J73" s="703" t="str">
        <f>IF(OR(AND(D73="yes",I73=""),(AND(D73="",I73="")),D73=""),"incomplete","complete")</f>
        <v>complete</v>
      </c>
    </row>
    <row r="74" spans="2:11" ht="40.5" customHeight="1" x14ac:dyDescent="0.3">
      <c r="B74" s="445">
        <v>2.2000000000000002</v>
      </c>
      <c r="C74" s="911" t="s">
        <v>393</v>
      </c>
      <c r="D74" s="912"/>
      <c r="E74" s="913"/>
      <c r="F74" s="913"/>
      <c r="G74" s="913"/>
      <c r="H74" s="913"/>
      <c r="I74" s="556"/>
      <c r="J74" s="701"/>
    </row>
    <row r="75" spans="2:11" ht="72.75" customHeight="1" x14ac:dyDescent="0.3">
      <c r="B75" s="434"/>
      <c r="C75" s="194" t="s">
        <v>394</v>
      </c>
      <c r="D75" s="245" t="s">
        <v>17</v>
      </c>
      <c r="E75" s="295">
        <v>1</v>
      </c>
      <c r="F75" s="246">
        <f t="shared" si="1"/>
        <v>1</v>
      </c>
      <c r="G75" s="901"/>
      <c r="H75" s="902"/>
      <c r="I75" s="543" t="s">
        <v>796</v>
      </c>
      <c r="J75" s="703" t="str">
        <f t="shared" ref="J75:J81" si="2">IF(OR(AND(D75="yes",I75=""),(AND(D75="",I75="")),D75=""),"incomplete","complete")</f>
        <v>complete</v>
      </c>
    </row>
    <row r="76" spans="2:11" ht="27" customHeight="1" x14ac:dyDescent="0.3">
      <c r="B76" s="434"/>
      <c r="C76" s="194" t="s">
        <v>395</v>
      </c>
      <c r="D76" s="245" t="s">
        <v>17</v>
      </c>
      <c r="E76" s="295">
        <v>1</v>
      </c>
      <c r="F76" s="246">
        <f t="shared" si="1"/>
        <v>1</v>
      </c>
      <c r="G76" s="901"/>
      <c r="H76" s="902"/>
      <c r="I76" s="557" t="s">
        <v>796</v>
      </c>
      <c r="J76" s="703" t="str">
        <f t="shared" si="2"/>
        <v>complete</v>
      </c>
    </row>
    <row r="77" spans="2:11" ht="31.5" customHeight="1" x14ac:dyDescent="0.3">
      <c r="B77" s="434"/>
      <c r="C77" s="194" t="s">
        <v>396</v>
      </c>
      <c r="D77" s="245" t="s">
        <v>17</v>
      </c>
      <c r="E77" s="295">
        <v>1</v>
      </c>
      <c r="F77" s="246">
        <f t="shared" si="1"/>
        <v>1</v>
      </c>
      <c r="G77" s="901"/>
      <c r="H77" s="902"/>
      <c r="I77" s="543" t="s">
        <v>796</v>
      </c>
      <c r="J77" s="703" t="str">
        <f t="shared" si="2"/>
        <v>complete</v>
      </c>
    </row>
    <row r="78" spans="2:11" ht="70.5" customHeight="1" x14ac:dyDescent="0.3">
      <c r="B78" s="431"/>
      <c r="C78" s="195" t="s">
        <v>397</v>
      </c>
      <c r="D78" s="245" t="s">
        <v>17</v>
      </c>
      <c r="E78" s="296">
        <v>1</v>
      </c>
      <c r="F78" s="246">
        <f t="shared" si="1"/>
        <v>1</v>
      </c>
      <c r="G78" s="901"/>
      <c r="H78" s="902"/>
      <c r="I78" s="555" t="s">
        <v>796</v>
      </c>
      <c r="J78" s="703" t="str">
        <f t="shared" si="2"/>
        <v>complete</v>
      </c>
    </row>
    <row r="79" spans="2:11" ht="40.5" customHeight="1" x14ac:dyDescent="0.3">
      <c r="B79" s="446">
        <v>2.2999999999999998</v>
      </c>
      <c r="C79" s="308" t="s">
        <v>398</v>
      </c>
      <c r="D79" s="245" t="s">
        <v>18</v>
      </c>
      <c r="E79" s="297">
        <v>1</v>
      </c>
      <c r="F79" s="246">
        <f t="shared" si="1"/>
        <v>0</v>
      </c>
      <c r="G79" s="901"/>
      <c r="H79" s="902"/>
      <c r="I79" s="558" t="s">
        <v>796</v>
      </c>
      <c r="J79" s="703" t="str">
        <f t="shared" si="2"/>
        <v>complete</v>
      </c>
    </row>
    <row r="80" spans="2:11" ht="103.5" customHeight="1" x14ac:dyDescent="0.3">
      <c r="B80" s="447">
        <v>2.4</v>
      </c>
      <c r="C80" s="309" t="s">
        <v>399</v>
      </c>
      <c r="D80" s="245" t="s">
        <v>18</v>
      </c>
      <c r="E80" s="298">
        <v>2</v>
      </c>
      <c r="F80" s="246">
        <f>IF(D80="Yes",2,0)</f>
        <v>0</v>
      </c>
      <c r="G80" s="901"/>
      <c r="H80" s="902"/>
      <c r="I80" s="559"/>
      <c r="J80" s="703" t="str">
        <f t="shared" si="2"/>
        <v>complete</v>
      </c>
    </row>
    <row r="81" spans="2:11" ht="98.25" customHeight="1" x14ac:dyDescent="0.3">
      <c r="B81" s="429">
        <v>2.5</v>
      </c>
      <c r="C81" s="310" t="s">
        <v>400</v>
      </c>
      <c r="D81" s="245" t="s">
        <v>18</v>
      </c>
      <c r="E81" s="299">
        <v>1</v>
      </c>
      <c r="F81" s="246">
        <f t="shared" si="1"/>
        <v>0</v>
      </c>
      <c r="G81" s="901"/>
      <c r="H81" s="902"/>
      <c r="I81" s="560" t="s">
        <v>796</v>
      </c>
      <c r="J81" s="703" t="str">
        <f t="shared" si="2"/>
        <v>complete</v>
      </c>
    </row>
    <row r="82" spans="2:11" ht="37.5" customHeight="1" x14ac:dyDescent="0.3">
      <c r="B82" s="429"/>
      <c r="C82" s="908" t="s">
        <v>673</v>
      </c>
      <c r="D82" s="909"/>
      <c r="E82" s="909"/>
      <c r="F82" s="910"/>
      <c r="G82" s="506"/>
      <c r="H82" s="507"/>
      <c r="I82" s="560"/>
      <c r="J82" s="701"/>
    </row>
    <row r="83" spans="2:11" ht="113.25" customHeight="1" x14ac:dyDescent="0.3">
      <c r="B83" s="448">
        <v>3</v>
      </c>
      <c r="C83" s="196" t="s">
        <v>659</v>
      </c>
      <c r="D83" s="252" t="s">
        <v>18</v>
      </c>
      <c r="E83" s="300">
        <v>1</v>
      </c>
      <c r="F83" s="246">
        <f t="shared" si="1"/>
        <v>0</v>
      </c>
      <c r="G83" s="901"/>
      <c r="H83" s="902"/>
      <c r="I83" s="561"/>
      <c r="J83" s="704" t="str">
        <f>IF(OR(AND(D65="yes",I65="",D83=""),OR(AND(D66="yes",D83="yes",I83=""),D83=""),OR(AND(D67="yes",D83="yes",I83=""),D83=""),OR(AND(D65="no",D66="no",D67="no",D83="yes",I83="")),D83=""),"incomplete","complete")</f>
        <v>complete</v>
      </c>
      <c r="K83" s="145" t="str">
        <f>IF(D83="Yes","Provide a link to the public environmental statement in cell I83","")</f>
        <v/>
      </c>
    </row>
    <row r="84" spans="2:11" ht="68.25" customHeight="1" x14ac:dyDescent="0.3">
      <c r="B84" s="448">
        <v>4</v>
      </c>
      <c r="C84" s="196" t="s">
        <v>669</v>
      </c>
      <c r="D84" s="252" t="s">
        <v>728</v>
      </c>
      <c r="E84" s="300">
        <v>-2</v>
      </c>
      <c r="F84" s="254">
        <f>IF(D84="none",0,IF(D84="5 or more",10,+E84*D84))</f>
        <v>0</v>
      </c>
      <c r="G84" s="901"/>
      <c r="H84" s="902"/>
      <c r="I84" s="562"/>
      <c r="J84" s="705" t="str">
        <f>IF(OR(D8="none",D84&gt;0),"complete","InComplete")</f>
        <v>complete</v>
      </c>
    </row>
    <row r="85" spans="2:11" x14ac:dyDescent="0.3">
      <c r="B85" s="449"/>
      <c r="C85" s="197" t="s">
        <v>401</v>
      </c>
      <c r="D85" s="198"/>
      <c r="E85" s="198">
        <v>20</v>
      </c>
      <c r="F85" s="253">
        <f>SUM(F75:F84)+SUM(F68:F73)</f>
        <v>19</v>
      </c>
      <c r="G85" s="906">
        <f>+F85/E85</f>
        <v>0.95</v>
      </c>
      <c r="H85" s="907"/>
      <c r="I85" s="191"/>
      <c r="J85" s="701"/>
      <c r="K85" s="579"/>
    </row>
    <row r="86" spans="2:11" x14ac:dyDescent="0.3">
      <c r="B86" s="450"/>
      <c r="C86" s="199"/>
      <c r="D86" s="200"/>
      <c r="E86" s="201"/>
      <c r="F86" s="201"/>
      <c r="G86" s="451"/>
      <c r="H86" s="452"/>
      <c r="I86" s="563">
        <v>45383</v>
      </c>
      <c r="J86" s="701"/>
      <c r="K86" s="579"/>
    </row>
    <row r="87" spans="2:11" ht="15" customHeight="1" x14ac:dyDescent="0.3">
      <c r="B87" s="903" t="s">
        <v>402</v>
      </c>
      <c r="C87" s="904"/>
      <c r="D87" s="904"/>
      <c r="E87" s="508"/>
      <c r="F87" s="508"/>
      <c r="G87" s="508"/>
      <c r="H87" s="508"/>
      <c r="I87" s="202"/>
      <c r="J87" s="701"/>
      <c r="K87" s="579"/>
    </row>
    <row r="88" spans="2:11" ht="37.5" customHeight="1" x14ac:dyDescent="0.3">
      <c r="B88" s="453"/>
      <c r="C88" s="203"/>
      <c r="D88" s="203"/>
      <c r="E88" s="203"/>
      <c r="F88" s="203"/>
      <c r="G88" s="688" t="s">
        <v>761</v>
      </c>
      <c r="H88" s="688" t="s">
        <v>776</v>
      </c>
      <c r="I88" s="688" t="s">
        <v>784</v>
      </c>
      <c r="J88" s="701"/>
      <c r="K88" s="579"/>
    </row>
    <row r="89" spans="2:11" x14ac:dyDescent="0.3">
      <c r="B89" s="501">
        <v>1</v>
      </c>
      <c r="C89" s="905" t="s">
        <v>660</v>
      </c>
      <c r="D89" s="884">
        <f>COUNT(H89:H94)</f>
        <v>0</v>
      </c>
      <c r="E89" s="895" t="s">
        <v>403</v>
      </c>
      <c r="F89" s="689" t="str">
        <f>IF(ISBLANK(G89),"",IF(I89&lt;$I$86,"Spent",IF(F88="SPENT",1,+F88+1)))</f>
        <v/>
      </c>
      <c r="G89" s="692"/>
      <c r="H89" s="691"/>
      <c r="I89" s="691"/>
      <c r="J89" s="701"/>
      <c r="K89" s="306"/>
    </row>
    <row r="90" spans="2:11" x14ac:dyDescent="0.3">
      <c r="B90" s="502"/>
      <c r="C90" s="882"/>
      <c r="D90" s="885"/>
      <c r="E90" s="895"/>
      <c r="F90" s="689" t="str">
        <f>IF(ISBLANK(G90),"",IF(I90&lt;$I$86,"Spent",IF(F89="SPENT",1,+F89+1)))</f>
        <v/>
      </c>
      <c r="G90" s="692"/>
      <c r="H90" s="691"/>
      <c r="I90" s="691"/>
      <c r="J90" s="701"/>
      <c r="K90" s="306"/>
    </row>
    <row r="91" spans="2:11" x14ac:dyDescent="0.3">
      <c r="B91" s="502"/>
      <c r="C91" s="882"/>
      <c r="D91" s="885"/>
      <c r="E91" s="895"/>
      <c r="F91" s="689" t="str">
        <f t="shared" ref="F91:F94" si="3">IF(ISBLANK(G91),"",IF(I91&lt;$I$86,"Spent",IF(F90="SPENT",1,+F90+1)))</f>
        <v/>
      </c>
      <c r="G91" s="692"/>
      <c r="H91" s="691"/>
      <c r="I91" s="691"/>
      <c r="J91" s="701"/>
      <c r="K91" s="306"/>
    </row>
    <row r="92" spans="2:11" x14ac:dyDescent="0.3">
      <c r="B92" s="502"/>
      <c r="C92" s="882"/>
      <c r="D92" s="885"/>
      <c r="E92" s="895"/>
      <c r="F92" s="689" t="str">
        <f t="shared" si="3"/>
        <v/>
      </c>
      <c r="G92" s="692"/>
      <c r="H92" s="691"/>
      <c r="I92" s="691"/>
      <c r="J92" s="701"/>
      <c r="K92" s="306"/>
    </row>
    <row r="93" spans="2:11" ht="32.25" customHeight="1" x14ac:dyDescent="0.3">
      <c r="B93" s="502"/>
      <c r="C93" s="882"/>
      <c r="D93" s="885"/>
      <c r="E93" s="895"/>
      <c r="F93" s="689" t="str">
        <f t="shared" si="3"/>
        <v/>
      </c>
      <c r="G93" s="692"/>
      <c r="H93" s="691"/>
      <c r="I93" s="691"/>
      <c r="J93" s="701"/>
      <c r="K93" s="306"/>
    </row>
    <row r="94" spans="2:11" ht="34.5" customHeight="1" x14ac:dyDescent="0.3">
      <c r="B94" s="503"/>
      <c r="C94" s="883"/>
      <c r="D94" s="886"/>
      <c r="E94" s="896"/>
      <c r="F94" s="689" t="str">
        <f t="shared" si="3"/>
        <v/>
      </c>
      <c r="G94" s="692"/>
      <c r="H94" s="691"/>
      <c r="I94" s="691"/>
      <c r="J94" s="701"/>
      <c r="K94" s="306"/>
    </row>
    <row r="95" spans="2:11" ht="34.5" customHeight="1" x14ac:dyDescent="0.3">
      <c r="B95" s="502"/>
      <c r="C95" s="684"/>
      <c r="D95" s="685"/>
      <c r="E95" s="685"/>
      <c r="F95" s="689"/>
      <c r="G95" s="688" t="s">
        <v>761</v>
      </c>
      <c r="H95" s="688" t="s">
        <v>776</v>
      </c>
      <c r="I95" s="695" t="s">
        <v>785</v>
      </c>
      <c r="J95" s="701"/>
      <c r="K95" s="306"/>
    </row>
    <row r="96" spans="2:11" x14ac:dyDescent="0.3">
      <c r="B96" s="878">
        <v>2</v>
      </c>
      <c r="C96" s="881" t="s">
        <v>661</v>
      </c>
      <c r="D96" s="884">
        <f>COUNT(H96:H101)</f>
        <v>0</v>
      </c>
      <c r="E96" s="900" t="s">
        <v>403</v>
      </c>
      <c r="F96" s="689" t="str">
        <f>IF(ISBLANK(G96),"",IF(I96&lt;$I$86,"Spent",1))</f>
        <v/>
      </c>
      <c r="G96" s="692"/>
      <c r="H96" s="691"/>
      <c r="I96" s="693" t="str">
        <f>IF(ISBLANK(H96),"",+H96+365*3)</f>
        <v/>
      </c>
      <c r="J96" s="701"/>
      <c r="K96" s="687"/>
    </row>
    <row r="97" spans="2:11" x14ac:dyDescent="0.3">
      <c r="B97" s="879"/>
      <c r="C97" s="882"/>
      <c r="D97" s="885"/>
      <c r="E97" s="895"/>
      <c r="F97" s="689" t="str">
        <f>IF(ISBLANK(G97),"",IF(I97&lt;$I$86,"Spent",IF(F96="SPENT",1,+F96+1)))</f>
        <v/>
      </c>
      <c r="G97" s="692"/>
      <c r="H97" s="691"/>
      <c r="I97" s="693" t="str">
        <f>IF(ISBLANK(H97),"",+H97+365*3)</f>
        <v/>
      </c>
      <c r="J97" s="701"/>
      <c r="K97" s="687"/>
    </row>
    <row r="98" spans="2:11" x14ac:dyDescent="0.3">
      <c r="B98" s="879"/>
      <c r="C98" s="882"/>
      <c r="D98" s="885"/>
      <c r="E98" s="895"/>
      <c r="F98" s="689" t="str">
        <f t="shared" ref="F98:F101" si="4">IF(ISBLANK(G98),"",IF(K98&lt;$I$86,"Spent",IF(F97="SPENT",1,+F97+1)))</f>
        <v/>
      </c>
      <c r="G98" s="692"/>
      <c r="H98" s="691"/>
      <c r="I98" s="693" t="str">
        <f>IF(ISBLANK(H98),"",+H98+365*3)</f>
        <v/>
      </c>
      <c r="J98" s="701"/>
      <c r="K98" s="687"/>
    </row>
    <row r="99" spans="2:11" x14ac:dyDescent="0.3">
      <c r="B99" s="879"/>
      <c r="C99" s="882"/>
      <c r="D99" s="885"/>
      <c r="E99" s="895"/>
      <c r="F99" s="689" t="str">
        <f t="shared" si="4"/>
        <v/>
      </c>
      <c r="G99" s="692"/>
      <c r="H99" s="691"/>
      <c r="I99" s="693" t="str">
        <f t="shared" ref="I99:I101" si="5">IF(ISBLANK(H99),"",+H99+365*3)</f>
        <v/>
      </c>
      <c r="J99" s="701"/>
      <c r="K99" s="687"/>
    </row>
    <row r="100" spans="2:11" x14ac:dyDescent="0.3">
      <c r="B100" s="879"/>
      <c r="C100" s="882"/>
      <c r="D100" s="885"/>
      <c r="E100" s="895"/>
      <c r="F100" s="689" t="str">
        <f t="shared" si="4"/>
        <v/>
      </c>
      <c r="G100" s="692"/>
      <c r="H100" s="691"/>
      <c r="I100" s="693" t="str">
        <f t="shared" si="5"/>
        <v/>
      </c>
      <c r="J100" s="701"/>
      <c r="K100" s="687"/>
    </row>
    <row r="101" spans="2:11" x14ac:dyDescent="0.3">
      <c r="B101" s="880"/>
      <c r="C101" s="883"/>
      <c r="D101" s="886"/>
      <c r="E101" s="896"/>
      <c r="F101" s="689" t="str">
        <f t="shared" si="4"/>
        <v/>
      </c>
      <c r="G101" s="692"/>
      <c r="H101" s="691"/>
      <c r="I101" s="693" t="str">
        <f t="shared" si="5"/>
        <v/>
      </c>
      <c r="J101" s="701"/>
      <c r="K101" s="687"/>
    </row>
    <row r="102" spans="2:11" ht="26.4" x14ac:dyDescent="0.3">
      <c r="B102" s="502"/>
      <c r="C102" s="684"/>
      <c r="D102" s="685"/>
      <c r="E102" s="685"/>
      <c r="F102" s="689"/>
      <c r="G102" s="688" t="s">
        <v>761</v>
      </c>
      <c r="H102" s="688" t="s">
        <v>776</v>
      </c>
      <c r="I102" s="695" t="s">
        <v>786</v>
      </c>
      <c r="J102" s="701"/>
      <c r="K102" s="687"/>
    </row>
    <row r="103" spans="2:11" x14ac:dyDescent="0.3">
      <c r="B103" s="878">
        <v>3</v>
      </c>
      <c r="C103" s="881" t="s">
        <v>662</v>
      </c>
      <c r="D103" s="884">
        <f>COUNT(H103:H108)</f>
        <v>0</v>
      </c>
      <c r="E103" s="887" t="s">
        <v>404</v>
      </c>
      <c r="F103" s="689" t="str">
        <f>IF(ISBLANK(G103),"",IF(I103&lt;$I$86,"Spent",1))</f>
        <v/>
      </c>
      <c r="G103" s="692"/>
      <c r="H103" s="691"/>
      <c r="I103" s="693" t="str">
        <f t="shared" ref="I103:I108" si="6">IF(ISBLANK(H103),"",+H103+365*3)</f>
        <v/>
      </c>
      <c r="J103" s="701"/>
      <c r="K103" s="687"/>
    </row>
    <row r="104" spans="2:11" x14ac:dyDescent="0.3">
      <c r="B104" s="879"/>
      <c r="C104" s="882"/>
      <c r="D104" s="885"/>
      <c r="E104" s="888"/>
      <c r="F104" s="689" t="str">
        <f t="shared" ref="F104:F108" si="7">IF(ISBLANK(G104),"",IF(I104&lt;$I$86,"Spent",IF(F102="SPENT",1,1)))</f>
        <v/>
      </c>
      <c r="G104" s="692"/>
      <c r="H104" s="691"/>
      <c r="I104" s="693" t="str">
        <f t="shared" si="6"/>
        <v/>
      </c>
      <c r="J104" s="701"/>
      <c r="K104" s="687"/>
    </row>
    <row r="105" spans="2:11" x14ac:dyDescent="0.3">
      <c r="B105" s="879"/>
      <c r="C105" s="882"/>
      <c r="D105" s="885"/>
      <c r="E105" s="888"/>
      <c r="F105" s="689" t="str">
        <f t="shared" si="7"/>
        <v/>
      </c>
      <c r="G105" s="692"/>
      <c r="H105" s="691"/>
      <c r="I105" s="693" t="str">
        <f t="shared" si="6"/>
        <v/>
      </c>
      <c r="J105" s="701"/>
      <c r="K105" s="687"/>
    </row>
    <row r="106" spans="2:11" x14ac:dyDescent="0.3">
      <c r="B106" s="879"/>
      <c r="C106" s="882"/>
      <c r="D106" s="885"/>
      <c r="E106" s="888"/>
      <c r="F106" s="689" t="str">
        <f t="shared" si="7"/>
        <v/>
      </c>
      <c r="G106" s="692"/>
      <c r="H106" s="691"/>
      <c r="I106" s="693" t="str">
        <f t="shared" si="6"/>
        <v/>
      </c>
      <c r="J106" s="701"/>
      <c r="K106" s="687"/>
    </row>
    <row r="107" spans="2:11" x14ac:dyDescent="0.3">
      <c r="B107" s="879"/>
      <c r="C107" s="882"/>
      <c r="D107" s="885"/>
      <c r="E107" s="888"/>
      <c r="F107" s="689" t="str">
        <f t="shared" si="7"/>
        <v/>
      </c>
      <c r="G107" s="692"/>
      <c r="H107" s="691"/>
      <c r="I107" s="693" t="str">
        <f t="shared" si="6"/>
        <v/>
      </c>
      <c r="J107" s="701"/>
      <c r="K107" s="687"/>
    </row>
    <row r="108" spans="2:11" x14ac:dyDescent="0.3">
      <c r="B108" s="880"/>
      <c r="C108" s="883"/>
      <c r="D108" s="886"/>
      <c r="E108" s="889"/>
      <c r="F108" s="689" t="str">
        <f t="shared" si="7"/>
        <v/>
      </c>
      <c r="G108" s="692"/>
      <c r="H108" s="691"/>
      <c r="I108" s="693" t="str">
        <f t="shared" si="6"/>
        <v/>
      </c>
      <c r="J108" s="701"/>
      <c r="K108" s="687"/>
    </row>
    <row r="109" spans="2:11" ht="39.6" x14ac:dyDescent="0.3">
      <c r="B109" s="502"/>
      <c r="C109" s="684"/>
      <c r="D109" s="686"/>
      <c r="E109" s="686"/>
      <c r="F109" s="689"/>
      <c r="G109" s="694" t="s">
        <v>780</v>
      </c>
      <c r="H109" s="690" t="s">
        <v>781</v>
      </c>
      <c r="I109" s="695" t="s">
        <v>787</v>
      </c>
      <c r="J109" s="701"/>
      <c r="K109" s="687"/>
    </row>
    <row r="110" spans="2:11" x14ac:dyDescent="0.3">
      <c r="B110" s="878">
        <v>4</v>
      </c>
      <c r="C110" s="881" t="s">
        <v>783</v>
      </c>
      <c r="D110" s="884">
        <f>COUNT(I110:I115)</f>
        <v>0</v>
      </c>
      <c r="E110" s="887" t="s">
        <v>405</v>
      </c>
      <c r="F110" s="689" t="str">
        <f>IF(ISBLANK(G110),"",IF(I110&lt;$I$86,"Spent",IF(F108="SPENT",1,1)))</f>
        <v/>
      </c>
      <c r="G110" s="692"/>
      <c r="H110" s="691"/>
      <c r="I110" s="693" t="str">
        <f>IF(ISBLANK(H110),"",+H110+365*5)</f>
        <v/>
      </c>
      <c r="J110" s="701"/>
    </row>
    <row r="111" spans="2:11" x14ac:dyDescent="0.3">
      <c r="B111" s="879"/>
      <c r="C111" s="882"/>
      <c r="D111" s="885"/>
      <c r="E111" s="888"/>
      <c r="F111" s="689" t="str">
        <f>IF(ISBLANK(G111),"",IF(I111&lt;$I$86,"Spent",IF(F110="SPENT",1,+F110+1)))</f>
        <v/>
      </c>
      <c r="G111" s="692"/>
      <c r="H111" s="691"/>
      <c r="I111" s="693" t="str">
        <f t="shared" ref="I111:I115" si="8">IF(ISBLANK(H111),"",+H111+365*5)</f>
        <v/>
      </c>
      <c r="J111" s="701"/>
      <c r="K111" s="687"/>
    </row>
    <row r="112" spans="2:11" x14ac:dyDescent="0.3">
      <c r="B112" s="879"/>
      <c r="C112" s="882"/>
      <c r="D112" s="885"/>
      <c r="E112" s="888"/>
      <c r="F112" s="689" t="str">
        <f t="shared" ref="F112:F115" si="9">IF(ISBLANK(G112),"",IF(K112&lt;$I$86,"Spent",IF(F111="SPENT",1,+F111+1)))</f>
        <v/>
      </c>
      <c r="G112" s="692"/>
      <c r="H112" s="691"/>
      <c r="I112" s="693" t="str">
        <f t="shared" si="8"/>
        <v/>
      </c>
      <c r="J112" s="701"/>
      <c r="K112" s="687"/>
    </row>
    <row r="113" spans="2:11" x14ac:dyDescent="0.3">
      <c r="B113" s="879"/>
      <c r="C113" s="882"/>
      <c r="D113" s="885"/>
      <c r="E113" s="888"/>
      <c r="F113" s="689" t="str">
        <f t="shared" si="9"/>
        <v/>
      </c>
      <c r="G113" s="692"/>
      <c r="H113" s="691"/>
      <c r="I113" s="693" t="str">
        <f t="shared" si="8"/>
        <v/>
      </c>
      <c r="J113" s="590"/>
      <c r="K113" s="687"/>
    </row>
    <row r="114" spans="2:11" ht="18.75" customHeight="1" x14ac:dyDescent="0.3">
      <c r="B114" s="879"/>
      <c r="C114" s="882"/>
      <c r="D114" s="885"/>
      <c r="E114" s="888"/>
      <c r="F114" s="689" t="str">
        <f t="shared" si="9"/>
        <v/>
      </c>
      <c r="G114" s="692"/>
      <c r="H114" s="691"/>
      <c r="I114" s="693" t="str">
        <f t="shared" si="8"/>
        <v/>
      </c>
      <c r="J114" s="590"/>
      <c r="K114" s="687"/>
    </row>
    <row r="115" spans="2:11" ht="53.1" customHeight="1" x14ac:dyDescent="0.3">
      <c r="B115" s="880"/>
      <c r="C115" s="883"/>
      <c r="D115" s="886"/>
      <c r="E115" s="889"/>
      <c r="F115" s="689" t="str">
        <f t="shared" si="9"/>
        <v/>
      </c>
      <c r="G115" s="692"/>
      <c r="H115" s="691"/>
      <c r="I115" s="693" t="str">
        <f t="shared" si="8"/>
        <v/>
      </c>
      <c r="J115" s="590"/>
      <c r="K115" s="687"/>
    </row>
    <row r="116" spans="2:11" x14ac:dyDescent="0.3">
      <c r="B116" s="890"/>
      <c r="C116" s="892"/>
      <c r="D116" s="893">
        <v>0</v>
      </c>
      <c r="E116" s="895"/>
      <c r="F116" s="209"/>
      <c r="G116" s="207"/>
      <c r="H116" s="208"/>
      <c r="I116" s="208"/>
      <c r="J116" s="701"/>
    </row>
    <row r="117" spans="2:11" x14ac:dyDescent="0.3">
      <c r="B117" s="891"/>
      <c r="C117" s="882"/>
      <c r="D117" s="894"/>
      <c r="E117" s="895"/>
      <c r="F117" s="204"/>
      <c r="G117" s="205"/>
      <c r="H117" s="206"/>
      <c r="I117" s="564"/>
      <c r="J117" s="701"/>
    </row>
    <row r="118" spans="2:11" x14ac:dyDescent="0.3">
      <c r="B118" s="891"/>
      <c r="C118" s="882"/>
      <c r="D118" s="894"/>
      <c r="E118" s="895"/>
      <c r="F118" s="204"/>
      <c r="G118" s="205"/>
      <c r="H118" s="206"/>
      <c r="I118" s="564"/>
      <c r="J118" s="701"/>
    </row>
    <row r="119" spans="2:11" x14ac:dyDescent="0.3">
      <c r="B119" s="891"/>
      <c r="C119" s="882"/>
      <c r="D119" s="894"/>
      <c r="E119" s="895"/>
      <c r="F119" s="204"/>
      <c r="G119" s="205"/>
      <c r="H119" s="206"/>
      <c r="I119" s="564"/>
      <c r="J119" s="701"/>
    </row>
    <row r="120" spans="2:11" x14ac:dyDescent="0.3">
      <c r="B120" s="891"/>
      <c r="C120" s="882"/>
      <c r="D120" s="894"/>
      <c r="E120" s="895"/>
      <c r="F120" s="204"/>
      <c r="G120" s="205"/>
      <c r="H120" s="206"/>
      <c r="I120" s="564"/>
      <c r="J120" s="701"/>
    </row>
    <row r="121" spans="2:11" x14ac:dyDescent="0.3">
      <c r="B121" s="891"/>
      <c r="C121" s="882"/>
      <c r="D121" s="505"/>
      <c r="E121" s="896"/>
      <c r="F121" s="204"/>
      <c r="G121" s="210"/>
      <c r="H121" s="211"/>
      <c r="I121" s="565"/>
      <c r="J121" s="701"/>
    </row>
    <row r="122" spans="2:11" x14ac:dyDescent="0.3">
      <c r="B122" s="454"/>
      <c r="C122" s="212"/>
      <c r="D122" s="241"/>
      <c r="E122" s="213"/>
      <c r="F122" s="176"/>
      <c r="G122" s="214"/>
      <c r="H122" s="214"/>
      <c r="I122" s="214"/>
      <c r="J122" s="701"/>
    </row>
    <row r="123" spans="2:11" x14ac:dyDescent="0.3">
      <c r="B123" s="455"/>
      <c r="C123" s="215" t="s">
        <v>406</v>
      </c>
      <c r="D123" s="216"/>
      <c r="E123" s="215"/>
      <c r="F123" s="217"/>
      <c r="G123" s="218"/>
      <c r="H123" s="219"/>
      <c r="I123" s="219"/>
      <c r="J123" s="701"/>
    </row>
    <row r="124" spans="2:11" x14ac:dyDescent="0.3">
      <c r="B124" s="456"/>
      <c r="C124" s="220"/>
      <c r="D124" s="221" t="s">
        <v>407</v>
      </c>
      <c r="E124" s="221" t="s">
        <v>408</v>
      </c>
      <c r="F124" s="222" t="s">
        <v>409</v>
      </c>
      <c r="G124" s="223" t="s">
        <v>307</v>
      </c>
      <c r="H124" s="457"/>
      <c r="I124" s="457"/>
      <c r="J124" s="701"/>
    </row>
    <row r="125" spans="2:11" x14ac:dyDescent="0.3">
      <c r="B125" s="458">
        <v>1</v>
      </c>
      <c r="C125" s="224" t="s">
        <v>410</v>
      </c>
      <c r="D125" s="255">
        <f>COUNT(H89:H94)</f>
        <v>0</v>
      </c>
      <c r="E125" s="255">
        <f>COUNTIF(F89:F94,"SPENT")</f>
        <v>0</v>
      </c>
      <c r="F125" s="256">
        <f t="shared" ref="F125:F128" si="10">+D125-E125</f>
        <v>0</v>
      </c>
      <c r="G125" s="261">
        <f>IF(F125=1,-5,(IF(F125=2,-10,(IF(F125&gt;2,-40,)))))</f>
        <v>0</v>
      </c>
      <c r="H125" s="868"/>
      <c r="I125" s="869"/>
      <c r="J125" s="701"/>
    </row>
    <row r="126" spans="2:11" x14ac:dyDescent="0.3">
      <c r="B126" s="458">
        <v>2</v>
      </c>
      <c r="C126" s="224" t="s">
        <v>411</v>
      </c>
      <c r="D126" s="255">
        <f>COUNT(H96:H101)</f>
        <v>0</v>
      </c>
      <c r="E126" s="255">
        <f>COUNTIF(F96:F101,"SPENT")</f>
        <v>0</v>
      </c>
      <c r="F126" s="256">
        <f t="shared" ref="F126" si="11">+D126-E126</f>
        <v>0</v>
      </c>
      <c r="G126" s="261">
        <f>IF(F126=1,-5,(IF(F126=2,-10,(IF(F126&gt;2,-40,)))))</f>
        <v>0</v>
      </c>
      <c r="H126" s="868"/>
      <c r="I126" s="869"/>
      <c r="J126" s="701"/>
    </row>
    <row r="127" spans="2:11" x14ac:dyDescent="0.3">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3">
      <c r="B128" s="458">
        <v>4</v>
      </c>
      <c r="C128" s="224" t="s">
        <v>413</v>
      </c>
      <c r="D128" s="255">
        <f>+D110</f>
        <v>0</v>
      </c>
      <c r="E128" s="255">
        <f>COUNTIF(F110:F115,"SPENT")</f>
        <v>0</v>
      </c>
      <c r="F128" s="256">
        <f t="shared" si="10"/>
        <v>0</v>
      </c>
      <c r="G128" s="261">
        <f>IF(F128=1,-15,(IF(F128=2,-40,(IF(F128&gt;2,-40,)))))</f>
        <v>0</v>
      </c>
      <c r="H128" s="457"/>
      <c r="I128" s="457"/>
      <c r="J128" s="701"/>
    </row>
    <row r="129" spans="2:10" x14ac:dyDescent="0.3">
      <c r="B129" s="459"/>
      <c r="C129" s="226"/>
      <c r="D129" s="227"/>
      <c r="E129" s="228"/>
      <c r="F129" s="228"/>
      <c r="G129" s="227"/>
      <c r="H129" s="229"/>
      <c r="I129" s="229"/>
      <c r="J129" s="701"/>
    </row>
    <row r="130" spans="2:10" x14ac:dyDescent="0.3">
      <c r="B130" s="460"/>
      <c r="C130" s="257"/>
      <c r="D130" s="258"/>
      <c r="E130" s="259"/>
      <c r="F130" s="259"/>
      <c r="G130" s="263">
        <f>SUM(G125:G128)</f>
        <v>0</v>
      </c>
      <c r="H130" s="260" t="s">
        <v>432</v>
      </c>
      <c r="I130" s="260"/>
      <c r="J130" s="701"/>
    </row>
    <row r="131" spans="2:10" x14ac:dyDescent="0.3">
      <c r="B131" s="461"/>
      <c r="C131" s="230" t="s">
        <v>414</v>
      </c>
      <c r="D131" s="231"/>
      <c r="E131" s="231"/>
      <c r="F131" s="232"/>
      <c r="G131" s="262">
        <f>IF(G130&gt;-40,G130,-40)</f>
        <v>0</v>
      </c>
      <c r="H131" s="230" t="s">
        <v>433</v>
      </c>
      <c r="I131" s="230"/>
      <c r="J131" s="701"/>
    </row>
    <row r="132" spans="2:10" x14ac:dyDescent="0.3">
      <c r="B132" s="462"/>
      <c r="C132" s="463"/>
      <c r="D132" s="464"/>
      <c r="E132" s="465"/>
      <c r="F132" s="463"/>
      <c r="G132" s="463"/>
      <c r="H132" s="463"/>
      <c r="I132" s="463"/>
      <c r="J132" s="701"/>
    </row>
    <row r="133" spans="2:10" x14ac:dyDescent="0.3">
      <c r="B133" s="462"/>
      <c r="C133" s="463"/>
      <c r="D133" s="464"/>
      <c r="E133" s="465"/>
      <c r="F133" s="463"/>
      <c r="G133" s="463"/>
      <c r="H133" s="463"/>
      <c r="I133" s="463"/>
      <c r="J133" s="701"/>
    </row>
    <row r="134" spans="2:10" x14ac:dyDescent="0.3">
      <c r="B134" s="462"/>
      <c r="C134" s="463"/>
      <c r="D134" s="464"/>
      <c r="E134" s="465"/>
      <c r="F134" s="463"/>
      <c r="G134" s="463"/>
      <c r="H134" s="463"/>
      <c r="I134" s="463"/>
      <c r="J134" s="701"/>
    </row>
    <row r="135" spans="2:10" x14ac:dyDescent="0.3">
      <c r="B135" s="462"/>
      <c r="C135" s="463"/>
      <c r="D135" s="464"/>
      <c r="E135" s="465"/>
      <c r="F135" s="463"/>
      <c r="G135" s="463"/>
      <c r="H135" s="463"/>
      <c r="I135" s="463"/>
      <c r="J135" s="701"/>
    </row>
    <row r="136" spans="2:10" x14ac:dyDescent="0.3">
      <c r="B136" s="870"/>
      <c r="C136" s="871"/>
      <c r="D136" s="464"/>
      <c r="E136" s="465"/>
      <c r="F136" s="463"/>
      <c r="G136" s="463"/>
      <c r="H136" s="463"/>
      <c r="I136" s="463"/>
      <c r="J136" s="701"/>
    </row>
    <row r="137" spans="2:10" x14ac:dyDescent="0.3">
      <c r="B137" s="870"/>
      <c r="C137" s="871"/>
      <c r="D137" s="464"/>
      <c r="E137" s="465"/>
      <c r="F137" s="463"/>
      <c r="G137" s="463"/>
      <c r="H137" s="463"/>
      <c r="I137" s="463"/>
      <c r="J137" s="701"/>
    </row>
    <row r="138" spans="2:10" x14ac:dyDescent="0.3">
      <c r="B138" s="462"/>
      <c r="C138" s="463"/>
      <c r="D138" s="464"/>
      <c r="E138" s="465"/>
      <c r="F138" s="463"/>
      <c r="G138" s="463"/>
      <c r="H138" s="463"/>
      <c r="I138" s="463"/>
      <c r="J138" s="701"/>
    </row>
    <row r="139" spans="2:10" x14ac:dyDescent="0.3">
      <c r="B139" s="462"/>
      <c r="C139" s="463"/>
      <c r="D139" s="464"/>
      <c r="E139" s="465"/>
      <c r="F139" s="463"/>
      <c r="G139" s="463"/>
      <c r="H139" s="463"/>
      <c r="I139" s="463"/>
      <c r="J139" s="701"/>
    </row>
    <row r="140" spans="2:10" x14ac:dyDescent="0.3">
      <c r="B140" s="462"/>
      <c r="C140" s="463"/>
      <c r="D140" s="464"/>
      <c r="E140" s="465"/>
      <c r="F140" s="463"/>
      <c r="G140" s="463"/>
      <c r="H140" s="463"/>
      <c r="I140" s="463"/>
      <c r="J140" s="701"/>
    </row>
    <row r="141" spans="2:10" x14ac:dyDescent="0.3">
      <c r="B141" s="462"/>
      <c r="C141" s="463"/>
      <c r="D141" s="464"/>
      <c r="E141" s="465"/>
      <c r="F141" s="463"/>
      <c r="G141" s="463"/>
      <c r="H141" s="463"/>
      <c r="I141" s="463"/>
      <c r="J141" s="701"/>
    </row>
    <row r="142" spans="2:10" x14ac:dyDescent="0.3">
      <c r="B142" s="462"/>
      <c r="C142" s="463"/>
      <c r="D142" s="464"/>
      <c r="E142" s="465"/>
      <c r="F142" s="463"/>
      <c r="G142" s="463"/>
      <c r="H142" s="463"/>
      <c r="I142" s="463"/>
      <c r="J142" s="701"/>
    </row>
    <row r="143" spans="2:10" x14ac:dyDescent="0.3">
      <c r="B143" s="462"/>
      <c r="C143" s="463"/>
      <c r="D143" s="464"/>
      <c r="E143" s="465"/>
      <c r="F143" s="463"/>
      <c r="G143" s="463"/>
      <c r="H143" s="463"/>
      <c r="I143" s="463"/>
      <c r="J143" s="701"/>
    </row>
    <row r="144" spans="2:10" x14ac:dyDescent="0.3">
      <c r="B144" s="462"/>
      <c r="C144" s="463"/>
      <c r="D144" s="464"/>
      <c r="E144" s="465"/>
      <c r="F144" s="463"/>
      <c r="G144" s="463"/>
      <c r="H144" s="463"/>
      <c r="I144" s="463"/>
      <c r="J144" s="701"/>
    </row>
    <row r="145" spans="2:10" x14ac:dyDescent="0.3">
      <c r="B145" s="462"/>
      <c r="C145" s="463"/>
      <c r="D145" s="464"/>
      <c r="E145" s="465"/>
      <c r="F145" s="463"/>
      <c r="G145" s="463"/>
      <c r="H145" s="463"/>
      <c r="I145" s="463"/>
      <c r="J145" s="701"/>
    </row>
    <row r="146" spans="2:10" x14ac:dyDescent="0.3">
      <c r="B146" s="462"/>
      <c r="C146" s="463"/>
      <c r="D146" s="464"/>
      <c r="E146" s="465"/>
      <c r="F146" s="463"/>
      <c r="G146" s="463"/>
      <c r="H146" s="463"/>
      <c r="I146" s="463"/>
      <c r="J146" s="701"/>
    </row>
    <row r="147" spans="2:10" x14ac:dyDescent="0.3">
      <c r="B147" s="462"/>
      <c r="C147" s="463"/>
      <c r="D147" s="464"/>
      <c r="E147" s="465"/>
      <c r="F147" s="463"/>
      <c r="G147" s="463"/>
      <c r="H147" s="463"/>
      <c r="I147" s="463"/>
      <c r="J147" s="701"/>
    </row>
    <row r="148" spans="2:10" x14ac:dyDescent="0.3">
      <c r="B148" s="462"/>
      <c r="C148" s="463"/>
      <c r="D148" s="464"/>
      <c r="E148" s="465"/>
      <c r="F148" s="463"/>
      <c r="G148" s="463"/>
      <c r="H148" s="463"/>
      <c r="I148" s="463"/>
      <c r="J148" s="701"/>
    </row>
    <row r="149" spans="2:10" x14ac:dyDescent="0.3">
      <c r="B149" s="462"/>
      <c r="C149" s="463"/>
      <c r="D149" s="464"/>
      <c r="E149" s="465"/>
      <c r="F149" s="463"/>
      <c r="G149" s="463"/>
      <c r="H149" s="463"/>
      <c r="I149" s="463"/>
      <c r="J149" s="701"/>
    </row>
    <row r="150" spans="2:10" x14ac:dyDescent="0.3">
      <c r="B150" s="462"/>
      <c r="C150" s="463"/>
      <c r="D150" s="464"/>
      <c r="E150" s="465"/>
      <c r="F150" s="463"/>
      <c r="G150" s="463"/>
      <c r="H150" s="463"/>
      <c r="I150" s="463"/>
      <c r="J150" s="701"/>
    </row>
    <row r="151" spans="2:10" x14ac:dyDescent="0.3">
      <c r="B151" s="462"/>
      <c r="C151" s="463"/>
      <c r="D151" s="464"/>
      <c r="E151" s="465"/>
      <c r="F151" s="463"/>
      <c r="G151" s="463"/>
      <c r="H151" s="463"/>
      <c r="I151" s="463"/>
      <c r="J151" s="701"/>
    </row>
    <row r="152" spans="2:10" x14ac:dyDescent="0.3">
      <c r="B152" s="462"/>
      <c r="C152" s="463"/>
      <c r="D152" s="464"/>
      <c r="E152" s="465"/>
      <c r="F152" s="463"/>
      <c r="G152" s="463"/>
      <c r="H152" s="463"/>
      <c r="I152" s="463"/>
      <c r="J152" s="701"/>
    </row>
    <row r="153" spans="2:10" x14ac:dyDescent="0.3">
      <c r="B153" s="462"/>
      <c r="C153" s="463"/>
      <c r="D153" s="464"/>
      <c r="E153" s="465"/>
      <c r="F153" s="463"/>
      <c r="G153" s="463"/>
      <c r="H153" s="463"/>
      <c r="I153" s="463"/>
      <c r="J153" s="701"/>
    </row>
    <row r="154" spans="2:10" ht="32.25" customHeight="1" x14ac:dyDescent="0.3">
      <c r="B154" s="462"/>
      <c r="C154" s="463"/>
      <c r="D154" s="464"/>
      <c r="E154" s="465"/>
      <c r="F154" s="463"/>
      <c r="G154" s="463"/>
      <c r="H154" s="233"/>
      <c r="I154" s="463"/>
      <c r="J154" s="701"/>
    </row>
    <row r="155" spans="2:10" ht="33.75" customHeight="1" x14ac:dyDescent="0.3">
      <c r="B155" s="897" t="s">
        <v>415</v>
      </c>
      <c r="C155" s="898"/>
      <c r="D155" s="898"/>
      <c r="E155" s="898"/>
      <c r="F155" s="899"/>
      <c r="G155" s="264" t="s">
        <v>734</v>
      </c>
      <c r="H155" s="265" t="str">
        <f>IF(I168&gt;8,"A",(IF(I168&gt;6,"B",(IF(I168&gt;4,"C",(IF(I168&gt;2,"D","E")))))))</f>
        <v>A</v>
      </c>
      <c r="I155" s="566"/>
      <c r="J155" s="701"/>
    </row>
    <row r="156" spans="2:10" x14ac:dyDescent="0.3">
      <c r="B156" s="462"/>
      <c r="C156" s="463"/>
      <c r="D156" s="464"/>
      <c r="E156" s="465"/>
      <c r="F156" s="463"/>
      <c r="G156" s="466"/>
      <c r="H156" s="234"/>
      <c r="I156" s="567"/>
      <c r="J156" s="701"/>
    </row>
    <row r="157" spans="2:10" x14ac:dyDescent="0.3">
      <c r="B157" s="467"/>
      <c r="C157" s="872" t="s">
        <v>416</v>
      </c>
      <c r="D157" s="874" t="str">
        <f>+Introduction!E10</f>
        <v>Duynie Ingredients Ltd</v>
      </c>
      <c r="E157" s="874"/>
      <c r="F157" s="874"/>
      <c r="G157" s="872" t="s">
        <v>417</v>
      </c>
      <c r="H157" s="876" t="str">
        <f>+Introduction!K10</f>
        <v>n/a</v>
      </c>
      <c r="I157" s="568"/>
      <c r="J157" s="701"/>
    </row>
    <row r="158" spans="2:10" x14ac:dyDescent="0.3">
      <c r="B158" s="468"/>
      <c r="C158" s="873"/>
      <c r="D158" s="875"/>
      <c r="E158" s="875"/>
      <c r="F158" s="875"/>
      <c r="G158" s="873"/>
      <c r="H158" s="877"/>
      <c r="I158" s="568"/>
      <c r="J158" s="701"/>
    </row>
    <row r="159" spans="2:10" x14ac:dyDescent="0.3">
      <c r="B159" s="462"/>
      <c r="C159" s="463"/>
      <c r="D159" s="464"/>
      <c r="E159" s="465"/>
      <c r="F159" s="463"/>
      <c r="G159" s="463"/>
      <c r="H159" s="463"/>
      <c r="I159" s="463"/>
      <c r="J159" s="701"/>
    </row>
    <row r="160" spans="2:10" x14ac:dyDescent="0.3">
      <c r="B160" s="462"/>
      <c r="C160" s="233"/>
      <c r="D160" s="235"/>
      <c r="E160" s="236"/>
      <c r="F160" s="233"/>
      <c r="G160" s="233"/>
      <c r="H160" s="233"/>
      <c r="I160" s="463"/>
      <c r="J160" s="575"/>
    </row>
    <row r="161" spans="2:12" x14ac:dyDescent="0.3">
      <c r="B161" s="462"/>
      <c r="C161" s="237" t="s">
        <v>418</v>
      </c>
      <c r="D161" s="238"/>
      <c r="E161" s="238"/>
      <c r="F161" s="238"/>
      <c r="G161" s="238"/>
      <c r="H161" s="238"/>
      <c r="I161" s="238"/>
      <c r="J161" s="573"/>
    </row>
    <row r="162" spans="2:12" ht="39.6" x14ac:dyDescent="0.3">
      <c r="B162" s="462"/>
      <c r="C162" s="578" t="s">
        <v>419</v>
      </c>
      <c r="D162" s="576" t="s">
        <v>420</v>
      </c>
      <c r="E162" s="578" t="s">
        <v>421</v>
      </c>
      <c r="F162" s="578" t="s">
        <v>657</v>
      </c>
      <c r="G162" s="578" t="s">
        <v>422</v>
      </c>
      <c r="H162" s="576" t="s">
        <v>423</v>
      </c>
      <c r="I162" s="577" t="s">
        <v>424</v>
      </c>
      <c r="J162" s="582" t="s">
        <v>668</v>
      </c>
    </row>
    <row r="163" spans="2:12" x14ac:dyDescent="0.3">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
      <c r="B164" s="462"/>
      <c r="C164" s="302" t="s">
        <v>425</v>
      </c>
      <c r="D164" s="239">
        <v>17</v>
      </c>
      <c r="E164" s="277">
        <f>+F40</f>
        <v>17</v>
      </c>
      <c r="F164" s="281">
        <f t="shared" ref="F164:F167" si="13">+E164/D164*100</f>
        <v>100</v>
      </c>
      <c r="G164" s="278">
        <f>+E164/D164*10</f>
        <v>10</v>
      </c>
      <c r="H164" s="279">
        <v>20</v>
      </c>
      <c r="I164" s="569">
        <f t="shared" ref="I164:I167" si="14">+G164*H164/100</f>
        <v>2</v>
      </c>
      <c r="J164" s="583" t="str">
        <f>IF(OR(D26=0,D29=0,D30=0,D31=0,D32=0,D33=0,D34=0,D36=0,D37=0,D38=0,D39=0),"Incomplete","Complete")</f>
        <v>Complete</v>
      </c>
    </row>
    <row r="165" spans="2:12" x14ac:dyDescent="0.3">
      <c r="B165" s="462"/>
      <c r="C165" s="302" t="s">
        <v>426</v>
      </c>
      <c r="D165" s="239">
        <v>12</v>
      </c>
      <c r="E165" s="280">
        <f>+F59</f>
        <v>9</v>
      </c>
      <c r="F165" s="281">
        <f t="shared" si="13"/>
        <v>75</v>
      </c>
      <c r="G165" s="278">
        <f>+E165/D165*10</f>
        <v>7.5</v>
      </c>
      <c r="H165" s="279">
        <v>20</v>
      </c>
      <c r="I165" s="569">
        <f t="shared" si="14"/>
        <v>1.5</v>
      </c>
      <c r="J165" s="583" t="str">
        <f>IF(OR(D51=0,D52=0,D53=0,D54=0,D55=0,D56=0,D57=0,D58=0),"Incomplete","Complete")</f>
        <v>Complete</v>
      </c>
      <c r="K165" s="579" t="s">
        <v>672</v>
      </c>
      <c r="L165" s="579"/>
    </row>
    <row r="166" spans="2:12" ht="41.25" customHeight="1" x14ac:dyDescent="0.3">
      <c r="B166" s="462"/>
      <c r="C166" s="303" t="s">
        <v>427</v>
      </c>
      <c r="D166" s="286">
        <v>20</v>
      </c>
      <c r="E166" s="287">
        <f>+F85</f>
        <v>19</v>
      </c>
      <c r="F166" s="288">
        <f t="shared" si="13"/>
        <v>95</v>
      </c>
      <c r="G166" s="289">
        <f>+E166/D166*10</f>
        <v>9.5</v>
      </c>
      <c r="H166" s="289">
        <v>40</v>
      </c>
      <c r="I166" s="570">
        <f t="shared" si="14"/>
        <v>3.8</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3">
      <c r="B167" s="462"/>
      <c r="C167" s="225" t="s">
        <v>428</v>
      </c>
      <c r="D167" s="239">
        <v>-40</v>
      </c>
      <c r="E167" s="277">
        <f>+G130</f>
        <v>0</v>
      </c>
      <c r="F167" s="281">
        <f t="shared" si="13"/>
        <v>0</v>
      </c>
      <c r="G167" s="278">
        <f>+E167/D167*10</f>
        <v>0</v>
      </c>
      <c r="H167" s="279">
        <v>40</v>
      </c>
      <c r="I167" s="569">
        <f t="shared" si="14"/>
        <v>0</v>
      </c>
      <c r="J167" s="585"/>
    </row>
    <row r="168" spans="2:12" x14ac:dyDescent="0.3">
      <c r="B168" s="462"/>
      <c r="C168" s="240" t="s">
        <v>429</v>
      </c>
      <c r="D168" s="241"/>
      <c r="E168" s="241"/>
      <c r="F168" s="241"/>
      <c r="G168" s="241"/>
      <c r="H168" s="242"/>
      <c r="I168" s="571">
        <f>SUM(I163:I167)</f>
        <v>9.3000000000000007</v>
      </c>
      <c r="J168" s="586"/>
    </row>
    <row r="169" spans="2:12" x14ac:dyDescent="0.3">
      <c r="B169" s="462"/>
      <c r="C169" s="457"/>
      <c r="D169" s="469"/>
      <c r="E169" s="470"/>
      <c r="F169" s="470"/>
      <c r="G169" s="470"/>
      <c r="H169" s="470"/>
      <c r="I169" s="470"/>
      <c r="J169" s="395"/>
    </row>
    <row r="170" spans="2:12" x14ac:dyDescent="0.3">
      <c r="B170" s="416"/>
      <c r="C170" s="417"/>
      <c r="D170" s="417"/>
      <c r="E170" s="417"/>
      <c r="F170" s="417"/>
      <c r="G170" s="417"/>
      <c r="H170" s="417"/>
      <c r="I170" s="417"/>
      <c r="J170" s="395"/>
    </row>
    <row r="171" spans="2:12" ht="15" thickBot="1" x14ac:dyDescent="0.35">
      <c r="B171" s="471"/>
      <c r="C171" s="243"/>
      <c r="D171" s="243"/>
      <c r="E171" s="243"/>
      <c r="F171" s="243"/>
      <c r="G171" s="243"/>
      <c r="H171" s="243"/>
      <c r="I171" s="243"/>
      <c r="J171" s="574"/>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4" yWindow="580"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4" yWindow="580"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H19" sqref="H19"/>
    </sheetView>
  </sheetViews>
  <sheetFormatPr defaultColWidth="9.109375" defaultRowHeight="14.4" x14ac:dyDescent="0.3"/>
  <cols>
    <col min="1" max="1" width="9.109375" style="326"/>
    <col min="2" max="2" width="14.88671875" style="326" customWidth="1"/>
    <col min="3" max="3" width="22.109375" style="326" customWidth="1"/>
    <col min="4" max="4" width="10.109375" style="326" customWidth="1"/>
    <col min="5" max="5" width="10.5546875" style="326" customWidth="1"/>
    <col min="6" max="7" width="10.88671875" style="326" customWidth="1"/>
    <col min="8" max="8" width="12.109375" style="326" customWidth="1"/>
    <col min="9" max="16384" width="9.109375" style="326"/>
  </cols>
  <sheetData>
    <row r="1" spans="2:8" ht="15" thickBot="1" x14ac:dyDescent="0.35"/>
    <row r="2" spans="2:8" x14ac:dyDescent="0.3">
      <c r="B2" s="587" t="s">
        <v>47</v>
      </c>
      <c r="C2" s="588"/>
      <c r="D2" s="987" t="str">
        <f>+Introduction!E10</f>
        <v>Duynie Ingredients Ltd</v>
      </c>
      <c r="E2" s="987"/>
      <c r="F2" s="987"/>
      <c r="G2" s="987"/>
      <c r="H2" s="589"/>
    </row>
    <row r="3" spans="2:8" x14ac:dyDescent="0.3">
      <c r="B3" s="988" t="s">
        <v>793</v>
      </c>
      <c r="C3" s="989"/>
      <c r="D3" s="857" t="str">
        <f>+Introduction!K10</f>
        <v>n/a</v>
      </c>
      <c r="E3" s="857"/>
      <c r="F3" s="857"/>
      <c r="G3" s="857"/>
      <c r="H3" s="590"/>
    </row>
    <row r="4" spans="2:8" x14ac:dyDescent="0.3">
      <c r="B4" s="591"/>
      <c r="C4" s="592"/>
      <c r="D4" s="592"/>
      <c r="E4" s="592"/>
      <c r="F4" s="539"/>
      <c r="G4" s="539"/>
      <c r="H4" s="590"/>
    </row>
    <row r="5" spans="2:8" ht="63" customHeight="1" x14ac:dyDescent="0.3">
      <c r="B5" s="593"/>
      <c r="C5" s="369"/>
      <c r="D5" s="968" t="s">
        <v>434</v>
      </c>
      <c r="E5" s="969"/>
      <c r="F5" s="983" t="s">
        <v>640</v>
      </c>
      <c r="G5" s="984"/>
      <c r="H5" s="590"/>
    </row>
    <row r="6" spans="2:8" x14ac:dyDescent="0.3">
      <c r="B6" s="985" t="s">
        <v>435</v>
      </c>
      <c r="C6" s="986"/>
      <c r="D6" s="370" t="s">
        <v>436</v>
      </c>
      <c r="E6" s="370" t="s">
        <v>302</v>
      </c>
      <c r="F6" s="371" t="s">
        <v>436</v>
      </c>
      <c r="G6" s="371" t="s">
        <v>302</v>
      </c>
      <c r="H6" s="599" t="s">
        <v>667</v>
      </c>
    </row>
    <row r="7" spans="2:8" x14ac:dyDescent="0.3">
      <c r="B7" s="966" t="s">
        <v>51</v>
      </c>
      <c r="C7" s="967"/>
      <c r="D7" s="372">
        <f>+'1 Listed activity'!K8</f>
        <v>0</v>
      </c>
      <c r="E7" s="373" t="s">
        <v>31</v>
      </c>
      <c r="F7" s="372">
        <f>+'3 Complexities'!E52</f>
        <v>0</v>
      </c>
      <c r="G7" s="371" t="s">
        <v>31</v>
      </c>
      <c r="H7" s="590"/>
    </row>
    <row r="8" spans="2:8" x14ac:dyDescent="0.3">
      <c r="B8" s="975"/>
      <c r="C8" s="976"/>
      <c r="D8" s="372">
        <f>+'1 Listed activity'!K9</f>
        <v>0</v>
      </c>
      <c r="E8" s="373" t="s">
        <v>32</v>
      </c>
      <c r="F8" s="372">
        <f>+'3 Complexities'!E53</f>
        <v>0</v>
      </c>
      <c r="G8" s="371" t="s">
        <v>32</v>
      </c>
      <c r="H8" s="590"/>
    </row>
    <row r="9" spans="2:8" x14ac:dyDescent="0.3">
      <c r="B9" s="975"/>
      <c r="C9" s="976"/>
      <c r="D9" s="372">
        <f>+'1 Listed activity'!K10</f>
        <v>1</v>
      </c>
      <c r="E9" s="373" t="s">
        <v>30</v>
      </c>
      <c r="F9" s="372">
        <f>+'3 Complexities'!E54</f>
        <v>1</v>
      </c>
      <c r="G9" s="371" t="s">
        <v>30</v>
      </c>
      <c r="H9" s="590"/>
    </row>
    <row r="10" spans="2:8" x14ac:dyDescent="0.3">
      <c r="B10" s="975"/>
      <c r="C10" s="976"/>
      <c r="D10" s="372">
        <f>+'1 Listed activity'!K11</f>
        <v>0</v>
      </c>
      <c r="E10" s="373" t="s">
        <v>33</v>
      </c>
      <c r="F10" s="372">
        <f>+'3 Complexities'!E55</f>
        <v>0</v>
      </c>
      <c r="G10" s="371" t="s">
        <v>33</v>
      </c>
      <c r="H10" s="590"/>
    </row>
    <row r="11" spans="2:8" x14ac:dyDescent="0.3">
      <c r="B11" s="977"/>
      <c r="C11" s="978"/>
      <c r="D11" s="372">
        <f>+'1 Listed activity'!K12</f>
        <v>0</v>
      </c>
      <c r="E11" s="373" t="s">
        <v>34</v>
      </c>
      <c r="F11" s="372">
        <f>+'3 Complexities'!E56</f>
        <v>0</v>
      </c>
      <c r="G11" s="371" t="s">
        <v>34</v>
      </c>
      <c r="H11" s="590"/>
    </row>
    <row r="12" spans="2:8" x14ac:dyDescent="0.3">
      <c r="B12" s="979" t="s">
        <v>437</v>
      </c>
      <c r="C12" s="374" t="s">
        <v>295</v>
      </c>
      <c r="D12" s="981"/>
      <c r="E12" s="372" t="str">
        <f>+'9 Emissions summary'!E24</f>
        <v>B</v>
      </c>
      <c r="F12" s="539"/>
      <c r="G12" s="372" t="str">
        <f>+'9 Emissions summary'!E24</f>
        <v>B</v>
      </c>
      <c r="H12" s="590"/>
    </row>
    <row r="13" spans="2:8" x14ac:dyDescent="0.3">
      <c r="B13" s="980"/>
      <c r="C13" s="374" t="s">
        <v>296</v>
      </c>
      <c r="D13" s="982"/>
      <c r="E13" s="372" t="str">
        <f>+'9 Emissions summary'!E25</f>
        <v>-</v>
      </c>
      <c r="F13" s="539"/>
      <c r="G13" s="372" t="str">
        <f>+'9 Emissions summary'!E25</f>
        <v>-</v>
      </c>
      <c r="H13" s="590"/>
    </row>
    <row r="14" spans="2:8" x14ac:dyDescent="0.3">
      <c r="B14" s="980"/>
      <c r="C14" s="374" t="s">
        <v>297</v>
      </c>
      <c r="D14" s="982"/>
      <c r="E14" s="372" t="str">
        <f>+'9 Emissions summary'!E26</f>
        <v>-</v>
      </c>
      <c r="F14" s="539"/>
      <c r="G14" s="372" t="str">
        <f>+'9 Emissions summary'!E26</f>
        <v>-</v>
      </c>
      <c r="H14" s="590"/>
    </row>
    <row r="15" spans="2:8" x14ac:dyDescent="0.3">
      <c r="B15" s="980"/>
      <c r="C15" s="374" t="s">
        <v>298</v>
      </c>
      <c r="D15" s="982"/>
      <c r="E15" s="372" t="str">
        <f>+'9 Emissions summary'!E27</f>
        <v>-</v>
      </c>
      <c r="F15" s="539"/>
      <c r="G15" s="372" t="str">
        <f>+'9 Emissions summary'!E27</f>
        <v>-</v>
      </c>
      <c r="H15" s="590"/>
    </row>
    <row r="16" spans="2:8" x14ac:dyDescent="0.3">
      <c r="B16" s="980"/>
      <c r="C16" s="374" t="s">
        <v>299</v>
      </c>
      <c r="D16" s="849"/>
      <c r="E16" s="372" t="str">
        <f>+'9 Emissions summary'!E28</f>
        <v>-</v>
      </c>
      <c r="F16" s="539"/>
      <c r="G16" s="372" t="str">
        <f>+'9 Emissions summary'!E28</f>
        <v>-</v>
      </c>
      <c r="H16" s="590"/>
    </row>
    <row r="17" spans="2:8" x14ac:dyDescent="0.3">
      <c r="B17" s="594"/>
      <c r="C17" s="374" t="s">
        <v>300</v>
      </c>
      <c r="D17" s="375"/>
      <c r="E17" s="372" t="str">
        <f>+'9 Emissions summary'!E29</f>
        <v>-</v>
      </c>
      <c r="F17" s="539"/>
      <c r="G17" s="372" t="str">
        <f>+'9 Emissions summary'!E29</f>
        <v>-</v>
      </c>
      <c r="H17" s="590"/>
    </row>
    <row r="18" spans="2:8" x14ac:dyDescent="0.3">
      <c r="B18" s="595" t="s">
        <v>5</v>
      </c>
      <c r="C18" s="970"/>
      <c r="D18" s="971"/>
      <c r="E18" s="372" t="str">
        <f>+'10 Location'!F42</f>
        <v>C</v>
      </c>
      <c r="F18" s="376"/>
      <c r="G18" s="372" t="str">
        <f>+'10 Location'!F42</f>
        <v>C</v>
      </c>
      <c r="H18" s="600" t="str">
        <f>IF(COUNTIF('10 Location'!D45:D51,"incomplete"),"Incomplete","Complete")</f>
        <v>Complete</v>
      </c>
    </row>
    <row r="19" spans="2:8" ht="15" thickBot="1" x14ac:dyDescent="0.35">
      <c r="B19" s="972" t="s">
        <v>335</v>
      </c>
      <c r="C19" s="973"/>
      <c r="D19" s="974"/>
      <c r="E19" s="596" t="str">
        <f>+'11 Operator performance'!H155</f>
        <v>A</v>
      </c>
      <c r="F19" s="597"/>
      <c r="G19" s="596" t="str">
        <f>+'11 Operator performance'!H155</f>
        <v>A</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9" zoomScaleNormal="100" workbookViewId="0">
      <selection activeCell="D34" sqref="D34"/>
    </sheetView>
  </sheetViews>
  <sheetFormatPr defaultRowHeight="14.4" x14ac:dyDescent="0.3"/>
  <cols>
    <col min="3" max="3" width="28.88671875" customWidth="1"/>
    <col min="4" max="4" width="15.88671875" customWidth="1"/>
    <col min="5" max="6" width="11.88671875" customWidth="1"/>
    <col min="7" max="7" width="11.44140625" customWidth="1"/>
    <col min="8" max="8" width="10.88671875" customWidth="1"/>
    <col min="9" max="9" width="13" customWidth="1"/>
    <col min="10" max="10" width="22.5546875" customWidth="1"/>
  </cols>
  <sheetData>
    <row r="1" spans="2:10" ht="15" thickBot="1" x14ac:dyDescent="0.35"/>
    <row r="2" spans="2:10" x14ac:dyDescent="0.3">
      <c r="B2" s="267"/>
      <c r="C2" s="268"/>
      <c r="D2" s="268"/>
      <c r="E2" s="268"/>
      <c r="F2" s="268"/>
      <c r="G2" s="268"/>
      <c r="H2" s="268"/>
      <c r="I2" s="268"/>
      <c r="J2" s="472"/>
    </row>
    <row r="3" spans="2:10" ht="15.6" x14ac:dyDescent="0.3">
      <c r="B3" s="269"/>
      <c r="C3" s="606" t="s">
        <v>47</v>
      </c>
      <c r="D3" s="990" t="str">
        <f>+Introduction!E10</f>
        <v>Duynie Ingredients Ltd</v>
      </c>
      <c r="E3" s="991"/>
      <c r="F3" s="992" t="s">
        <v>793</v>
      </c>
      <c r="G3" s="993"/>
      <c r="H3" s="990" t="str">
        <f>+Introduction!K10</f>
        <v>n/a</v>
      </c>
      <c r="I3" s="991"/>
      <c r="J3" s="36"/>
    </row>
    <row r="4" spans="2:10" x14ac:dyDescent="0.3">
      <c r="B4" s="270"/>
      <c r="C4" s="17"/>
      <c r="D4" s="17"/>
      <c r="E4" s="17"/>
      <c r="F4" s="17"/>
      <c r="G4" s="17"/>
      <c r="H4" s="17"/>
      <c r="I4" s="17"/>
      <c r="J4" s="36"/>
    </row>
    <row r="5" spans="2:10" ht="21" x14ac:dyDescent="0.4">
      <c r="B5" s="270"/>
      <c r="C5" s="473" t="s">
        <v>438</v>
      </c>
      <c r="D5" s="17"/>
      <c r="E5" s="17"/>
      <c r="F5" s="17"/>
      <c r="G5" s="17"/>
      <c r="H5" s="17"/>
      <c r="I5" s="17"/>
      <c r="J5" s="36"/>
    </row>
    <row r="6" spans="2:10" x14ac:dyDescent="0.3">
      <c r="B6" s="270"/>
      <c r="C6" s="474" t="s">
        <v>439</v>
      </c>
      <c r="D6" s="17"/>
      <c r="E6" s="17"/>
      <c r="F6" s="17"/>
      <c r="G6" s="17"/>
      <c r="H6" s="17"/>
      <c r="I6" s="17"/>
      <c r="J6" s="36"/>
    </row>
    <row r="7" spans="2:10" ht="17.399999999999999" x14ac:dyDescent="0.3">
      <c r="B7" s="270"/>
      <c r="C7" s="475" t="s">
        <v>440</v>
      </c>
      <c r="D7" s="476"/>
      <c r="E7" s="477"/>
      <c r="F7" s="17"/>
      <c r="G7" s="17"/>
      <c r="H7" s="17"/>
      <c r="I7" s="17"/>
      <c r="J7" s="36"/>
    </row>
    <row r="8" spans="2:10" ht="15" thickBot="1" x14ac:dyDescent="0.35">
      <c r="B8" s="270"/>
      <c r="C8" s="17"/>
      <c r="D8" s="17"/>
      <c r="E8" s="17"/>
      <c r="F8" s="17"/>
      <c r="G8" s="17"/>
      <c r="H8" s="17"/>
      <c r="I8" s="17"/>
      <c r="J8" s="36"/>
    </row>
    <row r="9" spans="2:10" ht="31.8" thickBot="1" x14ac:dyDescent="0.35">
      <c r="B9" s="270"/>
      <c r="C9" s="603" t="s">
        <v>435</v>
      </c>
      <c r="D9" s="617" t="s">
        <v>302</v>
      </c>
      <c r="E9" s="604" t="s">
        <v>436</v>
      </c>
      <c r="F9" s="604" t="s">
        <v>307</v>
      </c>
      <c r="G9" s="605" t="s">
        <v>441</v>
      </c>
      <c r="H9" s="17"/>
      <c r="I9" s="17"/>
      <c r="J9" s="36"/>
    </row>
    <row r="10" spans="2:10" ht="15.6" x14ac:dyDescent="0.3">
      <c r="B10" s="270"/>
      <c r="C10" s="601" t="s">
        <v>51</v>
      </c>
      <c r="D10" s="607" t="s">
        <v>31</v>
      </c>
      <c r="E10" s="618">
        <f>+'12 EP Summary'!F7</f>
        <v>0</v>
      </c>
      <c r="F10" s="609">
        <v>2</v>
      </c>
      <c r="G10" s="610">
        <f>+F10*E10</f>
        <v>0</v>
      </c>
      <c r="H10" s="17"/>
      <c r="I10" s="17"/>
      <c r="J10" s="36"/>
    </row>
    <row r="11" spans="2:10" ht="15.6" x14ac:dyDescent="0.3">
      <c r="B11" s="270"/>
      <c r="C11" s="601"/>
      <c r="D11" s="607" t="s">
        <v>32</v>
      </c>
      <c r="E11" s="619">
        <f>+'12 EP Summary'!F8</f>
        <v>0</v>
      </c>
      <c r="F11" s="609">
        <v>15</v>
      </c>
      <c r="G11" s="610">
        <f t="shared" ref="G11:G14" si="0">+F11*E11</f>
        <v>0</v>
      </c>
      <c r="H11" s="17"/>
      <c r="I11" s="17"/>
      <c r="J11" s="36"/>
    </row>
    <row r="12" spans="2:10" ht="15.6" x14ac:dyDescent="0.3">
      <c r="B12" s="270"/>
      <c r="C12" s="601"/>
      <c r="D12" s="607" t="s">
        <v>30</v>
      </c>
      <c r="E12" s="619">
        <f>+'12 EP Summary'!F9</f>
        <v>1</v>
      </c>
      <c r="F12" s="609">
        <v>45</v>
      </c>
      <c r="G12" s="610">
        <f t="shared" si="0"/>
        <v>45</v>
      </c>
      <c r="H12" s="17"/>
      <c r="I12" s="17"/>
      <c r="J12" s="36"/>
    </row>
    <row r="13" spans="2:10" ht="15.6" x14ac:dyDescent="0.3">
      <c r="B13" s="270"/>
      <c r="C13" s="601"/>
      <c r="D13" s="607" t="s">
        <v>33</v>
      </c>
      <c r="E13" s="619">
        <f>+'12 EP Summary'!F10</f>
        <v>0</v>
      </c>
      <c r="F13" s="609">
        <v>82</v>
      </c>
      <c r="G13" s="610">
        <f t="shared" si="0"/>
        <v>0</v>
      </c>
      <c r="H13" s="17"/>
      <c r="I13" s="17"/>
      <c r="J13" s="36"/>
    </row>
    <row r="14" spans="2:10" ht="15.6" x14ac:dyDescent="0.3">
      <c r="B14" s="270"/>
      <c r="C14" s="601"/>
      <c r="D14" s="607" t="s">
        <v>34</v>
      </c>
      <c r="E14" s="619">
        <f>+'12 EP Summary'!F11</f>
        <v>0</v>
      </c>
      <c r="F14" s="609">
        <v>110</v>
      </c>
      <c r="G14" s="610">
        <f t="shared" si="0"/>
        <v>0</v>
      </c>
      <c r="H14" s="17"/>
      <c r="I14" s="17"/>
      <c r="J14" s="36"/>
    </row>
    <row r="15" spans="2:10" ht="15.6" x14ac:dyDescent="0.3">
      <c r="B15" s="270"/>
      <c r="C15" s="601" t="s">
        <v>10</v>
      </c>
      <c r="D15" s="608" t="str">
        <f>+'12 EP Summary'!G12</f>
        <v>B</v>
      </c>
      <c r="E15" s="620"/>
      <c r="F15" s="611"/>
      <c r="G15" s="610">
        <f>IF(D15="E",50,(IF(D15="D",35,(IF(D15="C",20,(IF(D15="B",10,(IF(D15="A",3,0)))))))))</f>
        <v>10</v>
      </c>
      <c r="H15" s="17"/>
      <c r="I15" s="17"/>
      <c r="J15" s="36"/>
    </row>
    <row r="16" spans="2:10" ht="15.6" x14ac:dyDescent="0.3">
      <c r="B16" s="270"/>
      <c r="C16" s="601" t="s">
        <v>12</v>
      </c>
      <c r="D16" s="608" t="str">
        <f>+'12 EP Summary'!G13</f>
        <v>-</v>
      </c>
      <c r="E16" s="620"/>
      <c r="F16" s="611"/>
      <c r="G16" s="610">
        <f t="shared" ref="G16:G17" si="1">IF(D16="E",50,(IF(D16="D",35,(IF(D16="C",20,(IF(D16="B",10,(IF(D16="A",3,0)))))))))</f>
        <v>0</v>
      </c>
      <c r="H16" s="17"/>
      <c r="I16" s="17"/>
      <c r="J16" s="36"/>
    </row>
    <row r="17" spans="2:10" ht="15.6" x14ac:dyDescent="0.3">
      <c r="B17" s="270"/>
      <c r="C17" s="601" t="s">
        <v>13</v>
      </c>
      <c r="D17" s="608" t="str">
        <f>+'12 EP Summary'!G14</f>
        <v>-</v>
      </c>
      <c r="E17" s="620"/>
      <c r="F17" s="611"/>
      <c r="G17" s="610">
        <f t="shared" si="1"/>
        <v>0</v>
      </c>
      <c r="H17" s="17"/>
      <c r="I17" s="17"/>
      <c r="J17" s="36"/>
    </row>
    <row r="18" spans="2:10" ht="15.6" x14ac:dyDescent="0.3">
      <c r="B18" s="270"/>
      <c r="C18" s="601" t="s">
        <v>14</v>
      </c>
      <c r="D18" s="608" t="str">
        <f>+'12 EP Summary'!G15</f>
        <v>-</v>
      </c>
      <c r="E18" s="620"/>
      <c r="F18" s="611"/>
      <c r="G18" s="610">
        <f>IF(D18="E",10,(IF(D18="D",5,(IF(D18="C",3,(IF(D18="B",2,(IF(D18="A",1,0)))))))))</f>
        <v>0</v>
      </c>
      <c r="H18" s="17"/>
      <c r="I18" s="17"/>
      <c r="J18" s="36"/>
    </row>
    <row r="19" spans="2:10" ht="15.6" x14ac:dyDescent="0.3">
      <c r="B19" s="270"/>
      <c r="C19" s="601" t="s">
        <v>442</v>
      </c>
      <c r="D19" s="608" t="str">
        <f>+'12 EP Summary'!G16</f>
        <v>-</v>
      </c>
      <c r="E19" s="620"/>
      <c r="F19" s="611"/>
      <c r="G19" s="610">
        <f>IF(D19="E",10,(IF(D19="D",5,(IF(D19="C",3,(IF(D19="B",2,(IF(D19="A",1,0)))))))))</f>
        <v>0</v>
      </c>
      <c r="H19" s="17"/>
      <c r="I19" s="17"/>
      <c r="J19" s="36"/>
    </row>
    <row r="20" spans="2:10" ht="15.6" x14ac:dyDescent="0.3">
      <c r="B20" s="270"/>
      <c r="C20" s="601" t="s">
        <v>443</v>
      </c>
      <c r="D20" s="608" t="str">
        <f>+'12 EP Summary'!G17</f>
        <v>-</v>
      </c>
      <c r="E20" s="620"/>
      <c r="F20" s="611"/>
      <c r="G20" s="610">
        <f t="shared" ref="G20" si="2">IF(D20="E",50,(IF(D20="D",35,(IF(D20="C",20,(IF(D20="B",10,(IF(D20="A",3,0)))))))))</f>
        <v>0</v>
      </c>
      <c r="H20" s="17"/>
      <c r="I20" s="17"/>
      <c r="J20" s="36"/>
    </row>
    <row r="21" spans="2:10" ht="15.6" x14ac:dyDescent="0.3">
      <c r="B21" s="270"/>
      <c r="C21" s="601" t="s">
        <v>5</v>
      </c>
      <c r="D21" s="608" t="str">
        <f>+'12 EP Summary'!G18</f>
        <v>C</v>
      </c>
      <c r="E21" s="620"/>
      <c r="F21" s="611"/>
      <c r="G21" s="610">
        <f>IF(D21="E",60,(IF(D21="D",40,(IF(D21="C",20,(IF(D21="B",10,(IF(D21="A",3,0)))))))))</f>
        <v>20</v>
      </c>
      <c r="H21" s="17" t="str">
        <f>+'12 EP Summary'!H18</f>
        <v>Complete</v>
      </c>
      <c r="I21" s="17"/>
      <c r="J21" s="36"/>
    </row>
    <row r="22" spans="2:10" ht="16.2" thickBot="1" x14ac:dyDescent="0.35">
      <c r="B22" s="270"/>
      <c r="C22" s="602" t="s">
        <v>335</v>
      </c>
      <c r="D22" s="608" t="str">
        <f>+'12 EP Summary'!G19</f>
        <v>A</v>
      </c>
      <c r="E22" s="621"/>
      <c r="F22" s="612"/>
      <c r="G22" s="610">
        <f>IF(D22="E",75,(IF(D22="D",60,(IF(D22="C",40,(IF(D22="B",25,(IF(D22="A",10,0)))))))))</f>
        <v>10</v>
      </c>
      <c r="H22" s="17" t="str">
        <f>+'12 EP Summary'!H19</f>
        <v>Complete</v>
      </c>
      <c r="I22" s="17"/>
      <c r="J22" s="36"/>
    </row>
    <row r="23" spans="2:10" ht="16.2" thickBot="1" x14ac:dyDescent="0.35">
      <c r="B23" s="270"/>
      <c r="C23" s="17"/>
      <c r="D23" s="994" t="s">
        <v>444</v>
      </c>
      <c r="E23" s="995"/>
      <c r="F23" s="996"/>
      <c r="G23" s="613">
        <f>SUM(G10:G22)</f>
        <v>85</v>
      </c>
      <c r="H23" s="17"/>
      <c r="I23" s="17"/>
      <c r="J23" s="36"/>
    </row>
    <row r="24" spans="2:10" ht="15" thickBot="1" x14ac:dyDescent="0.35">
      <c r="B24" s="270"/>
      <c r="C24" s="17"/>
      <c r="D24" s="17"/>
      <c r="E24" s="17"/>
      <c r="F24" s="17"/>
      <c r="G24" s="17"/>
      <c r="H24" s="478"/>
      <c r="I24" s="17"/>
      <c r="J24" s="36"/>
    </row>
    <row r="25" spans="2:10" ht="16.2" thickBot="1" x14ac:dyDescent="0.35">
      <c r="B25" s="270"/>
      <c r="C25" s="17"/>
      <c r="D25" s="17"/>
      <c r="E25" s="17"/>
      <c r="F25" s="997" t="s">
        <v>655</v>
      </c>
      <c r="G25" s="998"/>
      <c r="H25" s="998"/>
      <c r="I25" s="998"/>
      <c r="J25" s="999"/>
    </row>
    <row r="26" spans="2:10" ht="16.5" customHeight="1" x14ac:dyDescent="0.3">
      <c r="B26" s="270"/>
      <c r="C26" s="379"/>
      <c r="D26" s="17"/>
      <c r="E26" s="17"/>
      <c r="F26" s="1000" t="s">
        <v>749</v>
      </c>
      <c r="G26" s="1001"/>
      <c r="H26" s="1001"/>
      <c r="I26" s="1001"/>
      <c r="J26" s="1002"/>
    </row>
    <row r="27" spans="2:10" ht="15.75" customHeight="1" x14ac:dyDescent="0.3">
      <c r="B27" s="270"/>
      <c r="C27" s="706"/>
      <c r="D27" s="707"/>
      <c r="E27" s="17"/>
      <c r="F27" s="1003"/>
      <c r="G27" s="1004"/>
      <c r="H27" s="1004"/>
      <c r="I27" s="1004"/>
      <c r="J27" s="1005"/>
    </row>
    <row r="28" spans="2:10" x14ac:dyDescent="0.3">
      <c r="B28" s="270"/>
      <c r="C28" s="708"/>
      <c r="D28" s="709"/>
      <c r="E28" s="17"/>
      <c r="F28" s="1003"/>
      <c r="G28" s="1004"/>
      <c r="H28" s="1004"/>
      <c r="I28" s="1004"/>
      <c r="J28" s="1005"/>
    </row>
    <row r="29" spans="2:10" x14ac:dyDescent="0.3">
      <c r="B29" s="270"/>
      <c r="C29" s="379"/>
      <c r="D29" s="379"/>
      <c r="E29" s="17"/>
      <c r="F29" s="1003"/>
      <c r="G29" s="1004"/>
      <c r="H29" s="1004"/>
      <c r="I29" s="1004"/>
      <c r="J29" s="1005"/>
    </row>
    <row r="30" spans="2:10" ht="15" thickBot="1" x14ac:dyDescent="0.35">
      <c r="B30" s="270"/>
      <c r="C30" s="712" t="s">
        <v>791</v>
      </c>
      <c r="D30" s="707"/>
      <c r="E30" s="17"/>
      <c r="F30" s="1006"/>
      <c r="G30" s="1007"/>
      <c r="H30" s="1007"/>
      <c r="I30" s="1007"/>
      <c r="J30" s="1008"/>
    </row>
    <row r="31" spans="2:10" ht="15.6" x14ac:dyDescent="0.3">
      <c r="B31" s="270"/>
      <c r="C31" s="706"/>
      <c r="D31" s="707"/>
      <c r="E31" s="17"/>
      <c r="F31" s="17"/>
      <c r="G31" s="17"/>
      <c r="H31" s="17"/>
      <c r="I31" s="17"/>
      <c r="J31" s="36"/>
    </row>
    <row r="32" spans="2:10" ht="15.6" x14ac:dyDescent="0.3">
      <c r="B32" s="270"/>
      <c r="C32" s="479" t="s">
        <v>790</v>
      </c>
      <c r="D32" s="707"/>
      <c r="E32" s="17"/>
      <c r="F32" s="1010" t="s">
        <v>797</v>
      </c>
      <c r="G32" s="1011"/>
      <c r="H32" s="1011"/>
      <c r="I32" s="1012"/>
      <c r="J32" s="36"/>
    </row>
    <row r="33" spans="2:10" ht="15.6" x14ac:dyDescent="0.3">
      <c r="B33" s="270"/>
      <c r="C33" s="271"/>
      <c r="D33" s="615"/>
      <c r="E33" s="17"/>
      <c r="F33" s="1013"/>
      <c r="G33" s="1013"/>
      <c r="H33" s="1013"/>
      <c r="I33" s="614"/>
      <c r="J33" s="36"/>
    </row>
    <row r="34" spans="2:10" ht="15.6" x14ac:dyDescent="0.3">
      <c r="B34" s="270"/>
      <c r="C34" s="272" t="s">
        <v>445</v>
      </c>
      <c r="D34" s="616">
        <f>+G23*I34</f>
        <v>9180</v>
      </c>
      <c r="E34" s="17"/>
      <c r="F34" s="1013" t="s">
        <v>446</v>
      </c>
      <c r="G34" s="1013"/>
      <c r="H34" s="1013"/>
      <c r="I34" s="711">
        <v>108</v>
      </c>
      <c r="J34" s="36"/>
    </row>
    <row r="35" spans="2:10" ht="15.6" x14ac:dyDescent="0.3">
      <c r="B35" s="270"/>
      <c r="C35" s="273"/>
      <c r="D35" s="713"/>
      <c r="E35" s="17"/>
      <c r="F35" s="1014"/>
      <c r="G35" s="1014"/>
      <c r="H35" s="1014"/>
      <c r="I35" s="710"/>
      <c r="J35" s="36"/>
    </row>
    <row r="36" spans="2:10" ht="15.6" x14ac:dyDescent="0.3">
      <c r="B36" s="270"/>
      <c r="C36" s="706"/>
      <c r="D36" s="707"/>
      <c r="E36" s="17"/>
      <c r="F36" s="1009"/>
      <c r="G36" s="1009"/>
      <c r="H36" s="1009"/>
      <c r="I36" s="710"/>
      <c r="J36" s="36"/>
    </row>
    <row r="37" spans="2:10" ht="15.6" x14ac:dyDescent="0.3">
      <c r="B37" s="270"/>
      <c r="C37" s="714" t="s">
        <v>447</v>
      </c>
      <c r="D37" s="707"/>
      <c r="E37" s="17"/>
      <c r="F37" s="1009"/>
      <c r="G37" s="1009"/>
      <c r="H37" s="1009"/>
      <c r="I37" s="710"/>
      <c r="J37" s="36"/>
    </row>
    <row r="38" spans="2:10" ht="15.6" x14ac:dyDescent="0.3">
      <c r="B38" s="270"/>
      <c r="C38" s="708"/>
      <c r="D38" s="709"/>
      <c r="E38" s="17"/>
      <c r="F38" s="1009"/>
      <c r="G38" s="1009"/>
      <c r="H38" s="1009"/>
      <c r="I38" s="710"/>
      <c r="J38" s="36"/>
    </row>
    <row r="39" spans="2:10" ht="15.6" x14ac:dyDescent="0.3">
      <c r="B39" s="270"/>
      <c r="C39" s="706"/>
      <c r="D39" s="707"/>
      <c r="E39" s="17"/>
      <c r="F39" s="1009"/>
      <c r="G39" s="1009"/>
      <c r="H39" s="1009"/>
      <c r="I39" s="710"/>
      <c r="J39" s="36"/>
    </row>
    <row r="40" spans="2:10" x14ac:dyDescent="0.3">
      <c r="B40" s="270"/>
      <c r="C40" s="17"/>
      <c r="D40" s="17"/>
      <c r="E40" s="17"/>
      <c r="F40" s="17"/>
      <c r="G40" s="17"/>
      <c r="H40" s="17"/>
      <c r="I40" s="17"/>
      <c r="J40" s="36"/>
    </row>
    <row r="41" spans="2:10" ht="15" thickBot="1" x14ac:dyDescent="0.35">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4" x14ac:dyDescent="0.3"/>
  <cols>
    <col min="4" max="4" width="26.88671875" customWidth="1"/>
    <col min="10" max="10" width="14.88671875" customWidth="1"/>
    <col min="11" max="12" width="18.5546875" customWidth="1"/>
    <col min="18" max="18" width="21.5546875" customWidth="1"/>
  </cols>
  <sheetData>
    <row r="1" spans="2:41" x14ac:dyDescent="0.3">
      <c r="B1" t="s">
        <v>43</v>
      </c>
      <c r="D1" t="s">
        <v>44</v>
      </c>
      <c r="H1" t="s">
        <v>56</v>
      </c>
      <c r="J1" t="s">
        <v>56</v>
      </c>
      <c r="P1" t="s">
        <v>641</v>
      </c>
      <c r="R1" t="s">
        <v>56</v>
      </c>
      <c r="W1" t="s">
        <v>334</v>
      </c>
      <c r="Y1" t="s">
        <v>430</v>
      </c>
      <c r="AM1" t="s">
        <v>630</v>
      </c>
    </row>
    <row r="2" spans="2:41" x14ac:dyDescent="0.3">
      <c r="B2" t="s">
        <v>16</v>
      </c>
      <c r="D2" t="s">
        <v>45</v>
      </c>
      <c r="E2" t="s">
        <v>51</v>
      </c>
      <c r="J2" t="s">
        <v>57</v>
      </c>
      <c r="R2" t="s">
        <v>76</v>
      </c>
      <c r="W2" t="s">
        <v>17</v>
      </c>
      <c r="Y2" t="s">
        <v>17</v>
      </c>
      <c r="AB2" t="s">
        <v>17</v>
      </c>
      <c r="AC2" t="s">
        <v>18</v>
      </c>
    </row>
    <row r="3" spans="2:41" ht="28.8" x14ac:dyDescent="0.3">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
      <c r="B4" t="s">
        <v>18</v>
      </c>
      <c r="D4" s="28" t="s">
        <v>448</v>
      </c>
      <c r="E4" s="29" t="s">
        <v>33</v>
      </c>
      <c r="J4" t="s">
        <v>58</v>
      </c>
      <c r="K4" t="s">
        <v>62</v>
      </c>
      <c r="L4" t="s">
        <v>649</v>
      </c>
      <c r="M4" t="s">
        <v>745</v>
      </c>
      <c r="N4" t="s">
        <v>643</v>
      </c>
      <c r="O4" t="s">
        <v>645</v>
      </c>
      <c r="P4" t="s">
        <v>644</v>
      </c>
      <c r="R4" t="s">
        <v>552</v>
      </c>
      <c r="U4">
        <v>1</v>
      </c>
      <c r="AA4" t="s">
        <v>728</v>
      </c>
      <c r="AB4" t="s">
        <v>17</v>
      </c>
    </row>
    <row r="5" spans="2:41" x14ac:dyDescent="0.3">
      <c r="D5" s="28" t="s">
        <v>449</v>
      </c>
      <c r="E5" s="29" t="s">
        <v>33</v>
      </c>
      <c r="J5" t="s">
        <v>67</v>
      </c>
      <c r="K5" t="s">
        <v>63</v>
      </c>
      <c r="L5" t="s">
        <v>650</v>
      </c>
      <c r="U5">
        <v>2</v>
      </c>
      <c r="Y5" t="s">
        <v>17</v>
      </c>
      <c r="AA5">
        <v>1</v>
      </c>
      <c r="AM5" t="s">
        <v>631</v>
      </c>
      <c r="AO5">
        <v>211</v>
      </c>
    </row>
    <row r="6" spans="2:41" x14ac:dyDescent="0.3">
      <c r="D6" s="28" t="s">
        <v>450</v>
      </c>
      <c r="E6" s="29" t="s">
        <v>34</v>
      </c>
      <c r="J6" t="s">
        <v>68</v>
      </c>
      <c r="K6" t="s">
        <v>64</v>
      </c>
      <c r="L6" t="s">
        <v>651</v>
      </c>
      <c r="U6">
        <v>3</v>
      </c>
      <c r="Y6" t="s">
        <v>18</v>
      </c>
      <c r="AA6">
        <v>2</v>
      </c>
      <c r="AM6" t="s">
        <v>633</v>
      </c>
      <c r="AO6">
        <v>102</v>
      </c>
    </row>
    <row r="7" spans="2:41" x14ac:dyDescent="0.3">
      <c r="D7" s="28" t="s">
        <v>451</v>
      </c>
      <c r="E7" s="29" t="s">
        <v>32</v>
      </c>
      <c r="J7" t="s">
        <v>69</v>
      </c>
      <c r="K7" t="s">
        <v>65</v>
      </c>
      <c r="L7" t="s">
        <v>653</v>
      </c>
      <c r="U7">
        <v>4</v>
      </c>
      <c r="Y7" t="s">
        <v>671</v>
      </c>
      <c r="AA7">
        <v>3</v>
      </c>
      <c r="AM7" t="s">
        <v>632</v>
      </c>
      <c r="AO7">
        <v>58</v>
      </c>
    </row>
    <row r="8" spans="2:41" x14ac:dyDescent="0.3">
      <c r="D8" s="28" t="s">
        <v>35</v>
      </c>
      <c r="E8" s="29" t="s">
        <v>34</v>
      </c>
      <c r="J8" t="s">
        <v>70</v>
      </c>
      <c r="K8" t="s">
        <v>59</v>
      </c>
      <c r="L8" t="s">
        <v>654</v>
      </c>
      <c r="U8">
        <v>5</v>
      </c>
      <c r="AA8">
        <v>4</v>
      </c>
      <c r="AM8" t="s">
        <v>634</v>
      </c>
      <c r="AO8">
        <v>116</v>
      </c>
    </row>
    <row r="9" spans="2:41" x14ac:dyDescent="0.3">
      <c r="D9" s="28" t="s">
        <v>452</v>
      </c>
      <c r="E9" s="29" t="s">
        <v>30</v>
      </c>
      <c r="J9" t="s">
        <v>553</v>
      </c>
      <c r="K9" t="s">
        <v>60</v>
      </c>
      <c r="L9" t="s">
        <v>652</v>
      </c>
      <c r="U9">
        <v>6</v>
      </c>
      <c r="AA9">
        <v>5</v>
      </c>
      <c r="AM9" t="s">
        <v>635</v>
      </c>
      <c r="AO9">
        <v>130</v>
      </c>
    </row>
    <row r="10" spans="2:41" x14ac:dyDescent="0.3">
      <c r="D10" s="28" t="s">
        <v>453</v>
      </c>
      <c r="E10" s="29" t="s">
        <v>30</v>
      </c>
      <c r="J10" t="s">
        <v>559</v>
      </c>
      <c r="K10" t="s">
        <v>61</v>
      </c>
      <c r="AA10" t="s">
        <v>670</v>
      </c>
      <c r="AM10" t="s">
        <v>636</v>
      </c>
      <c r="AO10">
        <v>100</v>
      </c>
    </row>
    <row r="11" spans="2:41" x14ac:dyDescent="0.3">
      <c r="D11" s="28" t="s">
        <v>454</v>
      </c>
      <c r="E11" s="29" t="s">
        <v>30</v>
      </c>
      <c r="J11" t="s">
        <v>560</v>
      </c>
      <c r="K11" t="s">
        <v>66</v>
      </c>
    </row>
    <row r="12" spans="2:41" ht="43.2" x14ac:dyDescent="0.3">
      <c r="D12" s="28" t="s">
        <v>455</v>
      </c>
      <c r="E12" s="29" t="s">
        <v>32</v>
      </c>
      <c r="J12" t="s">
        <v>569</v>
      </c>
      <c r="K12" t="s">
        <v>71</v>
      </c>
      <c r="V12" s="905" t="s">
        <v>660</v>
      </c>
      <c r="W12" t="s">
        <v>767</v>
      </c>
      <c r="X12" t="s">
        <v>769</v>
      </c>
      <c r="Z12" t="s">
        <v>779</v>
      </c>
      <c r="AA12" t="s">
        <v>775</v>
      </c>
      <c r="AB12" s="145" t="s">
        <v>762</v>
      </c>
      <c r="AC12" t="s">
        <v>766</v>
      </c>
      <c r="AD12" t="s">
        <v>763</v>
      </c>
      <c r="AE12" t="s">
        <v>764</v>
      </c>
      <c r="AF12" t="s">
        <v>765</v>
      </c>
    </row>
    <row r="13" spans="2:41" ht="43.2" x14ac:dyDescent="0.3">
      <c r="D13" s="28" t="s">
        <v>456</v>
      </c>
      <c r="E13" s="29" t="s">
        <v>34</v>
      </c>
      <c r="J13" t="s">
        <v>568</v>
      </c>
      <c r="K13" t="s">
        <v>72</v>
      </c>
      <c r="V13" s="882"/>
      <c r="W13" s="145" t="s">
        <v>762</v>
      </c>
      <c r="X13" t="s">
        <v>770</v>
      </c>
      <c r="Z13" t="s">
        <v>773</v>
      </c>
      <c r="AA13" t="s">
        <v>782</v>
      </c>
      <c r="AB13" t="s">
        <v>768</v>
      </c>
    </row>
    <row r="14" spans="2:41" x14ac:dyDescent="0.3">
      <c r="D14" s="28" t="s">
        <v>457</v>
      </c>
      <c r="E14" s="29" t="s">
        <v>30</v>
      </c>
      <c r="J14" t="s">
        <v>573</v>
      </c>
      <c r="K14" t="s">
        <v>73</v>
      </c>
      <c r="V14" s="882"/>
      <c r="W14" t="s">
        <v>766</v>
      </c>
      <c r="X14" t="s">
        <v>771</v>
      </c>
      <c r="Z14" t="s">
        <v>774</v>
      </c>
      <c r="AB14" t="s">
        <v>772</v>
      </c>
    </row>
    <row r="15" spans="2:41" x14ac:dyDescent="0.3">
      <c r="D15" s="28" t="s">
        <v>458</v>
      </c>
      <c r="E15" s="29" t="s">
        <v>34</v>
      </c>
      <c r="J15" t="s">
        <v>589</v>
      </c>
      <c r="K15" t="s">
        <v>554</v>
      </c>
      <c r="V15" s="882"/>
      <c r="W15" t="s">
        <v>763</v>
      </c>
      <c r="Z15" t="s">
        <v>778</v>
      </c>
    </row>
    <row r="16" spans="2:41" x14ac:dyDescent="0.3">
      <c r="D16" s="28" t="s">
        <v>36</v>
      </c>
      <c r="E16" s="29" t="s">
        <v>30</v>
      </c>
      <c r="J16" t="s">
        <v>590</v>
      </c>
      <c r="K16" t="s">
        <v>555</v>
      </c>
      <c r="V16" s="882"/>
      <c r="W16" t="s">
        <v>777</v>
      </c>
    </row>
    <row r="17" spans="4:23" x14ac:dyDescent="0.3">
      <c r="D17" s="28" t="s">
        <v>629</v>
      </c>
      <c r="E17" s="29" t="s">
        <v>34</v>
      </c>
      <c r="J17" t="s">
        <v>596</v>
      </c>
      <c r="K17" t="s">
        <v>556</v>
      </c>
      <c r="V17" s="883"/>
      <c r="W17" t="s">
        <v>765</v>
      </c>
    </row>
    <row r="18" spans="4:23" x14ac:dyDescent="0.3">
      <c r="D18" s="28" t="s">
        <v>628</v>
      </c>
      <c r="E18" s="29" t="s">
        <v>33</v>
      </c>
      <c r="J18" t="s">
        <v>597</v>
      </c>
      <c r="K18" t="s">
        <v>557</v>
      </c>
    </row>
    <row r="19" spans="4:23" x14ac:dyDescent="0.3">
      <c r="D19" s="28" t="s">
        <v>37</v>
      </c>
      <c r="E19" s="29" t="s">
        <v>30</v>
      </c>
      <c r="J19" t="s">
        <v>598</v>
      </c>
      <c r="K19" t="s">
        <v>558</v>
      </c>
    </row>
    <row r="20" spans="4:23" x14ac:dyDescent="0.3">
      <c r="D20" s="28" t="s">
        <v>38</v>
      </c>
      <c r="E20" s="29" t="s">
        <v>31</v>
      </c>
      <c r="J20" t="s">
        <v>603</v>
      </c>
      <c r="K20" t="s">
        <v>561</v>
      </c>
    </row>
    <row r="21" spans="4:23" x14ac:dyDescent="0.3">
      <c r="D21" s="28" t="s">
        <v>459</v>
      </c>
      <c r="E21" s="29" t="s">
        <v>30</v>
      </c>
      <c r="J21" t="s">
        <v>604</v>
      </c>
      <c r="K21" t="s">
        <v>562</v>
      </c>
    </row>
    <row r="22" spans="4:23" x14ac:dyDescent="0.3">
      <c r="D22" s="28" t="s">
        <v>460</v>
      </c>
      <c r="E22" s="29" t="s">
        <v>32</v>
      </c>
      <c r="J22" t="s">
        <v>612</v>
      </c>
      <c r="K22" t="s">
        <v>563</v>
      </c>
    </row>
    <row r="23" spans="4:23" x14ac:dyDescent="0.3">
      <c r="D23" s="28" t="s">
        <v>461</v>
      </c>
      <c r="E23" s="29" t="s">
        <v>32</v>
      </c>
      <c r="J23" t="s">
        <v>620</v>
      </c>
      <c r="K23" t="s">
        <v>564</v>
      </c>
    </row>
    <row r="24" spans="4:23" x14ac:dyDescent="0.3">
      <c r="D24" s="28" t="s">
        <v>462</v>
      </c>
      <c r="E24" s="29" t="s">
        <v>31</v>
      </c>
      <c r="K24" t="s">
        <v>565</v>
      </c>
    </row>
    <row r="25" spans="4:23" x14ac:dyDescent="0.3">
      <c r="D25" s="28" t="s">
        <v>39</v>
      </c>
      <c r="E25" s="29" t="s">
        <v>31</v>
      </c>
      <c r="K25" t="s">
        <v>566</v>
      </c>
    </row>
    <row r="26" spans="4:23" x14ac:dyDescent="0.3">
      <c r="D26" s="28" t="s">
        <v>463</v>
      </c>
      <c r="E26" s="29" t="s">
        <v>30</v>
      </c>
      <c r="K26" t="s">
        <v>567</v>
      </c>
    </row>
    <row r="27" spans="4:23" x14ac:dyDescent="0.3">
      <c r="D27" s="28" t="s">
        <v>464</v>
      </c>
      <c r="E27" s="29" t="s">
        <v>30</v>
      </c>
      <c r="K27" t="s">
        <v>570</v>
      </c>
    </row>
    <row r="28" spans="4:23" x14ac:dyDescent="0.3">
      <c r="D28" s="28" t="s">
        <v>465</v>
      </c>
      <c r="E28" s="29" t="s">
        <v>31</v>
      </c>
      <c r="K28" t="s">
        <v>571</v>
      </c>
    </row>
    <row r="29" spans="4:23" x14ac:dyDescent="0.3">
      <c r="D29" s="28" t="s">
        <v>466</v>
      </c>
      <c r="E29" s="29" t="s">
        <v>31</v>
      </c>
      <c r="K29" t="s">
        <v>572</v>
      </c>
    </row>
    <row r="30" spans="4:23" x14ac:dyDescent="0.3">
      <c r="D30" s="28" t="s">
        <v>467</v>
      </c>
      <c r="E30" s="29" t="s">
        <v>31</v>
      </c>
      <c r="K30" t="s">
        <v>574</v>
      </c>
    </row>
    <row r="31" spans="4:23" x14ac:dyDescent="0.3">
      <c r="D31" s="28" t="s">
        <v>468</v>
      </c>
      <c r="E31" s="29" t="s">
        <v>31</v>
      </c>
      <c r="K31" t="s">
        <v>575</v>
      </c>
    </row>
    <row r="32" spans="4:23" x14ac:dyDescent="0.3">
      <c r="D32" s="28" t="s">
        <v>469</v>
      </c>
      <c r="E32" s="29" t="s">
        <v>31</v>
      </c>
      <c r="K32" t="s">
        <v>576</v>
      </c>
    </row>
    <row r="33" spans="4:11" x14ac:dyDescent="0.3">
      <c r="D33" s="28" t="s">
        <v>687</v>
      </c>
      <c r="E33" s="29" t="s">
        <v>32</v>
      </c>
      <c r="K33" t="s">
        <v>577</v>
      </c>
    </row>
    <row r="34" spans="4:11" x14ac:dyDescent="0.3">
      <c r="D34" s="28" t="s">
        <v>688</v>
      </c>
      <c r="E34" s="29" t="s">
        <v>30</v>
      </c>
      <c r="K34" t="s">
        <v>578</v>
      </c>
    </row>
    <row r="35" spans="4:11" x14ac:dyDescent="0.3">
      <c r="D35" s="28" t="s">
        <v>689</v>
      </c>
      <c r="E35" s="29" t="s">
        <v>32</v>
      </c>
      <c r="K35" t="s">
        <v>579</v>
      </c>
    </row>
    <row r="36" spans="4:11" x14ac:dyDescent="0.3">
      <c r="D36" s="28" t="s">
        <v>690</v>
      </c>
      <c r="E36" s="29" t="s">
        <v>30</v>
      </c>
      <c r="K36" t="s">
        <v>580</v>
      </c>
    </row>
    <row r="37" spans="4:11" x14ac:dyDescent="0.3">
      <c r="D37" s="28" t="s">
        <v>691</v>
      </c>
      <c r="E37" s="29" t="s">
        <v>32</v>
      </c>
      <c r="K37" t="s">
        <v>581</v>
      </c>
    </row>
    <row r="38" spans="4:11" x14ac:dyDescent="0.3">
      <c r="D38" s="28" t="s">
        <v>692</v>
      </c>
      <c r="E38" s="29" t="s">
        <v>30</v>
      </c>
      <c r="K38" t="s">
        <v>582</v>
      </c>
    </row>
    <row r="39" spans="4:11" x14ac:dyDescent="0.3">
      <c r="D39" s="28" t="s">
        <v>693</v>
      </c>
      <c r="E39" s="29" t="s">
        <v>32</v>
      </c>
      <c r="K39" t="s">
        <v>583</v>
      </c>
    </row>
    <row r="40" spans="4:11" x14ac:dyDescent="0.3">
      <c r="D40" s="28" t="s">
        <v>694</v>
      </c>
      <c r="E40" s="29" t="s">
        <v>30</v>
      </c>
      <c r="K40" t="s">
        <v>584</v>
      </c>
    </row>
    <row r="41" spans="4:11" x14ac:dyDescent="0.3">
      <c r="D41" s="28" t="s">
        <v>695</v>
      </c>
      <c r="E41" s="29" t="s">
        <v>32</v>
      </c>
      <c r="K41" t="s">
        <v>585</v>
      </c>
    </row>
    <row r="42" spans="4:11" x14ac:dyDescent="0.3">
      <c r="D42" s="28" t="s">
        <v>696</v>
      </c>
      <c r="E42" s="29" t="s">
        <v>30</v>
      </c>
      <c r="K42" t="s">
        <v>586</v>
      </c>
    </row>
    <row r="43" spans="4:11" x14ac:dyDescent="0.3">
      <c r="D43" s="28" t="s">
        <v>697</v>
      </c>
      <c r="E43" s="29" t="s">
        <v>32</v>
      </c>
      <c r="K43" t="s">
        <v>587</v>
      </c>
    </row>
    <row r="44" spans="4:11" x14ac:dyDescent="0.3">
      <c r="D44" s="28" t="s">
        <v>698</v>
      </c>
      <c r="E44" s="29" t="s">
        <v>30</v>
      </c>
      <c r="K44" t="s">
        <v>588</v>
      </c>
    </row>
    <row r="45" spans="4:11" x14ac:dyDescent="0.3">
      <c r="D45" s="28" t="s">
        <v>699</v>
      </c>
      <c r="E45" s="29" t="s">
        <v>32</v>
      </c>
      <c r="K45" t="s">
        <v>591</v>
      </c>
    </row>
    <row r="46" spans="4:11" x14ac:dyDescent="0.3">
      <c r="D46" s="28" t="s">
        <v>700</v>
      </c>
      <c r="E46" s="29" t="s">
        <v>30</v>
      </c>
      <c r="K46" t="s">
        <v>592</v>
      </c>
    </row>
    <row r="47" spans="4:11" x14ac:dyDescent="0.3">
      <c r="D47" s="28" t="s">
        <v>701</v>
      </c>
      <c r="E47" s="29" t="s">
        <v>32</v>
      </c>
      <c r="K47" t="s">
        <v>593</v>
      </c>
    </row>
    <row r="48" spans="4:11" x14ac:dyDescent="0.3">
      <c r="D48" s="28" t="s">
        <v>702</v>
      </c>
      <c r="E48" s="29" t="s">
        <v>30</v>
      </c>
      <c r="K48" t="s">
        <v>594</v>
      </c>
    </row>
    <row r="49" spans="4:11" x14ac:dyDescent="0.3">
      <c r="D49" s="28" t="s">
        <v>703</v>
      </c>
      <c r="E49" s="29" t="s">
        <v>32</v>
      </c>
      <c r="K49" t="s">
        <v>595</v>
      </c>
    </row>
    <row r="50" spans="4:11" x14ac:dyDescent="0.3">
      <c r="D50" s="28" t="s">
        <v>704</v>
      </c>
      <c r="E50" s="29" t="s">
        <v>30</v>
      </c>
      <c r="K50" t="s">
        <v>599</v>
      </c>
    </row>
    <row r="51" spans="4:11" x14ac:dyDescent="0.3">
      <c r="D51" s="28" t="s">
        <v>705</v>
      </c>
      <c r="E51" s="29" t="s">
        <v>32</v>
      </c>
      <c r="K51" t="s">
        <v>600</v>
      </c>
    </row>
    <row r="52" spans="4:11" x14ac:dyDescent="0.3">
      <c r="D52" s="28" t="s">
        <v>706</v>
      </c>
      <c r="E52" s="29" t="s">
        <v>30</v>
      </c>
      <c r="K52" t="s">
        <v>601</v>
      </c>
    </row>
    <row r="53" spans="4:11" x14ac:dyDescent="0.3">
      <c r="D53" s="28" t="s">
        <v>707</v>
      </c>
      <c r="E53" s="29" t="s">
        <v>32</v>
      </c>
      <c r="K53" t="s">
        <v>602</v>
      </c>
    </row>
    <row r="54" spans="4:11" x14ac:dyDescent="0.3">
      <c r="D54" s="28" t="s">
        <v>708</v>
      </c>
      <c r="E54" s="29" t="s">
        <v>30</v>
      </c>
      <c r="K54" t="s">
        <v>605</v>
      </c>
    </row>
    <row r="55" spans="4:11" ht="28.8" x14ac:dyDescent="0.3">
      <c r="D55" s="28" t="s">
        <v>470</v>
      </c>
      <c r="E55" s="29" t="s">
        <v>32</v>
      </c>
      <c r="K55" t="s">
        <v>606</v>
      </c>
    </row>
    <row r="56" spans="4:11" x14ac:dyDescent="0.3">
      <c r="D56" s="28" t="s">
        <v>471</v>
      </c>
      <c r="E56" s="29" t="s">
        <v>31</v>
      </c>
      <c r="K56" t="s">
        <v>607</v>
      </c>
    </row>
    <row r="57" spans="4:11" x14ac:dyDescent="0.3">
      <c r="D57" s="28" t="s">
        <v>472</v>
      </c>
      <c r="E57" s="29" t="s">
        <v>31</v>
      </c>
      <c r="K57" t="s">
        <v>609</v>
      </c>
    </row>
    <row r="58" spans="4:11" x14ac:dyDescent="0.3">
      <c r="D58" s="28" t="s">
        <v>473</v>
      </c>
      <c r="E58" s="29" t="s">
        <v>31</v>
      </c>
      <c r="K58" t="s">
        <v>610</v>
      </c>
    </row>
    <row r="59" spans="4:11" x14ac:dyDescent="0.3">
      <c r="D59" s="28" t="s">
        <v>474</v>
      </c>
      <c r="E59" s="29" t="s">
        <v>30</v>
      </c>
      <c r="K59" t="s">
        <v>611</v>
      </c>
    </row>
    <row r="60" spans="4:11" x14ac:dyDescent="0.3">
      <c r="D60" s="28" t="s">
        <v>475</v>
      </c>
      <c r="E60" s="29" t="s">
        <v>30</v>
      </c>
      <c r="K60" t="s">
        <v>608</v>
      </c>
    </row>
    <row r="61" spans="4:11" x14ac:dyDescent="0.3">
      <c r="D61" s="28" t="s">
        <v>476</v>
      </c>
      <c r="E61" s="29" t="s">
        <v>30</v>
      </c>
      <c r="K61" t="s">
        <v>613</v>
      </c>
    </row>
    <row r="62" spans="4:11" x14ac:dyDescent="0.3">
      <c r="D62" s="28" t="s">
        <v>477</v>
      </c>
      <c r="E62" s="29" t="s">
        <v>30</v>
      </c>
      <c r="K62" t="s">
        <v>614</v>
      </c>
    </row>
    <row r="63" spans="4:11" x14ac:dyDescent="0.3">
      <c r="D63" s="28" t="s">
        <v>478</v>
      </c>
      <c r="E63" s="29" t="s">
        <v>30</v>
      </c>
      <c r="K63" t="s">
        <v>615</v>
      </c>
    </row>
    <row r="64" spans="4:11" x14ac:dyDescent="0.3">
      <c r="D64" s="28" t="s">
        <v>479</v>
      </c>
      <c r="E64" s="29" t="s">
        <v>30</v>
      </c>
      <c r="K64" t="s">
        <v>618</v>
      </c>
    </row>
    <row r="65" spans="4:11" x14ac:dyDescent="0.3">
      <c r="D65" s="28" t="s">
        <v>480</v>
      </c>
      <c r="E65" s="29" t="s">
        <v>31</v>
      </c>
      <c r="K65" t="s">
        <v>619</v>
      </c>
    </row>
    <row r="66" spans="4:11" x14ac:dyDescent="0.3">
      <c r="D66" s="28" t="s">
        <v>481</v>
      </c>
      <c r="E66" s="29" t="s">
        <v>30</v>
      </c>
      <c r="K66" t="s">
        <v>616</v>
      </c>
    </row>
    <row r="67" spans="4:11" x14ac:dyDescent="0.3">
      <c r="D67" s="28" t="s">
        <v>482</v>
      </c>
      <c r="E67" s="29" t="s">
        <v>31</v>
      </c>
      <c r="K67" t="s">
        <v>617</v>
      </c>
    </row>
    <row r="68" spans="4:11" x14ac:dyDescent="0.3">
      <c r="D68" s="28" t="s">
        <v>483</v>
      </c>
      <c r="E68" s="29" t="s">
        <v>31</v>
      </c>
      <c r="K68" t="s">
        <v>621</v>
      </c>
    </row>
    <row r="69" spans="4:11" x14ac:dyDescent="0.3">
      <c r="D69" s="28" t="s">
        <v>484</v>
      </c>
      <c r="E69" s="29" t="s">
        <v>31</v>
      </c>
      <c r="K69" t="s">
        <v>622</v>
      </c>
    </row>
    <row r="70" spans="4:11" x14ac:dyDescent="0.3">
      <c r="D70" s="28" t="s">
        <v>485</v>
      </c>
      <c r="E70" s="29" t="s">
        <v>31</v>
      </c>
      <c r="K70" t="s">
        <v>623</v>
      </c>
    </row>
    <row r="71" spans="4:11" x14ac:dyDescent="0.3">
      <c r="D71" s="28" t="s">
        <v>486</v>
      </c>
      <c r="E71" s="29" t="s">
        <v>31</v>
      </c>
      <c r="K71" t="s">
        <v>624</v>
      </c>
    </row>
    <row r="72" spans="4:11" x14ac:dyDescent="0.3">
      <c r="D72" s="28" t="s">
        <v>718</v>
      </c>
      <c r="E72" s="29" t="s">
        <v>30</v>
      </c>
      <c r="K72" t="s">
        <v>625</v>
      </c>
    </row>
    <row r="73" spans="4:11" x14ac:dyDescent="0.3">
      <c r="D73" s="28" t="s">
        <v>719</v>
      </c>
      <c r="E73" s="29" t="s">
        <v>31</v>
      </c>
      <c r="K73" t="s">
        <v>626</v>
      </c>
    </row>
    <row r="74" spans="4:11" x14ac:dyDescent="0.3">
      <c r="D74" s="28" t="s">
        <v>487</v>
      </c>
      <c r="E74" s="29" t="s">
        <v>31</v>
      </c>
      <c r="K74" t="s">
        <v>627</v>
      </c>
    </row>
    <row r="75" spans="4:11" x14ac:dyDescent="0.3">
      <c r="D75" s="28" t="s">
        <v>489</v>
      </c>
      <c r="E75" s="29" t="s">
        <v>30</v>
      </c>
    </row>
    <row r="76" spans="4:11" x14ac:dyDescent="0.3">
      <c r="D76" s="28" t="s">
        <v>488</v>
      </c>
      <c r="E76" s="29" t="s">
        <v>33</v>
      </c>
    </row>
    <row r="77" spans="4:11" x14ac:dyDescent="0.3">
      <c r="D77" s="28" t="s">
        <v>490</v>
      </c>
      <c r="E77" s="29" t="s">
        <v>30</v>
      </c>
    </row>
    <row r="78" spans="4:11" x14ac:dyDescent="0.3">
      <c r="D78" s="28" t="s">
        <v>491</v>
      </c>
      <c r="E78" s="29" t="s">
        <v>33</v>
      </c>
    </row>
    <row r="79" spans="4:11" x14ac:dyDescent="0.3">
      <c r="D79" s="28" t="s">
        <v>492</v>
      </c>
      <c r="E79" s="29" t="s">
        <v>30</v>
      </c>
    </row>
    <row r="80" spans="4:11" x14ac:dyDescent="0.3">
      <c r="D80" s="28" t="s">
        <v>493</v>
      </c>
      <c r="E80" s="29" t="s">
        <v>33</v>
      </c>
    </row>
    <row r="81" spans="4:5" x14ac:dyDescent="0.3">
      <c r="D81" s="28" t="s">
        <v>494</v>
      </c>
      <c r="E81" s="29" t="s">
        <v>31</v>
      </c>
    </row>
    <row r="82" spans="4:5" x14ac:dyDescent="0.3">
      <c r="D82" s="28" t="s">
        <v>495</v>
      </c>
      <c r="E82" s="29" t="s">
        <v>34</v>
      </c>
    </row>
    <row r="83" spans="4:5" x14ac:dyDescent="0.3">
      <c r="D83" s="28" t="s">
        <v>496</v>
      </c>
      <c r="E83" s="29" t="s">
        <v>30</v>
      </c>
    </row>
    <row r="84" spans="4:5" x14ac:dyDescent="0.3">
      <c r="D84" s="28" t="s">
        <v>497</v>
      </c>
      <c r="E84" s="29" t="s">
        <v>30</v>
      </c>
    </row>
    <row r="85" spans="4:5" x14ac:dyDescent="0.3">
      <c r="D85" s="28" t="s">
        <v>498</v>
      </c>
      <c r="E85" s="29" t="s">
        <v>32</v>
      </c>
    </row>
    <row r="86" spans="4:5" x14ac:dyDescent="0.3">
      <c r="D86" s="28" t="s">
        <v>500</v>
      </c>
      <c r="E86" s="29" t="s">
        <v>34</v>
      </c>
    </row>
    <row r="87" spans="4:5" x14ac:dyDescent="0.3">
      <c r="D87" s="28" t="s">
        <v>501</v>
      </c>
      <c r="E87" s="29" t="s">
        <v>30</v>
      </c>
    </row>
    <row r="88" spans="4:5" x14ac:dyDescent="0.3">
      <c r="D88" s="28" t="s">
        <v>502</v>
      </c>
      <c r="E88" s="29" t="s">
        <v>30</v>
      </c>
    </row>
    <row r="89" spans="4:5" x14ac:dyDescent="0.3">
      <c r="D89" s="28" t="s">
        <v>503</v>
      </c>
      <c r="E89" s="29" t="s">
        <v>30</v>
      </c>
    </row>
    <row r="90" spans="4:5" x14ac:dyDescent="0.3">
      <c r="D90" s="28" t="s">
        <v>504</v>
      </c>
      <c r="E90" s="29" t="s">
        <v>32</v>
      </c>
    </row>
    <row r="91" spans="4:5" x14ac:dyDescent="0.3">
      <c r="D91" s="28" t="s">
        <v>505</v>
      </c>
      <c r="E91" s="29" t="s">
        <v>30</v>
      </c>
    </row>
    <row r="92" spans="4:5" x14ac:dyDescent="0.3">
      <c r="D92" s="28" t="s">
        <v>499</v>
      </c>
      <c r="E92" s="29" t="s">
        <v>30</v>
      </c>
    </row>
    <row r="93" spans="4:5" x14ac:dyDescent="0.3">
      <c r="D93" s="28" t="s">
        <v>506</v>
      </c>
      <c r="E93" s="29" t="s">
        <v>33</v>
      </c>
    </row>
    <row r="94" spans="4:5" x14ac:dyDescent="0.3">
      <c r="D94" s="28" t="s">
        <v>40</v>
      </c>
      <c r="E94" s="29" t="s">
        <v>32</v>
      </c>
    </row>
    <row r="95" spans="4:5" x14ac:dyDescent="0.3">
      <c r="D95" s="28" t="s">
        <v>507</v>
      </c>
      <c r="E95" s="29" t="s">
        <v>32</v>
      </c>
    </row>
    <row r="96" spans="4:5" x14ac:dyDescent="0.3">
      <c r="D96" s="28" t="s">
        <v>522</v>
      </c>
      <c r="E96" s="29" t="s">
        <v>30</v>
      </c>
    </row>
    <row r="97" spans="4:5" x14ac:dyDescent="0.3">
      <c r="D97" s="28" t="s">
        <v>523</v>
      </c>
      <c r="E97" s="29" t="s">
        <v>32</v>
      </c>
    </row>
    <row r="98" spans="4:5" x14ac:dyDescent="0.3">
      <c r="D98" s="28" t="s">
        <v>524</v>
      </c>
      <c r="E98" s="29" t="s">
        <v>31</v>
      </c>
    </row>
    <row r="99" spans="4:5" x14ac:dyDescent="0.3">
      <c r="D99" s="28" t="s">
        <v>508</v>
      </c>
      <c r="E99" s="29" t="s">
        <v>32</v>
      </c>
    </row>
    <row r="100" spans="4:5" x14ac:dyDescent="0.3">
      <c r="D100" s="28" t="s">
        <v>525</v>
      </c>
      <c r="E100" s="29" t="s">
        <v>31</v>
      </c>
    </row>
    <row r="101" spans="4:5" x14ac:dyDescent="0.3">
      <c r="D101" s="28" t="s">
        <v>509</v>
      </c>
      <c r="E101" s="29" t="s">
        <v>32</v>
      </c>
    </row>
    <row r="102" spans="4:5" x14ac:dyDescent="0.3">
      <c r="D102" s="28" t="s">
        <v>526</v>
      </c>
      <c r="E102" s="29" t="s">
        <v>31</v>
      </c>
    </row>
    <row r="103" spans="4:5" x14ac:dyDescent="0.3">
      <c r="D103" s="28" t="s">
        <v>510</v>
      </c>
      <c r="E103" s="29" t="s">
        <v>31</v>
      </c>
    </row>
    <row r="104" spans="4:5" x14ac:dyDescent="0.3">
      <c r="D104" s="28" t="s">
        <v>511</v>
      </c>
      <c r="E104" s="29" t="s">
        <v>31</v>
      </c>
    </row>
    <row r="105" spans="4:5" x14ac:dyDescent="0.3">
      <c r="D105" s="28" t="s">
        <v>512</v>
      </c>
      <c r="E105" s="29" t="s">
        <v>31</v>
      </c>
    </row>
    <row r="106" spans="4:5" x14ac:dyDescent="0.3">
      <c r="D106" s="28" t="s">
        <v>513</v>
      </c>
      <c r="E106" s="29" t="s">
        <v>31</v>
      </c>
    </row>
    <row r="107" spans="4:5" x14ac:dyDescent="0.3">
      <c r="D107" s="28" t="s">
        <v>514</v>
      </c>
      <c r="E107" s="29" t="s">
        <v>31</v>
      </c>
    </row>
    <row r="108" spans="4:5" x14ac:dyDescent="0.3">
      <c r="D108" s="28" t="s">
        <v>515</v>
      </c>
      <c r="E108" s="29" t="s">
        <v>31</v>
      </c>
    </row>
    <row r="109" spans="4:5" x14ac:dyDescent="0.3">
      <c r="D109" s="28" t="s">
        <v>516</v>
      </c>
      <c r="E109" s="29" t="s">
        <v>30</v>
      </c>
    </row>
    <row r="110" spans="4:5" x14ac:dyDescent="0.3">
      <c r="D110" s="28" t="s">
        <v>518</v>
      </c>
      <c r="E110" s="29" t="s">
        <v>31</v>
      </c>
    </row>
    <row r="111" spans="4:5" x14ac:dyDescent="0.3">
      <c r="D111" s="28" t="s">
        <v>519</v>
      </c>
      <c r="E111" s="29" t="s">
        <v>31</v>
      </c>
    </row>
    <row r="112" spans="4:5" x14ac:dyDescent="0.3">
      <c r="D112" s="28" t="s">
        <v>517</v>
      </c>
      <c r="E112" s="29" t="s">
        <v>31</v>
      </c>
    </row>
    <row r="113" spans="4:5" x14ac:dyDescent="0.3">
      <c r="D113" s="28" t="s">
        <v>520</v>
      </c>
      <c r="E113" s="29" t="s">
        <v>31</v>
      </c>
    </row>
    <row r="114" spans="4:5" x14ac:dyDescent="0.3">
      <c r="D114" s="28" t="s">
        <v>521</v>
      </c>
      <c r="E114" s="29" t="s">
        <v>31</v>
      </c>
    </row>
    <row r="115" spans="4:5" x14ac:dyDescent="0.3">
      <c r="D115" s="28" t="s">
        <v>527</v>
      </c>
      <c r="E115" s="29" t="s">
        <v>31</v>
      </c>
    </row>
    <row r="116" spans="4:5" x14ac:dyDescent="0.3">
      <c r="D116" s="28" t="s">
        <v>528</v>
      </c>
      <c r="E116" s="29" t="s">
        <v>31</v>
      </c>
    </row>
    <row r="117" spans="4:5" x14ac:dyDescent="0.3">
      <c r="D117" s="28" t="s">
        <v>41</v>
      </c>
      <c r="E117" s="29" t="s">
        <v>31</v>
      </c>
    </row>
    <row r="118" spans="4:5" x14ac:dyDescent="0.3">
      <c r="D118" s="28" t="s">
        <v>529</v>
      </c>
      <c r="E118" s="29" t="s">
        <v>31</v>
      </c>
    </row>
    <row r="119" spans="4:5" x14ac:dyDescent="0.3">
      <c r="D119" s="28" t="s">
        <v>530</v>
      </c>
      <c r="E119" s="29" t="s">
        <v>32</v>
      </c>
    </row>
    <row r="120" spans="4:5" x14ac:dyDescent="0.3">
      <c r="D120" s="28" t="s">
        <v>531</v>
      </c>
      <c r="E120" s="29" t="s">
        <v>32</v>
      </c>
    </row>
    <row r="121" spans="4:5" x14ac:dyDescent="0.3">
      <c r="D121" s="28" t="s">
        <v>533</v>
      </c>
      <c r="E121" s="29" t="s">
        <v>33</v>
      </c>
    </row>
    <row r="122" spans="4:5" x14ac:dyDescent="0.3">
      <c r="D122" s="28" t="s">
        <v>532</v>
      </c>
      <c r="E122" s="29" t="s">
        <v>31</v>
      </c>
    </row>
    <row r="123" spans="4:5" x14ac:dyDescent="0.3">
      <c r="D123" s="28" t="s">
        <v>534</v>
      </c>
      <c r="E123" s="29" t="s">
        <v>32</v>
      </c>
    </row>
    <row r="124" spans="4:5" x14ac:dyDescent="0.3">
      <c r="D124" s="28" t="s">
        <v>535</v>
      </c>
      <c r="E124" s="29" t="s">
        <v>31</v>
      </c>
    </row>
    <row r="125" spans="4:5" ht="17.25" customHeight="1" x14ac:dyDescent="0.3">
      <c r="D125" s="28" t="s">
        <v>537</v>
      </c>
      <c r="E125" s="29" t="s">
        <v>30</v>
      </c>
    </row>
    <row r="126" spans="4:5" ht="20.25" customHeight="1" x14ac:dyDescent="0.3">
      <c r="D126" s="28" t="s">
        <v>536</v>
      </c>
      <c r="E126" s="29" t="s">
        <v>31</v>
      </c>
    </row>
    <row r="127" spans="4:5" x14ac:dyDescent="0.3">
      <c r="D127" s="28" t="s">
        <v>538</v>
      </c>
      <c r="E127" s="29" t="s">
        <v>31</v>
      </c>
    </row>
    <row r="128" spans="4:5" x14ac:dyDescent="0.3">
      <c r="D128" s="28" t="s">
        <v>539</v>
      </c>
      <c r="E128" s="29" t="s">
        <v>31</v>
      </c>
    </row>
    <row r="129" spans="4:5" x14ac:dyDescent="0.3">
      <c r="D129" s="28" t="s">
        <v>540</v>
      </c>
      <c r="E129" s="29" t="s">
        <v>31</v>
      </c>
    </row>
    <row r="130" spans="4:5" x14ac:dyDescent="0.3">
      <c r="D130" s="28" t="s">
        <v>541</v>
      </c>
      <c r="E130" s="29" t="s">
        <v>31</v>
      </c>
    </row>
    <row r="131" spans="4:5" x14ac:dyDescent="0.3">
      <c r="D131" s="28" t="s">
        <v>542</v>
      </c>
      <c r="E131" s="29" t="s">
        <v>32</v>
      </c>
    </row>
    <row r="132" spans="4:5" x14ac:dyDescent="0.3">
      <c r="D132" s="28" t="s">
        <v>543</v>
      </c>
      <c r="E132" s="29" t="s">
        <v>32</v>
      </c>
    </row>
    <row r="133" spans="4:5" x14ac:dyDescent="0.3">
      <c r="D133" s="28" t="s">
        <v>544</v>
      </c>
      <c r="E133" s="29" t="s">
        <v>30</v>
      </c>
    </row>
    <row r="134" spans="4:5" x14ac:dyDescent="0.3">
      <c r="D134" s="28" t="s">
        <v>545</v>
      </c>
      <c r="E134" s="29" t="s">
        <v>31</v>
      </c>
    </row>
    <row r="135" spans="4:5" x14ac:dyDescent="0.3">
      <c r="D135" s="28" t="s">
        <v>546</v>
      </c>
      <c r="E135" s="29" t="s">
        <v>32</v>
      </c>
    </row>
    <row r="136" spans="4:5" x14ac:dyDescent="0.3">
      <c r="D136" s="28" t="s">
        <v>547</v>
      </c>
      <c r="E136" s="29" t="s">
        <v>32</v>
      </c>
    </row>
    <row r="137" spans="4:5" x14ac:dyDescent="0.3">
      <c r="D137" s="28" t="s">
        <v>548</v>
      </c>
      <c r="E137" s="29" t="s">
        <v>32</v>
      </c>
    </row>
    <row r="138" spans="4:5" x14ac:dyDescent="0.3">
      <c r="D138" s="28" t="s">
        <v>549</v>
      </c>
      <c r="E138" s="29" t="s">
        <v>32</v>
      </c>
    </row>
    <row r="139" spans="4:5" x14ac:dyDescent="0.3">
      <c r="D139" s="28" t="s">
        <v>550</v>
      </c>
      <c r="E139" s="29" t="s">
        <v>34</v>
      </c>
    </row>
    <row r="140" spans="4:5" x14ac:dyDescent="0.3">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83" ma:contentTypeDescription="Permitting &amp; Compliance Excel Document" ma:contentTypeScope="" ma:versionID="59ad4d07c9237c7c5a866e3d18b186e6">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49fbb6f1bb9dd76187b787d75f24e5fd"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REGU-408-2764827</_dlc_DocId>
    <_dlc_DocIdUrl xmlns="9be56660-2c31-41ef-bc00-23e72f632f2a">
      <Url>https://cyfoethnaturiolcymru.sharepoint.com/teams/Regulatory/Permitting/_layouts/15/DocIdRedir.aspx?ID=REGU-408-2764827</Url>
      <Description>REGU-408-2764827</Description>
    </_dlc_DocIdUrl>
    <TaxCatchAll xmlns="859f7ad6-93f6-4205-b62b-a17f28acbbac" xsi:nil="true"/>
    <lcf76f155ced4ddcb4097134ff3c332f xmlns="7300053d-1c5f-4e78-b9e3-ee8c32344bce" xsi:nil="true"/>
    <Welsh_x0020_Local_x0020_Authority xmlns="859f7ad6-93f6-4205-b62b-a17f28acbbac">Wrexham CBC</Welsh_x0020_Local_x0020_Authority>
    <Document_x0020_Date xmlns="859f7ad6-93f6-4205-b62b-a17f28acbbac">2026-02-24T00:00:00+00:00</Document_x0020_Date>
    <Site_x0020_Name xmlns="859f7ad6-93f6-4205-b62b-a17f28acbbac">Duynie Ingredients Limited</Site_x0020_Name>
    <Customer_x0020_Name xmlns="859f7ad6-93f6-4205-b62b-a17f28acbbac">Duynie Ingredients Limited</Customer_x0020_Name>
    <Environment_x0020_Sub_x0020_Folder xmlns="859f7ad6-93f6-4205-b62b-a17f28acbbac">Licence supervision</Environment_x0020_Sub_x0020_Folder>
    <Facility_x0020_Address xmlns="859f7ad6-93f6-4205-b62b-a17f28acbbac">Coed Aden Road, Wrexham Industrial Estate, Wrexham</Facility_x0020_Address>
    <License_x002f_Activity_x0020_Type xmlns="859f7ad6-93f6-4205-b62b-a17f28acbbac">3. EPR Regulated Industry</License_x002f_Activity_x0020_Type>
    <Internal_x002f_External xmlns="859f7ad6-93f6-4205-b62b-a17f28acbbac">Incoming document</Internal_x002f_External>
    <Document_x0020_Type xmlns="859f7ad6-93f6-4205-b62b-a17f28acbbac">Report</Document_x0020_Type>
    <Process_x0020_Type xmlns="859f7ad6-93f6-4205-b62b-a17f28acbbac">Application</Process_x0020_Type>
    <Addressee xmlns="859f7ad6-93f6-4205-b62b-a17f28acbbac">Coed Aden Road, Wrexham Industrial Estate, Wrexham, LL13 9UH</Addressee>
    <Post_x0020_code xmlns="859f7ad6-93f6-4205-b62b-a17f28acbbac">LL13 9UH</Post_x0020_code>
    <Disclosure_x0020_Status xmlns="859f7ad6-93f6-4205-b62b-a17f28acbbac">Public register</Disclosure_x0020_Status>
    <Surrendered_x002f_Expired xmlns="859f7ad6-93f6-4205-b62b-a17f28acbbac" xsi:nil="tru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2.xml><?xml version="1.0" encoding="utf-8"?>
<ds:datastoreItem xmlns:ds="http://schemas.openxmlformats.org/officeDocument/2006/customXml" ds:itemID="{64928C74-AD0E-49AA-87A4-0E83484154A9}"/>
</file>

<file path=customXml/itemProps3.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5.xml><?xml version="1.0" encoding="utf-8"?>
<ds:datastoreItem xmlns:ds="http://schemas.openxmlformats.org/officeDocument/2006/customXml" ds:itemID="{19B6A78B-2162-46D4-8EBF-694335012D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Potts, Shaun</dc:creator>
  <cp:lastModifiedBy>Kate Brady</cp:lastModifiedBy>
  <dcterms:created xsi:type="dcterms:W3CDTF">2022-08-19T07:52:48Z</dcterms:created>
  <dcterms:modified xsi:type="dcterms:W3CDTF">2026-02-25T15:59:19Z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c4a8705c-2fc7-417d-8da5-dd61325e1071</vt:lpwstr>
  </property>
  <property fmtid="{D5CDD505-2E9C-101B-9397-08002B2CF9AE}" pid="4" name="Welsh Local Authority">
    <vt:lpwstr>Wrexham CBC</vt:lpwstr>
  </property>
  <property fmtid="{D5CDD505-2E9C-101B-9397-08002B2CF9AE}" pid="5" name="Site Name">
    <vt:lpwstr>Novidon Limited</vt:lpwstr>
  </property>
  <property fmtid="{D5CDD505-2E9C-101B-9397-08002B2CF9AE}" pid="6" name="Addressee">
    <vt:lpwstr>Coed Aden Road, Wrexham Industrial Estate, Wrexham, LL13 9UH</vt:lpwstr>
  </property>
  <property fmtid="{D5CDD505-2E9C-101B-9397-08002B2CF9AE}" pid="7" name="Post code">
    <vt:lpwstr>LL13 9UH</vt:lpwstr>
  </property>
  <property fmtid="{D5CDD505-2E9C-101B-9397-08002B2CF9AE}" pid="8" name="Customer Name">
    <vt:lpwstr>Novidon Limited</vt:lpwstr>
  </property>
  <property fmtid="{D5CDD505-2E9C-101B-9397-08002B2CF9AE}" pid="9" name="Facility Address">
    <vt:lpwstr>Coed Aden Road, Wrexham Industrial Estate, Wrexham</vt:lpwstr>
  </property>
  <property fmtid="{D5CDD505-2E9C-101B-9397-08002B2CF9AE}" pid="10" name="License/Activity Type">
    <vt:lpwstr>3. EPR Regulated Industry</vt:lpwstr>
  </property>
  <property fmtid="{D5CDD505-2E9C-101B-9397-08002B2CF9AE}" pid="11" name="MediaServiceImageTags">
    <vt:lpwstr/>
  </property>
  <property fmtid="{D5CDD505-2E9C-101B-9397-08002B2CF9AE}" pid="12" name="_docset_NoMedatataSyncRequired">
    <vt:lpwstr>True</vt:lpwstr>
  </property>
</Properties>
</file>