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tables/table1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595 Land water High/return/"/>
    </mc:Choice>
  </mc:AlternateContent>
  <xr:revisionPtr revIDLastSave="0" documentId="8_{513AB48A-AD9E-441D-80A4-AE9FB86F1036}" xr6:coauthVersionLast="47" xr6:coauthVersionMax="47" xr10:uidLastSave="{00000000-0000-0000-0000-000000000000}"/>
  <bookViews>
    <workbookView xWindow="33720" yWindow="-120" windowWidth="29040" windowHeight="15720" tabRatio="870" activeTab="9" xr2:uid="{00000000-000D-0000-FFFF-FFFF00000000}"/>
  </bookViews>
  <sheets>
    <sheet name="Field data and sample 1" sheetId="1" r:id="rId1"/>
    <sheet name="sample 3" sheetId="21" r:id="rId2"/>
    <sheet name="sample 6" sheetId="27" r:id="rId3"/>
    <sheet name="Sample 9" sheetId="28" r:id="rId4"/>
    <sheet name="Sample 12" sheetId="30" r:id="rId5"/>
    <sheet name="Sample 15" sheetId="26" r:id="rId6"/>
    <sheet name="Sample 18" sheetId="24" r:id="rId7"/>
    <sheet name="Sample 21" sheetId="29" r:id="rId8"/>
    <sheet name="Sample 24" sheetId="23" r:id="rId9"/>
    <sheet name="Sample 27" sheetId="22" r:id="rId10"/>
    <sheet name="Additions" sheetId="20" r:id="rId11"/>
    <sheet name="Ratios" sheetId="19" r:id="rId12"/>
    <sheet name="Waste tonnage calc" sheetId="31" r:id="rId13"/>
    <sheet name="Average values" sheetId="32"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62" i="32" l="1"/>
  <c r="T62" i="32"/>
  <c r="S62" i="32"/>
  <c r="R62" i="32"/>
  <c r="Q62" i="32"/>
  <c r="P62" i="32"/>
  <c r="O62" i="32"/>
  <c r="N62" i="32"/>
  <c r="M62" i="32"/>
  <c r="L62" i="32"/>
  <c r="K62" i="32"/>
  <c r="J62" i="32"/>
  <c r="I62" i="32"/>
  <c r="H62" i="32"/>
  <c r="G62" i="32"/>
  <c r="F62" i="32"/>
  <c r="E62" i="32"/>
  <c r="D62" i="32"/>
  <c r="C62" i="32"/>
  <c r="B62" i="32"/>
  <c r="G55" i="32"/>
  <c r="E55" i="32" s="1"/>
  <c r="D55" i="32"/>
  <c r="U50" i="32"/>
  <c r="T50" i="32"/>
  <c r="S50" i="32"/>
  <c r="R50" i="32"/>
  <c r="Q50" i="32"/>
  <c r="P50" i="32"/>
  <c r="O50" i="32"/>
  <c r="N50" i="32"/>
  <c r="M50" i="32"/>
  <c r="L50" i="32"/>
  <c r="K50" i="32"/>
  <c r="J50" i="32"/>
  <c r="I50" i="32"/>
  <c r="H50" i="32"/>
  <c r="G50" i="32"/>
  <c r="F50" i="32"/>
  <c r="E50" i="32"/>
  <c r="D50" i="32"/>
  <c r="C50" i="32"/>
  <c r="U49" i="32"/>
  <c r="T49" i="32"/>
  <c r="S49" i="32"/>
  <c r="R49" i="32"/>
  <c r="Q49" i="32"/>
  <c r="P49" i="32"/>
  <c r="O49" i="32"/>
  <c r="N49" i="32"/>
  <c r="M49" i="32"/>
  <c r="L49" i="32"/>
  <c r="K49" i="32"/>
  <c r="J49" i="32"/>
  <c r="I49" i="32"/>
  <c r="H49" i="32"/>
  <c r="G49" i="32"/>
  <c r="F49" i="32"/>
  <c r="E49" i="32"/>
  <c r="U22" i="32" s="1"/>
  <c r="D49" i="32"/>
  <c r="C49" i="32"/>
  <c r="U48" i="32"/>
  <c r="T48" i="32"/>
  <c r="S48" i="32"/>
  <c r="R48" i="32"/>
  <c r="Q48" i="32"/>
  <c r="P48" i="32"/>
  <c r="O48" i="32"/>
  <c r="N48" i="32"/>
  <c r="M48" i="32"/>
  <c r="L48" i="32"/>
  <c r="K48" i="32"/>
  <c r="J48" i="32"/>
  <c r="I48" i="32"/>
  <c r="H48" i="32"/>
  <c r="G48" i="32"/>
  <c r="F48" i="32"/>
  <c r="E48" i="32"/>
  <c r="D48" i="32"/>
  <c r="C48" i="32"/>
  <c r="U47" i="32"/>
  <c r="T47" i="32"/>
  <c r="S47" i="32"/>
  <c r="R47" i="32"/>
  <c r="Q47" i="32"/>
  <c r="P47" i="32"/>
  <c r="O47" i="32"/>
  <c r="N47" i="32"/>
  <c r="M47" i="32"/>
  <c r="L47" i="32"/>
  <c r="K47" i="32"/>
  <c r="J47" i="32"/>
  <c r="I47" i="32"/>
  <c r="H47" i="32"/>
  <c r="G47" i="32"/>
  <c r="F47" i="32"/>
  <c r="E47" i="32"/>
  <c r="S22" i="32" s="1"/>
  <c r="D47" i="32"/>
  <c r="C47" i="32"/>
  <c r="U46" i="32"/>
  <c r="T46" i="32"/>
  <c r="S46" i="32"/>
  <c r="R46" i="32"/>
  <c r="Q46" i="32"/>
  <c r="P46" i="32"/>
  <c r="O46" i="32"/>
  <c r="N46" i="32"/>
  <c r="M46" i="32"/>
  <c r="L46" i="32"/>
  <c r="K46" i="32"/>
  <c r="J46" i="32"/>
  <c r="I46" i="32"/>
  <c r="H46" i="32"/>
  <c r="G46" i="32"/>
  <c r="F46" i="32"/>
  <c r="E46" i="32"/>
  <c r="D46" i="32"/>
  <c r="C46" i="32"/>
  <c r="U45" i="32"/>
  <c r="T45" i="32"/>
  <c r="S45" i="32"/>
  <c r="R45" i="32"/>
  <c r="Q45" i="32"/>
  <c r="P45" i="32"/>
  <c r="O45" i="32"/>
  <c r="N45" i="32"/>
  <c r="M45" i="32"/>
  <c r="L45" i="32"/>
  <c r="K45" i="32"/>
  <c r="J45" i="32"/>
  <c r="I45" i="32"/>
  <c r="H45" i="32"/>
  <c r="G45" i="32"/>
  <c r="F45" i="32"/>
  <c r="E45" i="32"/>
  <c r="Q22" i="32" s="1"/>
  <c r="D45" i="32"/>
  <c r="C45" i="32"/>
  <c r="U44" i="32"/>
  <c r="T44" i="32"/>
  <c r="S44" i="32"/>
  <c r="R44" i="32"/>
  <c r="Q44" i="32"/>
  <c r="P44" i="32"/>
  <c r="O44" i="32"/>
  <c r="N44" i="32"/>
  <c r="M44" i="32"/>
  <c r="L44" i="32"/>
  <c r="K44" i="32"/>
  <c r="J44" i="32"/>
  <c r="I44" i="32"/>
  <c r="H44" i="32"/>
  <c r="G44" i="32"/>
  <c r="F44" i="32"/>
  <c r="E44" i="32"/>
  <c r="P22" i="32" s="1"/>
  <c r="D44" i="32"/>
  <c r="C44" i="32"/>
  <c r="U43" i="32"/>
  <c r="T43" i="32"/>
  <c r="S43" i="32"/>
  <c r="R43" i="32"/>
  <c r="Q43" i="32"/>
  <c r="P43" i="32"/>
  <c r="O43" i="32"/>
  <c r="N43" i="32"/>
  <c r="M43" i="32"/>
  <c r="L43" i="32"/>
  <c r="K43" i="32"/>
  <c r="J43" i="32"/>
  <c r="I43" i="32"/>
  <c r="H43" i="32"/>
  <c r="G43" i="32"/>
  <c r="F43" i="32"/>
  <c r="E43" i="32"/>
  <c r="O22" i="32" s="1"/>
  <c r="D43" i="32"/>
  <c r="C43" i="32"/>
  <c r="U42" i="32"/>
  <c r="T42" i="32"/>
  <c r="S42" i="32"/>
  <c r="R42" i="32"/>
  <c r="Q42" i="32"/>
  <c r="P42" i="32"/>
  <c r="O42" i="32"/>
  <c r="N42" i="32"/>
  <c r="M42" i="32"/>
  <c r="L42" i="32"/>
  <c r="K42" i="32"/>
  <c r="J42" i="32"/>
  <c r="I42" i="32"/>
  <c r="H42" i="32"/>
  <c r="G42" i="32"/>
  <c r="F42" i="32"/>
  <c r="E42" i="32"/>
  <c r="D42" i="32"/>
  <c r="C42" i="32"/>
  <c r="U41" i="32"/>
  <c r="T41" i="32"/>
  <c r="S41" i="32"/>
  <c r="R41" i="32"/>
  <c r="Q41" i="32"/>
  <c r="P41" i="32"/>
  <c r="O41" i="32"/>
  <c r="N41" i="32"/>
  <c r="M41" i="32"/>
  <c r="L41" i="32"/>
  <c r="K41" i="32"/>
  <c r="J41" i="32"/>
  <c r="I41" i="32"/>
  <c r="H41" i="32"/>
  <c r="G41" i="32"/>
  <c r="F41" i="32"/>
  <c r="E41" i="32"/>
  <c r="M22" i="32" s="1"/>
  <c r="D41" i="32"/>
  <c r="C41" i="32"/>
  <c r="U40" i="32"/>
  <c r="T40" i="32"/>
  <c r="S40" i="32"/>
  <c r="R40" i="32"/>
  <c r="Q40" i="32"/>
  <c r="P40" i="32"/>
  <c r="O40" i="32"/>
  <c r="N40" i="32"/>
  <c r="M40" i="32"/>
  <c r="L40" i="32"/>
  <c r="K40" i="32"/>
  <c r="J40" i="32"/>
  <c r="I40" i="32"/>
  <c r="H40" i="32"/>
  <c r="G40" i="32"/>
  <c r="F40" i="32"/>
  <c r="E40" i="32"/>
  <c r="D40" i="32"/>
  <c r="C40" i="32"/>
  <c r="U39" i="32"/>
  <c r="T39" i="32"/>
  <c r="S39" i="32"/>
  <c r="R39" i="32"/>
  <c r="Q39" i="32"/>
  <c r="P39" i="32"/>
  <c r="O39" i="32"/>
  <c r="N39" i="32"/>
  <c r="M39" i="32"/>
  <c r="L39" i="32"/>
  <c r="K39" i="32"/>
  <c r="J39" i="32"/>
  <c r="I39" i="32"/>
  <c r="H39" i="32"/>
  <c r="G39" i="32"/>
  <c r="F39" i="32"/>
  <c r="E39" i="32"/>
  <c r="K22" i="32" s="1"/>
  <c r="D39" i="32"/>
  <c r="C39" i="32"/>
  <c r="U38" i="32"/>
  <c r="T38" i="32"/>
  <c r="S38" i="32"/>
  <c r="R38" i="32"/>
  <c r="Q38" i="32"/>
  <c r="P38" i="32"/>
  <c r="O38" i="32"/>
  <c r="N38" i="32"/>
  <c r="M38" i="32"/>
  <c r="L38" i="32"/>
  <c r="K38" i="32"/>
  <c r="J38" i="32"/>
  <c r="I38" i="32"/>
  <c r="H38" i="32"/>
  <c r="G38" i="32"/>
  <c r="F38" i="32"/>
  <c r="E38" i="32"/>
  <c r="D38" i="32"/>
  <c r="C38" i="32"/>
  <c r="U37" i="32"/>
  <c r="T37" i="32"/>
  <c r="S37" i="32"/>
  <c r="R37" i="32"/>
  <c r="Q37" i="32"/>
  <c r="P37" i="32"/>
  <c r="O37" i="32"/>
  <c r="N37" i="32"/>
  <c r="M37" i="32"/>
  <c r="L37" i="32"/>
  <c r="K37" i="32"/>
  <c r="J37" i="32"/>
  <c r="I37" i="32"/>
  <c r="H37" i="32"/>
  <c r="G37" i="32"/>
  <c r="F37" i="32"/>
  <c r="E37" i="32"/>
  <c r="I22" i="32" s="1"/>
  <c r="D37" i="32"/>
  <c r="C37" i="32"/>
  <c r="U36" i="32"/>
  <c r="T36" i="32"/>
  <c r="S36" i="32"/>
  <c r="R36" i="32"/>
  <c r="Q36" i="32"/>
  <c r="P36" i="32"/>
  <c r="O36" i="32"/>
  <c r="N36" i="32"/>
  <c r="M36" i="32"/>
  <c r="L36" i="32"/>
  <c r="K36" i="32"/>
  <c r="J36" i="32"/>
  <c r="I36" i="32"/>
  <c r="H36" i="32"/>
  <c r="G36" i="32"/>
  <c r="F36" i="32"/>
  <c r="E36" i="32"/>
  <c r="H22" i="32" s="1"/>
  <c r="D36" i="32"/>
  <c r="C36" i="32"/>
  <c r="U35" i="32"/>
  <c r="T35" i="32"/>
  <c r="S35" i="32"/>
  <c r="R35" i="32"/>
  <c r="Q35" i="32"/>
  <c r="P35" i="32"/>
  <c r="O35" i="32"/>
  <c r="N35" i="32"/>
  <c r="M35" i="32"/>
  <c r="L35" i="32"/>
  <c r="K35" i="32"/>
  <c r="J35" i="32"/>
  <c r="I35" i="32"/>
  <c r="H35" i="32"/>
  <c r="G35" i="32"/>
  <c r="F35" i="32"/>
  <c r="E35" i="32"/>
  <c r="G22" i="32" s="1"/>
  <c r="D35" i="32"/>
  <c r="C35" i="32"/>
  <c r="U34" i="32"/>
  <c r="T34" i="32"/>
  <c r="S34" i="32"/>
  <c r="R34" i="32"/>
  <c r="Q34" i="32"/>
  <c r="P34" i="32"/>
  <c r="O34" i="32"/>
  <c r="N34" i="32"/>
  <c r="M34" i="32"/>
  <c r="L34" i="32"/>
  <c r="K34" i="32"/>
  <c r="J34" i="32"/>
  <c r="I34" i="32"/>
  <c r="H34" i="32"/>
  <c r="G34" i="32"/>
  <c r="F34" i="32"/>
  <c r="E34" i="32"/>
  <c r="D34" i="32"/>
  <c r="C34" i="32"/>
  <c r="U33" i="32"/>
  <c r="T33" i="32"/>
  <c r="S33" i="32"/>
  <c r="R33" i="32"/>
  <c r="Q33" i="32"/>
  <c r="P33" i="32"/>
  <c r="O33" i="32"/>
  <c r="N33" i="32"/>
  <c r="M33" i="32"/>
  <c r="L33" i="32"/>
  <c r="K33" i="32"/>
  <c r="J33" i="32"/>
  <c r="I33" i="32"/>
  <c r="H33" i="32"/>
  <c r="G33" i="32"/>
  <c r="F33" i="32"/>
  <c r="E33" i="32"/>
  <c r="E22" i="32" s="1"/>
  <c r="D33" i="32"/>
  <c r="C33" i="32"/>
  <c r="U32" i="32"/>
  <c r="T32" i="32"/>
  <c r="S32" i="32"/>
  <c r="R32" i="32"/>
  <c r="Q32" i="32"/>
  <c r="P32" i="32"/>
  <c r="O32" i="32"/>
  <c r="N32" i="32"/>
  <c r="M32" i="32"/>
  <c r="L32" i="32"/>
  <c r="K32" i="32"/>
  <c r="J32" i="32"/>
  <c r="I32" i="32"/>
  <c r="H32" i="32"/>
  <c r="G32" i="32"/>
  <c r="F32" i="32"/>
  <c r="E32" i="32"/>
  <c r="D32" i="32"/>
  <c r="C32" i="32"/>
  <c r="U31" i="32"/>
  <c r="T31" i="32"/>
  <c r="S31" i="32"/>
  <c r="R31" i="32"/>
  <c r="Q31" i="32"/>
  <c r="P31" i="32"/>
  <c r="O31" i="32"/>
  <c r="N31" i="32"/>
  <c r="M31" i="32"/>
  <c r="L31" i="32"/>
  <c r="K31" i="32"/>
  <c r="J31" i="32"/>
  <c r="I31" i="32"/>
  <c r="H31" i="32"/>
  <c r="G31" i="32"/>
  <c r="F31" i="32"/>
  <c r="E31" i="32"/>
  <c r="C22" i="32" s="1"/>
  <c r="D31" i="32"/>
  <c r="C31" i="32"/>
  <c r="A31" i="32"/>
  <c r="V22" i="32"/>
  <c r="T22" i="32"/>
  <c r="R22" i="32"/>
  <c r="N22" i="32"/>
  <c r="L22" i="32"/>
  <c r="J22" i="32"/>
  <c r="F22" i="32"/>
  <c r="D22" i="32"/>
  <c r="V20" i="32"/>
  <c r="U20" i="32"/>
  <c r="T20" i="32"/>
  <c r="S20" i="32"/>
  <c r="R20" i="32"/>
  <c r="Q20" i="32"/>
  <c r="P20" i="32"/>
  <c r="O20" i="32"/>
  <c r="N20" i="32"/>
  <c r="M20" i="32"/>
  <c r="L20" i="32"/>
  <c r="K20" i="32"/>
  <c r="J20" i="32"/>
  <c r="I20" i="32"/>
  <c r="H20" i="32"/>
  <c r="G20" i="32"/>
  <c r="V18" i="32"/>
  <c r="U18" i="32"/>
  <c r="T18" i="32"/>
  <c r="S18" i="32"/>
  <c r="R18" i="32"/>
  <c r="Q18" i="32"/>
  <c r="P18" i="32"/>
  <c r="O18" i="32"/>
  <c r="N18" i="32"/>
  <c r="M18" i="32"/>
  <c r="L18" i="32"/>
  <c r="K18" i="32"/>
  <c r="J18" i="32"/>
  <c r="I18" i="32"/>
  <c r="H18" i="32"/>
  <c r="G18" i="32"/>
  <c r="F18" i="32"/>
  <c r="E18" i="32"/>
  <c r="D18" i="32"/>
  <c r="C18" i="32"/>
  <c r="V16" i="32"/>
  <c r="U58" i="32" s="1"/>
  <c r="U61" i="32" s="1"/>
  <c r="U16" i="32"/>
  <c r="T58" i="32" s="1"/>
  <c r="T61" i="32" s="1"/>
  <c r="T16" i="32"/>
  <c r="S58" i="32" s="1"/>
  <c r="S61" i="32" s="1"/>
  <c r="S16" i="32"/>
  <c r="R58" i="32" s="1"/>
  <c r="R61" i="32" s="1"/>
  <c r="R16" i="32"/>
  <c r="Q58" i="32" s="1"/>
  <c r="Q61" i="32" s="1"/>
  <c r="Q16" i="32"/>
  <c r="P58" i="32" s="1"/>
  <c r="P61" i="32" s="1"/>
  <c r="P16" i="32"/>
  <c r="O58" i="32" s="1"/>
  <c r="O61" i="32" s="1"/>
  <c r="O16" i="32"/>
  <c r="N58" i="32" s="1"/>
  <c r="N61" i="32" s="1"/>
  <c r="N16" i="32"/>
  <c r="M58" i="32" s="1"/>
  <c r="M61" i="32" s="1"/>
  <c r="M16" i="32"/>
  <c r="L58" i="32" s="1"/>
  <c r="L61" i="32" s="1"/>
  <c r="L16" i="32"/>
  <c r="K58" i="32" s="1"/>
  <c r="K61" i="32" s="1"/>
  <c r="K16" i="32"/>
  <c r="J58" i="32" s="1"/>
  <c r="J61" i="32" s="1"/>
  <c r="J16" i="32"/>
  <c r="I58" i="32" s="1"/>
  <c r="I61" i="32" s="1"/>
  <c r="I16" i="32"/>
  <c r="H58" i="32" s="1"/>
  <c r="H61" i="32" s="1"/>
  <c r="H16" i="32"/>
  <c r="G58" i="32" s="1"/>
  <c r="G61" i="32" s="1"/>
  <c r="G16" i="32"/>
  <c r="F58" i="32" s="1"/>
  <c r="F61" i="32" s="1"/>
  <c r="F16" i="32"/>
  <c r="E58" i="32" s="1"/>
  <c r="E61" i="32" s="1"/>
  <c r="E16" i="32"/>
  <c r="D58" i="32" s="1"/>
  <c r="D61" i="32" s="1"/>
  <c r="D16" i="32"/>
  <c r="C58" i="32" s="1"/>
  <c r="C61" i="32" s="1"/>
  <c r="C16" i="32"/>
  <c r="B58" i="32" s="1"/>
  <c r="B61" i="32" s="1"/>
  <c r="V15" i="32"/>
  <c r="U15" i="32"/>
  <c r="T15" i="32"/>
  <c r="S15" i="32"/>
  <c r="S21" i="32" s="1"/>
  <c r="R15" i="32"/>
  <c r="R21" i="32" s="1"/>
  <c r="R23" i="32" s="1"/>
  <c r="R24" i="32" s="1"/>
  <c r="Q15" i="32"/>
  <c r="P15" i="32"/>
  <c r="P17" i="32" s="1"/>
  <c r="P19" i="32" s="1"/>
  <c r="O15" i="32"/>
  <c r="N15" i="32"/>
  <c r="M15" i="32"/>
  <c r="L15" i="32"/>
  <c r="K15" i="32"/>
  <c r="K17" i="32" s="1"/>
  <c r="K19" i="32" s="1"/>
  <c r="J15" i="32"/>
  <c r="J17" i="32" s="1"/>
  <c r="J19" i="32" s="1"/>
  <c r="I15" i="32"/>
  <c r="H15" i="32"/>
  <c r="H21" i="32" s="1"/>
  <c r="G15" i="32"/>
  <c r="F15" i="32"/>
  <c r="E15" i="32"/>
  <c r="D15" i="32"/>
  <c r="C15" i="32"/>
  <c r="C21" i="32" s="1"/>
  <c r="V14" i="32"/>
  <c r="U59" i="32" s="1"/>
  <c r="U14" i="32"/>
  <c r="U21" i="32" s="1"/>
  <c r="T14" i="32"/>
  <c r="T21" i="32" s="1"/>
  <c r="S14" i="32"/>
  <c r="R59" i="32" s="1"/>
  <c r="R14" i="32"/>
  <c r="Q59" i="32" s="1"/>
  <c r="Q14" i="32"/>
  <c r="P59" i="32" s="1"/>
  <c r="P14" i="32"/>
  <c r="O59" i="32" s="1"/>
  <c r="O14" i="32"/>
  <c r="N59" i="32" s="1"/>
  <c r="N14" i="32"/>
  <c r="M59" i="32" s="1"/>
  <c r="M14" i="32"/>
  <c r="M21" i="32" s="1"/>
  <c r="L14" i="32"/>
  <c r="L21" i="32" s="1"/>
  <c r="K14" i="32"/>
  <c r="J59" i="32" s="1"/>
  <c r="J14" i="32"/>
  <c r="I59" i="32" s="1"/>
  <c r="I64" i="32" s="1"/>
  <c r="I14" i="32"/>
  <c r="H59" i="32" s="1"/>
  <c r="H14" i="32"/>
  <c r="G59" i="32" s="1"/>
  <c r="G14" i="32"/>
  <c r="F59" i="32" s="1"/>
  <c r="F14" i="32"/>
  <c r="E59" i="32" s="1"/>
  <c r="E14" i="32"/>
  <c r="E21" i="32" s="1"/>
  <c r="D14" i="32"/>
  <c r="D21" i="32" s="1"/>
  <c r="C14" i="32"/>
  <c r="B59" i="32" s="1"/>
  <c r="V13" i="32"/>
  <c r="U13" i="32"/>
  <c r="T13" i="32"/>
  <c r="S13" i="32"/>
  <c r="R13" i="32"/>
  <c r="Q13" i="32"/>
  <c r="P13" i="32"/>
  <c r="O13" i="32"/>
  <c r="N13" i="32"/>
  <c r="M13" i="32"/>
  <c r="L13" i="32"/>
  <c r="K13" i="32"/>
  <c r="J13" i="32"/>
  <c r="I13" i="32"/>
  <c r="H13" i="32"/>
  <c r="G13" i="32"/>
  <c r="F13" i="32"/>
  <c r="E13" i="32"/>
  <c r="D13" i="32"/>
  <c r="C13" i="32"/>
  <c r="V12" i="32"/>
  <c r="U12" i="32"/>
  <c r="T12" i="32"/>
  <c r="S12" i="32"/>
  <c r="R12" i="32"/>
  <c r="Q12" i="32"/>
  <c r="P12" i="32"/>
  <c r="O12" i="32"/>
  <c r="N12" i="32"/>
  <c r="M12" i="32"/>
  <c r="L12" i="32"/>
  <c r="K12" i="32"/>
  <c r="J12" i="32"/>
  <c r="I12" i="32"/>
  <c r="H12" i="32"/>
  <c r="G12" i="32"/>
  <c r="F12" i="32"/>
  <c r="E12" i="32"/>
  <c r="D12" i="32"/>
  <c r="C12" i="32"/>
  <c r="V11" i="32"/>
  <c r="U11" i="32"/>
  <c r="T11" i="32"/>
  <c r="S11" i="32"/>
  <c r="R11" i="32"/>
  <c r="Q11" i="32"/>
  <c r="P11" i="32"/>
  <c r="O11" i="32"/>
  <c r="N11" i="32"/>
  <c r="M11" i="32"/>
  <c r="L11" i="32"/>
  <c r="K11" i="32"/>
  <c r="J11" i="32"/>
  <c r="I11" i="32"/>
  <c r="H11" i="32"/>
  <c r="G11" i="32"/>
  <c r="F11" i="32"/>
  <c r="E11" i="32"/>
  <c r="D11" i="32"/>
  <c r="C11" i="32"/>
  <c r="V10" i="32"/>
  <c r="U60" i="32" s="1"/>
  <c r="U10" i="32"/>
  <c r="T60" i="32" s="1"/>
  <c r="T10" i="32"/>
  <c r="S60" i="32" s="1"/>
  <c r="S10" i="32"/>
  <c r="R60" i="32" s="1"/>
  <c r="R10" i="32"/>
  <c r="Q60" i="32" s="1"/>
  <c r="Q10" i="32"/>
  <c r="P60" i="32" s="1"/>
  <c r="P10" i="32"/>
  <c r="O60" i="32" s="1"/>
  <c r="O10" i="32"/>
  <c r="N60" i="32" s="1"/>
  <c r="N10" i="32"/>
  <c r="M60" i="32" s="1"/>
  <c r="M10" i="32"/>
  <c r="L60" i="32" s="1"/>
  <c r="L10" i="32"/>
  <c r="K60" i="32" s="1"/>
  <c r="K10" i="32"/>
  <c r="J60" i="32" s="1"/>
  <c r="J10" i="32"/>
  <c r="I60" i="32" s="1"/>
  <c r="I10" i="32"/>
  <c r="H60" i="32" s="1"/>
  <c r="H10" i="32"/>
  <c r="G60" i="32" s="1"/>
  <c r="G10" i="32"/>
  <c r="F60" i="32" s="1"/>
  <c r="F10" i="32"/>
  <c r="E60" i="32" s="1"/>
  <c r="E10" i="32"/>
  <c r="D60" i="32" s="1"/>
  <c r="D10" i="32"/>
  <c r="C60" i="32" s="1"/>
  <c r="C10" i="32"/>
  <c r="B60" i="32" s="1"/>
  <c r="V9" i="32"/>
  <c r="U9" i="32"/>
  <c r="T9" i="32"/>
  <c r="S9" i="32"/>
  <c r="R9" i="32"/>
  <c r="Q9" i="32"/>
  <c r="P9" i="32"/>
  <c r="O9" i="32"/>
  <c r="N9" i="32"/>
  <c r="M9" i="32"/>
  <c r="L9" i="32"/>
  <c r="K9" i="32"/>
  <c r="J9" i="32"/>
  <c r="I9" i="32"/>
  <c r="H9" i="32"/>
  <c r="G9" i="32"/>
  <c r="F9" i="32"/>
  <c r="E9" i="32"/>
  <c r="D9" i="32"/>
  <c r="C9" i="32"/>
  <c r="V8" i="32"/>
  <c r="U57" i="32" s="1"/>
  <c r="U8" i="32"/>
  <c r="A49" i="32" s="1"/>
  <c r="T8" i="32"/>
  <c r="S57" i="32" s="1"/>
  <c r="S8" i="32"/>
  <c r="A47" i="32" s="1"/>
  <c r="R8" i="32"/>
  <c r="Q57" i="32" s="1"/>
  <c r="Q8" i="32"/>
  <c r="P57" i="32" s="1"/>
  <c r="P8" i="32"/>
  <c r="O57" i="32" s="1"/>
  <c r="O8" i="32"/>
  <c r="A43" i="32" s="1"/>
  <c r="N8" i="32"/>
  <c r="M57" i="32" s="1"/>
  <c r="M8" i="32"/>
  <c r="A41" i="32" s="1"/>
  <c r="L8" i="32"/>
  <c r="K57" i="32" s="1"/>
  <c r="K8" i="32"/>
  <c r="A39" i="32" s="1"/>
  <c r="J8" i="32"/>
  <c r="I57" i="32" s="1"/>
  <c r="I8" i="32"/>
  <c r="H57" i="32" s="1"/>
  <c r="H8" i="32"/>
  <c r="G57" i="32" s="1"/>
  <c r="G8" i="32"/>
  <c r="A35" i="32" s="1"/>
  <c r="F8" i="32"/>
  <c r="E57" i="32" s="1"/>
  <c r="E8" i="32"/>
  <c r="A33" i="32" s="1"/>
  <c r="D8" i="32"/>
  <c r="C57" i="32" s="1"/>
  <c r="C8" i="32"/>
  <c r="B57" i="32" s="1"/>
  <c r="C5" i="32"/>
  <c r="C4" i="32"/>
  <c r="L3" i="32"/>
  <c r="C3" i="32"/>
  <c r="C2" i="32"/>
  <c r="F1" i="32"/>
  <c r="C1" i="32"/>
  <c r="D6" i="31"/>
  <c r="D3" i="31"/>
  <c r="D4" i="31"/>
  <c r="D5" i="31"/>
  <c r="D2" i="31"/>
  <c r="L3" i="22"/>
  <c r="L3" i="23"/>
  <c r="L3" i="29"/>
  <c r="L3" i="24"/>
  <c r="L3" i="26"/>
  <c r="L3" i="30"/>
  <c r="L3" i="28"/>
  <c r="L3" i="27"/>
  <c r="L3" i="21"/>
  <c r="L3" i="1"/>
  <c r="L23" i="32" l="1"/>
  <c r="L24" i="32" s="1"/>
  <c r="C23" i="32"/>
  <c r="C24" i="32" s="1"/>
  <c r="K23" i="32"/>
  <c r="K24" i="32" s="1"/>
  <c r="S23" i="32"/>
  <c r="S24" i="32" s="1"/>
  <c r="H64" i="32"/>
  <c r="P64" i="32"/>
  <c r="P66" i="32" s="1"/>
  <c r="Q64" i="32"/>
  <c r="Q66" i="32" s="1"/>
  <c r="B64" i="32"/>
  <c r="B66" i="32" s="1"/>
  <c r="J64" i="32"/>
  <c r="R64" i="32"/>
  <c r="R66" i="32" s="1"/>
  <c r="E64" i="32"/>
  <c r="E66" i="32" s="1"/>
  <c r="M64" i="32"/>
  <c r="U64" i="32"/>
  <c r="F64" i="32"/>
  <c r="N64" i="32"/>
  <c r="N66" i="32" s="1"/>
  <c r="G64" i="32"/>
  <c r="O64" i="32"/>
  <c r="Q23" i="32"/>
  <c r="Q24" i="32" s="1"/>
  <c r="M19" i="32"/>
  <c r="T23" i="32"/>
  <c r="T24" i="32" s="1"/>
  <c r="Q63" i="32"/>
  <c r="I63" i="32"/>
  <c r="I65" i="32" s="1"/>
  <c r="P63" i="32"/>
  <c r="H63" i="32"/>
  <c r="H65" i="32" s="1"/>
  <c r="O63" i="32"/>
  <c r="O65" i="32" s="1"/>
  <c r="G63" i="32"/>
  <c r="G65" i="32" s="1"/>
  <c r="N63" i="32"/>
  <c r="F63" i="32"/>
  <c r="F65" i="32" s="1"/>
  <c r="U63" i="32"/>
  <c r="U65" i="32" s="1"/>
  <c r="M63" i="32"/>
  <c r="M65" i="32" s="1"/>
  <c r="E63" i="32"/>
  <c r="T63" i="32"/>
  <c r="T65" i="32" s="1"/>
  <c r="L63" i="32"/>
  <c r="D63" i="32"/>
  <c r="D65" i="32" s="1"/>
  <c r="S63" i="32"/>
  <c r="K63" i="32"/>
  <c r="C63" i="32"/>
  <c r="C65" i="32" s="1"/>
  <c r="R63" i="32"/>
  <c r="J63" i="32"/>
  <c r="J65" i="32" s="1"/>
  <c r="B63" i="32"/>
  <c r="F19" i="32"/>
  <c r="F20" i="32" s="1"/>
  <c r="N19" i="32"/>
  <c r="G23" i="32"/>
  <c r="G24" i="32" s="1"/>
  <c r="O19" i="32"/>
  <c r="D23" i="32"/>
  <c r="D24" i="32" s="1"/>
  <c r="I66" i="32"/>
  <c r="E23" i="32"/>
  <c r="E24" i="32" s="1"/>
  <c r="M23" i="32"/>
  <c r="M24" i="32" s="1"/>
  <c r="U23" i="32"/>
  <c r="U24" i="32" s="1"/>
  <c r="Q19" i="32"/>
  <c r="H23" i="32"/>
  <c r="H24" i="32" s="1"/>
  <c r="P23" i="32"/>
  <c r="P24" i="32" s="1"/>
  <c r="H17" i="32"/>
  <c r="H19" i="32" s="1"/>
  <c r="P21" i="32"/>
  <c r="F21" i="32"/>
  <c r="F23" i="32" s="1"/>
  <c r="F24" i="32" s="1"/>
  <c r="J57" i="32"/>
  <c r="R57" i="32"/>
  <c r="F17" i="32"/>
  <c r="N17" i="32"/>
  <c r="V17" i="32"/>
  <c r="V19" i="32" s="1"/>
  <c r="N21" i="32"/>
  <c r="N23" i="32" s="1"/>
  <c r="N24" i="32" s="1"/>
  <c r="V21" i="32"/>
  <c r="V23" i="32" s="1"/>
  <c r="V24" i="32" s="1"/>
  <c r="G17" i="32"/>
  <c r="G19" i="32" s="1"/>
  <c r="O17" i="32"/>
  <c r="G21" i="32"/>
  <c r="O21" i="32"/>
  <c r="O23" i="32" s="1"/>
  <c r="O24" i="32" s="1"/>
  <c r="A32" i="32"/>
  <c r="A34" i="32"/>
  <c r="A36" i="32"/>
  <c r="A38" i="32"/>
  <c r="A40" i="32"/>
  <c r="A42" i="32"/>
  <c r="A44" i="32"/>
  <c r="A46" i="32"/>
  <c r="A48" i="32"/>
  <c r="A50" i="32"/>
  <c r="C59" i="32"/>
  <c r="C64" i="32" s="1"/>
  <c r="K59" i="32"/>
  <c r="K64" i="32" s="1"/>
  <c r="K66" i="32" s="1"/>
  <c r="S59" i="32"/>
  <c r="S64" i="32" s="1"/>
  <c r="S66" i="32" s="1"/>
  <c r="D57" i="32"/>
  <c r="L57" i="32"/>
  <c r="T57" i="32"/>
  <c r="D59" i="32"/>
  <c r="D64" i="32" s="1"/>
  <c r="L59" i="32"/>
  <c r="L64" i="32" s="1"/>
  <c r="L66" i="32" s="1"/>
  <c r="T59" i="32"/>
  <c r="T64" i="32" s="1"/>
  <c r="I17" i="32"/>
  <c r="I19" i="32" s="1"/>
  <c r="Q17" i="32"/>
  <c r="I21" i="32"/>
  <c r="I23" i="32" s="1"/>
  <c r="I24" i="32" s="1"/>
  <c r="Q21" i="32"/>
  <c r="R17" i="32"/>
  <c r="R19" i="32" s="1"/>
  <c r="J21" i="32"/>
  <c r="J23" i="32" s="1"/>
  <c r="J24" i="32" s="1"/>
  <c r="F57" i="32"/>
  <c r="N57" i="32"/>
  <c r="C17" i="32"/>
  <c r="C19" i="32" s="1"/>
  <c r="C20" i="32" s="1"/>
  <c r="S17" i="32"/>
  <c r="S19" i="32" s="1"/>
  <c r="K21" i="32"/>
  <c r="A37" i="32"/>
  <c r="A45" i="32"/>
  <c r="D17" i="32"/>
  <c r="D19" i="32" s="1"/>
  <c r="D20" i="32" s="1"/>
  <c r="L17" i="32"/>
  <c r="L19" i="32" s="1"/>
  <c r="T17" i="32"/>
  <c r="T19" i="32" s="1"/>
  <c r="E17" i="32"/>
  <c r="E19" i="32" s="1"/>
  <c r="E20" i="32" s="1"/>
  <c r="M17" i="32"/>
  <c r="U17" i="32"/>
  <c r="U19" i="32" s="1"/>
  <c r="F65" i="1"/>
  <c r="G65" i="1"/>
  <c r="H65" i="1"/>
  <c r="J65" i="1"/>
  <c r="K65" i="1"/>
  <c r="L65" i="1"/>
  <c r="M65" i="1"/>
  <c r="N65" i="1"/>
  <c r="P65" i="1"/>
  <c r="Q65" i="1"/>
  <c r="R65" i="1"/>
  <c r="S65" i="1"/>
  <c r="T65" i="1"/>
  <c r="U65" i="1"/>
  <c r="F65" i="21"/>
  <c r="G65" i="21"/>
  <c r="H65" i="21"/>
  <c r="I65" i="21"/>
  <c r="J65" i="21"/>
  <c r="K65" i="21"/>
  <c r="L65" i="21"/>
  <c r="M65" i="21"/>
  <c r="N65" i="21"/>
  <c r="P65" i="21"/>
  <c r="Q65" i="21"/>
  <c r="R65" i="21"/>
  <c r="S65" i="21"/>
  <c r="T65" i="21"/>
  <c r="U65" i="21"/>
  <c r="F65" i="27"/>
  <c r="G65" i="27"/>
  <c r="H65" i="27"/>
  <c r="I65" i="27"/>
  <c r="J65" i="27"/>
  <c r="K65" i="27"/>
  <c r="L65" i="27"/>
  <c r="M65" i="27"/>
  <c r="N65" i="27"/>
  <c r="P65" i="27"/>
  <c r="Q65" i="27"/>
  <c r="R65" i="27"/>
  <c r="S65" i="27"/>
  <c r="T65" i="27"/>
  <c r="U65" i="27"/>
  <c r="F65" i="28"/>
  <c r="G65" i="28"/>
  <c r="H65" i="28"/>
  <c r="I65" i="28"/>
  <c r="J65" i="28"/>
  <c r="K65" i="28"/>
  <c r="L65" i="28"/>
  <c r="M65" i="28"/>
  <c r="N65" i="28"/>
  <c r="P65" i="28"/>
  <c r="Q65" i="28"/>
  <c r="R65" i="28"/>
  <c r="S65" i="28"/>
  <c r="T65" i="28"/>
  <c r="U65" i="28"/>
  <c r="F65" i="30"/>
  <c r="G65" i="30"/>
  <c r="H65" i="30"/>
  <c r="I65" i="30"/>
  <c r="J65" i="30"/>
  <c r="K65" i="30"/>
  <c r="L65" i="30"/>
  <c r="M65" i="30"/>
  <c r="N65" i="30"/>
  <c r="P65" i="30"/>
  <c r="Q65" i="30"/>
  <c r="R65" i="30"/>
  <c r="S65" i="30"/>
  <c r="T65" i="30"/>
  <c r="U65" i="30"/>
  <c r="F65" i="26"/>
  <c r="G65" i="26"/>
  <c r="H65" i="26"/>
  <c r="I65" i="26"/>
  <c r="J65" i="26"/>
  <c r="K65" i="26"/>
  <c r="L65" i="26"/>
  <c r="M65" i="26"/>
  <c r="N65" i="26"/>
  <c r="P65" i="26"/>
  <c r="Q65" i="26"/>
  <c r="R65" i="26"/>
  <c r="S65" i="26"/>
  <c r="T65" i="26"/>
  <c r="U65" i="26"/>
  <c r="F65" i="24"/>
  <c r="G65" i="24"/>
  <c r="H65" i="24"/>
  <c r="I65" i="24"/>
  <c r="J65" i="24"/>
  <c r="K65" i="24"/>
  <c r="L65" i="24"/>
  <c r="M65" i="24"/>
  <c r="N65" i="24"/>
  <c r="P65" i="24"/>
  <c r="Q65" i="24"/>
  <c r="R65" i="24"/>
  <c r="S65" i="24"/>
  <c r="T65" i="24"/>
  <c r="U65" i="24"/>
  <c r="F65" i="29"/>
  <c r="G65" i="29"/>
  <c r="H65" i="29"/>
  <c r="I65" i="29"/>
  <c r="J65" i="29"/>
  <c r="K65" i="29"/>
  <c r="L65" i="29"/>
  <c r="M65" i="29"/>
  <c r="N65" i="29"/>
  <c r="P65" i="29"/>
  <c r="Q65" i="29"/>
  <c r="R65" i="29"/>
  <c r="S65" i="29"/>
  <c r="T65" i="29"/>
  <c r="U65" i="29"/>
  <c r="F65" i="23"/>
  <c r="G65" i="23"/>
  <c r="H65" i="23"/>
  <c r="I65" i="23"/>
  <c r="J65" i="23"/>
  <c r="K65" i="23"/>
  <c r="L65" i="23"/>
  <c r="M65" i="23"/>
  <c r="N65" i="23"/>
  <c r="P65" i="23"/>
  <c r="Q65" i="23"/>
  <c r="R65" i="23"/>
  <c r="S65" i="23"/>
  <c r="T65" i="23"/>
  <c r="U65" i="23"/>
  <c r="F65" i="22"/>
  <c r="G65" i="22"/>
  <c r="H65" i="22"/>
  <c r="I65" i="22"/>
  <c r="J65" i="22"/>
  <c r="K65" i="22"/>
  <c r="L65" i="22"/>
  <c r="M65" i="22"/>
  <c r="N65" i="22"/>
  <c r="P65" i="22"/>
  <c r="Q65" i="22"/>
  <c r="R65" i="22"/>
  <c r="S65" i="22"/>
  <c r="T65" i="22"/>
  <c r="U65" i="22"/>
  <c r="D66" i="32" l="1"/>
  <c r="L65" i="32"/>
  <c r="B65" i="32"/>
  <c r="E65" i="32"/>
  <c r="P65" i="32"/>
  <c r="U66" i="32"/>
  <c r="H66" i="32"/>
  <c r="F66" i="32"/>
  <c r="R65" i="32"/>
  <c r="M66" i="32"/>
  <c r="Q65" i="32"/>
  <c r="K65" i="32"/>
  <c r="T66" i="32"/>
  <c r="C66" i="32"/>
  <c r="S65" i="32"/>
  <c r="N65" i="32"/>
  <c r="O66" i="32"/>
  <c r="J66" i="32"/>
  <c r="G66" i="32"/>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K22" i="30"/>
  <c r="E22" i="30"/>
  <c r="V20" i="30"/>
  <c r="U20" i="30"/>
  <c r="T20" i="30"/>
  <c r="S20" i="30"/>
  <c r="R20" i="30"/>
  <c r="Q20" i="30"/>
  <c r="P20" i="30"/>
  <c r="O20" i="30"/>
  <c r="N20" i="30"/>
  <c r="M20" i="30"/>
  <c r="L20" i="30"/>
  <c r="K20" i="30"/>
  <c r="J20" i="30"/>
  <c r="I20" i="30"/>
  <c r="H20" i="30"/>
  <c r="G20" i="30"/>
  <c r="V18" i="30"/>
  <c r="N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V20" i="29"/>
  <c r="U20" i="29"/>
  <c r="T20" i="29"/>
  <c r="S20" i="29"/>
  <c r="R20" i="29"/>
  <c r="Q20" i="29"/>
  <c r="P20" i="29"/>
  <c r="O20" i="29"/>
  <c r="N20" i="29"/>
  <c r="M20" i="29"/>
  <c r="L20" i="29"/>
  <c r="K20" i="29"/>
  <c r="J20" i="29"/>
  <c r="I20" i="29"/>
  <c r="H20" i="29"/>
  <c r="G20" i="29"/>
  <c r="V18" i="29"/>
  <c r="R18" i="29"/>
  <c r="P18" i="29"/>
  <c r="N18" i="29"/>
  <c r="I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M20" i="28"/>
  <c r="L20" i="28"/>
  <c r="K20" i="28"/>
  <c r="J20" i="28"/>
  <c r="I20" i="28"/>
  <c r="H20" i="28"/>
  <c r="G20" i="28"/>
  <c r="V18" i="28"/>
  <c r="U18" i="28"/>
  <c r="P18" i="28"/>
  <c r="N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J20" i="27"/>
  <c r="I20" i="27"/>
  <c r="H20" i="27"/>
  <c r="G20" i="27"/>
  <c r="U18" i="27"/>
  <c r="T18" i="27"/>
  <c r="R18" i="27"/>
  <c r="O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G22" i="26"/>
  <c r="V20" i="26"/>
  <c r="U20" i="26"/>
  <c r="T20" i="26"/>
  <c r="S20" i="26"/>
  <c r="R20" i="26"/>
  <c r="Q20" i="26"/>
  <c r="P20" i="26"/>
  <c r="O20" i="26"/>
  <c r="N20" i="26"/>
  <c r="M20" i="26"/>
  <c r="L20" i="26"/>
  <c r="K20" i="26"/>
  <c r="J20" i="26"/>
  <c r="I20" i="26"/>
  <c r="H20" i="26"/>
  <c r="G20"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M22" i="24"/>
  <c r="E22" i="24"/>
  <c r="V20" i="24"/>
  <c r="U20" i="24"/>
  <c r="T20" i="24"/>
  <c r="S20" i="24"/>
  <c r="R20" i="24"/>
  <c r="Q20" i="24"/>
  <c r="P20" i="24"/>
  <c r="O20" i="24"/>
  <c r="N20" i="24"/>
  <c r="M20" i="24"/>
  <c r="L20" i="24"/>
  <c r="K20" i="24"/>
  <c r="J20" i="24"/>
  <c r="I20" i="24"/>
  <c r="H20" i="24"/>
  <c r="G20"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O20" i="23"/>
  <c r="N20" i="23"/>
  <c r="M20" i="23"/>
  <c r="L20" i="23"/>
  <c r="K20" i="23"/>
  <c r="J20" i="23"/>
  <c r="I20" i="23"/>
  <c r="H20" i="23"/>
  <c r="G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O20" i="22"/>
  <c r="N20" i="22"/>
  <c r="M20" i="22"/>
  <c r="L20" i="22"/>
  <c r="K20" i="22"/>
  <c r="J20" i="22"/>
  <c r="I20" i="22"/>
  <c r="H20" i="22"/>
  <c r="G20" i="22"/>
  <c r="U18" i="22"/>
  <c r="O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G23" i="22"/>
  <c r="G24" i="22" s="1"/>
  <c r="K58" i="21"/>
  <c r="K61" i="21" s="1"/>
  <c r="K64"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O59" i="30"/>
  <c r="G63" i="30"/>
  <c r="O63" i="30"/>
  <c r="P63" i="30"/>
  <c r="I63" i="30"/>
  <c r="Q63" i="30"/>
  <c r="T19" i="30"/>
  <c r="E19" i="30"/>
  <c r="E20" i="30" s="1"/>
  <c r="N19" i="30"/>
  <c r="V19" i="30"/>
  <c r="F23" i="30"/>
  <c r="F24" i="30" s="1"/>
  <c r="N23" i="30"/>
  <c r="N24" i="30" s="1"/>
  <c r="B63" i="30"/>
  <c r="J63" i="30"/>
  <c r="R63" i="30"/>
  <c r="M19" i="30"/>
  <c r="G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E20" i="29" s="1"/>
  <c r="M19" i="29"/>
  <c r="U19" i="29"/>
  <c r="E23" i="29"/>
  <c r="E24" i="29" s="1"/>
  <c r="M23" i="29"/>
  <c r="M24" i="29" s="1"/>
  <c r="U23" i="29"/>
  <c r="U24" i="29" s="1"/>
  <c r="I57" i="29"/>
  <c r="Q57" i="29"/>
  <c r="I63" i="29"/>
  <c r="Q63" i="29"/>
  <c r="F19" i="29"/>
  <c r="F20" i="29" s="1"/>
  <c r="N19" i="29"/>
  <c r="V19" i="29"/>
  <c r="F23" i="29"/>
  <c r="F24" i="29" s="1"/>
  <c r="N23" i="29"/>
  <c r="N24" i="29" s="1"/>
  <c r="B63" i="29"/>
  <c r="J63" i="29"/>
  <c r="R63" i="29"/>
  <c r="L19" i="29"/>
  <c r="G19" i="29"/>
  <c r="O19" i="29"/>
  <c r="A32" i="29"/>
  <c r="A34" i="29"/>
  <c r="A40" i="29"/>
  <c r="A42" i="29"/>
  <c r="A48" i="29"/>
  <c r="A50" i="29"/>
  <c r="C63" i="29"/>
  <c r="K63" i="29"/>
  <c r="S63" i="29"/>
  <c r="H19"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O19" i="26"/>
  <c r="A32" i="26"/>
  <c r="A34" i="26"/>
  <c r="A40" i="26"/>
  <c r="A42" i="26"/>
  <c r="A48" i="26"/>
  <c r="A50" i="26"/>
  <c r="C63" i="26"/>
  <c r="K63" i="26"/>
  <c r="S63" i="26"/>
  <c r="H19" i="26"/>
  <c r="P19" i="26"/>
  <c r="D63" i="26"/>
  <c r="L63" i="26"/>
  <c r="I19"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E19" i="23"/>
  <c r="E20" i="23" s="1"/>
  <c r="M19" i="23"/>
  <c r="E23" i="23"/>
  <c r="E24" i="23" s="1"/>
  <c r="M23" i="23"/>
  <c r="M24" i="23" s="1"/>
  <c r="I57" i="23"/>
  <c r="Q57" i="23"/>
  <c r="F23" i="23"/>
  <c r="F24" i="23" s="1"/>
  <c r="N23" i="23"/>
  <c r="N24" i="23" s="1"/>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3" l="1"/>
  <c r="C65" i="23"/>
  <c r="C65" i="29"/>
  <c r="D65" i="24"/>
  <c r="B65" i="24"/>
  <c r="C65" i="30"/>
  <c r="E65" i="30"/>
  <c r="D65" i="28"/>
  <c r="C23" i="22"/>
  <c r="C24" i="22" s="1"/>
  <c r="C65" i="22"/>
  <c r="C65" i="27"/>
  <c r="E65" i="27"/>
  <c r="D65" i="21"/>
  <c r="C23" i="21"/>
  <c r="C24" i="21" s="1"/>
  <c r="O64" i="21"/>
  <c r="O65" i="21" s="1"/>
  <c r="L64" i="22"/>
  <c r="D64" i="22"/>
  <c r="D65" i="22" s="1"/>
  <c r="Q64" i="22"/>
  <c r="U64" i="22"/>
  <c r="U66" i="22" s="1"/>
  <c r="S64" i="23"/>
  <c r="M64" i="23"/>
  <c r="M66" i="23" s="1"/>
  <c r="R64" i="23"/>
  <c r="R66" i="23" s="1"/>
  <c r="M64" i="29"/>
  <c r="D64" i="29"/>
  <c r="D65" i="29" s="1"/>
  <c r="O64" i="24"/>
  <c r="I64" i="24"/>
  <c r="M64" i="24"/>
  <c r="S64" i="24"/>
  <c r="T64" i="26"/>
  <c r="T66" i="26" s="1"/>
  <c r="E64" i="26"/>
  <c r="M64" i="28"/>
  <c r="S64" i="28"/>
  <c r="P64" i="27"/>
  <c r="G64" i="21"/>
  <c r="G66" i="21" s="1"/>
  <c r="S64" i="21"/>
  <c r="S66" i="21" s="1"/>
  <c r="E64" i="21"/>
  <c r="F64" i="21"/>
  <c r="F66" i="21" s="1"/>
  <c r="N64" i="28"/>
  <c r="N66" i="28" s="1"/>
  <c r="J64" i="21"/>
  <c r="J66" i="21" s="1"/>
  <c r="F64" i="24"/>
  <c r="F66" i="24" s="1"/>
  <c r="F64" i="28"/>
  <c r="F66" i="28" s="1"/>
  <c r="D64" i="26"/>
  <c r="D65" i="26" s="1"/>
  <c r="H64" i="29"/>
  <c r="H66" i="29" s="1"/>
  <c r="S64" i="30"/>
  <c r="S66" i="30" s="1"/>
  <c r="Q64" i="23"/>
  <c r="Q66" i="23" s="1"/>
  <c r="F64" i="30"/>
  <c r="F66" i="30" s="1"/>
  <c r="K64" i="23"/>
  <c r="K66" i="23" s="1"/>
  <c r="R64" i="26"/>
  <c r="E64" i="24"/>
  <c r="J64" i="22"/>
  <c r="J66" i="22" s="1"/>
  <c r="H64" i="21"/>
  <c r="H64" i="28"/>
  <c r="H66" i="28" s="1"/>
  <c r="G64" i="28"/>
  <c r="G66" i="28" s="1"/>
  <c r="P64" i="26"/>
  <c r="E64" i="28"/>
  <c r="N64" i="23"/>
  <c r="J64" i="26"/>
  <c r="B64" i="23"/>
  <c r="M64" i="27"/>
  <c r="M66" i="27" s="1"/>
  <c r="H64" i="27"/>
  <c r="H66" i="27" s="1"/>
  <c r="G64" i="22"/>
  <c r="G66" i="22" s="1"/>
  <c r="L64" i="29"/>
  <c r="G64" i="24"/>
  <c r="G66" i="24" s="1"/>
  <c r="H64" i="24"/>
  <c r="H66" i="24" s="1"/>
  <c r="D64" i="23"/>
  <c r="D65" i="23" s="1"/>
  <c r="K64" i="24"/>
  <c r="P64" i="24"/>
  <c r="U64" i="29"/>
  <c r="U66" i="29" s="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F66" i="23" s="1"/>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6" i="26" s="1"/>
  <c r="G64" i="29"/>
  <c r="G66" i="29" s="1"/>
  <c r="F64" i="22"/>
  <c r="F66" i="22" s="1"/>
  <c r="D66" i="29"/>
  <c r="O64" i="26"/>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F66" i="27" s="1"/>
  <c r="T66" i="27"/>
  <c r="L66" i="29"/>
  <c r="Q66" i="22"/>
  <c r="J66" i="26"/>
  <c r="C66" i="22"/>
  <c r="T66" i="21"/>
  <c r="S66" i="23"/>
  <c r="H66" i="30"/>
  <c r="E66" i="30"/>
  <c r="S66" i="24"/>
  <c r="L66" i="21"/>
  <c r="D66" i="22"/>
  <c r="S66" i="26"/>
  <c r="L66" i="28"/>
  <c r="L66" i="26"/>
  <c r="T66" i="30"/>
  <c r="C66" i="29"/>
  <c r="H66" i="22"/>
  <c r="R66" i="28"/>
  <c r="N64" i="26"/>
  <c r="N66" i="26" s="1"/>
  <c r="O64" i="29"/>
  <c r="P64" i="29"/>
  <c r="P66" i="29" s="1"/>
  <c r="S64" i="1"/>
  <c r="R66" i="26"/>
  <c r="D66" i="27"/>
  <c r="N64" i="29"/>
  <c r="N66" i="29" s="1"/>
  <c r="R66" i="30"/>
  <c r="D66" i="23"/>
  <c r="L66" i="23"/>
  <c r="O66" i="22"/>
  <c r="R64" i="1"/>
  <c r="J66" i="23"/>
  <c r="Q64" i="1"/>
  <c r="U64" i="1"/>
  <c r="P64" i="1"/>
  <c r="E66" i="27"/>
  <c r="J66" i="24"/>
  <c r="Q66" i="29"/>
  <c r="F64" i="29"/>
  <c r="F66" i="29" s="1"/>
  <c r="O64" i="23"/>
  <c r="O64" i="30"/>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O65" i="1" s="1"/>
  <c r="C64" i="1"/>
  <c r="I64" i="1"/>
  <c r="H64" i="1"/>
  <c r="G64" i="1"/>
  <c r="F64" i="1"/>
  <c r="E64" i="1"/>
  <c r="D64" i="1"/>
  <c r="B64" i="1"/>
  <c r="D63" i="1"/>
  <c r="D65" i="1" s="1"/>
  <c r="L63" i="1"/>
  <c r="F63" i="1"/>
  <c r="R63" i="1"/>
  <c r="J63" i="1"/>
  <c r="Q63" i="1"/>
  <c r="Q66" i="1" s="1"/>
  <c r="I63" i="1"/>
  <c r="I65" i="1" s="1"/>
  <c r="C63" i="1"/>
  <c r="K63" i="1"/>
  <c r="P63" i="1"/>
  <c r="H63" i="1"/>
  <c r="T63" i="1"/>
  <c r="T66" i="1" s="1"/>
  <c r="S63" i="1"/>
  <c r="O63" i="1"/>
  <c r="G63" i="1"/>
  <c r="N63" i="1"/>
  <c r="E63" i="1"/>
  <c r="E65" i="1" s="1"/>
  <c r="B63" i="1"/>
  <c r="U63" i="1"/>
  <c r="M63" i="1"/>
  <c r="C65" i="1" l="1"/>
  <c r="O66" i="26"/>
  <c r="O65" i="26"/>
  <c r="O66" i="21"/>
  <c r="O66" i="30"/>
  <c r="O65" i="30"/>
  <c r="O66" i="28"/>
  <c r="O65" i="28"/>
  <c r="O66" i="23"/>
  <c r="O65" i="23"/>
  <c r="O66" i="27"/>
  <c r="O65" i="27"/>
  <c r="O66" i="24"/>
  <c r="O65" i="24"/>
  <c r="O66" i="29"/>
  <c r="O65" i="29"/>
  <c r="C66" i="28"/>
  <c r="C65" i="28"/>
  <c r="C66" i="24"/>
  <c r="C65" i="24"/>
  <c r="B66" i="26"/>
  <c r="B65" i="26"/>
  <c r="B66" i="21"/>
  <c r="B65" i="21"/>
  <c r="B66" i="27"/>
  <c r="B65" i="27"/>
  <c r="B66" i="29"/>
  <c r="B65" i="29"/>
  <c r="B66" i="28"/>
  <c r="B65" i="28"/>
  <c r="B66" i="22"/>
  <c r="B65" i="22"/>
  <c r="B65" i="1"/>
  <c r="B66" i="23"/>
  <c r="B65" i="23"/>
  <c r="E66" i="28"/>
  <c r="E65" i="28"/>
  <c r="E66" i="29"/>
  <c r="E65" i="29"/>
  <c r="E66" i="26"/>
  <c r="E65" i="26"/>
  <c r="E66" i="24"/>
  <c r="E65" i="24"/>
  <c r="E66" i="21"/>
  <c r="E65" i="21"/>
  <c r="D66"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tc={3824C0B2-A29E-49A3-9C05-711F3BE4B7F6}</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 ref="F31" authorId="1" shapeId="0" xr:uid="{3824C0B2-A29E-49A3-9C05-711F3BE4B7F6}">
      <text>
        <t>[Threaded comment]
Your version of Excel allows you to read this threaded comment; however, any edits to it will get removed if the file is opened in a newer version of Excel. Learn more: https://go.microsoft.com/fwlink/?linkid=870924
Comment:
    High?</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<sst xmlns="http://schemas.openxmlformats.org/spreadsheetml/2006/main" count="2461" uniqueCount="187">
  <si>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</si>
  <si>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</si>
  <si>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</si>
  <si>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</si>
  <si>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</si>
  <si>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</si>
  <si>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</si>
  <si>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</si>
  <si>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</si>
  <si>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</si>
  <si>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</si>
  <si>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</si>
  <si>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</si>
  <si>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</si>
  <si>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</si>
  <si>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</si>
  <si>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</si>
  <si>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</si>
  <si>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</si>
  <si>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</si>
  <si>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</si>
  <si>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</si>
  <si>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</si>
  <si>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</si>
  <si>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</si>
  <si>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</si>
  <si>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</si>
  <si>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</si>
  <si>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</si>
  <si>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</si>
  <si>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</si>
  <si>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</si>
  <si>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</si>
  <si>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</si>
  <si>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</si>
  <si>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</si>
  <si>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</si>
  <si>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</si>
  <si>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</si>
  <si>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</si>
  <si>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</si>
  <si>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</si>
  <si>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</si>
  <si>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</si>
  <si>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</si>
  <si>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</si>
  <si>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</si>
  <si>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</si>
  <si>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</si>
  <si>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</si>
  <si>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</si>
  <si>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</si>
  <si>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</si>
  <si>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</si>
  <si>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</si>
  <si>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</si>
  <si>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</si>
  <si>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</si>
  <si>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</si>
  <si>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</si>
  <si>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</si>
  <si>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</si>
  <si>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</si>
  <si>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</si>
  <si>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</si>
  <si>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</si>
  <si>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</si>
  <si>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</si>
  <si>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</si>
  <si>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</si>
  <si>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</si>
  <si>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</si>
  <si>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</si>
  <si>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</si>
  <si>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</si>
  <si>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</si>
  <si>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</si>
  <si>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</si>
  <si>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</si>
  <si>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</si>
  <si>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</si>
  <si>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</si>
  <si>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</si>
  <si>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</si>
  <si>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</si>
  <si>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</si>
  <si>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</si>
  <si>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</si>
  <si>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</si>
  <si>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</si>
  <si>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</si>
  <si>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</si>
  <si>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</si>
  <si>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</si>
  <si>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</si>
  <si>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</si>
  <si>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</si>
  <si>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</si>
  <si>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</si>
  <si>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</si>
  <si>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</si>
  <si>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</si>
  <si>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</si>
  <si>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</si>
  <si>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</si>
  <si>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</si>
  <si>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</si>
  <si>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</si>
  <si>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</si>
  <si>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</si>
  <si>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</si>
  <si>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</si>
  <si>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</si>
  <si>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</si>
  <si>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</si>
  <si>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</si>
  <si>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</si>
  <si>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</si>
  <si>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</si>
  <si>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</si>
  <si>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</si>
  <si>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</si>
  <si>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</si>
  <si>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</si>
  <si>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</si>
  <si>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</si>
  <si>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</si>
  <si>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</si>
  <si>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</si>
  <si>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</si>
  <si>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</si>
  <si>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</si>
  <si>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</si>
  <si>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</si>
  <si>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</si>
  <si>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</si>
  <si>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</si>
  <si>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</si>
  <si>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</si>
  <si>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</si>
  <si>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</si>
  <si>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</si>
  <si>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</si>
  <si>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</si>
  <si>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</si>
  <si>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</si>
  <si>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</si>
  <si>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</si>
  <si>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</si>
  <si>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</si>
  <si>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</si>
  <si>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</si>
  <si>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</si>
  <si>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</si>
  <si>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</si>
  <si>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</si>
  <si>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</si>
  <si>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</si>
  <si>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</si>
  <si>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</si>
  <si>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PAN-031595</t>
  </si>
  <si>
    <t>GP3498LG</t>
  </si>
  <si>
    <t>Land &amp; Water Services Limited</t>
  </si>
  <si>
    <t>Tir William Richard Farm, Llangynidr, Crick Howell, PowysNP8 1LL</t>
  </si>
  <si>
    <t>Bryan Burn</t>
  </si>
  <si>
    <t>sample 1</t>
  </si>
  <si>
    <t>CD1</t>
  </si>
  <si>
    <t>CD2</t>
  </si>
  <si>
    <t>IV WG2</t>
  </si>
  <si>
    <t>IV WG3</t>
  </si>
  <si>
    <t>sample 3</t>
  </si>
  <si>
    <t>sample 6</t>
  </si>
  <si>
    <t xml:space="preserve">Field </t>
  </si>
  <si>
    <t>WG2</t>
  </si>
  <si>
    <t>WG3</t>
  </si>
  <si>
    <t>Field size</t>
  </si>
  <si>
    <t>Application rate</t>
  </si>
  <si>
    <t>TOTAL</t>
  </si>
  <si>
    <t>Amount of waste to be spread</t>
  </si>
  <si>
    <t>n/a</t>
  </si>
  <si>
    <t>Sample 9</t>
  </si>
  <si>
    <t>Sample 12</t>
  </si>
  <si>
    <t>sample 15</t>
  </si>
  <si>
    <t>sample 18</t>
  </si>
  <si>
    <t>sample 21</t>
  </si>
  <si>
    <t>sample 24</t>
  </si>
  <si>
    <t>sample 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</si>
</sst>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Arial"/>
      <family val="2"/>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
      <b/>
      <sz val="11"/>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0" fontId="3" fillId="0" borderId="0"/>
    <xf numFmtId="9" fontId="10" fillId="0" borderId="0" applyFont="0" applyFill="0" applyBorder="0" applyAlignment="0" applyProtection="0"/>
  </cellStyleXfs>
  <cellXfs count="183">
    <xf numFmtId="0" fontId="0" fillId="0" borderId="0" xfId="0"/>
    <xf numFmtId="0" fontId="7" fillId="6" borderId="3" xfId="0" applyFont="1" applyFill="1" applyBorder="1" applyAlignment="1" applyProtection="1">
      <alignment horizontal="center" vertical="top" wrapText="1"/>
      <protection hidden="1"/>
    </xf>
    <xf numFmtId="0" fontId="2" fillId="6" borderId="3" xfId="0" applyFont="1" applyFill="1" applyBorder="1" applyAlignment="1" applyProtection="1">
      <alignment horizontal="center" vertical="top" wrapText="1"/>
      <protection hidden="1"/>
    </xf>
    <xf numFmtId="0" fontId="7" fillId="8" borderId="3" xfId="0" applyFont="1" applyFill="1" applyBorder="1" applyAlignment="1" applyProtection="1">
      <alignment horizontal="center" vertical="top" wrapText="1"/>
      <protection hidden="1"/>
    </xf>
    <xf numFmtId="0" fontId="7" fillId="0" borderId="4" xfId="0" applyFont="1" applyBorder="1" applyAlignment="1" applyProtection="1">
      <alignment horizontal="center" vertical="top"/>
      <protection hidden="1"/>
    </xf>
    <xf numFmtId="0" fontId="7" fillId="0" borderId="5" xfId="0" applyFont="1" applyBorder="1" applyAlignment="1" applyProtection="1">
      <alignment horizontal="center" vertical="top"/>
      <protection hidden="1"/>
    </xf>
    <xf numFmtId="0" fontId="7" fillId="0" borderId="0" xfId="0" applyFont="1" applyAlignment="1" applyProtection="1">
      <alignment horizontal="center" vertical="top"/>
      <protection hidden="1"/>
    </xf>
    <xf numFmtId="0" fontId="7" fillId="0" borderId="0" xfId="0" applyFont="1" applyAlignment="1" applyProtection="1">
      <alignment horizontal="left" vertical="top"/>
      <protection hidden="1"/>
    </xf>
    <xf numFmtId="0" fontId="7" fillId="6" borderId="3" xfId="0" applyFont="1" applyFill="1" applyBorder="1" applyAlignment="1" applyProtection="1">
      <alignment horizontal="center" vertical="top"/>
      <protection hidden="1"/>
    </xf>
    <xf numFmtId="0" fontId="6" fillId="0" borderId="0" xfId="0" applyFont="1" applyAlignment="1" applyProtection="1">
      <alignment horizontal="left" vertical="top"/>
      <protection hidden="1"/>
    </xf>
    <xf numFmtId="0" fontId="7" fillId="4" borderId="3" xfId="0" applyFont="1" applyFill="1" applyBorder="1" applyAlignment="1" applyProtection="1">
      <alignment horizontal="center" vertical="top"/>
      <protection hidden="1"/>
    </xf>
    <xf numFmtId="0" fontId="6" fillId="3" borderId="3" xfId="0" applyFont="1" applyFill="1" applyBorder="1" applyAlignment="1" applyProtection="1">
      <alignment horizontal="center" vertical="top"/>
      <protection locked="0"/>
    </xf>
    <xf numFmtId="2" fontId="3" fillId="4" borderId="3" xfId="0" applyNumberFormat="1" applyFont="1" applyFill="1" applyBorder="1" applyAlignment="1" applyProtection="1">
      <alignment horizontal="center" vertical="top"/>
      <protection hidden="1"/>
    </xf>
    <xf numFmtId="0" fontId="6" fillId="0" borderId="0" xfId="0" applyFont="1" applyProtection="1">
      <protection hidden="1"/>
    </xf>
    <xf numFmtId="1" fontId="3" fillId="0" borderId="0" xfId="1" applyNumberFormat="1" applyAlignment="1" applyProtection="1">
      <alignment horizontal="center"/>
      <protection hidden="1"/>
    </xf>
    <xf numFmtId="0" fontId="3" fillId="3" borderId="3" xfId="0" applyFont="1" applyFill="1" applyBorder="1" applyAlignment="1" applyProtection="1">
      <alignment horizontal="center" vertical="top"/>
      <protection locked="0"/>
    </xf>
    <xf numFmtId="0" fontId="6" fillId="3" borderId="3" xfId="0" quotePrefix="1" applyFont="1" applyFill="1" applyBorder="1" applyAlignment="1" applyProtection="1">
      <alignment horizontal="center" vertical="top"/>
      <protection locked="0"/>
    </xf>
    <xf numFmtId="2" fontId="3" fillId="4" borderId="11" xfId="0" applyNumberFormat="1" applyFont="1" applyFill="1" applyBorder="1" applyAlignment="1" applyProtection="1">
      <alignment horizontal="center" vertical="top"/>
      <protection hidden="1"/>
    </xf>
    <xf numFmtId="2" fontId="2" fillId="4" borderId="13" xfId="0" applyNumberFormat="1" applyFont="1" applyFill="1" applyBorder="1" applyAlignment="1" applyProtection="1">
      <alignment horizontal="center" vertical="top"/>
      <protection hidden="1"/>
    </xf>
    <xf numFmtId="2" fontId="2" fillId="4" borderId="14" xfId="0" applyNumberFormat="1" applyFont="1" applyFill="1" applyBorder="1" applyAlignment="1" applyProtection="1">
      <alignment horizontal="center" vertical="top"/>
      <protection hidden="1"/>
    </xf>
    <xf numFmtId="2" fontId="3" fillId="4" borderId="9" xfId="0" applyNumberFormat="1" applyFont="1" applyFill="1" applyBorder="1" applyAlignment="1" applyProtection="1">
      <alignment horizontal="center" vertical="top"/>
      <protection hidden="1"/>
    </xf>
    <xf numFmtId="0" fontId="6" fillId="7" borderId="0" xfId="0" applyFont="1" applyFill="1" applyAlignment="1" applyProtection="1">
      <alignment horizontal="left" vertical="top"/>
      <protection hidden="1"/>
    </xf>
    <xf numFmtId="0" fontId="6" fillId="0" borderId="3" xfId="0" applyFont="1" applyBorder="1" applyProtection="1">
      <protection hidden="1"/>
    </xf>
    <xf numFmtId="1" fontId="3" fillId="6" borderId="3" xfId="1" applyNumberFormat="1" applyFill="1" applyBorder="1" applyAlignment="1" applyProtection="1">
      <alignment vertical="top"/>
      <protection hidden="1"/>
    </xf>
    <xf numFmtId="1" fontId="3" fillId="11" borderId="3" xfId="1" applyNumberFormat="1" applyFill="1" applyBorder="1" applyAlignment="1" applyProtection="1">
      <alignment horizontal="center"/>
      <protection hidden="1"/>
    </xf>
    <xf numFmtId="0" fontId="3" fillId="6" borderId="0" xfId="1" applyFill="1" applyAlignment="1" applyProtection="1">
      <alignment vertical="top" wrapText="1"/>
      <protection hidden="1"/>
    </xf>
    <xf numFmtId="0" fontId="3" fillId="6" borderId="3" xfId="1" applyFill="1" applyBorder="1" applyAlignment="1" applyProtection="1">
      <alignment vertical="top" wrapText="1"/>
      <protection hidden="1"/>
    </xf>
    <xf numFmtId="0" fontId="3" fillId="6" borderId="3" xfId="1" applyFill="1" applyBorder="1" applyAlignment="1" applyProtection="1">
      <alignment horizontal="center"/>
      <protection hidden="1"/>
    </xf>
    <xf numFmtId="0" fontId="3" fillId="0" borderId="0" xfId="1" applyAlignment="1" applyProtection="1">
      <alignment horizontal="center"/>
      <protection hidden="1"/>
    </xf>
    <xf numFmtId="0" fontId="3" fillId="6" borderId="3" xfId="1" applyFill="1" applyBorder="1" applyAlignment="1" applyProtection="1">
      <alignment horizontal="center" wrapText="1"/>
      <protection hidden="1"/>
    </xf>
    <xf numFmtId="0" fontId="2" fillId="0" borderId="15" xfId="0" applyFont="1" applyBorder="1" applyProtection="1">
      <protection hidden="1"/>
    </xf>
    <xf numFmtId="0" fontId="2" fillId="0" borderId="2" xfId="0" applyFont="1" applyBorder="1" applyProtection="1">
      <protection hidden="1"/>
    </xf>
    <xf numFmtId="0" fontId="2" fillId="0" borderId="16" xfId="0" applyFont="1" applyBorder="1" applyProtection="1">
      <protection hidden="1"/>
    </xf>
    <xf numFmtId="0" fontId="2" fillId="0" borderId="2" xfId="0" applyFont="1" applyBorder="1" applyAlignment="1" applyProtection="1">
      <alignment horizontal="left" vertical="top"/>
      <protection hidden="1"/>
    </xf>
    <xf numFmtId="0" fontId="6" fillId="0" borderId="7" xfId="0" applyFont="1" applyBorder="1" applyProtection="1">
      <protection hidden="1"/>
    </xf>
    <xf numFmtId="0" fontId="2" fillId="0" borderId="7" xfId="0" applyFont="1" applyBorder="1" applyProtection="1">
      <protection hidden="1"/>
    </xf>
    <xf numFmtId="0" fontId="2" fillId="0" borderId="3" xfId="0" applyFont="1" applyBorder="1" applyAlignment="1" applyProtection="1">
      <alignment horizontal="right"/>
      <protection hidden="1"/>
    </xf>
    <xf numFmtId="0" fontId="2" fillId="0" borderId="6" xfId="0" applyFont="1" applyBorder="1" applyProtection="1">
      <protection hidden="1"/>
    </xf>
    <xf numFmtId="0" fontId="3" fillId="9" borderId="7" xfId="0" applyFont="1" applyFill="1" applyBorder="1" applyProtection="1">
      <protection hidden="1"/>
    </xf>
    <xf numFmtId="0" fontId="3" fillId="9" borderId="3" xfId="0" applyFont="1" applyFill="1" applyBorder="1" applyAlignment="1" applyProtection="1">
      <alignment horizontal="right"/>
      <protection hidden="1"/>
    </xf>
    <xf numFmtId="0" fontId="3" fillId="9" borderId="6" xfId="0" applyFont="1" applyFill="1" applyBorder="1" applyProtection="1">
      <protection hidden="1"/>
    </xf>
    <xf numFmtId="0" fontId="6" fillId="9" borderId="0" xfId="0" applyFont="1" applyFill="1" applyAlignment="1" applyProtection="1">
      <alignment horizontal="left" vertical="top"/>
      <protection hidden="1"/>
    </xf>
    <xf numFmtId="0" fontId="6" fillId="0" borderId="3" xfId="0" applyFont="1" applyBorder="1" applyAlignment="1" applyProtection="1">
      <alignment horizontal="left" vertical="top"/>
      <protection hidden="1"/>
    </xf>
    <xf numFmtId="0" fontId="3" fillId="0" borderId="7" xfId="0" applyFont="1" applyBorder="1" applyProtection="1">
      <protection hidden="1"/>
    </xf>
    <xf numFmtId="0" fontId="3" fillId="0" borderId="3" xfId="0" applyFont="1" applyBorder="1" applyProtection="1">
      <protection hidden="1"/>
    </xf>
    <xf numFmtId="0" fontId="3" fillId="0" borderId="6" xfId="0" applyFont="1" applyBorder="1" applyProtection="1">
      <protection hidden="1"/>
    </xf>
    <xf numFmtId="0" fontId="6" fillId="0" borderId="0" xfId="0" applyFont="1" applyAlignment="1" applyProtection="1">
      <alignment horizontal="right" vertical="top"/>
      <protection hidden="1"/>
    </xf>
    <xf numFmtId="0" fontId="3" fillId="0" borderId="0" xfId="0" applyFont="1" applyAlignment="1" applyProtection="1">
      <alignment horizontal="right" vertical="top"/>
      <protection hidden="1"/>
    </xf>
    <xf numFmtId="0" fontId="6" fillId="0" borderId="0" xfId="0" applyFont="1" applyAlignment="1" applyProtection="1">
      <alignment horizontal="center" vertical="top"/>
      <protection hidden="1"/>
    </xf>
    <xf numFmtId="0" fontId="6" fillId="3" borderId="3" xfId="0" applyFont="1" applyFill="1" applyBorder="1" applyAlignment="1" applyProtection="1">
      <alignment horizontal="center" vertical="top"/>
      <protection hidden="1"/>
    </xf>
    <xf numFmtId="0" fontId="3" fillId="0" borderId="0" xfId="0" applyFont="1" applyAlignment="1" applyProtection="1">
      <alignment vertical="center"/>
      <protection hidden="1"/>
    </xf>
    <xf numFmtId="0" fontId="3" fillId="0" borderId="3" xfId="0" applyFont="1" applyBorder="1" applyAlignment="1" applyProtection="1">
      <alignment horizontal="right"/>
      <protection hidden="1"/>
    </xf>
    <xf numFmtId="0" fontId="3" fillId="7" borderId="7" xfId="0" applyFont="1" applyFill="1" applyBorder="1" applyProtection="1">
      <protection hidden="1"/>
    </xf>
    <xf numFmtId="0" fontId="3" fillId="7" borderId="3" xfId="0" applyFont="1" applyFill="1" applyBorder="1" applyAlignment="1" applyProtection="1">
      <alignment horizontal="right"/>
      <protection hidden="1"/>
    </xf>
    <xf numFmtId="0" fontId="3" fillId="7" borderId="6" xfId="0" applyFont="1" applyFill="1" applyBorder="1" applyProtection="1">
      <protection hidden="1"/>
    </xf>
    <xf numFmtId="0" fontId="3" fillId="7" borderId="3" xfId="0" applyFont="1" applyFill="1" applyBorder="1" applyProtection="1">
      <protection hidden="1"/>
    </xf>
    <xf numFmtId="0" fontId="3" fillId="0" borderId="0" xfId="0" applyFont="1" applyAlignment="1" applyProtection="1">
      <alignment horizontal="left" vertical="top"/>
      <protection hidden="1"/>
    </xf>
    <xf numFmtId="0" fontId="3" fillId="7" borderId="17" xfId="0" applyFont="1" applyFill="1" applyBorder="1" applyProtection="1">
      <protection hidden="1"/>
    </xf>
    <xf numFmtId="0" fontId="3" fillId="7" borderId="1" xfId="0" applyFont="1" applyFill="1" applyBorder="1" applyAlignment="1" applyProtection="1">
      <alignment horizontal="right"/>
      <protection hidden="1"/>
    </xf>
    <xf numFmtId="0" fontId="3" fillId="7" borderId="18" xfId="0" applyFont="1" applyFill="1" applyBorder="1" applyProtection="1">
      <protection hidden="1"/>
    </xf>
    <xf numFmtId="0" fontId="6" fillId="4" borderId="3" xfId="0" applyFont="1" applyFill="1" applyBorder="1" applyAlignment="1" applyProtection="1">
      <alignment horizontal="center" vertical="top" wrapText="1"/>
      <protection hidden="1"/>
    </xf>
    <xf numFmtId="1" fontId="7" fillId="6" borderId="3" xfId="2" applyNumberFormat="1" applyFont="1" applyFill="1" applyBorder="1" applyAlignment="1" applyProtection="1">
      <alignment horizontal="center"/>
      <protection hidden="1"/>
    </xf>
    <xf numFmtId="1" fontId="7" fillId="6" borderId="3" xfId="0" applyNumberFormat="1" applyFont="1" applyFill="1" applyBorder="1" applyAlignment="1" applyProtection="1">
      <alignment horizontal="center"/>
      <protection hidden="1"/>
    </xf>
    <xf numFmtId="1" fontId="7" fillId="6" borderId="3" xfId="0" applyNumberFormat="1" applyFont="1" applyFill="1" applyBorder="1" applyAlignment="1" applyProtection="1">
      <alignment horizontal="center" vertical="top"/>
      <protection hidden="1"/>
    </xf>
    <xf numFmtId="2" fontId="6" fillId="4" borderId="3" xfId="2" applyNumberFormat="1" applyFont="1" applyFill="1" applyBorder="1" applyAlignment="1" applyProtection="1">
      <alignment horizontal="center"/>
      <protection hidden="1"/>
    </xf>
    <xf numFmtId="2" fontId="6" fillId="4" borderId="3" xfId="0" applyNumberFormat="1" applyFont="1" applyFill="1" applyBorder="1" applyAlignment="1" applyProtection="1">
      <alignment horizontal="center" vertical="top"/>
      <protection hidden="1"/>
    </xf>
    <xf numFmtId="0" fontId="6" fillId="4" borderId="3" xfId="0" applyFont="1" applyFill="1" applyBorder="1" applyAlignment="1" applyProtection="1">
      <alignment horizontal="center" vertical="top"/>
      <protection hidden="1"/>
    </xf>
    <xf numFmtId="0" fontId="9" fillId="6" borderId="3" xfId="1" applyFont="1" applyFill="1" applyBorder="1" applyAlignment="1" applyProtection="1">
      <alignment horizontal="center"/>
      <protection hidden="1"/>
    </xf>
    <xf numFmtId="1" fontId="9" fillId="11" borderId="3" xfId="1" applyNumberFormat="1" applyFont="1" applyFill="1" applyBorder="1" applyAlignment="1" applyProtection="1">
      <alignment horizontal="center"/>
      <protection hidden="1"/>
    </xf>
    <xf numFmtId="0" fontId="11" fillId="0" borderId="0" xfId="0" applyFont="1" applyAlignment="1" applyProtection="1">
      <alignment horizontal="center"/>
      <protection hidden="1"/>
    </xf>
    <xf numFmtId="0" fontId="6" fillId="0" borderId="0" xfId="0" applyFont="1" applyAlignment="1" applyProtection="1">
      <alignment vertical="top"/>
      <protection hidden="1"/>
    </xf>
    <xf numFmtId="0" fontId="3" fillId="0" borderId="0" xfId="1" applyProtection="1">
      <protection hidden="1"/>
    </xf>
    <xf numFmtId="0" fontId="3" fillId="6" borderId="3" xfId="1" applyFill="1" applyBorder="1" applyProtection="1">
      <protection hidden="1"/>
    </xf>
    <xf numFmtId="9" fontId="6" fillId="6" borderId="3" xfId="0" applyNumberFormat="1" applyFont="1" applyFill="1" applyBorder="1" applyProtection="1">
      <protection hidden="1"/>
    </xf>
    <xf numFmtId="1" fontId="3" fillId="6" borderId="3" xfId="1" applyNumberFormat="1" applyFill="1" applyBorder="1" applyProtection="1">
      <protection hidden="1"/>
    </xf>
    <xf numFmtId="0" fontId="3" fillId="11" borderId="3" xfId="1" applyFill="1" applyBorder="1" applyProtection="1">
      <protection hidden="1"/>
    </xf>
    <xf numFmtId="2" fontId="9" fillId="11" borderId="3" xfId="1" applyNumberFormat="1" applyFont="1" applyFill="1" applyBorder="1" applyProtection="1">
      <protection hidden="1"/>
    </xf>
    <xf numFmtId="0" fontId="12" fillId="0" borderId="0" xfId="0" applyFont="1" applyProtection="1">
      <protection hidden="1"/>
    </xf>
    <xf numFmtId="9" fontId="3" fillId="10" borderId="3" xfId="2" applyFont="1" applyFill="1" applyBorder="1" applyAlignment="1" applyProtection="1">
      <alignment horizontal="center"/>
      <protection locked="0"/>
    </xf>
    <xf numFmtId="0" fontId="7" fillId="6" borderId="3" xfId="0" applyFont="1" applyFill="1" applyBorder="1" applyAlignment="1" applyProtection="1">
      <alignment horizontal="right" vertical="top"/>
      <protection hidden="1"/>
    </xf>
    <xf numFmtId="2" fontId="6" fillId="4" borderId="1" xfId="0" applyNumberFormat="1" applyFont="1" applyFill="1" applyBorder="1" applyAlignment="1" applyProtection="1">
      <alignment horizontal="center" vertical="top"/>
      <protection hidden="1"/>
    </xf>
    <xf numFmtId="0" fontId="6" fillId="0" borderId="3" xfId="0" applyFont="1" applyBorder="1" applyAlignment="1" applyProtection="1">
      <alignment wrapText="1"/>
      <protection hidden="1"/>
    </xf>
    <xf numFmtId="0" fontId="6" fillId="5" borderId="3" xfId="0" applyFont="1" applyFill="1" applyBorder="1" applyAlignment="1" applyProtection="1">
      <alignment horizontal="center" vertical="top"/>
      <protection locked="0"/>
    </xf>
    <xf numFmtId="0" fontId="6" fillId="5" borderId="3" xfId="0" applyFont="1" applyFill="1" applyBorder="1" applyAlignment="1" applyProtection="1">
      <alignment horizontal="center" vertical="top"/>
      <protection hidden="1"/>
    </xf>
    <xf numFmtId="0" fontId="6" fillId="5" borderId="3" xfId="0" applyFont="1" applyFill="1" applyBorder="1" applyAlignment="1" applyProtection="1">
      <alignment horizontal="center" vertical="top" wrapText="1"/>
      <protection locked="0"/>
    </xf>
    <xf numFmtId="0" fontId="6" fillId="2" borderId="3" xfId="0" applyFont="1" applyFill="1" applyBorder="1" applyAlignment="1" applyProtection="1">
      <alignment horizontal="right" wrapText="1"/>
      <protection hidden="1"/>
    </xf>
    <xf numFmtId="0" fontId="6" fillId="2" borderId="3" xfId="0" applyFont="1" applyFill="1" applyBorder="1" applyAlignment="1" applyProtection="1">
      <alignment horizontal="right"/>
      <protection hidden="1"/>
    </xf>
    <xf numFmtId="0" fontId="7" fillId="6" borderId="3" xfId="0" applyFont="1" applyFill="1" applyBorder="1" applyAlignment="1" applyProtection="1">
      <alignment horizontal="right"/>
      <protection hidden="1"/>
    </xf>
    <xf numFmtId="0" fontId="7" fillId="6" borderId="3" xfId="0" applyFont="1" applyFill="1" applyBorder="1" applyAlignment="1" applyProtection="1">
      <alignment horizontal="right" wrapText="1"/>
      <protection hidden="1"/>
    </xf>
    <xf numFmtId="0" fontId="7" fillId="6" borderId="3" xfId="0" applyFont="1" applyFill="1" applyBorder="1" applyAlignment="1" applyProtection="1">
      <alignment horizontal="center" wrapText="1"/>
      <protection hidden="1"/>
    </xf>
    <xf numFmtId="2" fontId="3" fillId="3" borderId="1" xfId="2" applyNumberFormat="1" applyFont="1" applyFill="1" applyBorder="1" applyAlignment="1" applyProtection="1">
      <alignment horizontal="center"/>
      <protection locked="0"/>
    </xf>
    <xf numFmtId="2" fontId="6" fillId="3" borderId="1" xfId="2" applyNumberFormat="1" applyFont="1" applyFill="1" applyBorder="1" applyAlignment="1" applyProtection="1">
      <alignment horizontal="center"/>
      <protection locked="0"/>
    </xf>
    <xf numFmtId="2" fontId="6" fillId="4" borderId="1" xfId="0" applyNumberFormat="1" applyFont="1" applyFill="1" applyBorder="1" applyAlignment="1" applyProtection="1">
      <alignment horizontal="center"/>
      <protection hidden="1"/>
    </xf>
    <xf numFmtId="2" fontId="3" fillId="4" borderId="19" xfId="0" applyNumberFormat="1" applyFont="1" applyFill="1" applyBorder="1" applyAlignment="1" applyProtection="1">
      <alignment horizontal="center" vertical="top"/>
      <protection hidden="1"/>
    </xf>
    <xf numFmtId="0" fontId="7" fillId="4" borderId="9" xfId="0" applyFont="1" applyFill="1" applyBorder="1" applyAlignment="1" applyProtection="1">
      <alignment horizontal="center" vertical="top"/>
      <protection hidden="1"/>
    </xf>
    <xf numFmtId="0" fontId="7" fillId="4" borderId="19" xfId="0" applyFont="1" applyFill="1" applyBorder="1" applyAlignment="1" applyProtection="1">
      <alignment horizontal="center" vertical="top"/>
      <protection hidden="1"/>
    </xf>
    <xf numFmtId="0" fontId="7" fillId="8" borderId="10" xfId="0" applyFont="1" applyFill="1" applyBorder="1" applyAlignment="1" applyProtection="1">
      <alignment horizontal="right" vertical="top"/>
      <protection hidden="1"/>
    </xf>
    <xf numFmtId="0" fontId="6" fillId="3" borderId="11" xfId="0" applyFont="1" applyFill="1" applyBorder="1" applyAlignment="1" applyProtection="1">
      <alignment horizontal="center" vertical="top"/>
      <protection locked="0"/>
    </xf>
    <xf numFmtId="0" fontId="6" fillId="5" borderId="11" xfId="0" applyFont="1" applyFill="1" applyBorder="1" applyAlignment="1" applyProtection="1">
      <alignment horizontal="center" vertical="top"/>
      <protection locked="0"/>
    </xf>
    <xf numFmtId="0" fontId="2" fillId="8" borderId="10" xfId="0" applyFont="1" applyFill="1" applyBorder="1" applyAlignment="1" applyProtection="1">
      <alignment horizontal="right" vertical="top"/>
      <protection hidden="1"/>
    </xf>
    <xf numFmtId="0" fontId="6" fillId="5" borderId="13" xfId="0" applyFont="1" applyFill="1" applyBorder="1" applyAlignment="1" applyProtection="1">
      <alignment horizontal="center" vertical="top"/>
      <protection locked="0"/>
    </xf>
    <xf numFmtId="0" fontId="6" fillId="5" borderId="14" xfId="0" applyFont="1" applyFill="1" applyBorder="1" applyAlignment="1" applyProtection="1">
      <alignment horizontal="center" vertical="top"/>
      <protection locked="0"/>
    </xf>
    <xf numFmtId="0" fontId="6" fillId="3" borderId="11" xfId="0" applyFont="1" applyFill="1" applyBorder="1" applyAlignment="1" applyProtection="1">
      <alignment horizontal="center" vertical="top"/>
      <protection hidden="1"/>
    </xf>
    <xf numFmtId="0" fontId="6" fillId="5" borderId="11" xfId="0" applyFont="1" applyFill="1" applyBorder="1" applyAlignment="1" applyProtection="1">
      <alignment horizontal="center" vertical="top"/>
      <protection hidden="1"/>
    </xf>
    <xf numFmtId="0" fontId="6" fillId="5" borderId="13" xfId="0" applyFont="1" applyFill="1" applyBorder="1" applyAlignment="1" applyProtection="1">
      <alignment horizontal="center" vertical="top"/>
      <protection hidden="1"/>
    </xf>
    <xf numFmtId="0" fontId="6" fillId="5" borderId="14" xfId="0" applyFont="1" applyFill="1" applyBorder="1" applyAlignment="1" applyProtection="1">
      <alignment horizontal="center" vertical="top"/>
      <protection hidden="1"/>
    </xf>
    <xf numFmtId="0" fontId="7" fillId="8" borderId="8" xfId="0" applyFont="1" applyFill="1" applyBorder="1" applyAlignment="1" applyProtection="1">
      <alignment horizontal="right" vertical="top"/>
      <protection hidden="1"/>
    </xf>
    <xf numFmtId="0" fontId="7" fillId="8" borderId="12" xfId="0" applyFont="1" applyFill="1" applyBorder="1" applyAlignment="1" applyProtection="1">
      <alignment horizontal="right" vertical="top"/>
      <protection hidden="1"/>
    </xf>
    <xf numFmtId="0" fontId="6" fillId="3" borderId="14" xfId="0" applyFont="1" applyFill="1" applyBorder="1" applyAlignment="1" applyProtection="1">
      <alignment horizontal="left" vertical="top"/>
      <protection locked="0"/>
    </xf>
    <xf numFmtId="0" fontId="6" fillId="3" borderId="19" xfId="0" applyFont="1" applyFill="1" applyBorder="1" applyAlignment="1" applyProtection="1">
      <alignment horizontal="left" vertical="top"/>
      <protection locked="0"/>
    </xf>
    <xf numFmtId="0" fontId="6" fillId="3" borderId="11" xfId="0" applyFont="1" applyFill="1" applyBorder="1" applyAlignment="1" applyProtection="1">
      <alignment horizontal="left" vertical="top"/>
      <protection locked="0"/>
    </xf>
    <xf numFmtId="0" fontId="6" fillId="5" borderId="11" xfId="0" applyFont="1" applyFill="1" applyBorder="1" applyAlignment="1" applyProtection="1">
      <alignment horizontal="left" vertical="top"/>
      <protection locked="0"/>
    </xf>
    <xf numFmtId="0" fontId="2" fillId="8" borderId="12" xfId="0" applyFont="1" applyFill="1" applyBorder="1" applyAlignment="1" applyProtection="1">
      <alignment horizontal="right" vertical="top"/>
      <protection hidden="1"/>
    </xf>
    <xf numFmtId="0" fontId="6" fillId="3" borderId="19" xfId="0" applyFont="1" applyFill="1" applyBorder="1" applyAlignment="1" applyProtection="1">
      <alignment horizontal="left" vertical="top"/>
      <protection hidden="1"/>
    </xf>
    <xf numFmtId="0" fontId="6" fillId="3" borderId="14" xfId="0" applyFont="1" applyFill="1" applyBorder="1" applyAlignment="1" applyProtection="1">
      <alignment horizontal="left" vertical="top"/>
      <protection hidden="1"/>
    </xf>
    <xf numFmtId="0" fontId="6" fillId="3" borderId="11" xfId="0" applyFont="1" applyFill="1" applyBorder="1" applyAlignment="1" applyProtection="1">
      <alignment horizontal="left" vertical="top"/>
      <protection hidden="1"/>
    </xf>
    <xf numFmtId="0" fontId="7" fillId="2" borderId="8" xfId="0" applyFont="1" applyFill="1" applyBorder="1" applyAlignment="1" applyProtection="1">
      <alignment horizontal="center" vertical="top" wrapText="1"/>
      <protection hidden="1"/>
    </xf>
    <xf numFmtId="0" fontId="7" fillId="8" borderId="9" xfId="0" applyFont="1" applyFill="1" applyBorder="1" applyAlignment="1" applyProtection="1">
      <alignment horizontal="center" vertical="top" wrapText="1"/>
      <protection hidden="1"/>
    </xf>
    <xf numFmtId="0" fontId="2" fillId="8" borderId="9" xfId="0" applyFont="1" applyFill="1" applyBorder="1" applyAlignment="1" applyProtection="1">
      <alignment horizontal="center" vertical="top" wrapText="1"/>
      <protection hidden="1"/>
    </xf>
    <xf numFmtId="0" fontId="2" fillId="8" borderId="19" xfId="0" applyFont="1" applyFill="1" applyBorder="1" applyAlignment="1" applyProtection="1">
      <alignment horizontal="center" vertical="top" wrapText="1"/>
      <protection hidden="1"/>
    </xf>
    <xf numFmtId="0" fontId="6" fillId="2" borderId="10" xfId="0" applyFont="1" applyFill="1" applyBorder="1" applyAlignment="1" applyProtection="1">
      <alignment horizontal="center" vertical="top" wrapText="1"/>
      <protection hidden="1"/>
    </xf>
    <xf numFmtId="0" fontId="6" fillId="5" borderId="11" xfId="0" applyFont="1" applyFill="1" applyBorder="1" applyAlignment="1" applyProtection="1">
      <alignment horizontal="center" vertical="top" wrapText="1"/>
      <protection locked="0"/>
    </xf>
    <xf numFmtId="0" fontId="6" fillId="2" borderId="10" xfId="0" applyFont="1" applyFill="1" applyBorder="1" applyAlignment="1" applyProtection="1">
      <alignment horizontal="center" vertical="top"/>
      <protection hidden="1"/>
    </xf>
    <xf numFmtId="0" fontId="2" fillId="6" borderId="11" xfId="0" applyFont="1" applyFill="1" applyBorder="1" applyAlignment="1" applyProtection="1">
      <alignment horizontal="center" vertical="top" wrapText="1"/>
      <protection hidden="1"/>
    </xf>
    <xf numFmtId="0" fontId="7" fillId="6" borderId="11" xfId="0" applyFont="1" applyFill="1" applyBorder="1" applyAlignment="1" applyProtection="1">
      <alignment horizontal="center" vertical="top" wrapText="1"/>
      <protection hidden="1"/>
    </xf>
    <xf numFmtId="0" fontId="7" fillId="4" borderId="10" xfId="0" applyFont="1" applyFill="1" applyBorder="1" applyAlignment="1" applyProtection="1">
      <alignment horizontal="center" vertical="top"/>
      <protection hidden="1"/>
    </xf>
    <xf numFmtId="2" fontId="6" fillId="4" borderId="11" xfId="0" applyNumberFormat="1" applyFont="1" applyFill="1" applyBorder="1" applyAlignment="1" applyProtection="1">
      <alignment horizontal="center" vertical="top"/>
      <protection hidden="1"/>
    </xf>
    <xf numFmtId="0" fontId="7" fillId="4" borderId="30" xfId="0" applyFont="1" applyFill="1" applyBorder="1" applyAlignment="1" applyProtection="1">
      <alignment horizontal="center" vertical="top"/>
      <protection hidden="1"/>
    </xf>
    <xf numFmtId="2" fontId="6" fillId="4" borderId="32" xfId="0" applyNumberFormat="1" applyFont="1" applyFill="1" applyBorder="1" applyAlignment="1" applyProtection="1">
      <alignment horizontal="center" vertical="top"/>
      <protection hidden="1"/>
    </xf>
    <xf numFmtId="0" fontId="7" fillId="0" borderId="33" xfId="0" applyFont="1" applyBorder="1" applyAlignment="1" applyProtection="1">
      <alignment horizontal="center" vertical="top"/>
      <protection hidden="1"/>
    </xf>
    <xf numFmtId="0" fontId="14" fillId="0" borderId="3" xfId="0" applyFont="1" applyBorder="1"/>
    <xf numFmtId="0" fontId="1" fillId="0" borderId="0" xfId="0" applyFont="1"/>
    <xf numFmtId="0" fontId="1" fillId="0" borderId="3" xfId="0" applyFont="1" applyBorder="1"/>
    <xf numFmtId="0" fontId="6" fillId="3" borderId="6" xfId="0" quotePrefix="1" applyFont="1" applyFill="1" applyBorder="1" applyAlignment="1" applyProtection="1">
      <alignment horizontal="left" vertical="top"/>
      <protection locked="0"/>
    </xf>
    <xf numFmtId="0" fontId="6" fillId="3" borderId="22" xfId="0" quotePrefix="1" applyFont="1" applyFill="1" applyBorder="1" applyAlignment="1" applyProtection="1">
      <alignment horizontal="left" vertical="top"/>
      <protection locked="0"/>
    </xf>
    <xf numFmtId="0" fontId="6" fillId="3" borderId="20" xfId="0" applyFont="1" applyFill="1" applyBorder="1" applyAlignment="1" applyProtection="1">
      <alignment horizontal="left" vertical="top"/>
      <protection locked="0"/>
    </xf>
    <xf numFmtId="0" fontId="6" fillId="3" borderId="21" xfId="0" applyFont="1" applyFill="1" applyBorder="1" applyAlignment="1" applyProtection="1">
      <alignment horizontal="left" vertical="top"/>
      <protection locked="0"/>
    </xf>
    <xf numFmtId="0" fontId="7" fillId="8" borderId="26" xfId="0" applyFont="1" applyFill="1" applyBorder="1" applyAlignment="1" applyProtection="1">
      <alignment horizontal="right" vertical="top"/>
      <protection hidden="1"/>
    </xf>
    <xf numFmtId="0" fontId="7" fillId="8" borderId="27" xfId="0" applyFont="1" applyFill="1" applyBorder="1" applyAlignment="1" applyProtection="1">
      <alignment horizontal="right" vertical="top"/>
      <protection hidden="1"/>
    </xf>
    <xf numFmtId="0" fontId="2" fillId="8" borderId="23" xfId="0" applyFont="1" applyFill="1" applyBorder="1" applyAlignment="1" applyProtection="1">
      <alignment horizontal="right" vertical="top" wrapText="1"/>
      <protection hidden="1"/>
    </xf>
    <xf numFmtId="0" fontId="2" fillId="8" borderId="7" xfId="0" applyFont="1" applyFill="1" applyBorder="1" applyAlignment="1" applyProtection="1">
      <alignment horizontal="right" vertical="top" wrapText="1"/>
      <protection hidden="1"/>
    </xf>
    <xf numFmtId="0" fontId="7" fillId="8" borderId="10" xfId="0" applyFont="1" applyFill="1" applyBorder="1" applyAlignment="1" applyProtection="1">
      <alignment horizontal="right" vertical="top"/>
      <protection hidden="1"/>
    </xf>
    <xf numFmtId="0" fontId="7" fillId="8" borderId="3" xfId="0" applyFont="1" applyFill="1" applyBorder="1" applyAlignment="1" applyProtection="1">
      <alignment horizontal="right" vertical="top"/>
      <protection hidden="1"/>
    </xf>
    <xf numFmtId="0" fontId="7" fillId="8" borderId="12" xfId="0" applyFont="1" applyFill="1" applyBorder="1" applyAlignment="1" applyProtection="1">
      <alignment horizontal="right" vertical="top"/>
      <protection hidden="1"/>
    </xf>
    <xf numFmtId="0" fontId="7" fillId="8" borderId="13" xfId="0" applyFont="1" applyFill="1" applyBorder="1" applyAlignment="1" applyProtection="1">
      <alignment horizontal="right" vertical="top"/>
      <protection hidden="1"/>
    </xf>
    <xf numFmtId="0" fontId="6" fillId="3" borderId="6" xfId="0" applyFont="1" applyFill="1" applyBorder="1" applyAlignment="1" applyProtection="1">
      <alignment horizontal="left" vertical="top"/>
      <protection locked="0"/>
    </xf>
    <xf numFmtId="0" fontId="6" fillId="3" borderId="22" xfId="0" applyFont="1" applyFill="1" applyBorder="1" applyAlignment="1" applyProtection="1">
      <alignment horizontal="left" vertical="top"/>
      <protection locked="0"/>
    </xf>
    <xf numFmtId="0" fontId="6" fillId="3" borderId="13" xfId="0" applyFont="1" applyFill="1" applyBorder="1" applyAlignment="1" applyProtection="1">
      <alignment horizontal="left" vertical="top"/>
      <protection locked="0"/>
    </xf>
    <xf numFmtId="0" fontId="6" fillId="3" borderId="14" xfId="0" applyFont="1" applyFill="1" applyBorder="1" applyAlignment="1" applyProtection="1">
      <alignment horizontal="left" vertical="top"/>
      <protection locked="0"/>
    </xf>
    <xf numFmtId="0" fontId="7" fillId="6" borderId="12" xfId="0" applyFont="1" applyFill="1" applyBorder="1" applyAlignment="1" applyProtection="1">
      <alignment horizontal="right" vertical="top"/>
      <protection hidden="1"/>
    </xf>
    <xf numFmtId="0" fontId="7" fillId="6" borderId="13" xfId="0" applyFont="1" applyFill="1" applyBorder="1" applyAlignment="1" applyProtection="1">
      <alignment horizontal="right" vertical="top"/>
      <protection hidden="1"/>
    </xf>
    <xf numFmtId="0" fontId="7" fillId="6" borderId="10" xfId="0" applyFont="1" applyFill="1" applyBorder="1" applyAlignment="1" applyProtection="1">
      <alignment horizontal="right" vertical="top"/>
      <protection hidden="1"/>
    </xf>
    <xf numFmtId="0" fontId="7" fillId="6" borderId="3" xfId="0" applyFont="1" applyFill="1" applyBorder="1" applyAlignment="1" applyProtection="1">
      <alignment horizontal="right" vertical="top"/>
      <protection hidden="1"/>
    </xf>
    <xf numFmtId="0" fontId="7" fillId="6" borderId="8" xfId="0" applyFont="1" applyFill="1" applyBorder="1" applyAlignment="1" applyProtection="1">
      <alignment horizontal="right" vertical="top"/>
      <protection hidden="1"/>
    </xf>
    <xf numFmtId="0" fontId="7" fillId="6" borderId="9" xfId="0" applyFont="1" applyFill="1" applyBorder="1" applyAlignment="1" applyProtection="1">
      <alignment horizontal="right" vertical="top"/>
      <protection hidden="1"/>
    </xf>
    <xf numFmtId="0" fontId="2" fillId="8" borderId="10" xfId="0" applyFont="1" applyFill="1" applyBorder="1" applyAlignment="1" applyProtection="1">
      <alignment horizontal="right" vertical="top"/>
      <protection hidden="1"/>
    </xf>
    <xf numFmtId="0" fontId="2" fillId="8" borderId="3" xfId="0" applyFont="1" applyFill="1" applyBorder="1" applyAlignment="1" applyProtection="1">
      <alignment horizontal="right" vertical="top"/>
      <protection hidden="1"/>
    </xf>
    <xf numFmtId="0" fontId="2" fillId="7" borderId="10" xfId="0" applyFont="1" applyFill="1" applyBorder="1" applyAlignment="1" applyProtection="1">
      <alignment horizontal="right" vertical="top"/>
      <protection hidden="1"/>
    </xf>
    <xf numFmtId="0" fontId="2" fillId="7" borderId="3" xfId="0" applyFont="1" applyFill="1" applyBorder="1" applyAlignment="1" applyProtection="1">
      <alignment horizontal="right" vertical="top"/>
      <protection hidden="1"/>
    </xf>
    <xf numFmtId="0" fontId="2" fillId="7" borderId="12" xfId="0" applyFont="1" applyFill="1" applyBorder="1" applyAlignment="1" applyProtection="1">
      <alignment horizontal="right" vertical="top"/>
      <protection hidden="1"/>
    </xf>
    <xf numFmtId="0" fontId="2" fillId="7" borderId="13" xfId="0" applyFont="1" applyFill="1" applyBorder="1" applyAlignment="1" applyProtection="1">
      <alignment horizontal="right" vertical="top"/>
      <protection hidden="1"/>
    </xf>
    <xf numFmtId="0" fontId="7" fillId="8" borderId="8" xfId="0" applyFont="1" applyFill="1" applyBorder="1" applyAlignment="1" applyProtection="1">
      <alignment horizontal="right" vertical="top"/>
      <protection hidden="1"/>
    </xf>
    <xf numFmtId="0" fontId="7" fillId="8" borderId="9" xfId="0" applyFont="1" applyFill="1" applyBorder="1" applyAlignment="1" applyProtection="1">
      <alignment horizontal="right" vertical="top"/>
      <protection hidden="1"/>
    </xf>
    <xf numFmtId="0" fontId="7" fillId="8" borderId="23" xfId="0" applyFont="1" applyFill="1" applyBorder="1" applyAlignment="1" applyProtection="1">
      <alignment horizontal="right" vertical="top"/>
      <protection hidden="1"/>
    </xf>
    <xf numFmtId="0" fontId="7" fillId="8" borderId="7" xfId="0" applyFont="1" applyFill="1" applyBorder="1" applyAlignment="1" applyProtection="1">
      <alignment horizontal="right" vertical="top"/>
      <protection hidden="1"/>
    </xf>
    <xf numFmtId="0" fontId="7" fillId="6" borderId="30" xfId="0" applyFont="1" applyFill="1" applyBorder="1" applyAlignment="1" applyProtection="1">
      <alignment horizontal="center" vertical="top" wrapText="1"/>
      <protection hidden="1"/>
    </xf>
    <xf numFmtId="0" fontId="7" fillId="6" borderId="31" xfId="0" applyFont="1" applyFill="1" applyBorder="1" applyAlignment="1" applyProtection="1">
      <alignment horizontal="center" vertical="top" wrapText="1"/>
      <protection hidden="1"/>
    </xf>
    <xf numFmtId="0" fontId="7" fillId="8" borderId="28" xfId="0" applyFont="1" applyFill="1" applyBorder="1" applyAlignment="1" applyProtection="1">
      <alignment horizontal="right" vertical="top"/>
      <protection hidden="1"/>
    </xf>
    <xf numFmtId="0" fontId="7" fillId="8" borderId="29" xfId="0" applyFont="1" applyFill="1" applyBorder="1" applyAlignment="1" applyProtection="1">
      <alignment horizontal="right" vertical="top"/>
      <protection hidden="1"/>
    </xf>
    <xf numFmtId="0" fontId="6" fillId="3" borderId="20" xfId="0" applyFont="1" applyFill="1" applyBorder="1" applyAlignment="1" applyProtection="1">
      <alignment horizontal="left" vertical="top"/>
      <protection hidden="1"/>
    </xf>
    <xf numFmtId="0" fontId="6" fillId="3" borderId="21" xfId="0" applyFont="1" applyFill="1" applyBorder="1" applyAlignment="1" applyProtection="1">
      <alignment horizontal="left" vertical="top"/>
      <protection hidden="1"/>
    </xf>
    <xf numFmtId="0" fontId="6" fillId="3" borderId="6" xfId="0" quotePrefix="1" applyFont="1" applyFill="1" applyBorder="1" applyAlignment="1" applyProtection="1">
      <alignment horizontal="left" vertical="top"/>
      <protection hidden="1"/>
    </xf>
    <xf numFmtId="0" fontId="6" fillId="3" borderId="22" xfId="0" quotePrefix="1" applyFont="1" applyFill="1" applyBorder="1" applyAlignment="1" applyProtection="1">
      <alignment horizontal="left" vertical="top"/>
      <protection hidden="1"/>
    </xf>
    <xf numFmtId="0" fontId="6" fillId="3" borderId="6" xfId="0" applyFont="1" applyFill="1" applyBorder="1" applyAlignment="1" applyProtection="1">
      <alignment horizontal="left" vertical="top"/>
      <protection hidden="1"/>
    </xf>
    <xf numFmtId="0" fontId="6" fillId="3" borderId="22" xfId="0" applyFont="1" applyFill="1" applyBorder="1" applyAlignment="1" applyProtection="1">
      <alignment horizontal="left" vertical="top"/>
      <protection hidden="1"/>
    </xf>
    <xf numFmtId="0" fontId="6" fillId="3" borderId="24" xfId="0" applyFont="1" applyFill="1" applyBorder="1" applyAlignment="1" applyProtection="1">
      <alignment horizontal="left" vertical="top"/>
      <protection hidden="1"/>
    </xf>
    <xf numFmtId="0" fontId="6" fillId="3" borderId="25" xfId="0" applyFont="1" applyFill="1" applyBorder="1" applyAlignment="1" applyProtection="1">
      <alignment horizontal="left" vertical="top"/>
      <protection hidden="1"/>
    </xf>
    <xf numFmtId="0" fontId="3" fillId="6" borderId="3" xfId="1" applyFill="1" applyBorder="1" applyAlignment="1" applyProtection="1">
      <alignment horizontal="center" wrapText="1"/>
      <protection hidden="1"/>
    </xf>
    <xf numFmtId="0" fontId="3" fillId="6" borderId="3" xfId="1" applyFill="1" applyBorder="1" applyAlignment="1" applyProtection="1">
      <alignment vertical="top" wrapText="1"/>
      <protection hidden="1"/>
    </xf>
    <xf numFmtId="0" fontId="9" fillId="6" borderId="3" xfId="1" applyFont="1" applyFill="1" applyBorder="1" applyAlignment="1" applyProtection="1">
      <alignment horizontal="right"/>
      <protection hidden="1"/>
    </xf>
    <xf numFmtId="0" fontId="14" fillId="0" borderId="6" xfId="0" applyFont="1" applyBorder="1" applyAlignment="1">
      <alignment horizontal="right"/>
    </xf>
    <xf numFmtId="0" fontId="14" fillId="0" borderId="34" xfId="0" applyFont="1" applyBorder="1" applyAlignment="1">
      <alignment horizontal="right"/>
    </xf>
    <xf numFmtId="0" fontId="14" fillId="0" borderId="7" xfId="0" applyFont="1" applyBorder="1" applyAlignment="1">
      <alignment horizontal="right"/>
    </xf>
  </cellXfs>
  <cellStyles count="3">
    <cellStyle name="Normal" xfId="0" builtinId="0"/>
    <cellStyle name="Normal 2" xfId="1" xr:uid="{00000000-0005-0000-0000-000001000000}"/>
    <cellStyle name="Per cent" xfId="2" builtinId="5"/>
  </cellStyles>
  <dxfs count="44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Burn, Bryan" id="{0D71960E-526C-4FC7-8282-382EEBFA0C6F}"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40" dataDxfId="438" headerRowBorderDxfId="439" tableBorderDxfId="437" totalsRowBorderDxfId="436">
  <autoFilter ref="AI1:AN26" xr:uid="{F8B5EC87-3095-445A-A980-2CFAA0A7B9A2}"/>
  <sortState xmlns:xlrd2="http://schemas.microsoft.com/office/spreadsheetml/2017/richdata2" ref="AI2:AL25">
    <sortCondition ref="AL1:AL25"/>
  </sortState>
  <tableColumns count="6">
    <tableColumn id="1" xr3:uid="{360F44E4-7249-415F-8D5E-41D249F9A162}" name="Crop" dataDxfId="435"/>
    <tableColumn id="2" xr3:uid="{55E07717-B4EC-4E8A-B9A9-34F3CF85E32D}" name="P Offtake" dataDxfId="434"/>
    <tableColumn id="3" xr3:uid="{7B25FA52-8104-4FE3-AED4-B53CBFDF89B2}" name="K Offtake" dataDxfId="433"/>
    <tableColumn id="4" xr3:uid="{0DBAE461-2D09-43C8-9342-3980D552AE4D}" name="Order" dataDxfId="432"/>
    <tableColumn id="5" xr3:uid="{52CACE7B-0CBA-46FC-9F24-02CBD6100239}" name="Lime pH requirement" dataDxfId="431"/>
    <tableColumn id="6" xr3:uid="{F1432630-9B16-4266-8147-CE754A715307}" name="Column1" dataDxfId="4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429" dataDxfId="427" headerRowBorderDxfId="428" tableBorderDxfId="426" totalsRowBorderDxfId="425">
  <autoFilter ref="AI1:AN26" xr:uid="{F8B5EC87-3095-445A-A980-2CFAA0A7B9A2}"/>
  <sortState xmlns:xlrd2="http://schemas.microsoft.com/office/spreadsheetml/2017/richdata2" ref="AI2:AL25">
    <sortCondition ref="AL1:AL25"/>
  </sortState>
  <tableColumns count="6">
    <tableColumn id="1" xr3:uid="{7E96A84B-948F-445F-BD6E-30CC8E6E6DD1}" name="Crop" dataDxfId="424"/>
    <tableColumn id="2" xr3:uid="{12657DDB-F680-47DE-ABB1-8675D5F91E41}" name="P Offtake" dataDxfId="423"/>
    <tableColumn id="3" xr3:uid="{DEB99109-D325-4F98-8A71-E70C03433437}" name="K Offtake" dataDxfId="422"/>
    <tableColumn id="4" xr3:uid="{E96A561F-7E7F-4FB3-97AA-0B35D8C8E93A}" name="Order" dataDxfId="421"/>
    <tableColumn id="5" xr3:uid="{181DD475-0A71-4C52-AF1A-8BFF46F5A827}" name="Lime pH requirement" dataDxfId="420"/>
    <tableColumn id="6" xr3:uid="{AC3FA7E8-D76B-43A3-B715-04446DFF63C6}" name="Column1" dataDxfId="41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418" dataDxfId="416" headerRowBorderDxfId="417" tableBorderDxfId="415" totalsRowBorderDxfId="414">
  <autoFilter ref="AI1:AN26" xr:uid="{F8B5EC87-3095-445A-A980-2CFAA0A7B9A2}"/>
  <sortState xmlns:xlrd2="http://schemas.microsoft.com/office/spreadsheetml/2017/richdata2" ref="AI2:AL25">
    <sortCondition ref="AL1:AL25"/>
  </sortState>
  <tableColumns count="6">
    <tableColumn id="1" xr3:uid="{06008BA1-A1E9-4286-B67A-352533C06A26}" name="Crop" dataDxfId="413"/>
    <tableColumn id="2" xr3:uid="{2AEB5EEB-C9D1-41DC-913E-953A33D1A4AF}" name="P Offtake" dataDxfId="412"/>
    <tableColumn id="3" xr3:uid="{8FA16A0B-1017-4CEE-862E-0A8CBD8EB3D3}" name="K Offtake" dataDxfId="411"/>
    <tableColumn id="4" xr3:uid="{E7A3B8CD-4036-47F4-B818-C3F22E80C749}" name="Order" dataDxfId="410"/>
    <tableColumn id="5" xr3:uid="{8F3EBD84-7904-4559-9B5C-63088B792C98}" name="Lime pH requirement" dataDxfId="409"/>
    <tableColumn id="6" xr3:uid="{A21DD95A-C955-4510-9114-E3F1CB645370}" name="Column1" dataDxfId="40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407" dataDxfId="405" headerRowBorderDxfId="406" tableBorderDxfId="404" totalsRowBorderDxfId="403">
  <autoFilter ref="AI1:AN26" xr:uid="{F8B5EC87-3095-445A-A980-2CFAA0A7B9A2}"/>
  <sortState xmlns:xlrd2="http://schemas.microsoft.com/office/spreadsheetml/2017/richdata2" ref="AI2:AL25">
    <sortCondition ref="AL1:AL25"/>
  </sortState>
  <tableColumns count="6">
    <tableColumn id="1" xr3:uid="{11579FCC-3D9F-49AD-888D-5D79B801F6AE}" name="Crop" dataDxfId="402"/>
    <tableColumn id="2" xr3:uid="{05C08116-56D5-4CC6-A649-B06AF891B931}" name="P Offtake" dataDxfId="401"/>
    <tableColumn id="3" xr3:uid="{59CDE959-192B-4757-9203-A0F691CF0F96}" name="K Offtake" dataDxfId="400"/>
    <tableColumn id="4" xr3:uid="{9FB8E4F7-B91F-4CE0-AF39-D4895D0ECF2F}" name="Order" dataDxfId="399"/>
    <tableColumn id="5" xr3:uid="{688FF2A4-D7C6-4425-A915-A9ADD700A9EE}" name="Lime pH requirement" dataDxfId="398"/>
    <tableColumn id="6" xr3:uid="{05FC5CFF-3D81-4B5F-87C7-2364076F2714}" name="Column1" dataDxfId="39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96" dataDxfId="394" headerRowBorderDxfId="395" tableBorderDxfId="393" totalsRowBorderDxfId="392">
  <autoFilter ref="AI1:AN26" xr:uid="{F8B5EC87-3095-445A-A980-2CFAA0A7B9A2}"/>
  <sortState xmlns:xlrd2="http://schemas.microsoft.com/office/spreadsheetml/2017/richdata2" ref="AI2:AL25">
    <sortCondition ref="AL1:AL25"/>
  </sortState>
  <tableColumns count="6">
    <tableColumn id="1" xr3:uid="{973D7FFB-D248-4199-9B2E-B3C6CC09D382}" name="Crop" dataDxfId="391"/>
    <tableColumn id="2" xr3:uid="{7F2A3986-EC86-4CF9-BD10-791170BA6682}" name="P Offtake" dataDxfId="390"/>
    <tableColumn id="3" xr3:uid="{D6129C35-9DC6-42E5-AE3F-EA3A083168E6}" name="K Offtake" dataDxfId="389"/>
    <tableColumn id="4" xr3:uid="{C1CC42B5-564A-4DE7-B817-B7D686FE9A11}" name="Order" dataDxfId="388"/>
    <tableColumn id="5" xr3:uid="{620F3ABD-564C-411A-8DEA-CE1A34F9FC36}" name="Lime pH requirement" dataDxfId="387"/>
    <tableColumn id="6" xr3:uid="{76C9BC4F-4FF3-4AFB-8E7B-16DC0CC3E97C}" name="Column1" dataDxfId="3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85" dataDxfId="383" headerRowBorderDxfId="384" tableBorderDxfId="382" totalsRowBorderDxfId="381">
  <autoFilter ref="AI1:AN26" xr:uid="{F8B5EC87-3095-445A-A980-2CFAA0A7B9A2}"/>
  <sortState xmlns:xlrd2="http://schemas.microsoft.com/office/spreadsheetml/2017/richdata2" ref="AI2:AL25">
    <sortCondition ref="AL1:AL25"/>
  </sortState>
  <tableColumns count="6">
    <tableColumn id="1" xr3:uid="{D13A12FC-EAE6-4280-A219-C2622262E5F4}" name="Crop" dataDxfId="380"/>
    <tableColumn id="2" xr3:uid="{FD06C4A3-4B75-490D-88CF-232C7DC3EFC6}" name="P Offtake" dataDxfId="379"/>
    <tableColumn id="3" xr3:uid="{B043BEFF-10D4-4840-989B-BB13A502ECDF}" name="K Offtake" dataDxfId="378"/>
    <tableColumn id="4" xr3:uid="{48481FDC-5D20-466C-B554-D45886EA366A}" name="Order" dataDxfId="377"/>
    <tableColumn id="5" xr3:uid="{9E0852D2-9D0D-44AB-98B7-FBA51F331ACF}" name="Lime pH requirement" dataDxfId="376"/>
    <tableColumn id="6" xr3:uid="{29F9C4A5-6854-4F37-8BD1-0DD9B6024A55}" name="Column1" dataDxfId="37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74" dataDxfId="372" headerRowBorderDxfId="373" tableBorderDxfId="371" totalsRowBorderDxfId="370">
  <autoFilter ref="AI1:AN26" xr:uid="{F8B5EC87-3095-445A-A980-2CFAA0A7B9A2}"/>
  <sortState xmlns:xlrd2="http://schemas.microsoft.com/office/spreadsheetml/2017/richdata2" ref="AI2:AL25">
    <sortCondition ref="AL1:AL25"/>
  </sortState>
  <tableColumns count="6">
    <tableColumn id="1" xr3:uid="{1B554ED3-7AAF-4192-827C-B071945474B8}" name="Crop" dataDxfId="369"/>
    <tableColumn id="2" xr3:uid="{35F435E0-8D8E-44D1-84BD-C2FF51C3F944}" name="P Offtake" dataDxfId="368"/>
    <tableColumn id="3" xr3:uid="{38465C9D-AA8F-443A-80F5-96D1F6258317}" name="K Offtake" dataDxfId="367"/>
    <tableColumn id="4" xr3:uid="{E0C0E6AF-5628-4BC3-9625-81A87B93D279}" name="Order" dataDxfId="366"/>
    <tableColumn id="5" xr3:uid="{ACDE1D9A-7F94-4404-BDDC-1235C32C758F}" name="Lime pH requirement" dataDxfId="365"/>
    <tableColumn id="6" xr3:uid="{B093C9DF-C4CF-4906-9658-89F446EB9C12}" name="Column1" dataDxfId="3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63" dataDxfId="361" headerRowBorderDxfId="362" tableBorderDxfId="360" totalsRowBorderDxfId="359">
  <autoFilter ref="AI1:AN26" xr:uid="{F8B5EC87-3095-445A-A980-2CFAA0A7B9A2}"/>
  <sortState xmlns:xlrd2="http://schemas.microsoft.com/office/spreadsheetml/2017/richdata2" ref="AI2:AL25">
    <sortCondition ref="AL1:AL25"/>
  </sortState>
  <tableColumns count="6">
    <tableColumn id="1" xr3:uid="{C4B2E6E9-5990-417D-9E04-7933BDF1FC69}" name="Crop" dataDxfId="358"/>
    <tableColumn id="2" xr3:uid="{E74EF8D0-6C68-49B8-AE52-40C276CA5FC9}" name="P Offtake" dataDxfId="357"/>
    <tableColumn id="3" xr3:uid="{9E0A7857-36E3-482D-B4B2-65B90760417F}" name="K Offtake" dataDxfId="356"/>
    <tableColumn id="4" xr3:uid="{A78867D2-7566-4070-AF99-15EE4CEB1699}" name="Order" dataDxfId="355"/>
    <tableColumn id="5" xr3:uid="{240FD5FA-5659-468E-8544-C93086800EC9}" name="Lime pH requirement" dataDxfId="354"/>
    <tableColumn id="6" xr3:uid="{D5C8E9C3-9076-473B-AE62-DA32692BAABC}" name="Column1" dataDxfId="35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52" dataDxfId="350" headerRowBorderDxfId="351" tableBorderDxfId="349" totalsRowBorderDxfId="348">
  <autoFilter ref="AI1:AN26" xr:uid="{F8B5EC87-3095-445A-A980-2CFAA0A7B9A2}"/>
  <sortState xmlns:xlrd2="http://schemas.microsoft.com/office/spreadsheetml/2017/richdata2" ref="AI2:AL25">
    <sortCondition ref="AL1:AL25"/>
  </sortState>
  <tableColumns count="6">
    <tableColumn id="1" xr3:uid="{82F1A1D2-F5AA-4D76-98E8-3C18592FB8CF}" name="Crop" dataDxfId="347"/>
    <tableColumn id="2" xr3:uid="{17F60BEE-3BBA-4198-AA21-518EC4696EB6}" name="P Offtake" dataDxfId="346"/>
    <tableColumn id="3" xr3:uid="{95D820EB-2583-433A-A070-6E8356E186E7}" name="K Offtake" dataDxfId="345"/>
    <tableColumn id="4" xr3:uid="{F3AE1839-F59F-4A70-B11A-A32E3FDD1A00}" name="Order" dataDxfId="344"/>
    <tableColumn id="5" xr3:uid="{C52880C5-B266-4CF0-9A11-778ABC47F9F0}" name="Lime pH requirement" dataDxfId="343"/>
    <tableColumn id="6" xr3:uid="{233F7657-9414-44B1-9E43-A91A69CB97ED}" name="Column1" dataDxfId="3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41" dataDxfId="339" headerRowBorderDxfId="340" tableBorderDxfId="338" totalsRowBorderDxfId="337">
  <autoFilter ref="AI1:AN26" xr:uid="{F8B5EC87-3095-445A-A980-2CFAA0A7B9A2}"/>
  <sortState xmlns:xlrd2="http://schemas.microsoft.com/office/spreadsheetml/2017/richdata2" ref="AI2:AL25">
    <sortCondition ref="AL1:AL25"/>
  </sortState>
  <tableColumns count="6">
    <tableColumn id="1" xr3:uid="{34C99CE0-FFE9-4282-9A7F-89014FFD2010}" name="Crop" dataDxfId="336"/>
    <tableColumn id="2" xr3:uid="{D81725A7-3522-491F-9BAF-35ADAADB5C49}" name="P Offtake" dataDxfId="335"/>
    <tableColumn id="3" xr3:uid="{E1F3CA70-D73E-4B9D-9A9F-F209536EAEFF}" name="K Offtake" dataDxfId="334"/>
    <tableColumn id="4" xr3:uid="{41F03B60-DF58-4AA1-9642-EF87A44AF9EC}" name="Order" dataDxfId="333"/>
    <tableColumn id="5" xr3:uid="{F3D9EC0E-6F67-4466-B24D-F47864B8CBA4}" name="Lime pH requirement" dataDxfId="332"/>
    <tableColumn id="6" xr3:uid="{D49CA6DF-7C49-4445-A0D2-0F2C2FDFB7ED}" name="Column1" dataDxfId="33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FDBA43-608D-4E24-BFA5-808ED5F1775B}" name="Table24562" displayName="Table24562"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86C8D516-488B-4602-8106-A38283F83388}" name="Crop" dataDxfId="325"/>
    <tableColumn id="2" xr3:uid="{3147132D-5889-4619-B750-7B54824B7C55}" name="P Offtake" dataDxfId="324"/>
    <tableColumn id="3" xr3:uid="{C6F7999C-8ED5-4203-9921-220E0E4074AA}" name="K Offtake" dataDxfId="323"/>
    <tableColumn id="4" xr3:uid="{848828E9-76CE-4D61-98B4-04A81C93B83B}" name="Order" dataDxfId="322"/>
    <tableColumn id="5" xr3:uid="{A83B1B17-76D2-494A-AC67-3339C002F11B}" name="Lime pH requirement" dataDxfId="321"/>
    <tableColumn id="6" xr3:uid="{EC09B021-50D7-4964-AC2E-4B181955A3A5}" name="Column1" dataDxfId="32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31" dT="2026-03-24T12:47:23.49" personId="{0D71960E-526C-4FC7-8282-382EEBFA0C6F}" id="{3824C0B2-A29E-49A3-9C05-711F3BE4B7F6}">
    <text>High?</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N28" sqref="N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61" t="s">
        <v>41</v>
      </c>
      <c r="B1" s="162"/>
      <c r="C1" s="135" t="s">
        <v>160</v>
      </c>
      <c r="D1" s="136"/>
      <c r="E1" s="106" t="s">
        <v>45</v>
      </c>
      <c r="F1" s="109">
        <v>4.67</v>
      </c>
      <c r="G1" s="137" t="s">
        <v>43</v>
      </c>
      <c r="H1" s="138"/>
      <c r="I1" s="109">
        <v>7.1</v>
      </c>
      <c r="J1" s="161" t="s">
        <v>153</v>
      </c>
      <c r="K1" s="162"/>
      <c r="L1" s="109">
        <v>2.6</v>
      </c>
      <c r="AB1" s="13"/>
      <c r="AC1" s="13"/>
      <c r="AD1" s="22" t="s">
        <v>126</v>
      </c>
      <c r="AE1" s="13"/>
      <c r="AF1" s="13"/>
      <c r="AG1" s="13"/>
      <c r="AH1" s="13"/>
      <c r="AI1" s="30" t="s">
        <v>79</v>
      </c>
      <c r="AJ1" s="31" t="s">
        <v>94</v>
      </c>
      <c r="AK1" s="32" t="s">
        <v>95</v>
      </c>
      <c r="AL1" s="33" t="s">
        <v>125</v>
      </c>
      <c r="AM1" s="33" t="s">
        <v>131</v>
      </c>
      <c r="AN1" s="33" t="s">
        <v>111</v>
      </c>
    </row>
    <row r="2" spans="1:40" ht="13" x14ac:dyDescent="0.3">
      <c r="A2" s="141" t="s">
        <v>87</v>
      </c>
      <c r="B2" s="142"/>
      <c r="C2" s="133" t="s">
        <v>161</v>
      </c>
      <c r="D2" s="134"/>
      <c r="E2" s="96" t="s">
        <v>109</v>
      </c>
      <c r="F2" s="110">
        <v>170506</v>
      </c>
      <c r="G2" s="139" t="s">
        <v>110</v>
      </c>
      <c r="H2" s="140"/>
      <c r="I2" s="110">
        <v>132</v>
      </c>
      <c r="J2" s="141" t="s">
        <v>158</v>
      </c>
      <c r="K2" s="142"/>
      <c r="L2" s="110">
        <v>0.66</v>
      </c>
      <c r="AB2" s="22" t="s">
        <v>56</v>
      </c>
      <c r="AC2" s="13"/>
      <c r="AD2" s="22" t="s">
        <v>70</v>
      </c>
      <c r="AE2" s="13"/>
      <c r="AF2" s="13"/>
      <c r="AG2" s="34" t="s">
        <v>76</v>
      </c>
      <c r="AH2" s="13"/>
      <c r="AI2" s="35" t="s">
        <v>126</v>
      </c>
      <c r="AJ2" s="36">
        <v>0</v>
      </c>
      <c r="AK2" s="37">
        <v>0</v>
      </c>
      <c r="AL2" s="7">
        <v>0</v>
      </c>
      <c r="AM2" s="9">
        <v>0</v>
      </c>
      <c r="AN2" s="9">
        <v>0</v>
      </c>
    </row>
    <row r="3" spans="1:40" ht="13" x14ac:dyDescent="0.25">
      <c r="A3" s="163" t="s">
        <v>42</v>
      </c>
      <c r="B3" s="164"/>
      <c r="C3" s="133" t="s">
        <v>162</v>
      </c>
      <c r="D3" s="134"/>
      <c r="E3" s="96" t="s">
        <v>108</v>
      </c>
      <c r="F3" s="111" t="s">
        <v>76</v>
      </c>
      <c r="G3" s="141" t="s">
        <v>159</v>
      </c>
      <c r="H3" s="142"/>
      <c r="I3" s="110">
        <v>4.87</v>
      </c>
      <c r="J3" s="163" t="s">
        <v>154</v>
      </c>
      <c r="K3" s="164"/>
      <c r="L3" s="110">
        <f>(L1/(L2*10000))*100</f>
        <v>3.9393939393939398E-2</v>
      </c>
      <c r="AB3" s="22" t="s">
        <v>57</v>
      </c>
      <c r="AC3" s="13"/>
      <c r="AD3" s="22" t="s">
        <v>71</v>
      </c>
      <c r="AE3" s="13"/>
      <c r="AF3" s="13"/>
      <c r="AG3" s="34" t="s">
        <v>77</v>
      </c>
      <c r="AH3" s="13"/>
      <c r="AI3" s="38" t="s">
        <v>113</v>
      </c>
      <c r="AJ3" s="39">
        <v>1.7</v>
      </c>
      <c r="AK3" s="40">
        <v>6</v>
      </c>
      <c r="AL3" s="41">
        <v>1</v>
      </c>
      <c r="AM3" s="9">
        <v>6.2</v>
      </c>
      <c r="AN3" s="9" t="s">
        <v>112</v>
      </c>
    </row>
    <row r="4" spans="1:40" ht="13" x14ac:dyDescent="0.25">
      <c r="A4" s="141" t="s">
        <v>0</v>
      </c>
      <c r="B4" s="142"/>
      <c r="C4" s="145" t="s">
        <v>163</v>
      </c>
      <c r="D4" s="146"/>
      <c r="E4" s="99" t="s">
        <v>1</v>
      </c>
      <c r="F4" s="110" t="s">
        <v>165</v>
      </c>
      <c r="G4" s="141"/>
      <c r="H4" s="142"/>
      <c r="I4" s="110"/>
      <c r="J4" s="163"/>
      <c r="K4" s="164"/>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3" t="s">
        <v>47</v>
      </c>
      <c r="B5" s="144"/>
      <c r="C5" s="147" t="s">
        <v>164</v>
      </c>
      <c r="D5" s="148"/>
      <c r="E5" s="112"/>
      <c r="F5" s="108"/>
      <c r="G5" s="143"/>
      <c r="H5" s="144"/>
      <c r="I5" s="108"/>
      <c r="J5" s="167"/>
      <c r="K5" s="168"/>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41" t="s">
        <v>2</v>
      </c>
      <c r="B8" s="142"/>
      <c r="C8" s="11" t="s">
        <v>166</v>
      </c>
      <c r="D8" s="11" t="s">
        <v>167</v>
      </c>
      <c r="E8" s="11" t="s">
        <v>168</v>
      </c>
      <c r="F8" s="11" t="s">
        <v>169</v>
      </c>
      <c r="G8" s="11"/>
      <c r="H8" s="11"/>
      <c r="I8" s="11"/>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41" t="s">
        <v>3</v>
      </c>
      <c r="B9" s="142"/>
      <c r="C9" s="11" t="s">
        <v>179</v>
      </c>
      <c r="D9" s="11" t="s">
        <v>179</v>
      </c>
      <c r="E9" s="11" t="s">
        <v>179</v>
      </c>
      <c r="F9" s="11" t="s">
        <v>179</v>
      </c>
      <c r="G9" s="11"/>
      <c r="H9" s="11"/>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41" t="s">
        <v>4</v>
      </c>
      <c r="B10" s="142"/>
      <c r="C10" s="11">
        <v>8.1999999999999993</v>
      </c>
      <c r="D10" s="11">
        <v>8.6</v>
      </c>
      <c r="E10" s="11">
        <v>12</v>
      </c>
      <c r="F10" s="11">
        <v>4.8</v>
      </c>
      <c r="G10" s="11"/>
      <c r="H10" s="11"/>
      <c r="I10" s="11"/>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41" t="s">
        <v>5</v>
      </c>
      <c r="B11" s="142"/>
      <c r="C11" s="11">
        <v>1</v>
      </c>
      <c r="D11" s="11">
        <v>0</v>
      </c>
      <c r="E11" s="11">
        <v>0</v>
      </c>
      <c r="F11" s="11">
        <v>3</v>
      </c>
      <c r="G11" s="11"/>
      <c r="H11" s="11"/>
      <c r="I11" s="11"/>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41" t="s">
        <v>6</v>
      </c>
      <c r="B12" s="142"/>
      <c r="C12" s="11">
        <v>0</v>
      </c>
      <c r="D12" s="11">
        <v>1</v>
      </c>
      <c r="E12" s="11">
        <v>1</v>
      </c>
      <c r="F12" s="11">
        <v>1</v>
      </c>
      <c r="G12" s="11"/>
      <c r="H12" s="11"/>
      <c r="I12" s="11"/>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41" t="s">
        <v>7</v>
      </c>
      <c r="B13" s="142"/>
      <c r="C13" s="11">
        <v>3</v>
      </c>
      <c r="D13" s="11">
        <v>2</v>
      </c>
      <c r="E13" s="11">
        <v>2</v>
      </c>
      <c r="F13" s="11">
        <v>3</v>
      </c>
      <c r="G13" s="11"/>
      <c r="H13" s="11"/>
      <c r="I13" s="11"/>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7" t="s">
        <v>8</v>
      </c>
      <c r="B14" s="158"/>
      <c r="C14" s="82"/>
      <c r="D14" s="82"/>
      <c r="E14" s="82"/>
      <c r="F14" s="82"/>
      <c r="G14" s="82"/>
      <c r="H14" s="82"/>
      <c r="I14" s="82"/>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5" t="s">
        <v>9</v>
      </c>
      <c r="B15" s="156"/>
      <c r="C15" s="11"/>
      <c r="D15" s="11"/>
      <c r="E15" s="11"/>
      <c r="F15" s="11"/>
      <c r="G15" s="11"/>
      <c r="H15" s="11"/>
      <c r="I15" s="11"/>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9" t="s">
        <v>44</v>
      </c>
      <c r="B16" s="160"/>
      <c r="C16" s="100" t="s">
        <v>71</v>
      </c>
      <c r="D16" s="100" t="s">
        <v>71</v>
      </c>
      <c r="E16" s="100" t="s">
        <v>71</v>
      </c>
      <c r="F16" s="100" t="s">
        <v>71</v>
      </c>
      <c r="G16" s="100"/>
      <c r="H16" s="100"/>
      <c r="I16" s="100"/>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114.036816</v>
      </c>
      <c r="D18" s="12">
        <f>$D32</f>
        <v>114.036816</v>
      </c>
      <c r="E18" s="12">
        <f>$D33</f>
        <v>114.036816</v>
      </c>
      <c r="F18" s="12">
        <f>$D34</f>
        <v>57.018408000000001</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124.54880000000003</v>
      </c>
      <c r="D22" s="12">
        <f>$E32</f>
        <v>124.54880000000003</v>
      </c>
      <c r="E22" s="12">
        <f>$E33</f>
        <v>124.54880000000003</v>
      </c>
      <c r="F22" s="12">
        <f>$E34</f>
        <v>62.274400000000014</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13.6</v>
      </c>
      <c r="C28" s="11">
        <v>0.66</v>
      </c>
      <c r="D28" s="11">
        <v>183</v>
      </c>
      <c r="E28" s="11">
        <v>380</v>
      </c>
      <c r="F28" s="11">
        <v>576</v>
      </c>
      <c r="G28" s="11">
        <v>30.6</v>
      </c>
      <c r="H28" s="11">
        <v>281</v>
      </c>
      <c r="I28" s="11">
        <v>39.4</v>
      </c>
      <c r="J28" s="11">
        <v>0.7</v>
      </c>
      <c r="K28" s="15">
        <v>0.5</v>
      </c>
      <c r="L28" s="11">
        <v>33.4</v>
      </c>
      <c r="M28" s="11">
        <v>33.799999999999997</v>
      </c>
      <c r="N28" s="11"/>
      <c r="O28" s="11"/>
      <c r="P28" s="11">
        <v>281</v>
      </c>
      <c r="Q28" s="11">
        <v>6.3E-2</v>
      </c>
      <c r="R28" s="11">
        <v>1.1000000000000001</v>
      </c>
      <c r="S28" s="11">
        <v>5.5</v>
      </c>
      <c r="T28" s="11">
        <v>0.5</v>
      </c>
      <c r="U28" s="97">
        <v>1</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1795.2000000000003</v>
      </c>
      <c r="D31" s="65">
        <f>(IF(D$27="%w/w SAR",((D$28*10)*$B31),IF(D$27="%w/w DM",(((D$28*10)*($B$28/100))*$B31),IF(D$27="kg/t SAR",(D$28*$B31),IF(D$27="kg/t DM",((D$28*($B$28/100))*$B31),IF(D$27="mg/kg SAR",((D$28*0.001)*$B31),IF(D$27="mg/kg DM",(((D$28*0.001)*($B$28/100))*$B31),"0")))))))*2.291</f>
        <v>114.036816</v>
      </c>
      <c r="E31" s="65">
        <f>(IF(E$27="%w/w SAR",((E$28*10)*$B31),IF(E$27="%w/w DM",(((E$28*10)*($B$28/100))*$B31),IF(E$27="kg/t SAR",(E$28*$B31),IF(E$27="kg/t DM",((E$28*($B$28/100))*$B31),IF(E$27="mg/kg SAR",((E$28*0.001)*$B31),IF(E$27="mg/kg DM",(((E$28*0.001)*($B$28/100))*$B31),"0")))))))*1.205</f>
        <v>124.54880000000003</v>
      </c>
      <c r="F31" s="65">
        <f>(IF(F$27="%w/w SAR",((F$28*10)*$B31),IF(F$27="%w/w DM",(((F$28*10)*($B$28/100))*$B31),IF(F$27="kg/t SAR",(F$28*$B31),IF(F$27="kg/t DM",((F$28*($B$28/100))*$B31),IF(F$27="mg/kg SAR",((F$28*0.001)*$B31),IF(F$27="mg/kg DM",(((F$28*0.001)*($B$28/100))*$B31),"0")))))))*1.658</f>
        <v>259.76217600000001</v>
      </c>
      <c r="G31" s="65">
        <f t="shared" ref="G31:P31" si="5">IF(G$27="%w/w SAR",((G$28*10)*$B31),IF(G$27="%w/w DM",(((G$28*10)*($B$28/100))*$B31),IF(G$27="kg/t SAR",(G$28*$B31),IF(G$27="kg/t DM",((G$28*($B$28/100))*$B31),IF(G$27="mg/kg SAR",((G$28*0.001)*$B31),IF(G$27="mg/kg DM",(((G$28*0.001)*($B$28/100))*$B31),0))))))</f>
        <v>8.3232000000000017</v>
      </c>
      <c r="H31" s="65">
        <f t="shared" si="5"/>
        <v>76.432000000000016</v>
      </c>
      <c r="I31" s="65">
        <f t="shared" si="5"/>
        <v>10.716800000000001</v>
      </c>
      <c r="J31" s="65">
        <f t="shared" si="5"/>
        <v>0.19040000000000001</v>
      </c>
      <c r="K31" s="65">
        <f t="shared" si="5"/>
        <v>0.13600000000000004</v>
      </c>
      <c r="L31" s="65">
        <f t="shared" si="5"/>
        <v>9.0848000000000013</v>
      </c>
      <c r="M31" s="65">
        <f t="shared" si="5"/>
        <v>9.1936</v>
      </c>
      <c r="N31" s="65">
        <f t="shared" si="5"/>
        <v>0</v>
      </c>
      <c r="O31" s="65">
        <f t="shared" si="5"/>
        <v>0</v>
      </c>
      <c r="P31" s="65">
        <f t="shared" si="5"/>
        <v>76.432000000000016</v>
      </c>
      <c r="Q31" s="65">
        <f>(IF(Q$27="%w/w SAR",((Q$28*10)*$B31),IF(Q$27="%w/w DM",(((Q$28*10)*($B$28/100))*$B31),IF(Q$27="kg/t SAR",(Q$28*$B31),IF(Q$27="kg/t DM",((Q$28*($B$28/100))*$B31),IF(Q$27="mg/kg SAR",((Q$28*0.001)*$B31),IF(Q$27="mg/kg DM",(((Q$28*0.001)*($B$28/100))*$B31),0)))))))*2.5</f>
        <v>4.2839999999999996E-2</v>
      </c>
      <c r="R31" s="65">
        <f>IF(R$27="%w/w SAR",((R$28*10)*$B31),IF(R$27="%w/w DM",(((R$28*10)*($B$28/100))*$B31),IF(R$27="kg/t SAR",(R$28*$B31),IF(R$27="kg/t DM",((R$28*($B$28/100))*$B31),IF(R$27="mg/kg SAR",((R$28*0.001)*$B31),IF(R$27="mg/kg DM",(((R$28*0.001)*($B$28/100))*$B31),0))))))</f>
        <v>0.29920000000000008</v>
      </c>
      <c r="S31" s="65">
        <f>IF(S$27="%w/w SAR",((S$28*10)*$B31),IF(S$27="%w/w DM",(((S$28*10)*($B$28/100))*$B31),IF(S$27="kg/t SAR",(S$28*$B31),IF(S$27="kg/t DM",((S$28*($B$28/100))*$B31),IF(S$27="mg/kg SAR",((S$28*0.001)*$B31),IF(S$27="mg/kg DM",(((S$28*0.001)*($B$28/100))*$B31),0))))))</f>
        <v>1.496</v>
      </c>
      <c r="T31" s="65">
        <f>IF(T$27="%w/w SAR",((T$28*10)*$B31),IF(T$27="%w/w DM",(((T$28*10)*($B$28/100))*$B31),IF(T$27="kg/t SAR",(T$28*$B31),IF(T$27="kg/t DM",((T$28*($B$28/100))*$B31),IF(T$27="mg/kg SAR",((T$28*0.001)*$B31),IF(T$27="mg/kg DM",(((T$28*0.001)*($B$28/100))*$B31),0))))))</f>
        <v>0.13600000000000004</v>
      </c>
      <c r="U31" s="126">
        <f>IF(U$27="%w/w SAR",((U$28*10)*$B31),IF(U$27="%w/w DM",(((U$28*10)*($B$28/100))*$B31),IF(U$27="kg/t SAR",(U$28*$B31),IF(U$27="kg/t DM",((U$28*($B$28/100))*$B31),IF(U$27="mg/kg SAR",((U$28*0.001)*$B31),IF(U$27="mg/kg DM",(((U$28*0.001)*($B$28/100))*$B31),0))))))</f>
        <v>0.27200000000000008</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1795.2000000000003</v>
      </c>
      <c r="D32" s="65">
        <f t="shared" ref="D32:D50" si="7">(IF(D$27="%w/w SAR",((D$28*10)*$B32),IF(D$27="%w/w DM",(((D$28*10)*($B$28/100))*$B32),IF(D$27="kg/t SAR",(D$28*$B32),IF(D$27="kg/t DM",((D$28*($B$28/100))*$B32),IF(D$27="mg/kg SAR",((D$28*0.001)*$B32),IF(D$27="mg/kg DM",(((D$28*0.001)*($B$28/100))*$B32),"0")))))))*2.291</f>
        <v>114.036816</v>
      </c>
      <c r="E32" s="65">
        <f t="shared" ref="E32:E50" si="8">(IF(E$27="%w/w SAR",((E$28*10)*$B32),IF(E$27="%w/w DM",(((E$28*10)*($B$28/100))*$B32),IF(E$27="kg/t SAR",(E$28*$B32),IF(E$27="kg/t DM",((E$28*($B$28/100))*$B32),IF(E$27="mg/kg SAR",((E$28*0.001)*$B32),IF(E$27="mg/kg DM",(((E$28*0.001)*($B$28/100))*$B32),"0")))))))*1.205</f>
        <v>124.54880000000003</v>
      </c>
      <c r="F32" s="65">
        <f t="shared" ref="F32:F50" si="9">(IF(F$27="%w/w SAR",((F$28*10)*$B32),IF(F$27="%w/w DM",(((F$28*10)*($B$28/100))*$B32),IF(F$27="kg/t SAR",(F$28*$B32),IF(F$27="kg/t DM",((F$28*($B$28/100))*$B32),IF(F$27="mg/kg SAR",((F$28*0.001)*$B32),IF(F$27="mg/kg DM",(((F$28*0.001)*($B$28/100))*$B32),"0")))))))*1.658</f>
        <v>259.76217600000001</v>
      </c>
      <c r="G32" s="65">
        <f t="shared" ref="G32:P50" si="10">IF(G$27="%w/w SAR",((G$28*10)*$B32),IF(G$27="%w/w DM",(((G$28*10)*($B$28/100))*$B32),IF(G$27="kg/t SAR",(G$28*$B32),IF(G$27="kg/t DM",((G$28*($B$28/100))*$B32),IF(G$27="mg/kg SAR",((G$28*0.001)*$B32),IF(G$27="mg/kg DM",(((G$28*0.001)*($B$28/100))*$B32),0))))))</f>
        <v>8.3232000000000017</v>
      </c>
      <c r="H32" s="65">
        <f t="shared" si="10"/>
        <v>76.432000000000016</v>
      </c>
      <c r="I32" s="65">
        <f t="shared" si="10"/>
        <v>10.716800000000001</v>
      </c>
      <c r="J32" s="65">
        <f t="shared" si="10"/>
        <v>0.19040000000000001</v>
      </c>
      <c r="K32" s="65">
        <f t="shared" si="10"/>
        <v>0.13600000000000004</v>
      </c>
      <c r="L32" s="65">
        <f t="shared" si="10"/>
        <v>9.0848000000000013</v>
      </c>
      <c r="M32" s="65">
        <f t="shared" si="10"/>
        <v>9.1936</v>
      </c>
      <c r="N32" s="65">
        <f t="shared" si="10"/>
        <v>0</v>
      </c>
      <c r="O32" s="65">
        <f t="shared" si="10"/>
        <v>0</v>
      </c>
      <c r="P32" s="65">
        <f t="shared" si="10"/>
        <v>76.432000000000016</v>
      </c>
      <c r="Q32" s="65">
        <f t="shared" ref="Q32:Q50" si="11">(IF(Q$27="%w/w SAR",((Q$28*10)*$B32),IF(Q$27="%w/w DM",(((Q$28*10)*($B$28/100))*$B32),IF(Q$27="kg/t SAR",(Q$28*$B32),IF(Q$27="kg/t DM",((Q$28*($B$28/100))*$B32),IF(Q$27="mg/kg SAR",((Q$28*0.001)*$B32),IF(Q$27="mg/kg DM",(((Q$28*0.001)*($B$28/100))*$B32),0)))))))*2.5</f>
        <v>4.2839999999999996E-2</v>
      </c>
      <c r="R32" s="65">
        <f t="shared" ref="R32:U50" si="12">IF(R$27="%w/w SAR",((R$28*10)*$B32),IF(R$27="%w/w DM",(((R$28*10)*($B$28/100))*$B32),IF(R$27="kg/t SAR",(R$28*$B32),IF(R$27="kg/t DM",((R$28*($B$28/100))*$B32),IF(R$27="mg/kg SAR",((R$28*0.001)*$B32),IF(R$27="mg/kg DM",(((R$28*0.001)*($B$28/100))*$B32),0))))))</f>
        <v>0.29920000000000008</v>
      </c>
      <c r="S32" s="65">
        <f t="shared" si="12"/>
        <v>1.496</v>
      </c>
      <c r="T32" s="65">
        <f t="shared" si="12"/>
        <v>0.13600000000000004</v>
      </c>
      <c r="U32" s="126">
        <f t="shared" si="12"/>
        <v>0.27200000000000008</v>
      </c>
    </row>
    <row r="33" spans="1:21" s="48" customFormat="1" ht="13" x14ac:dyDescent="0.35">
      <c r="A33" s="125" t="str">
        <f>E8</f>
        <v>IV WG2</v>
      </c>
      <c r="B33" s="11">
        <v>2000</v>
      </c>
      <c r="C33" s="65">
        <f t="shared" si="6"/>
        <v>1795.2000000000003</v>
      </c>
      <c r="D33" s="65">
        <f t="shared" si="7"/>
        <v>114.036816</v>
      </c>
      <c r="E33" s="65">
        <f t="shared" si="8"/>
        <v>124.54880000000003</v>
      </c>
      <c r="F33" s="65">
        <f t="shared" si="9"/>
        <v>259.76217600000001</v>
      </c>
      <c r="G33" s="65">
        <f t="shared" si="10"/>
        <v>8.3232000000000017</v>
      </c>
      <c r="H33" s="65">
        <f t="shared" si="10"/>
        <v>76.432000000000016</v>
      </c>
      <c r="I33" s="65">
        <f t="shared" si="10"/>
        <v>10.716800000000001</v>
      </c>
      <c r="J33" s="65">
        <f t="shared" si="10"/>
        <v>0.19040000000000001</v>
      </c>
      <c r="K33" s="65">
        <f t="shared" si="10"/>
        <v>0.13600000000000004</v>
      </c>
      <c r="L33" s="65">
        <f t="shared" si="10"/>
        <v>9.0848000000000013</v>
      </c>
      <c r="M33" s="65">
        <f t="shared" si="10"/>
        <v>9.1936</v>
      </c>
      <c r="N33" s="65">
        <f t="shared" si="10"/>
        <v>0</v>
      </c>
      <c r="O33" s="65">
        <f t="shared" si="10"/>
        <v>0</v>
      </c>
      <c r="P33" s="65">
        <f t="shared" si="10"/>
        <v>76.432000000000016</v>
      </c>
      <c r="Q33" s="65">
        <f t="shared" si="11"/>
        <v>4.2839999999999996E-2</v>
      </c>
      <c r="R33" s="65">
        <f t="shared" si="12"/>
        <v>0.29920000000000008</v>
      </c>
      <c r="S33" s="65">
        <f t="shared" si="12"/>
        <v>1.496</v>
      </c>
      <c r="T33" s="65">
        <f t="shared" si="12"/>
        <v>0.13600000000000004</v>
      </c>
      <c r="U33" s="126">
        <f t="shared" si="12"/>
        <v>0.27200000000000008</v>
      </c>
    </row>
    <row r="34" spans="1:21" s="48" customFormat="1" ht="13" x14ac:dyDescent="0.35">
      <c r="A34" s="125" t="str">
        <f>F8</f>
        <v>IV WG3</v>
      </c>
      <c r="B34" s="11">
        <v>1000</v>
      </c>
      <c r="C34" s="65">
        <f t="shared" si="6"/>
        <v>897.60000000000014</v>
      </c>
      <c r="D34" s="65">
        <f t="shared" si="7"/>
        <v>57.018408000000001</v>
      </c>
      <c r="E34" s="65">
        <f t="shared" si="8"/>
        <v>62.274400000000014</v>
      </c>
      <c r="F34" s="65">
        <f t="shared" si="9"/>
        <v>129.88108800000001</v>
      </c>
      <c r="G34" s="65">
        <f t="shared" si="10"/>
        <v>4.1616000000000009</v>
      </c>
      <c r="H34" s="65">
        <f t="shared" si="10"/>
        <v>38.216000000000008</v>
      </c>
      <c r="I34" s="65">
        <f t="shared" si="10"/>
        <v>5.3584000000000005</v>
      </c>
      <c r="J34" s="65">
        <f t="shared" si="10"/>
        <v>9.5200000000000007E-2</v>
      </c>
      <c r="K34" s="65">
        <f t="shared" si="10"/>
        <v>6.8000000000000019E-2</v>
      </c>
      <c r="L34" s="65">
        <f t="shared" si="10"/>
        <v>4.5424000000000007</v>
      </c>
      <c r="M34" s="65">
        <f t="shared" si="10"/>
        <v>4.5968</v>
      </c>
      <c r="N34" s="65">
        <f t="shared" si="10"/>
        <v>0</v>
      </c>
      <c r="O34" s="65">
        <f t="shared" si="10"/>
        <v>0</v>
      </c>
      <c r="P34" s="65">
        <f t="shared" si="10"/>
        <v>38.216000000000008</v>
      </c>
      <c r="Q34" s="65">
        <f t="shared" si="11"/>
        <v>2.1419999999999998E-2</v>
      </c>
      <c r="R34" s="65">
        <f t="shared" si="12"/>
        <v>0.14960000000000004</v>
      </c>
      <c r="S34" s="65">
        <f t="shared" si="12"/>
        <v>0.748</v>
      </c>
      <c r="T34" s="65">
        <f t="shared" si="12"/>
        <v>6.8000000000000019E-2</v>
      </c>
      <c r="U34" s="126">
        <f t="shared" si="12"/>
        <v>0.13600000000000004</v>
      </c>
    </row>
    <row r="35" spans="1:21" s="48" customFormat="1" ht="13" x14ac:dyDescent="0.35">
      <c r="A35" s="125">
        <f>G8</f>
        <v>0</v>
      </c>
      <c r="B35" s="11"/>
      <c r="C35" s="65">
        <f t="shared" si="6"/>
        <v>0</v>
      </c>
      <c r="D35" s="65">
        <f t="shared" si="7"/>
        <v>0</v>
      </c>
      <c r="E35" s="65">
        <f t="shared" si="8"/>
        <v>0</v>
      </c>
      <c r="F35" s="65">
        <f t="shared" si="9"/>
        <v>0</v>
      </c>
      <c r="G35" s="65">
        <f t="shared" si="10"/>
        <v>0</v>
      </c>
      <c r="H35" s="65">
        <f t="shared" si="10"/>
        <v>0</v>
      </c>
      <c r="I35" s="65">
        <f t="shared" si="10"/>
        <v>0</v>
      </c>
      <c r="J35" s="65">
        <f t="shared" si="10"/>
        <v>0</v>
      </c>
      <c r="K35" s="65">
        <f t="shared" si="10"/>
        <v>0</v>
      </c>
      <c r="L35" s="65">
        <f t="shared" si="10"/>
        <v>0</v>
      </c>
      <c r="M35" s="65">
        <f t="shared" si="10"/>
        <v>0</v>
      </c>
      <c r="N35" s="65">
        <f t="shared" si="10"/>
        <v>0</v>
      </c>
      <c r="O35" s="65">
        <f t="shared" si="10"/>
        <v>0</v>
      </c>
      <c r="P35" s="65">
        <f t="shared" si="10"/>
        <v>0</v>
      </c>
      <c r="Q35" s="65">
        <f t="shared" si="11"/>
        <v>0</v>
      </c>
      <c r="R35" s="65">
        <f t="shared" si="12"/>
        <v>0</v>
      </c>
      <c r="S35" s="65">
        <f t="shared" si="12"/>
        <v>0</v>
      </c>
      <c r="T35" s="65">
        <f t="shared" si="12"/>
        <v>0</v>
      </c>
      <c r="U35" s="126">
        <f t="shared" si="12"/>
        <v>0</v>
      </c>
    </row>
    <row r="36" spans="1:21" s="48" customFormat="1" ht="13" x14ac:dyDescent="0.35">
      <c r="A36" s="125">
        <f>H8</f>
        <v>0</v>
      </c>
      <c r="B36" s="11"/>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ht="13" x14ac:dyDescent="0.35">
      <c r="A37" s="125">
        <f>I8</f>
        <v>0</v>
      </c>
      <c r="B37" s="11"/>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"&amp;(VLOOKUP(C14,Table24[],6,FALSE))</f>
        <v>#N/A</v>
      </c>
      <c r="C58" s="10" t="e">
        <f>D16&amp;" I "&amp;(VLOOKUP(D14,Table24[],6,FALSE))</f>
        <v>#N/A</v>
      </c>
      <c r="D58" s="10" t="e">
        <f>E16&amp;" I "&amp;(VLOOKUP(E14,Table24[],6,FALSE))</f>
        <v>#N/A</v>
      </c>
      <c r="E58" s="10" t="e">
        <f>F16&amp;" I "&amp;(VLOOKUP(F14,Table24[],6,FALSE))</f>
        <v>#N/A</v>
      </c>
      <c r="F58" s="10" t="e">
        <f>G16&amp;" I "&amp;(VLOOKUP(G14,Table24[],6,FALSE))</f>
        <v>#N/A</v>
      </c>
      <c r="G58" s="10" t="e">
        <f>H16&amp;" I "&amp;(VLOOKUP(H14,Table24[],6,FALSE))</f>
        <v>#N/A</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t="e">
        <f>VLOOKUP(C$14,Table24[],5,FALSE)</f>
        <v>#N/A</v>
      </c>
      <c r="C59" s="64" t="e">
        <f>VLOOKUP(D$14,Table24[],5,FALSE)</f>
        <v>#N/A</v>
      </c>
      <c r="D59" s="64" t="e">
        <f>VLOOKUP(E$14,Table24[],5,FALSE)</f>
        <v>#N/A</v>
      </c>
      <c r="E59" s="64" t="e">
        <f>VLOOKUP(F$14,Table24[],5,FALSE)</f>
        <v>#N/A</v>
      </c>
      <c r="F59" s="64" t="e">
        <f>VLOOKUP(G$14,Table24[],5,FALSE)</f>
        <v>#N/A</v>
      </c>
      <c r="G59" s="64" t="e">
        <f>VLOOKUP(H$14,Table24[],5,FALSE)</f>
        <v>#N/A</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3" type="noConversion"/>
  <conditionalFormatting sqref="B62:U66 B31:B50">
    <cfRule type="cellIs" dxfId="319" priority="48" operator="greaterThan">
      <formula>$B$51</formula>
    </cfRule>
  </conditionalFormatting>
  <conditionalFormatting sqref="B66:U66">
    <cfRule type="cellIs" dxfId="318" priority="10" operator="equal">
      <formula>"UNDER"</formula>
    </cfRule>
    <cfRule type="cellIs" dxfId="317" priority="11" operator="equal">
      <formula>"OVER"</formula>
    </cfRule>
  </conditionalFormatting>
  <conditionalFormatting sqref="C31:C50">
    <cfRule type="cellIs" dxfId="316" priority="47" operator="greaterThan">
      <formula>$C$51</formula>
    </cfRule>
  </conditionalFormatting>
  <conditionalFormatting sqref="C11:V13">
    <cfRule type="cellIs" dxfId="315" priority="1" operator="greaterThan">
      <formula>2</formula>
    </cfRule>
  </conditionalFormatting>
  <conditionalFormatting sqref="C13:V13">
    <cfRule type="cellIs" dxfId="314" priority="2" operator="greaterThan">
      <formula>3</formula>
    </cfRule>
  </conditionalFormatting>
  <conditionalFormatting sqref="C17:V19">
    <cfRule type="cellIs" dxfId="313" priority="40" operator="equal">
      <formula>0</formula>
    </cfRule>
  </conditionalFormatting>
  <conditionalFormatting sqref="C20:V21">
    <cfRule type="cellIs" dxfId="312" priority="49" operator="equal">
      <formula>"DECREASE"</formula>
    </cfRule>
    <cfRule type="cellIs" dxfId="311" priority="50" operator="equal">
      <formula>"INCREASE"</formula>
    </cfRule>
  </conditionalFormatting>
  <conditionalFormatting sqref="C21:V21">
    <cfRule type="cellIs" dxfId="310" priority="14" operator="equal">
      <formula>0</formula>
    </cfRule>
  </conditionalFormatting>
  <conditionalFormatting sqref="C22:V23">
    <cfRule type="cellIs" dxfId="309" priority="21" operator="equal">
      <formula>0</formula>
    </cfRule>
  </conditionalFormatting>
  <conditionalFormatting sqref="C24:V24">
    <cfRule type="cellIs" dxfId="308" priority="22" operator="equal">
      <formula>"DECREASE"</formula>
    </cfRule>
    <cfRule type="cellIs" dxfId="307" priority="23" operator="equal">
      <formula>"INCREASE"</formula>
    </cfRule>
  </conditionalFormatting>
  <conditionalFormatting sqref="G31:G50">
    <cfRule type="cellIs" dxfId="306" priority="37" operator="greaterThan">
      <formula>$G$51</formula>
    </cfRule>
  </conditionalFormatting>
  <conditionalFormatting sqref="H31:H50">
    <cfRule type="cellIs" dxfId="305" priority="36" operator="greaterThan">
      <formula>$H$51</formula>
    </cfRule>
  </conditionalFormatting>
  <conditionalFormatting sqref="I1">
    <cfRule type="cellIs" dxfId="304" priority="17" operator="between">
      <formula>0.1</formula>
      <formula>5</formula>
    </cfRule>
  </conditionalFormatting>
  <conditionalFormatting sqref="I2">
    <cfRule type="cellIs" dxfId="303" priority="16" operator="greaterThan">
      <formula>5000.1</formula>
    </cfRule>
  </conditionalFormatting>
  <conditionalFormatting sqref="I3">
    <cfRule type="cellIs" dxfId="302" priority="15" operator="greaterThan">
      <formula>40000.01</formula>
    </cfRule>
  </conditionalFormatting>
  <conditionalFormatting sqref="I31:I50">
    <cfRule type="cellIs" dxfId="301" priority="35" operator="greaterThan">
      <formula>$I$51</formula>
    </cfRule>
  </conditionalFormatting>
  <conditionalFormatting sqref="J31:J50">
    <cfRule type="cellIs" dxfId="300" priority="9" operator="greaterThan">
      <formula>$J$51</formula>
    </cfRule>
  </conditionalFormatting>
  <conditionalFormatting sqref="K31:K50">
    <cfRule type="cellIs" dxfId="299" priority="33" operator="greaterThan">
      <formula>$K$51</formula>
    </cfRule>
  </conditionalFormatting>
  <conditionalFormatting sqref="L3">
    <cfRule type="cellIs" dxfId="298" priority="7" operator="lessThan">
      <formula>30</formula>
    </cfRule>
    <cfRule type="cellIs" dxfId="297" priority="8" operator="greaterThanOrEqual">
      <formula>30</formula>
    </cfRule>
  </conditionalFormatting>
  <conditionalFormatting sqref="L31:L50">
    <cfRule type="cellIs" dxfId="296" priority="32" operator="greaterThan">
      <formula>$L$51</formula>
    </cfRule>
  </conditionalFormatting>
  <conditionalFormatting sqref="M31:M50">
    <cfRule type="cellIs" dxfId="295" priority="31" operator="greaterThan">
      <formula>$M$51</formula>
    </cfRule>
  </conditionalFormatting>
  <conditionalFormatting sqref="P31:P50">
    <cfRule type="cellIs" dxfId="294" priority="30" operator="greaterThan">
      <formula>$P$51</formula>
    </cfRule>
  </conditionalFormatting>
  <conditionalFormatting sqref="R31:R50">
    <cfRule type="cellIs" dxfId="293" priority="29" operator="greaterThan">
      <formula>$R$51</formula>
    </cfRule>
  </conditionalFormatting>
  <conditionalFormatting sqref="S31:S50">
    <cfRule type="cellIs" dxfId="292" priority="28" operator="greaterThan">
      <formula>$S$51</formula>
    </cfRule>
  </conditionalFormatting>
  <conditionalFormatting sqref="T31:T50">
    <cfRule type="cellIs" dxfId="291" priority="27" operator="greaterThan">
      <formula>$T$51</formula>
    </cfRule>
  </conditionalFormatting>
  <conditionalFormatting sqref="U31:U50">
    <cfRule type="cellIs" dxfId="290"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27" sqref="C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7.3</v>
      </c>
      <c r="J1" s="161" t="s">
        <v>153</v>
      </c>
      <c r="K1" s="162"/>
      <c r="L1" s="109">
        <v>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175</v>
      </c>
      <c r="J2" s="141" t="s">
        <v>158</v>
      </c>
      <c r="K2" s="142"/>
      <c r="L2" s="110">
        <v>0.59</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6.91</v>
      </c>
      <c r="J3" s="163" t="s">
        <v>154</v>
      </c>
      <c r="K3" s="164"/>
      <c r="L3" s="110">
        <f>(L1/(L2*10000))*100</f>
        <v>5.7627118644067797E-2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170</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97.211712000000006</v>
      </c>
      <c r="D18" s="12">
        <f>$D32</f>
        <v>97.211712000000006</v>
      </c>
      <c r="E18" s="12">
        <f>$D33</f>
        <v>97.211712000000006</v>
      </c>
      <c r="F18" s="12">
        <f>$D34</f>
        <v>97.211712000000006</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54.735920000000014</v>
      </c>
      <c r="D22" s="12">
        <f>$E32</f>
        <v>54.735920000000014</v>
      </c>
      <c r="E22" s="12">
        <f>$E33</f>
        <v>54.735920000000014</v>
      </c>
      <c r="F22" s="12">
        <f>$E34</f>
        <v>54.735920000000014</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13.6</v>
      </c>
      <c r="C28" s="11">
        <v>0.59</v>
      </c>
      <c r="D28" s="11">
        <v>156</v>
      </c>
      <c r="E28" s="11">
        <v>167</v>
      </c>
      <c r="F28" s="11">
        <v>223</v>
      </c>
      <c r="G28" s="11">
        <v>30</v>
      </c>
      <c r="H28" s="11">
        <v>142.6</v>
      </c>
      <c r="I28" s="11">
        <v>40</v>
      </c>
      <c r="J28" s="11">
        <v>267</v>
      </c>
      <c r="K28" s="15">
        <v>0.5</v>
      </c>
      <c r="L28" s="11">
        <v>0.5</v>
      </c>
      <c r="M28" s="11">
        <v>33.9</v>
      </c>
      <c r="N28" s="11"/>
      <c r="O28" s="11"/>
      <c r="P28" s="11">
        <v>355</v>
      </c>
      <c r="Q28" s="11">
        <v>8.5000000000000006E-2</v>
      </c>
      <c r="R28" s="11">
        <v>1.2</v>
      </c>
      <c r="S28" s="11">
        <v>5.9</v>
      </c>
      <c r="T28" s="11">
        <v>0.05</v>
      </c>
      <c r="U28" s="97">
        <v>1</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1604.8</v>
      </c>
      <c r="D31" s="65">
        <f>(IF(D$27="%w/w SAR",((D$28*10)*$B31),IF(D$27="%w/w DM",(((D$28*10)*($B$28/100))*$B31),IF(D$27="kg/t SAR",(D$28*$B31),IF(D$27="kg/t DM",((D$28*($B$28/100))*$B31),IF(D$27="mg/kg SAR",((D$28*0.001)*$B31),IF(D$27="mg/kg DM",(((D$28*0.001)*($B$28/100))*$B31),"0")))))))*2.291</f>
        <v>97.211712000000006</v>
      </c>
      <c r="E31" s="65">
        <f>(IF(E$27="%w/w SAR",((E$28*10)*$B31),IF(E$27="%w/w DM",(((E$28*10)*($B$28/100))*$B31),IF(E$27="kg/t SAR",(E$28*$B31),IF(E$27="kg/t DM",((E$28*($B$28/100))*$B31),IF(E$27="mg/kg SAR",((E$28*0.001)*$B31),IF(E$27="mg/kg DM",(((E$28*0.001)*($B$28/100))*$B31),"0")))))))*1.205</f>
        <v>54.735920000000014</v>
      </c>
      <c r="F31" s="65">
        <f>(IF(F$27="%w/w SAR",((F$28*10)*$B31),IF(F$27="%w/w DM",(((F$28*10)*($B$28/100))*$B31),IF(F$27="kg/t SAR",(F$28*$B31),IF(F$27="kg/t DM",((F$28*($B$28/100))*$B31),IF(F$27="mg/kg SAR",((F$28*0.001)*$B31),IF(F$27="mg/kg DM",(((F$28*0.001)*($B$28/100))*$B31),"0")))))))*1.658</f>
        <v>100.56764800000001</v>
      </c>
      <c r="G31" s="65">
        <f t="shared" ref="G31:P46" si="5">IF(G$27="%w/w SAR",((G$28*10)*$B31),IF(G$27="%w/w DM",(((G$28*10)*($B$28/100))*$B31),IF(G$27="kg/t SAR",(G$28*$B31),IF(G$27="kg/t DM",((G$28*($B$28/100))*$B31),IF(G$27="mg/kg SAR",((G$28*0.001)*$B31),IF(G$27="mg/kg DM",(((G$28*0.001)*($B$28/100))*$B31),0))))))</f>
        <v>8.16</v>
      </c>
      <c r="H31" s="65">
        <f t="shared" si="5"/>
        <v>38.787199999999999</v>
      </c>
      <c r="I31" s="65">
        <f t="shared" si="5"/>
        <v>10.88</v>
      </c>
      <c r="J31" s="65">
        <f t="shared" si="5"/>
        <v>72.624000000000009</v>
      </c>
      <c r="K31" s="65">
        <f t="shared" si="5"/>
        <v>0.13600000000000004</v>
      </c>
      <c r="L31" s="65">
        <f t="shared" si="5"/>
        <v>0.13600000000000004</v>
      </c>
      <c r="M31" s="65">
        <f t="shared" si="5"/>
        <v>9.2208000000000006</v>
      </c>
      <c r="N31" s="65">
        <f t="shared" si="5"/>
        <v>0</v>
      </c>
      <c r="O31" s="65">
        <f t="shared" si="5"/>
        <v>0</v>
      </c>
      <c r="P31" s="65">
        <f t="shared" si="5"/>
        <v>96.56</v>
      </c>
      <c r="Q31" s="65">
        <f>(IF(Q$27="%w/w SAR",((Q$28*10)*$B31),IF(Q$27="%w/w DM",(((Q$28*10)*($B$28/100))*$B31),IF(Q$27="kg/t SAR",(Q$28*$B31),IF(Q$27="kg/t DM",((Q$28*($B$28/100))*$B31),IF(Q$27="mg/kg SAR",((Q$28*0.001)*$B31),IF(Q$27="mg/kg DM",(((Q$28*0.001)*($B$28/100))*$B31),0)))))))*2.5</f>
        <v>5.7800000000000004E-2</v>
      </c>
      <c r="R31" s="65">
        <f>IF(R$27="%w/w SAR",((R$28*10)*$B31),IF(R$27="%w/w DM",(((R$28*10)*($B$28/100))*$B31),IF(R$27="kg/t SAR",(R$28*$B31),IF(R$27="kg/t DM",((R$28*($B$28/100))*$B31),IF(R$27="mg/kg SAR",((R$28*0.001)*$B31),IF(R$27="mg/kg DM",(((R$28*0.001)*($B$28/100))*$B31),0))))))</f>
        <v>0.32640000000000002</v>
      </c>
      <c r="S31" s="65">
        <f>IF(S$27="%w/w SAR",((S$28*10)*$B31),IF(S$27="%w/w DM",(((S$28*10)*($B$28/100))*$B31),IF(S$27="kg/t SAR",(S$28*$B31),IF(S$27="kg/t DM",((S$28*($B$28/100))*$B31),IF(S$27="mg/kg SAR",((S$28*0.001)*$B31),IF(S$27="mg/kg DM",(((S$28*0.001)*($B$28/100))*$B31),0))))))</f>
        <v>1.6048000000000004</v>
      </c>
      <c r="T31" s="65">
        <f>IF(T$27="%w/w SAR",((T$28*10)*$B31),IF(T$27="%w/w DM",(((T$28*10)*($B$28/100))*$B31),IF(T$27="kg/t SAR",(T$28*$B31),IF(T$27="kg/t DM",((T$28*($B$28/100))*$B31),IF(T$27="mg/kg SAR",((T$28*0.001)*$B31),IF(T$27="mg/kg DM",(((T$28*0.001)*($B$28/100))*$B31),0))))))</f>
        <v>1.3600000000000003E-2</v>
      </c>
      <c r="U31" s="126">
        <f>IF(U$27="%w/w SAR",((U$28*10)*$B31),IF(U$27="%w/w DM",(((U$28*10)*($B$28/100))*$B31),IF(U$27="kg/t SAR",(U$28*$B31),IF(U$27="kg/t DM",((U$28*($B$28/100))*$B31),IF(U$27="mg/kg SAR",((U$28*0.001)*$B31),IF(U$27="mg/kg DM",(((U$28*0.001)*($B$28/100))*$B31),0))))))</f>
        <v>0.27200000000000008</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1604.8</v>
      </c>
      <c r="D32" s="65">
        <f t="shared" ref="D32:D50" si="7">(IF(D$27="%w/w SAR",((D$28*10)*$B32),IF(D$27="%w/w DM",(((D$28*10)*($B$28/100))*$B32),IF(D$27="kg/t SAR",(D$28*$B32),IF(D$27="kg/t DM",((D$28*($B$28/100))*$B32),IF(D$27="mg/kg SAR",((D$28*0.001)*$B32),IF(D$27="mg/kg DM",(((D$28*0.001)*($B$28/100))*$B32),"0")))))))*2.291</f>
        <v>97.211712000000006</v>
      </c>
      <c r="E32" s="65">
        <f t="shared" ref="E32:E50" si="8">(IF(E$27="%w/w SAR",((E$28*10)*$B32),IF(E$27="%w/w DM",(((E$28*10)*($B$28/100))*$B32),IF(E$27="kg/t SAR",(E$28*$B32),IF(E$27="kg/t DM",((E$28*($B$28/100))*$B32),IF(E$27="mg/kg SAR",((E$28*0.001)*$B32),IF(E$27="mg/kg DM",(((E$28*0.001)*($B$28/100))*$B32),"0")))))))*1.205</f>
        <v>54.735920000000014</v>
      </c>
      <c r="F32" s="65">
        <f t="shared" ref="F32:F50" si="9">(IF(F$27="%w/w SAR",((F$28*10)*$B32),IF(F$27="%w/w DM",(((F$28*10)*($B$28/100))*$B32),IF(F$27="kg/t SAR",(F$28*$B32),IF(F$27="kg/t DM",((F$28*($B$28/100))*$B32),IF(F$27="mg/kg SAR",((F$28*0.001)*$B32),IF(F$27="mg/kg DM",(((F$28*0.001)*($B$28/100))*$B32),"0")))))))*1.658</f>
        <v>100.56764800000001</v>
      </c>
      <c r="G32" s="65">
        <f t="shared" si="5"/>
        <v>8.16</v>
      </c>
      <c r="H32" s="65">
        <f t="shared" si="5"/>
        <v>38.787199999999999</v>
      </c>
      <c r="I32" s="65">
        <f t="shared" si="5"/>
        <v>10.88</v>
      </c>
      <c r="J32" s="65">
        <f t="shared" si="5"/>
        <v>72.624000000000009</v>
      </c>
      <c r="K32" s="65">
        <f t="shared" si="5"/>
        <v>0.13600000000000004</v>
      </c>
      <c r="L32" s="65">
        <f t="shared" si="5"/>
        <v>0.13600000000000004</v>
      </c>
      <c r="M32" s="65">
        <f t="shared" si="5"/>
        <v>9.2208000000000006</v>
      </c>
      <c r="N32" s="65">
        <f t="shared" si="5"/>
        <v>0</v>
      </c>
      <c r="O32" s="65">
        <f t="shared" si="5"/>
        <v>0</v>
      </c>
      <c r="P32" s="65">
        <f t="shared" si="5"/>
        <v>96.56</v>
      </c>
      <c r="Q32" s="65">
        <f t="shared" ref="Q32:Q50" si="10">(IF(Q$27="%w/w SAR",((Q$28*10)*$B32),IF(Q$27="%w/w DM",(((Q$28*10)*($B$28/100))*$B32),IF(Q$27="kg/t SAR",(Q$28*$B32),IF(Q$27="kg/t DM",((Q$28*($B$28/100))*$B32),IF(Q$27="mg/kg SAR",((Q$28*0.001)*$B32),IF(Q$27="mg/kg DM",(((Q$28*0.001)*($B$28/100))*$B32),0)))))))*2.5</f>
        <v>5.7800000000000004E-2</v>
      </c>
      <c r="R32" s="65">
        <f t="shared" ref="R32:U50" si="11">IF(R$27="%w/w SAR",((R$28*10)*$B32),IF(R$27="%w/w DM",(((R$28*10)*($B$28/100))*$B32),IF(R$27="kg/t SAR",(R$28*$B32),IF(R$27="kg/t DM",((R$28*($B$28/100))*$B32),IF(R$27="mg/kg SAR",((R$28*0.001)*$B32),IF(R$27="mg/kg DM",(((R$28*0.001)*($B$28/100))*$B32),0))))))</f>
        <v>0.32640000000000002</v>
      </c>
      <c r="S32" s="65">
        <f t="shared" si="11"/>
        <v>1.6048000000000004</v>
      </c>
      <c r="T32" s="65">
        <f t="shared" si="11"/>
        <v>1.3600000000000003E-2</v>
      </c>
      <c r="U32" s="126">
        <f t="shared" si="11"/>
        <v>0.27200000000000008</v>
      </c>
    </row>
    <row r="33" spans="1:21" s="48" customFormat="1" ht="13" x14ac:dyDescent="0.35">
      <c r="A33" s="125" t="str">
        <f>E8</f>
        <v>IV WG2</v>
      </c>
      <c r="B33" s="11">
        <v>2000</v>
      </c>
      <c r="C33" s="65">
        <f t="shared" si="6"/>
        <v>1604.8</v>
      </c>
      <c r="D33" s="65">
        <f t="shared" si="7"/>
        <v>97.211712000000006</v>
      </c>
      <c r="E33" s="65">
        <f t="shared" si="8"/>
        <v>54.735920000000014</v>
      </c>
      <c r="F33" s="65">
        <f t="shared" si="9"/>
        <v>100.56764800000001</v>
      </c>
      <c r="G33" s="65">
        <f t="shared" si="5"/>
        <v>8.16</v>
      </c>
      <c r="H33" s="65">
        <f t="shared" si="5"/>
        <v>38.787199999999999</v>
      </c>
      <c r="I33" s="65">
        <f t="shared" si="5"/>
        <v>10.88</v>
      </c>
      <c r="J33" s="65">
        <f t="shared" si="5"/>
        <v>72.624000000000009</v>
      </c>
      <c r="K33" s="65">
        <f t="shared" si="5"/>
        <v>0.13600000000000004</v>
      </c>
      <c r="L33" s="65">
        <f t="shared" si="5"/>
        <v>0.13600000000000004</v>
      </c>
      <c r="M33" s="65">
        <f t="shared" si="5"/>
        <v>9.2208000000000006</v>
      </c>
      <c r="N33" s="65">
        <f t="shared" si="5"/>
        <v>0</v>
      </c>
      <c r="O33" s="65">
        <f t="shared" si="5"/>
        <v>0</v>
      </c>
      <c r="P33" s="65">
        <f t="shared" si="5"/>
        <v>96.56</v>
      </c>
      <c r="Q33" s="65">
        <f t="shared" si="10"/>
        <v>5.7800000000000004E-2</v>
      </c>
      <c r="R33" s="65">
        <f t="shared" si="11"/>
        <v>0.32640000000000002</v>
      </c>
      <c r="S33" s="65">
        <f t="shared" si="11"/>
        <v>1.6048000000000004</v>
      </c>
      <c r="T33" s="65">
        <f t="shared" si="11"/>
        <v>1.3600000000000003E-2</v>
      </c>
      <c r="U33" s="126">
        <f t="shared" si="11"/>
        <v>0.27200000000000008</v>
      </c>
    </row>
    <row r="34" spans="1:21" s="48" customFormat="1" ht="13" x14ac:dyDescent="0.35">
      <c r="A34" s="125" t="str">
        <f>F8</f>
        <v>IV WG3</v>
      </c>
      <c r="B34" s="11">
        <v>2000</v>
      </c>
      <c r="C34" s="65">
        <f t="shared" si="6"/>
        <v>1604.8</v>
      </c>
      <c r="D34" s="65">
        <f t="shared" si="7"/>
        <v>97.211712000000006</v>
      </c>
      <c r="E34" s="65">
        <f t="shared" si="8"/>
        <v>54.735920000000014</v>
      </c>
      <c r="F34" s="65">
        <f t="shared" si="9"/>
        <v>100.56764800000001</v>
      </c>
      <c r="G34" s="65">
        <f t="shared" si="5"/>
        <v>8.16</v>
      </c>
      <c r="H34" s="65">
        <f t="shared" si="5"/>
        <v>38.787199999999999</v>
      </c>
      <c r="I34" s="65">
        <f t="shared" si="5"/>
        <v>10.88</v>
      </c>
      <c r="J34" s="65">
        <f t="shared" si="5"/>
        <v>72.624000000000009</v>
      </c>
      <c r="K34" s="65">
        <f t="shared" si="5"/>
        <v>0.13600000000000004</v>
      </c>
      <c r="L34" s="65">
        <f t="shared" si="5"/>
        <v>0.13600000000000004</v>
      </c>
      <c r="M34" s="65">
        <f t="shared" si="5"/>
        <v>9.2208000000000006</v>
      </c>
      <c r="N34" s="65">
        <f t="shared" si="5"/>
        <v>0</v>
      </c>
      <c r="O34" s="65">
        <f t="shared" si="5"/>
        <v>0</v>
      </c>
      <c r="P34" s="65">
        <f t="shared" si="5"/>
        <v>96.56</v>
      </c>
      <c r="Q34" s="65">
        <f t="shared" si="10"/>
        <v>5.7800000000000004E-2</v>
      </c>
      <c r="R34" s="65">
        <f t="shared" si="11"/>
        <v>0.32640000000000002</v>
      </c>
      <c r="S34" s="65">
        <f t="shared" si="11"/>
        <v>1.6048000000000004</v>
      </c>
      <c r="T34" s="65">
        <f t="shared" si="11"/>
        <v>1.3600000000000003E-2</v>
      </c>
      <c r="U34" s="126">
        <f t="shared" si="11"/>
        <v>0.27200000000000008</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"&amp;(VLOOKUP(C14,Table245[],6,FALSE))</f>
        <v>#N/A</v>
      </c>
      <c r="C58" s="10" t="e">
        <f>D16&amp;" I "&amp;(VLOOKUP(D14,Table245[],6,FALSE))</f>
        <v>#N/A</v>
      </c>
      <c r="D58" s="10" t="e">
        <f>E16&amp;" I "&amp;(VLOOKUP(E14,Table245[],6,FALSE))</f>
        <v>#N/A</v>
      </c>
      <c r="E58" s="10" t="e">
        <f>F16&amp;" I "&amp;(VLOOKUP(F14,Table245[],6,FALSE))</f>
        <v>#N/A</v>
      </c>
      <c r="F58" s="10" t="e">
        <f>G16&amp;" I "&amp;(VLOOKUP(G14,Table245[],6,FALSE))</f>
        <v>#N/A</v>
      </c>
      <c r="G58" s="10" t="e">
        <f>H16&amp;" I "&amp;(VLOOKUP(H14,Table245[],6,FALSE))</f>
        <v>#N/A</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t="e">
        <f>VLOOKUP(C$14,Table245[],5,FALSE)</f>
        <v>#N/A</v>
      </c>
      <c r="C59" s="64" t="e">
        <f>VLOOKUP(D$14,Table245[],5,FALSE)</f>
        <v>#N/A</v>
      </c>
      <c r="D59" s="64" t="e">
        <f>VLOOKUP(E$14,Table245[],5,FALSE)</f>
        <v>#N/A</v>
      </c>
      <c r="E59" s="64" t="e">
        <f>VLOOKUP(F$14,Table245[],5,FALSE)</f>
        <v>#N/A</v>
      </c>
      <c r="F59" s="64" t="e">
        <f>VLOOKUP(G$14,Table245[],5,FALSE)</f>
        <v>#N/A</v>
      </c>
      <c r="G59" s="64" t="e">
        <f>VLOOKUP(H$14,Table245[],5,FALSE)</f>
        <v>#N/A</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2000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9" priority="40" operator="greaterThan">
      <formula>$B$51</formula>
    </cfRule>
  </conditionalFormatting>
  <conditionalFormatting sqref="B66:U66">
    <cfRule type="cellIs" dxfId="288" priority="15" operator="equal">
      <formula>"UNDER"</formula>
    </cfRule>
    <cfRule type="cellIs" dxfId="287" priority="16" operator="equal">
      <formula>"OVER"</formula>
    </cfRule>
  </conditionalFormatting>
  <conditionalFormatting sqref="C31:C50">
    <cfRule type="cellIs" dxfId="286" priority="39" operator="greaterThan">
      <formula>$C$51</formula>
    </cfRule>
  </conditionalFormatting>
  <conditionalFormatting sqref="C11:V13">
    <cfRule type="cellIs" dxfId="285" priority="1" operator="greaterThan">
      <formula>2</formula>
    </cfRule>
  </conditionalFormatting>
  <conditionalFormatting sqref="C17:V19">
    <cfRule type="cellIs" dxfId="284" priority="36" operator="equal">
      <formula>0</formula>
    </cfRule>
  </conditionalFormatting>
  <conditionalFormatting sqref="C20:V21">
    <cfRule type="cellIs" dxfId="283" priority="41" operator="equal">
      <formula>"DECREASE"</formula>
    </cfRule>
    <cfRule type="cellIs" dxfId="282" priority="42" operator="equal">
      <formula>"INCREASE"</formula>
    </cfRule>
  </conditionalFormatting>
  <conditionalFormatting sqref="C21:V21">
    <cfRule type="cellIs" dxfId="281" priority="17"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5" operator="greaterThan">
      <formula>$G$51</formula>
    </cfRule>
  </conditionalFormatting>
  <conditionalFormatting sqref="H31:H50">
    <cfRule type="cellIs" dxfId="276" priority="34" operator="greaterThan">
      <formula>$H$51</formula>
    </cfRule>
  </conditionalFormatting>
  <conditionalFormatting sqref="I1">
    <cfRule type="cellIs" dxfId="275" priority="7" operator="between">
      <formula>0.1</formula>
      <formula>5</formula>
    </cfRule>
  </conditionalFormatting>
  <conditionalFormatting sqref="I2">
    <cfRule type="cellIs" dxfId="274" priority="6" operator="greaterThan">
      <formula>5000.1</formula>
    </cfRule>
  </conditionalFormatting>
  <conditionalFormatting sqref="I3">
    <cfRule type="cellIs" dxfId="273" priority="5" operator="greaterThan">
      <formula>40000.01</formula>
    </cfRule>
  </conditionalFormatting>
  <conditionalFormatting sqref="I31:I50">
    <cfRule type="cellIs" dxfId="272" priority="33" operator="greaterThan">
      <formula>$I$51</formula>
    </cfRule>
  </conditionalFormatting>
  <conditionalFormatting sqref="J31:J50">
    <cfRule type="cellIs" dxfId="271" priority="12" operator="greaterThan">
      <formula>$J$51</formula>
    </cfRule>
  </conditionalFormatting>
  <conditionalFormatting sqref="K31:K50">
    <cfRule type="cellIs" dxfId="270" priority="32" operator="greaterThan">
      <formula>$K$51</formula>
    </cfRule>
  </conditionalFormatting>
  <conditionalFormatting sqref="L3">
    <cfRule type="cellIs" dxfId="269" priority="8" operator="lessThan">
      <formula>30</formula>
    </cfRule>
    <cfRule type="cellIs" dxfId="268" priority="9" operator="greaterThanOrEqual">
      <formula>30</formula>
    </cfRule>
  </conditionalFormatting>
  <conditionalFormatting sqref="L31:L50">
    <cfRule type="cellIs" dxfId="267" priority="31" operator="greaterThan">
      <formula>$L$51</formula>
    </cfRule>
  </conditionalFormatting>
  <conditionalFormatting sqref="M31:M50">
    <cfRule type="cellIs" dxfId="266" priority="30" operator="greaterThan">
      <formula>$M$51</formula>
    </cfRule>
  </conditionalFormatting>
  <conditionalFormatting sqref="P31:P50">
    <cfRule type="cellIs" dxfId="265" priority="29" operator="greaterThan">
      <formula>$P$51</formula>
    </cfRule>
  </conditionalFormatting>
  <conditionalFormatting sqref="R31:R50">
    <cfRule type="cellIs" dxfId="264" priority="28" operator="greaterThan">
      <formula>$R$51</formula>
    </cfRule>
  </conditionalFormatting>
  <conditionalFormatting sqref="S31:S50">
    <cfRule type="cellIs" dxfId="263" priority="27" operator="greaterThan">
      <formula>$S$51</formula>
    </cfRule>
  </conditionalFormatting>
  <conditionalFormatting sqref="T31:T50">
    <cfRule type="cellIs" dxfId="262" priority="26" operator="greaterThan">
      <formula>$T$51</formula>
    </cfRule>
  </conditionalFormatting>
  <conditionalFormatting sqref="U31:U50">
    <cfRule type="cellIs" dxfId="261"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27" sqref="C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v>
      </c>
      <c r="J1" s="161" t="s">
        <v>153</v>
      </c>
      <c r="K1" s="162"/>
      <c r="L1" s="109">
        <v>4.7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7</v>
      </c>
      <c r="J2" s="141" t="s">
        <v>158</v>
      </c>
      <c r="K2" s="142"/>
      <c r="L2" s="110">
        <v>0.72</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5.23</v>
      </c>
      <c r="J3" s="163" t="s">
        <v>154</v>
      </c>
      <c r="K3" s="164"/>
      <c r="L3" s="110">
        <f>(L1/(L2*10000))*100</f>
        <v>6.5277777777777782E-2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171</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130.23876799999999</v>
      </c>
      <c r="D18" s="12">
        <f>$D32</f>
        <v>130.23876799999999</v>
      </c>
      <c r="E18" s="12">
        <f>$D33</f>
        <v>130.23876799999999</v>
      </c>
      <c r="F18" s="12">
        <f>$D34</f>
        <v>130.23876799999999</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(VLOOKUP(D$14,$AI2:$AK24,3,FALSE))*D$15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63.007040000000011</v>
      </c>
      <c r="D22" s="12">
        <f>$E32</f>
        <v>63.007040000000011</v>
      </c>
      <c r="E22" s="12">
        <f>$E33</f>
        <v>63.007040000000011</v>
      </c>
      <c r="F22" s="12">
        <f>$E34</f>
        <v>63.007040000000011</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55</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15.2</v>
      </c>
      <c r="C28" s="11">
        <v>0.72</v>
      </c>
      <c r="D28" s="11">
        <v>187</v>
      </c>
      <c r="E28" s="11">
        <v>172</v>
      </c>
      <c r="F28" s="11">
        <v>255</v>
      </c>
      <c r="G28" s="11">
        <v>33.799999999999997</v>
      </c>
      <c r="H28" s="11">
        <v>163.30000000000001</v>
      </c>
      <c r="I28" s="11">
        <v>42.2</v>
      </c>
      <c r="J28" s="11">
        <v>0.8</v>
      </c>
      <c r="K28" s="15">
        <v>0.5</v>
      </c>
      <c r="L28" s="11">
        <v>32.700000000000003</v>
      </c>
      <c r="M28" s="11">
        <v>34.200000000000003</v>
      </c>
      <c r="N28" s="11"/>
      <c r="O28" s="11"/>
      <c r="P28" s="11">
        <v>261</v>
      </c>
      <c r="Q28" s="11">
        <v>0.107</v>
      </c>
      <c r="R28" s="11">
        <v>1.5</v>
      </c>
      <c r="S28" s="11">
        <v>4.5999999999999996</v>
      </c>
      <c r="T28" s="11">
        <v>0.05</v>
      </c>
      <c r="U28" s="97">
        <v>1</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0.21887999999999996</v>
      </c>
      <c r="D31" s="65">
        <f>(IF(D$27="%w/w SAR",((D$28*10)*$B31),IF(D$27="%w/w DM",(((D$28*10)*($B$28/100))*$B31),IF(D$27="kg/t SAR",(D$28*$B31),IF(D$27="kg/t DM",((D$28*($B$28/100))*$B31),IF(D$27="mg/kg SAR",((D$28*0.001)*$B31),IF(D$27="mg/kg DM",(((D$28*0.001)*($B$28/100))*$B31),"0")))))))*2.291</f>
        <v>130.23876799999999</v>
      </c>
      <c r="E31" s="65">
        <f>(IF(E$27="%w/w SAR",((E$28*10)*$B31),IF(E$27="%w/w DM",(((E$28*10)*($B$28/100))*$B31),IF(E$27="kg/t SAR",(E$28*$B31),IF(E$27="kg/t DM",((E$28*($B$28/100))*$B31),IF(E$27="mg/kg SAR",((E$28*0.001)*$B31),IF(E$27="mg/kg DM",(((E$28*0.001)*($B$28/100))*$B31),"0")))))))*1.205</f>
        <v>63.007040000000011</v>
      </c>
      <c r="F31" s="65">
        <f>(IF(F$27="%w/w SAR",((F$28*10)*$B31),IF(F$27="%w/w DM",(((F$28*10)*($B$28/100))*$B31),IF(F$27="kg/t SAR",(F$28*$B31),IF(F$27="kg/t DM",((F$28*($B$28/100))*$B31),IF(F$27="mg/kg SAR",((F$28*0.001)*$B31),IF(F$27="mg/kg DM",(((F$28*0.001)*($B$28/100))*$B31),"0")))))))*1.658</f>
        <v>128.52816000000001</v>
      </c>
      <c r="G31" s="65">
        <f t="shared" ref="G31:P46" si="5">IF(G$27="%w/w SAR",((G$28*10)*$B31),IF(G$27="%w/w DM",(((G$28*10)*($B$28/100))*$B31),IF(G$27="kg/t SAR",(G$28*$B31),IF(G$27="kg/t DM",((G$28*($B$28/100))*$B31),IF(G$27="mg/kg SAR",((G$28*0.001)*$B31),IF(G$27="mg/kg DM",(((G$28*0.001)*($B$28/100))*$B31),0))))))</f>
        <v>10.275199999999998</v>
      </c>
      <c r="H31" s="65">
        <f t="shared" si="5"/>
        <v>49.643200000000007</v>
      </c>
      <c r="I31" s="65">
        <f t="shared" si="5"/>
        <v>12.828799999999999</v>
      </c>
      <c r="J31" s="65">
        <f t="shared" si="5"/>
        <v>0.2432</v>
      </c>
      <c r="K31" s="65">
        <f t="shared" si="5"/>
        <v>0.152</v>
      </c>
      <c r="L31" s="65">
        <f t="shared" si="5"/>
        <v>9.9408000000000012</v>
      </c>
      <c r="M31" s="65">
        <f t="shared" si="5"/>
        <v>10.396799999999999</v>
      </c>
      <c r="N31" s="65">
        <f t="shared" si="5"/>
        <v>0</v>
      </c>
      <c r="O31" s="65">
        <f t="shared" si="5"/>
        <v>0</v>
      </c>
      <c r="P31" s="65">
        <f t="shared" si="5"/>
        <v>79.343999999999994</v>
      </c>
      <c r="Q31" s="65">
        <f>(IF(Q$27="%w/w SAR",((Q$28*10)*$B31),IF(Q$27="%w/w DM",(((Q$28*10)*($B$28/100))*$B31),IF(Q$27="kg/t SAR",(Q$28*$B31),IF(Q$27="kg/t DM",((Q$28*($B$28/100))*$B31),IF(Q$27="mg/kg SAR",((Q$28*0.001)*$B31),IF(Q$27="mg/kg DM",(((Q$28*0.001)*($B$28/100))*$B31),0)))))))*2.5</f>
        <v>8.131999999999999E-2</v>
      </c>
      <c r="R31" s="65">
        <f>IF(R$27="%w/w SAR",((R$28*10)*$B31),IF(R$27="%w/w DM",(((R$28*10)*($B$28/100))*$B31),IF(R$27="kg/t SAR",(R$28*$B31),IF(R$27="kg/t DM",((R$28*($B$28/100))*$B31),IF(R$27="mg/kg SAR",((R$28*0.001)*$B31),IF(R$27="mg/kg DM",(((R$28*0.001)*($B$28/100))*$B31),0))))))</f>
        <v>0.45600000000000002</v>
      </c>
      <c r="S31" s="65">
        <f>IF(S$27="%w/w SAR",((S$28*10)*$B31),IF(S$27="%w/w DM",(((S$28*10)*($B$28/100))*$B31),IF(S$27="kg/t SAR",(S$28*$B31),IF(S$27="kg/t DM",((S$28*($B$28/100))*$B31),IF(S$27="mg/kg SAR",((S$28*0.001)*$B31),IF(S$27="mg/kg DM",(((S$28*0.001)*($B$28/100))*$B31),0))))))</f>
        <v>1.3983999999999999</v>
      </c>
      <c r="T31" s="65">
        <f>IF(T$27="%w/w SAR",((T$28*10)*$B31),IF(T$27="%w/w DM",(((T$28*10)*($B$28/100))*$B31),IF(T$27="kg/t SAR",(T$28*$B31),IF(T$27="kg/t DM",((T$28*($B$28/100))*$B31),IF(T$27="mg/kg SAR",((T$28*0.001)*$B31),IF(T$27="mg/kg DM",(((T$28*0.001)*($B$28/100))*$B31),0))))))</f>
        <v>1.52E-2</v>
      </c>
      <c r="U31" s="126">
        <f>IF(U$27="%w/w SAR",((U$28*10)*$B31),IF(U$27="%w/w DM",(((U$28*10)*($B$28/100))*$B31),IF(U$27="kg/t SAR",(U$28*$B31),IF(U$27="kg/t DM",((U$28*($B$28/100))*$B31),IF(U$27="mg/kg SAR",((U$28*0.001)*$B31),IF(U$27="mg/kg DM",(((U$28*0.001)*($B$28/100))*$B31),0))))))</f>
        <v>0.30399999999999999</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0.21887999999999996</v>
      </c>
      <c r="D32" s="65">
        <f t="shared" ref="D32:D50" si="7">(IF(D$27="%w/w SAR",((D$28*10)*$B32),IF(D$27="%w/w DM",(((D$28*10)*($B$28/100))*$B32),IF(D$27="kg/t SAR",(D$28*$B32),IF(D$27="kg/t DM",((D$28*($B$28/100))*$B32),IF(D$27="mg/kg SAR",((D$28*0.001)*$B32),IF(D$27="mg/kg DM",(((D$28*0.001)*($B$28/100))*$B32),"0")))))))*2.291</f>
        <v>130.23876799999999</v>
      </c>
      <c r="E32" s="65">
        <f t="shared" ref="E32:E50" si="8">(IF(E$27="%w/w SAR",((E$28*10)*$B32),IF(E$27="%w/w DM",(((E$28*10)*($B$28/100))*$B32),IF(E$27="kg/t SAR",(E$28*$B32),IF(E$27="kg/t DM",((E$28*($B$28/100))*$B32),IF(E$27="mg/kg SAR",((E$28*0.001)*$B32),IF(E$27="mg/kg DM",(((E$28*0.001)*($B$28/100))*$B32),"0")))))))*1.205</f>
        <v>63.007040000000011</v>
      </c>
      <c r="F32" s="65">
        <f t="shared" ref="F32:F50" si="9">(IF(F$27="%w/w SAR",((F$28*10)*$B32),IF(F$27="%w/w DM",(((F$28*10)*($B$28/100))*$B32),IF(F$27="kg/t SAR",(F$28*$B32),IF(F$27="kg/t DM",((F$28*($B$28/100))*$B32),IF(F$27="mg/kg SAR",((F$28*0.001)*$B32),IF(F$27="mg/kg DM",(((F$28*0.001)*($B$28/100))*$B32),"0")))))))*1.658</f>
        <v>128.52816000000001</v>
      </c>
      <c r="G32" s="65">
        <f t="shared" si="5"/>
        <v>10.275199999999998</v>
      </c>
      <c r="H32" s="65">
        <f t="shared" si="5"/>
        <v>49.643200000000007</v>
      </c>
      <c r="I32" s="65">
        <f t="shared" si="5"/>
        <v>12.828799999999999</v>
      </c>
      <c r="J32" s="65">
        <f t="shared" si="5"/>
        <v>0.2432</v>
      </c>
      <c r="K32" s="65">
        <f t="shared" si="5"/>
        <v>0.152</v>
      </c>
      <c r="L32" s="65">
        <f t="shared" si="5"/>
        <v>9.9408000000000012</v>
      </c>
      <c r="M32" s="65">
        <f t="shared" si="5"/>
        <v>10.396799999999999</v>
      </c>
      <c r="N32" s="65">
        <f t="shared" si="5"/>
        <v>0</v>
      </c>
      <c r="O32" s="65">
        <f t="shared" si="5"/>
        <v>0</v>
      </c>
      <c r="P32" s="65">
        <f t="shared" si="5"/>
        <v>79.343999999999994</v>
      </c>
      <c r="Q32" s="65">
        <f t="shared" ref="Q32:Q50" si="10">(IF(Q$27="%w/w SAR",((Q$28*10)*$B32),IF(Q$27="%w/w DM",(((Q$28*10)*($B$28/100))*$B32),IF(Q$27="kg/t SAR",(Q$28*$B32),IF(Q$27="kg/t DM",((Q$28*($B$28/100))*$B32),IF(Q$27="mg/kg SAR",((Q$28*0.001)*$B32),IF(Q$27="mg/kg DM",(((Q$28*0.001)*($B$28/100))*$B32),0)))))))*2.5</f>
        <v>8.131999999999999E-2</v>
      </c>
      <c r="R32" s="65">
        <f t="shared" ref="R32:U50" si="11">IF(R$27="%w/w SAR",((R$28*10)*$B32),IF(R$27="%w/w DM",(((R$28*10)*($B$28/100))*$B32),IF(R$27="kg/t SAR",(R$28*$B32),IF(R$27="kg/t DM",((R$28*($B$28/100))*$B32),IF(R$27="mg/kg SAR",((R$28*0.001)*$B32),IF(R$27="mg/kg DM",(((R$28*0.001)*($B$28/100))*$B32),0))))))</f>
        <v>0.45600000000000002</v>
      </c>
      <c r="S32" s="65">
        <f t="shared" si="11"/>
        <v>1.3983999999999999</v>
      </c>
      <c r="T32" s="65">
        <f t="shared" si="11"/>
        <v>1.52E-2</v>
      </c>
      <c r="U32" s="126">
        <f t="shared" si="11"/>
        <v>0.30399999999999999</v>
      </c>
    </row>
    <row r="33" spans="1:21" s="48" customFormat="1" ht="13" x14ac:dyDescent="0.35">
      <c r="A33" s="125" t="str">
        <f>E8</f>
        <v>IV WG2</v>
      </c>
      <c r="B33" s="11">
        <v>2000</v>
      </c>
      <c r="C33" s="65">
        <f t="shared" si="6"/>
        <v>0.21887999999999996</v>
      </c>
      <c r="D33" s="65">
        <f t="shared" si="7"/>
        <v>130.23876799999999</v>
      </c>
      <c r="E33" s="65">
        <f t="shared" si="8"/>
        <v>63.007040000000011</v>
      </c>
      <c r="F33" s="65">
        <f t="shared" si="9"/>
        <v>128.52816000000001</v>
      </c>
      <c r="G33" s="65">
        <f t="shared" si="5"/>
        <v>10.275199999999998</v>
      </c>
      <c r="H33" s="65">
        <f t="shared" si="5"/>
        <v>49.643200000000007</v>
      </c>
      <c r="I33" s="65">
        <f t="shared" si="5"/>
        <v>12.828799999999999</v>
      </c>
      <c r="J33" s="65">
        <f t="shared" si="5"/>
        <v>0.2432</v>
      </c>
      <c r="K33" s="65">
        <f t="shared" si="5"/>
        <v>0.152</v>
      </c>
      <c r="L33" s="65">
        <f t="shared" si="5"/>
        <v>9.9408000000000012</v>
      </c>
      <c r="M33" s="65">
        <f t="shared" si="5"/>
        <v>10.396799999999999</v>
      </c>
      <c r="N33" s="65">
        <f t="shared" si="5"/>
        <v>0</v>
      </c>
      <c r="O33" s="65">
        <f t="shared" si="5"/>
        <v>0</v>
      </c>
      <c r="P33" s="65">
        <f t="shared" si="5"/>
        <v>79.343999999999994</v>
      </c>
      <c r="Q33" s="65">
        <f t="shared" si="10"/>
        <v>8.131999999999999E-2</v>
      </c>
      <c r="R33" s="65">
        <f t="shared" si="11"/>
        <v>0.45600000000000002</v>
      </c>
      <c r="S33" s="65">
        <f t="shared" si="11"/>
        <v>1.3983999999999999</v>
      </c>
      <c r="T33" s="65">
        <f t="shared" si="11"/>
        <v>1.52E-2</v>
      </c>
      <c r="U33" s="126">
        <f t="shared" si="11"/>
        <v>0.30399999999999999</v>
      </c>
    </row>
    <row r="34" spans="1:21" s="48" customFormat="1" ht="13" x14ac:dyDescent="0.35">
      <c r="A34" s="125" t="str">
        <f>F8</f>
        <v>IV WG3</v>
      </c>
      <c r="B34" s="11">
        <v>2000</v>
      </c>
      <c r="C34" s="65">
        <f t="shared" si="6"/>
        <v>0.21887999999999996</v>
      </c>
      <c r="D34" s="65">
        <f t="shared" si="7"/>
        <v>130.23876799999999</v>
      </c>
      <c r="E34" s="65">
        <f t="shared" si="8"/>
        <v>63.007040000000011</v>
      </c>
      <c r="F34" s="65">
        <f t="shared" si="9"/>
        <v>128.52816000000001</v>
      </c>
      <c r="G34" s="65">
        <f t="shared" si="5"/>
        <v>10.275199999999998</v>
      </c>
      <c r="H34" s="65">
        <f t="shared" si="5"/>
        <v>49.643200000000007</v>
      </c>
      <c r="I34" s="65">
        <f t="shared" si="5"/>
        <v>12.828799999999999</v>
      </c>
      <c r="J34" s="65">
        <f t="shared" si="5"/>
        <v>0.2432</v>
      </c>
      <c r="K34" s="65">
        <f t="shared" si="5"/>
        <v>0.152</v>
      </c>
      <c r="L34" s="65">
        <f t="shared" si="5"/>
        <v>9.9408000000000012</v>
      </c>
      <c r="M34" s="65">
        <f t="shared" si="5"/>
        <v>10.396799999999999</v>
      </c>
      <c r="N34" s="65">
        <f t="shared" si="5"/>
        <v>0</v>
      </c>
      <c r="O34" s="65">
        <f t="shared" si="5"/>
        <v>0</v>
      </c>
      <c r="P34" s="65">
        <f t="shared" si="5"/>
        <v>79.343999999999994</v>
      </c>
      <c r="Q34" s="65">
        <f t="shared" si="10"/>
        <v>8.131999999999999E-2</v>
      </c>
      <c r="R34" s="65">
        <f t="shared" si="11"/>
        <v>0.45600000000000002</v>
      </c>
      <c r="S34" s="65">
        <f t="shared" si="11"/>
        <v>1.3983999999999999</v>
      </c>
      <c r="T34" s="65">
        <f t="shared" si="11"/>
        <v>1.52E-2</v>
      </c>
      <c r="U34" s="126">
        <f t="shared" si="11"/>
        <v>0.30399999999999999</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"&amp;(VLOOKUP(C14,Table245811[],6,FALSE))</f>
        <v>#N/A</v>
      </c>
      <c r="C58" s="10" t="e">
        <f>D16&amp;" I "&amp;(VLOOKUP(D14,Table245811[],6,FALSE))</f>
        <v>#N/A</v>
      </c>
      <c r="D58" s="10" t="e">
        <f>E16&amp;" I "&amp;(VLOOKUP(E14,Table245811[],6,FALSE))</f>
        <v>#N/A</v>
      </c>
      <c r="E58" s="10" t="e">
        <f>F16&amp;" I "&amp;(VLOOKUP(F14,Table245811[],6,FALSE))</f>
        <v>#N/A</v>
      </c>
      <c r="F58" s="10" t="e">
        <f>G16&amp;" I "&amp;(VLOOKUP(G14,Table245811[],6,FALSE))</f>
        <v>#N/A</v>
      </c>
      <c r="G58" s="10" t="e">
        <f>H16&amp;" I "&amp;(VLOOKUP(H14,Table245811[],6,FALSE))</f>
        <v>#N/A</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t="e">
        <f>VLOOKUP(C$14,Table245811[],5,FALSE)</f>
        <v>#N/A</v>
      </c>
      <c r="C59" s="64" t="e">
        <f>VLOOKUP(D$14,Table245811[],5,FALSE)</f>
        <v>#N/A</v>
      </c>
      <c r="D59" s="64" t="e">
        <f>VLOOKUP(E$14,Table245811[],5,FALSE)</f>
        <v>#N/A</v>
      </c>
      <c r="E59" s="64" t="e">
        <f>VLOOKUP(F$14,Table245811[],5,FALSE)</f>
        <v>#N/A</v>
      </c>
      <c r="F59" s="64" t="e">
        <f>VLOOKUP(G$14,Table245811[],5,FALSE)</f>
        <v>#N/A</v>
      </c>
      <c r="G59" s="64" t="e">
        <f>VLOOKUP(H$14,Table245811[],5,FALSE)</f>
        <v>#N/A</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2000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39" operator="greaterThan">
      <formula>$B$51</formula>
    </cfRule>
  </conditionalFormatting>
  <conditionalFormatting sqref="B66:U66">
    <cfRule type="cellIs" dxfId="259" priority="14" operator="equal">
      <formula>"UNDER"</formula>
    </cfRule>
    <cfRule type="cellIs" dxfId="258" priority="15" operator="equal">
      <formula>"OVER"</formula>
    </cfRule>
  </conditionalFormatting>
  <conditionalFormatting sqref="C31:C50">
    <cfRule type="cellIs" dxfId="257" priority="38" operator="greaterThan">
      <formula>$C$51</formula>
    </cfRule>
  </conditionalFormatting>
  <conditionalFormatting sqref="C11:V13">
    <cfRule type="cellIs" dxfId="256" priority="1" operator="greaterThan">
      <formula>2</formula>
    </cfRule>
  </conditionalFormatting>
  <conditionalFormatting sqref="C17:V19">
    <cfRule type="cellIs" dxfId="255" priority="35" operator="equal">
      <formula>0</formula>
    </cfRule>
  </conditionalFormatting>
  <conditionalFormatting sqref="C20:V21">
    <cfRule type="cellIs" dxfId="254" priority="40" operator="equal">
      <formula>"DECREASE"</formula>
    </cfRule>
    <cfRule type="cellIs" dxfId="253" priority="41" operator="equal">
      <formula>"INCREASE"</formula>
    </cfRule>
  </conditionalFormatting>
  <conditionalFormatting sqref="C21:V21">
    <cfRule type="cellIs" dxfId="252" priority="16" operator="equal">
      <formula>0</formula>
    </cfRule>
  </conditionalFormatting>
  <conditionalFormatting sqref="C22:V23">
    <cfRule type="cellIs" dxfId="251" priority="20" operator="equal">
      <formula>0</formula>
    </cfRule>
  </conditionalFormatting>
  <conditionalFormatting sqref="C24:V24">
    <cfRule type="cellIs" dxfId="250" priority="21" operator="equal">
      <formula>"DECREASE"</formula>
    </cfRule>
    <cfRule type="cellIs" dxfId="249" priority="22" operator="equal">
      <formula>"INCREASE"</formula>
    </cfRule>
  </conditionalFormatting>
  <conditionalFormatting sqref="G31:G50">
    <cfRule type="cellIs" dxfId="248" priority="34" operator="greaterThan">
      <formula>$G$51</formula>
    </cfRule>
  </conditionalFormatting>
  <conditionalFormatting sqref="H31:H50">
    <cfRule type="cellIs" dxfId="247" priority="33" operator="greaterThan">
      <formula>$H$51</formula>
    </cfRule>
  </conditionalFormatting>
  <conditionalFormatting sqref="I1">
    <cfRule type="cellIs" dxfId="246" priority="6" operator="between">
      <formula>0.1</formula>
      <formula>5</formula>
    </cfRule>
  </conditionalFormatting>
  <conditionalFormatting sqref="I2">
    <cfRule type="cellIs" dxfId="245" priority="5" operator="greaterThan">
      <formula>5000.1</formula>
    </cfRule>
  </conditionalFormatting>
  <conditionalFormatting sqref="I3">
    <cfRule type="cellIs" dxfId="244" priority="4" operator="greaterThan">
      <formula>40000.01</formula>
    </cfRule>
  </conditionalFormatting>
  <conditionalFormatting sqref="I31:I50">
    <cfRule type="cellIs" dxfId="243" priority="32" operator="greaterThan">
      <formula>$I$51</formula>
    </cfRule>
  </conditionalFormatting>
  <conditionalFormatting sqref="J31:J50">
    <cfRule type="cellIs" dxfId="242" priority="11" operator="greaterThan">
      <formula>$J$51</formula>
    </cfRule>
  </conditionalFormatting>
  <conditionalFormatting sqref="K31:K50">
    <cfRule type="cellIs" dxfId="241" priority="31" operator="greaterThan">
      <formula>$K$51</formula>
    </cfRule>
  </conditionalFormatting>
  <conditionalFormatting sqref="L3">
    <cfRule type="cellIs" dxfId="240" priority="7" operator="lessThan">
      <formula>30</formula>
    </cfRule>
    <cfRule type="cellIs" dxfId="239" priority="8" operator="greaterThanOrEqual">
      <formula>30</formula>
    </cfRule>
  </conditionalFormatting>
  <conditionalFormatting sqref="L31:L50">
    <cfRule type="cellIs" dxfId="238" priority="30" operator="greaterThan">
      <formula>$L$51</formula>
    </cfRule>
  </conditionalFormatting>
  <conditionalFormatting sqref="M31:M50">
    <cfRule type="cellIs" dxfId="237" priority="29" operator="greaterThan">
      <formula>$M$51</formula>
    </cfRule>
  </conditionalFormatting>
  <conditionalFormatting sqref="P31:P50">
    <cfRule type="cellIs" dxfId="236" priority="28" operator="greaterThan">
      <formula>$P$51</formula>
    </cfRule>
  </conditionalFormatting>
  <conditionalFormatting sqref="R31:R50">
    <cfRule type="cellIs" dxfId="235" priority="27" operator="greaterThan">
      <formula>$R$51</formula>
    </cfRule>
  </conditionalFormatting>
  <conditionalFormatting sqref="S31:S50">
    <cfRule type="cellIs" dxfId="234" priority="26" operator="greaterThan">
      <formula>$S$51</formula>
    </cfRule>
  </conditionalFormatting>
  <conditionalFormatting sqref="T31:T50">
    <cfRule type="cellIs" dxfId="233" priority="25" operator="greaterThan">
      <formula>$T$51</formula>
    </cfRule>
  </conditionalFormatting>
  <conditionalFormatting sqref="U31:U50">
    <cfRule type="cellIs" dxfId="232"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M4" sqref="M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v>
      </c>
      <c r="J1" s="161" t="s">
        <v>153</v>
      </c>
      <c r="K1" s="162"/>
      <c r="L1" s="109">
        <v>6.2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141</v>
      </c>
      <c r="J2" s="141" t="s">
        <v>158</v>
      </c>
      <c r="K2" s="142"/>
      <c r="L2" s="110">
        <v>0.63</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4.05</v>
      </c>
      <c r="J3" s="163" t="s">
        <v>154</v>
      </c>
      <c r="K3" s="164"/>
      <c r="L3" s="110">
        <f>(L1/(L2*10000))*100</f>
        <v>9.8412698412698424E-2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180</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59.753861999999998</v>
      </c>
      <c r="D18" s="12">
        <f>$D32</f>
        <v>59.753861999999998</v>
      </c>
      <c r="E18" s="12">
        <f>$D33</f>
        <v>59.753861999999998</v>
      </c>
      <c r="F18" s="12">
        <f>$D34</f>
        <v>29.876930999999999</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24.401250000000001</v>
      </c>
      <c r="D22" s="12">
        <f>$E32</f>
        <v>24.401250000000001</v>
      </c>
      <c r="E22" s="12">
        <f>$E33</f>
        <v>24.401250000000001</v>
      </c>
      <c r="F22" s="12">
        <f>$E34</f>
        <v>12.200625</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8.1</v>
      </c>
      <c r="C28" s="11">
        <v>0.63</v>
      </c>
      <c r="D28" s="11">
        <v>161</v>
      </c>
      <c r="E28" s="11">
        <v>125</v>
      </c>
      <c r="F28" s="11">
        <v>210</v>
      </c>
      <c r="G28" s="11">
        <v>25.9</v>
      </c>
      <c r="H28" s="11">
        <v>125.5</v>
      </c>
      <c r="I28" s="11">
        <v>39.6</v>
      </c>
      <c r="J28" s="11">
        <v>0.6</v>
      </c>
      <c r="K28" s="15">
        <v>0.5</v>
      </c>
      <c r="L28" s="11">
        <v>22.7</v>
      </c>
      <c r="M28" s="11">
        <v>23.7</v>
      </c>
      <c r="N28" s="11"/>
      <c r="O28" s="11"/>
      <c r="P28" s="11">
        <v>274</v>
      </c>
      <c r="Q28" s="11">
        <v>8.8999999999999996E-2</v>
      </c>
      <c r="R28" s="11">
        <v>1.2</v>
      </c>
      <c r="S28" s="11">
        <v>3.6</v>
      </c>
      <c r="T28" s="11">
        <v>0.5</v>
      </c>
      <c r="U28" s="97">
        <v>1</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1020.5999999999999</v>
      </c>
      <c r="D31" s="65">
        <f>(IF(D$27="%w/w SAR",((D$28*10)*$B31),IF(D$27="%w/w DM",(((D$28*10)*($B$28/100))*$B31),IF(D$27="kg/t SAR",(D$28*$B31),IF(D$27="kg/t DM",((D$28*($B$28/100))*$B31),IF(D$27="mg/kg SAR",((D$28*0.001)*$B31),IF(D$27="mg/kg DM",(((D$28*0.001)*($B$28/100))*$B31),"0")))))))*2.291</f>
        <v>59.753861999999998</v>
      </c>
      <c r="E31" s="65">
        <f>(IF(E$27="%w/w SAR",((E$28*10)*$B31),IF(E$27="%w/w DM",(((E$28*10)*($B$28/100))*$B31),IF(E$27="kg/t SAR",(E$28*$B31),IF(E$27="kg/t DM",((E$28*($B$28/100))*$B31),IF(E$27="mg/kg SAR",((E$28*0.001)*$B31),IF(E$27="mg/kg DM",(((E$28*0.001)*($B$28/100))*$B31),"0")))))))*1.205</f>
        <v>24.401250000000001</v>
      </c>
      <c r="F31" s="65">
        <f>(IF(F$27="%w/w SAR",((F$28*10)*$B31),IF(F$27="%w/w DM",(((F$28*10)*($B$28/100))*$B31),IF(F$27="kg/t SAR",(F$28*$B31),IF(F$27="kg/t DM",((F$28*($B$28/100))*$B31),IF(F$27="mg/kg SAR",((F$28*0.001)*$B31),IF(F$27="mg/kg DM",(((F$28*0.001)*($B$28/100))*$B31),"0")))))))*1.658</f>
        <v>56.405160000000002</v>
      </c>
      <c r="G31" s="65">
        <f t="shared" ref="G31:P46" si="5">IF(G$27="%w/w SAR",((G$28*10)*$B31),IF(G$27="%w/w DM",(((G$28*10)*($B$28/100))*$B31),IF(G$27="kg/t SAR",(G$28*$B31),IF(G$27="kg/t DM",((G$28*($B$28/100))*$B31),IF(G$27="mg/kg SAR",((G$28*0.001)*$B31),IF(G$27="mg/kg DM",(((G$28*0.001)*($B$28/100))*$B31),0))))))</f>
        <v>4.1958000000000002</v>
      </c>
      <c r="H31" s="65">
        <f t="shared" si="5"/>
        <v>20.331000000000003</v>
      </c>
      <c r="I31" s="65">
        <f t="shared" si="5"/>
        <v>6.4152000000000013</v>
      </c>
      <c r="J31" s="65">
        <f t="shared" si="5"/>
        <v>9.7199999999999995E-2</v>
      </c>
      <c r="K31" s="65">
        <f t="shared" si="5"/>
        <v>8.1000000000000003E-2</v>
      </c>
      <c r="L31" s="65">
        <f t="shared" si="5"/>
        <v>3.6774000000000004</v>
      </c>
      <c r="M31" s="65">
        <f t="shared" si="5"/>
        <v>3.8393999999999999</v>
      </c>
      <c r="N31" s="65">
        <f t="shared" si="5"/>
        <v>0</v>
      </c>
      <c r="O31" s="65">
        <f t="shared" si="5"/>
        <v>0</v>
      </c>
      <c r="P31" s="65">
        <f t="shared" si="5"/>
        <v>44.388000000000005</v>
      </c>
      <c r="Q31" s="65">
        <f>(IF(Q$27="%w/w SAR",((Q$28*10)*$B31),IF(Q$27="%w/w DM",(((Q$28*10)*($B$28/100))*$B31),IF(Q$27="kg/t SAR",(Q$28*$B31),IF(Q$27="kg/t DM",((Q$28*($B$28/100))*$B31),IF(Q$27="mg/kg SAR",((Q$28*0.001)*$B31),IF(Q$27="mg/kg DM",(((Q$28*0.001)*($B$28/100))*$B31),0)))))))*2.5</f>
        <v>3.6045000000000001E-2</v>
      </c>
      <c r="R31" s="65">
        <f>IF(R$27="%w/w SAR",((R$28*10)*$B31),IF(R$27="%w/w DM",(((R$28*10)*($B$28/100))*$B31),IF(R$27="kg/t SAR",(R$28*$B31),IF(R$27="kg/t DM",((R$28*($B$28/100))*$B31),IF(R$27="mg/kg SAR",((R$28*0.001)*$B31),IF(R$27="mg/kg DM",(((R$28*0.001)*($B$28/100))*$B31),0))))))</f>
        <v>0.19439999999999999</v>
      </c>
      <c r="S31" s="65">
        <f>IF(S$27="%w/w SAR",((S$28*10)*$B31),IF(S$27="%w/w DM",(((S$28*10)*($B$28/100))*$B31),IF(S$27="kg/t SAR",(S$28*$B31),IF(S$27="kg/t DM",((S$28*($B$28/100))*$B31),IF(S$27="mg/kg SAR",((S$28*0.001)*$B31),IF(S$27="mg/kg DM",(((S$28*0.001)*($B$28/100))*$B31),0))))))</f>
        <v>0.58320000000000005</v>
      </c>
      <c r="T31" s="65">
        <f>IF(T$27="%w/w SAR",((T$28*10)*$B31),IF(T$27="%w/w DM",(((T$28*10)*($B$28/100))*$B31),IF(T$27="kg/t SAR",(T$28*$B31),IF(T$27="kg/t DM",((T$28*($B$28/100))*$B31),IF(T$27="mg/kg SAR",((T$28*0.001)*$B31),IF(T$27="mg/kg DM",(((T$28*0.001)*($B$28/100))*$B31),0))))))</f>
        <v>8.1000000000000003E-2</v>
      </c>
      <c r="U31" s="126">
        <f>IF(U$27="%w/w SAR",((U$28*10)*$B31),IF(U$27="%w/w DM",(((U$28*10)*($B$28/100))*$B31),IF(U$27="kg/t SAR",(U$28*$B31),IF(U$27="kg/t DM",((U$28*($B$28/100))*$B31),IF(U$27="mg/kg SAR",((U$28*0.001)*$B31),IF(U$27="mg/kg DM",(((U$28*0.001)*($B$28/100))*$B31),0))))))</f>
        <v>0.16200000000000001</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1020.5999999999999</v>
      </c>
      <c r="D32" s="65">
        <f t="shared" ref="D32:D50" si="7">(IF(D$27="%w/w SAR",((D$28*10)*$B32),IF(D$27="%w/w DM",(((D$28*10)*($B$28/100))*$B32),IF(D$27="kg/t SAR",(D$28*$B32),IF(D$27="kg/t DM",((D$28*($B$28/100))*$B32),IF(D$27="mg/kg SAR",((D$28*0.001)*$B32),IF(D$27="mg/kg DM",(((D$28*0.001)*($B$28/100))*$B32),"0")))))))*2.291</f>
        <v>59.753861999999998</v>
      </c>
      <c r="E32" s="65">
        <f t="shared" ref="E32:E50" si="8">(IF(E$27="%w/w SAR",((E$28*10)*$B32),IF(E$27="%w/w DM",(((E$28*10)*($B$28/100))*$B32),IF(E$27="kg/t SAR",(E$28*$B32),IF(E$27="kg/t DM",((E$28*($B$28/100))*$B32),IF(E$27="mg/kg SAR",((E$28*0.001)*$B32),IF(E$27="mg/kg DM",(((E$28*0.001)*($B$28/100))*$B32),"0")))))))*1.205</f>
        <v>24.401250000000001</v>
      </c>
      <c r="F32" s="65">
        <f t="shared" ref="F32:F50" si="9">(IF(F$27="%w/w SAR",((F$28*10)*$B32),IF(F$27="%w/w DM",(((F$28*10)*($B$28/100))*$B32),IF(F$27="kg/t SAR",(F$28*$B32),IF(F$27="kg/t DM",((F$28*($B$28/100))*$B32),IF(F$27="mg/kg SAR",((F$28*0.001)*$B32),IF(F$27="mg/kg DM",(((F$28*0.001)*($B$28/100))*$B32),"0")))))))*1.658</f>
        <v>56.405160000000002</v>
      </c>
      <c r="G32" s="65">
        <f t="shared" si="5"/>
        <v>4.1958000000000002</v>
      </c>
      <c r="H32" s="65">
        <f t="shared" si="5"/>
        <v>20.331000000000003</v>
      </c>
      <c r="I32" s="65">
        <f t="shared" si="5"/>
        <v>6.4152000000000013</v>
      </c>
      <c r="J32" s="65">
        <f t="shared" si="5"/>
        <v>9.7199999999999995E-2</v>
      </c>
      <c r="K32" s="65">
        <f t="shared" si="5"/>
        <v>8.1000000000000003E-2</v>
      </c>
      <c r="L32" s="65">
        <f t="shared" si="5"/>
        <v>3.6774000000000004</v>
      </c>
      <c r="M32" s="65">
        <f t="shared" si="5"/>
        <v>3.8393999999999999</v>
      </c>
      <c r="N32" s="65">
        <f t="shared" si="5"/>
        <v>0</v>
      </c>
      <c r="O32" s="65">
        <f t="shared" si="5"/>
        <v>0</v>
      </c>
      <c r="P32" s="65">
        <f t="shared" si="5"/>
        <v>44.388000000000005</v>
      </c>
      <c r="Q32" s="65">
        <f t="shared" ref="Q32:Q50" si="10">(IF(Q$27="%w/w SAR",((Q$28*10)*$B32),IF(Q$27="%w/w DM",(((Q$28*10)*($B$28/100))*$B32),IF(Q$27="kg/t SAR",(Q$28*$B32),IF(Q$27="kg/t DM",((Q$28*($B$28/100))*$B32),IF(Q$27="mg/kg SAR",((Q$28*0.001)*$B32),IF(Q$27="mg/kg DM",(((Q$28*0.001)*($B$28/100))*$B32),0)))))))*2.5</f>
        <v>3.6045000000000001E-2</v>
      </c>
      <c r="R32" s="65">
        <f t="shared" ref="R32:U50" si="11">IF(R$27="%w/w SAR",((R$28*10)*$B32),IF(R$27="%w/w DM",(((R$28*10)*($B$28/100))*$B32),IF(R$27="kg/t SAR",(R$28*$B32),IF(R$27="kg/t DM",((R$28*($B$28/100))*$B32),IF(R$27="mg/kg SAR",((R$28*0.001)*$B32),IF(R$27="mg/kg DM",(((R$28*0.001)*($B$28/100))*$B32),0))))))</f>
        <v>0.19439999999999999</v>
      </c>
      <c r="S32" s="65">
        <f t="shared" si="11"/>
        <v>0.58320000000000005</v>
      </c>
      <c r="T32" s="65">
        <f t="shared" si="11"/>
        <v>8.1000000000000003E-2</v>
      </c>
      <c r="U32" s="126">
        <f t="shared" si="11"/>
        <v>0.16200000000000001</v>
      </c>
    </row>
    <row r="33" spans="1:21" s="48" customFormat="1" ht="13" x14ac:dyDescent="0.35">
      <c r="A33" s="125" t="str">
        <f>E8</f>
        <v>IV WG2</v>
      </c>
      <c r="B33" s="11">
        <v>2000</v>
      </c>
      <c r="C33" s="65">
        <f t="shared" si="6"/>
        <v>1020.5999999999999</v>
      </c>
      <c r="D33" s="65">
        <f t="shared" si="7"/>
        <v>59.753861999999998</v>
      </c>
      <c r="E33" s="65">
        <f t="shared" si="8"/>
        <v>24.401250000000001</v>
      </c>
      <c r="F33" s="65">
        <f t="shared" si="9"/>
        <v>56.405160000000002</v>
      </c>
      <c r="G33" s="65">
        <f t="shared" si="5"/>
        <v>4.1958000000000002</v>
      </c>
      <c r="H33" s="65">
        <f t="shared" si="5"/>
        <v>20.331000000000003</v>
      </c>
      <c r="I33" s="65">
        <f t="shared" si="5"/>
        <v>6.4152000000000013</v>
      </c>
      <c r="J33" s="65">
        <f t="shared" si="5"/>
        <v>9.7199999999999995E-2</v>
      </c>
      <c r="K33" s="65">
        <f t="shared" si="5"/>
        <v>8.1000000000000003E-2</v>
      </c>
      <c r="L33" s="65">
        <f t="shared" si="5"/>
        <v>3.6774000000000004</v>
      </c>
      <c r="M33" s="65">
        <f t="shared" si="5"/>
        <v>3.8393999999999999</v>
      </c>
      <c r="N33" s="65">
        <f t="shared" si="5"/>
        <v>0</v>
      </c>
      <c r="O33" s="65">
        <f t="shared" si="5"/>
        <v>0</v>
      </c>
      <c r="P33" s="65">
        <f t="shared" si="5"/>
        <v>44.388000000000005</v>
      </c>
      <c r="Q33" s="65">
        <f t="shared" si="10"/>
        <v>3.6045000000000001E-2</v>
      </c>
      <c r="R33" s="65">
        <f t="shared" si="11"/>
        <v>0.19439999999999999</v>
      </c>
      <c r="S33" s="65">
        <f t="shared" si="11"/>
        <v>0.58320000000000005</v>
      </c>
      <c r="T33" s="65">
        <f t="shared" si="11"/>
        <v>8.1000000000000003E-2</v>
      </c>
      <c r="U33" s="126">
        <f t="shared" si="11"/>
        <v>0.16200000000000001</v>
      </c>
    </row>
    <row r="34" spans="1:21" s="48" customFormat="1" ht="13" x14ac:dyDescent="0.35">
      <c r="A34" s="125" t="str">
        <f>F8</f>
        <v>IV WG3</v>
      </c>
      <c r="B34" s="11">
        <v>1000</v>
      </c>
      <c r="C34" s="65">
        <f t="shared" si="6"/>
        <v>510.29999999999995</v>
      </c>
      <c r="D34" s="65">
        <f t="shared" si="7"/>
        <v>29.876930999999999</v>
      </c>
      <c r="E34" s="65">
        <f t="shared" si="8"/>
        <v>12.200625</v>
      </c>
      <c r="F34" s="65">
        <f t="shared" si="9"/>
        <v>28.202580000000001</v>
      </c>
      <c r="G34" s="65">
        <f t="shared" si="5"/>
        <v>2.0979000000000001</v>
      </c>
      <c r="H34" s="65">
        <f t="shared" si="5"/>
        <v>10.165500000000002</v>
      </c>
      <c r="I34" s="65">
        <f t="shared" si="5"/>
        <v>3.2076000000000007</v>
      </c>
      <c r="J34" s="65">
        <f t="shared" si="5"/>
        <v>4.8599999999999997E-2</v>
      </c>
      <c r="K34" s="65">
        <f t="shared" si="5"/>
        <v>4.0500000000000001E-2</v>
      </c>
      <c r="L34" s="65">
        <f t="shared" si="5"/>
        <v>1.8387000000000002</v>
      </c>
      <c r="M34" s="65">
        <f t="shared" si="5"/>
        <v>1.9197</v>
      </c>
      <c r="N34" s="65">
        <f t="shared" si="5"/>
        <v>0</v>
      </c>
      <c r="O34" s="65">
        <f t="shared" si="5"/>
        <v>0</v>
      </c>
      <c r="P34" s="65">
        <f t="shared" si="5"/>
        <v>22.194000000000003</v>
      </c>
      <c r="Q34" s="65">
        <f t="shared" si="10"/>
        <v>1.80225E-2</v>
      </c>
      <c r="R34" s="65">
        <f t="shared" si="11"/>
        <v>9.7199999999999995E-2</v>
      </c>
      <c r="S34" s="65">
        <f t="shared" si="11"/>
        <v>0.29160000000000003</v>
      </c>
      <c r="T34" s="65">
        <f t="shared" si="11"/>
        <v>4.0500000000000001E-2</v>
      </c>
      <c r="U34" s="126">
        <f t="shared" si="11"/>
        <v>8.1000000000000003E-2</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"&amp;(VLOOKUP(C14,Table24581112[],6,FALSE))</f>
        <v>#N/A</v>
      </c>
      <c r="C58" s="10" t="e">
        <f>D16&amp;" I "&amp;(VLOOKUP(D14,Table24581112[],6,FALSE))</f>
        <v>#N/A</v>
      </c>
      <c r="D58" s="10" t="e">
        <f>E16&amp;" I "&amp;(VLOOKUP(E14,Table24581112[],6,FALSE))</f>
        <v>#N/A</v>
      </c>
      <c r="E58" s="10" t="e">
        <f>F16&amp;" I "&amp;(VLOOKUP(F14,Table24581112[],6,FALSE))</f>
        <v>#N/A</v>
      </c>
      <c r="F58" s="10" t="e">
        <f>G16&amp;" I "&amp;(VLOOKUP(G14,Table24581112[],6,FALSE))</f>
        <v>#N/A</v>
      </c>
      <c r="G58" s="10" t="e">
        <f>H16&amp;" I "&amp;(VLOOKUP(H14,Table24581112[],6,FALSE))</f>
        <v>#N/A</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t="e">
        <f>VLOOKUP(C$14,Table24581112[],5,FALSE)</f>
        <v>#N/A</v>
      </c>
      <c r="C59" s="64" t="e">
        <f>VLOOKUP(D$14,Table24581112[],5,FALSE)</f>
        <v>#N/A</v>
      </c>
      <c r="D59" s="64" t="e">
        <f>VLOOKUP(E$14,Table24581112[],5,FALSE)</f>
        <v>#N/A</v>
      </c>
      <c r="E59" s="64" t="e">
        <f>VLOOKUP(F$14,Table24581112[],5,FALSE)</f>
        <v>#N/A</v>
      </c>
      <c r="F59" s="64" t="e">
        <f>VLOOKUP(G$14,Table24581112[],5,FALSE)</f>
        <v>#N/A</v>
      </c>
      <c r="G59" s="64" t="e">
        <f>VLOOKUP(H$14,Table24581112[],5,FALSE)</f>
        <v>#N/A</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B1" zoomScale="90" zoomScaleNormal="90" workbookViewId="0">
      <selection activeCell="B39" sqref="B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v>
      </c>
      <c r="J1" s="161" t="s">
        <v>153</v>
      </c>
      <c r="K1" s="162"/>
      <c r="L1" s="109">
        <v>1.9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116</v>
      </c>
      <c r="J2" s="141" t="s">
        <v>158</v>
      </c>
      <c r="K2" s="142"/>
      <c r="L2" s="110">
        <v>0.54</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2.91</v>
      </c>
      <c r="J3" s="163" t="s">
        <v>154</v>
      </c>
      <c r="K3" s="164"/>
      <c r="L3" s="110">
        <f>(L1/(L2*10000))*100</f>
        <v>3.518518518518518E-2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181</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0.81921577999999995</v>
      </c>
      <c r="D18" s="12">
        <f>$D32</f>
        <v>0.81921577999999995</v>
      </c>
      <c r="E18" s="12">
        <f>$D33</f>
        <v>0.81921577999999995</v>
      </c>
      <c r="F18" s="12">
        <f>$D34</f>
        <v>0.40960788999999997</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25.853034000000005</v>
      </c>
      <c r="D22" s="12">
        <f>$E32</f>
        <v>25.853034000000005</v>
      </c>
      <c r="E22" s="12">
        <f>$E33</f>
        <v>25.853034000000005</v>
      </c>
      <c r="F22" s="12">
        <f>$E34</f>
        <v>12.926517000000002</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9.41</v>
      </c>
      <c r="C28" s="11">
        <v>0.54</v>
      </c>
      <c r="D28" s="11">
        <v>1.9</v>
      </c>
      <c r="E28" s="11">
        <v>114</v>
      </c>
      <c r="F28" s="11">
        <v>196</v>
      </c>
      <c r="G28" s="11">
        <v>24.8</v>
      </c>
      <c r="H28" s="11">
        <v>123.7</v>
      </c>
      <c r="I28" s="11">
        <v>37.4</v>
      </c>
      <c r="J28" s="11">
        <v>0.7</v>
      </c>
      <c r="K28" s="15">
        <v>0.5</v>
      </c>
      <c r="L28" s="11">
        <v>21.5</v>
      </c>
      <c r="M28" s="11">
        <v>22.1</v>
      </c>
      <c r="N28" s="11"/>
      <c r="O28" s="11"/>
      <c r="P28" s="11">
        <v>211</v>
      </c>
      <c r="Q28" s="11">
        <v>8.7999999999999995E-2</v>
      </c>
      <c r="R28" s="11">
        <v>1.1000000000000001</v>
      </c>
      <c r="S28" s="11">
        <v>3.4</v>
      </c>
      <c r="T28" s="11">
        <v>0.5</v>
      </c>
      <c r="U28" s="97">
        <v>1</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1016.2800000000001</v>
      </c>
      <c r="D31" s="65">
        <f>(IF(D$27="%w/w SAR",((D$28*10)*$B31),IF(D$27="%w/w DM",(((D$28*10)*($B$28/100))*$B31),IF(D$27="kg/t SAR",(D$28*$B31),IF(D$27="kg/t DM",((D$28*($B$28/100))*$B31),IF(D$27="mg/kg SAR",((D$28*0.001)*$B31),IF(D$27="mg/kg DM",(((D$28*0.001)*($B$28/100))*$B31),"0")))))))*2.291</f>
        <v>0.81921577999999995</v>
      </c>
      <c r="E31" s="65">
        <f>(IF(E$27="%w/w SAR",((E$28*10)*$B31),IF(E$27="%w/w DM",(((E$28*10)*($B$28/100))*$B31),IF(E$27="kg/t SAR",(E$28*$B31),IF(E$27="kg/t DM",((E$28*($B$28/100))*$B31),IF(E$27="mg/kg SAR",((E$28*0.001)*$B31),IF(E$27="mg/kg DM",(((E$28*0.001)*($B$28/100))*$B31),"0")))))))*1.205</f>
        <v>25.853034000000005</v>
      </c>
      <c r="F31" s="65">
        <f>(IF(F$27="%w/w SAR",((F$28*10)*$B31),IF(F$27="%w/w DM",(((F$28*10)*($B$28/100))*$B31),IF(F$27="kg/t SAR",(F$28*$B31),IF(F$27="kg/t DM",((F$28*($B$28/100))*$B31),IF(F$27="mg/kg SAR",((F$28*0.001)*$B31),IF(F$27="mg/kg DM",(((F$28*0.001)*($B$28/100))*$B31),"0")))))))*1.658</f>
        <v>61.1589776</v>
      </c>
      <c r="G31" s="65">
        <f t="shared" ref="G31:P46" si="5">IF(G$27="%w/w SAR",((G$28*10)*$B31),IF(G$27="%w/w DM",(((G$28*10)*($B$28/100))*$B31),IF(G$27="kg/t SAR",(G$28*$B31),IF(G$27="kg/t DM",((G$28*($B$28/100))*$B31),IF(G$27="mg/kg SAR",((G$28*0.001)*$B31),IF(G$27="mg/kg DM",(((G$28*0.001)*($B$28/100))*$B31),0))))))</f>
        <v>4.6673600000000004</v>
      </c>
      <c r="H31" s="65">
        <f t="shared" si="5"/>
        <v>23.280339999999999</v>
      </c>
      <c r="I31" s="65">
        <f t="shared" si="5"/>
        <v>7.0386800000000012</v>
      </c>
      <c r="J31" s="65">
        <f t="shared" si="5"/>
        <v>0.13174</v>
      </c>
      <c r="K31" s="65">
        <f t="shared" si="5"/>
        <v>9.4100000000000017E-2</v>
      </c>
      <c r="L31" s="65">
        <f t="shared" si="5"/>
        <v>4.0463000000000005</v>
      </c>
      <c r="M31" s="65">
        <f t="shared" si="5"/>
        <v>4.1592200000000004</v>
      </c>
      <c r="N31" s="65">
        <f t="shared" si="5"/>
        <v>0</v>
      </c>
      <c r="O31" s="65">
        <f t="shared" si="5"/>
        <v>0</v>
      </c>
      <c r="P31" s="65">
        <f t="shared" si="5"/>
        <v>39.7102</v>
      </c>
      <c r="Q31" s="65">
        <f>(IF(Q$27="%w/w SAR",((Q$28*10)*$B31),IF(Q$27="%w/w DM",(((Q$28*10)*($B$28/100))*$B31),IF(Q$27="kg/t SAR",(Q$28*$B31),IF(Q$27="kg/t DM",((Q$28*($B$28/100))*$B31),IF(Q$27="mg/kg SAR",((Q$28*0.001)*$B31),IF(Q$27="mg/kg DM",(((Q$28*0.001)*($B$28/100))*$B31),0)))))))*2.5</f>
        <v>4.1403999999999996E-2</v>
      </c>
      <c r="R31" s="65">
        <f>IF(R$27="%w/w SAR",((R$28*10)*$B31),IF(R$27="%w/w DM",(((R$28*10)*($B$28/100))*$B31),IF(R$27="kg/t SAR",(R$28*$B31),IF(R$27="kg/t DM",((R$28*($B$28/100))*$B31),IF(R$27="mg/kg SAR",((R$28*0.001)*$B31),IF(R$27="mg/kg DM",(((R$28*0.001)*($B$28/100))*$B31),0))))))</f>
        <v>0.20702000000000001</v>
      </c>
      <c r="S31" s="65">
        <f>IF(S$27="%w/w SAR",((S$28*10)*$B31),IF(S$27="%w/w DM",(((S$28*10)*($B$28/100))*$B31),IF(S$27="kg/t SAR",(S$28*$B31),IF(S$27="kg/t DM",((S$28*($B$28/100))*$B31),IF(S$27="mg/kg SAR",((S$28*0.001)*$B31),IF(S$27="mg/kg DM",(((S$28*0.001)*($B$28/100))*$B31),0))))))</f>
        <v>0.63988</v>
      </c>
      <c r="T31" s="65">
        <f>IF(T$27="%w/w SAR",((T$28*10)*$B31),IF(T$27="%w/w DM",(((T$28*10)*($B$28/100))*$B31),IF(T$27="kg/t SAR",(T$28*$B31),IF(T$27="kg/t DM",((T$28*($B$28/100))*$B31),IF(T$27="mg/kg SAR",((T$28*0.001)*$B31),IF(T$27="mg/kg DM",(((T$28*0.001)*($B$28/100))*$B31),0))))))</f>
        <v>9.4100000000000017E-2</v>
      </c>
      <c r="U31" s="126">
        <f>IF(U$27="%w/w SAR",((U$28*10)*$B31),IF(U$27="%w/w DM",(((U$28*10)*($B$28/100))*$B31),IF(U$27="kg/t SAR",(U$28*$B31),IF(U$27="kg/t DM",((U$28*($B$28/100))*$B31),IF(U$27="mg/kg SAR",((U$28*0.001)*$B31),IF(U$27="mg/kg DM",(((U$28*0.001)*($B$28/100))*$B31),0))))))</f>
        <v>0.18820000000000003</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1016.2800000000001</v>
      </c>
      <c r="D32" s="65">
        <f t="shared" ref="D32:D50" si="7">(IF(D$27="%w/w SAR",((D$28*10)*$B32),IF(D$27="%w/w DM",(((D$28*10)*($B$28/100))*$B32),IF(D$27="kg/t SAR",(D$28*$B32),IF(D$27="kg/t DM",((D$28*($B$28/100))*$B32),IF(D$27="mg/kg SAR",((D$28*0.001)*$B32),IF(D$27="mg/kg DM",(((D$28*0.001)*($B$28/100))*$B32),"0")))))))*2.291</f>
        <v>0.81921577999999995</v>
      </c>
      <c r="E32" s="65">
        <f t="shared" ref="E32:E50" si="8">(IF(E$27="%w/w SAR",((E$28*10)*$B32),IF(E$27="%w/w DM",(((E$28*10)*($B$28/100))*$B32),IF(E$27="kg/t SAR",(E$28*$B32),IF(E$27="kg/t DM",((E$28*($B$28/100))*$B32),IF(E$27="mg/kg SAR",((E$28*0.001)*$B32),IF(E$27="mg/kg DM",(((E$28*0.001)*($B$28/100))*$B32),"0")))))))*1.205</f>
        <v>25.853034000000005</v>
      </c>
      <c r="F32" s="65">
        <f t="shared" ref="F32:F50" si="9">(IF(F$27="%w/w SAR",((F$28*10)*$B32),IF(F$27="%w/w DM",(((F$28*10)*($B$28/100))*$B32),IF(F$27="kg/t SAR",(F$28*$B32),IF(F$27="kg/t DM",((F$28*($B$28/100))*$B32),IF(F$27="mg/kg SAR",((F$28*0.001)*$B32),IF(F$27="mg/kg DM",(((F$28*0.001)*($B$28/100))*$B32),"0")))))))*1.658</f>
        <v>61.1589776</v>
      </c>
      <c r="G32" s="65">
        <f t="shared" si="5"/>
        <v>4.6673600000000004</v>
      </c>
      <c r="H32" s="65">
        <f t="shared" si="5"/>
        <v>23.280339999999999</v>
      </c>
      <c r="I32" s="65">
        <f t="shared" si="5"/>
        <v>7.0386800000000012</v>
      </c>
      <c r="J32" s="65">
        <f t="shared" si="5"/>
        <v>0.13174</v>
      </c>
      <c r="K32" s="65">
        <f t="shared" si="5"/>
        <v>9.4100000000000017E-2</v>
      </c>
      <c r="L32" s="65">
        <f t="shared" si="5"/>
        <v>4.0463000000000005</v>
      </c>
      <c r="M32" s="65">
        <f t="shared" si="5"/>
        <v>4.1592200000000004</v>
      </c>
      <c r="N32" s="65">
        <f t="shared" si="5"/>
        <v>0</v>
      </c>
      <c r="O32" s="65">
        <f t="shared" si="5"/>
        <v>0</v>
      </c>
      <c r="P32" s="65">
        <f t="shared" si="5"/>
        <v>39.7102</v>
      </c>
      <c r="Q32" s="65">
        <f t="shared" ref="Q32:Q50" si="10">(IF(Q$27="%w/w SAR",((Q$28*10)*$B32),IF(Q$27="%w/w DM",(((Q$28*10)*($B$28/100))*$B32),IF(Q$27="kg/t SAR",(Q$28*$B32),IF(Q$27="kg/t DM",((Q$28*($B$28/100))*$B32),IF(Q$27="mg/kg SAR",((Q$28*0.001)*$B32),IF(Q$27="mg/kg DM",(((Q$28*0.001)*($B$28/100))*$B32),0)))))))*2.5</f>
        <v>4.1403999999999996E-2</v>
      </c>
      <c r="R32" s="65">
        <f t="shared" ref="R32:U50" si="11">IF(R$27="%w/w SAR",((R$28*10)*$B32),IF(R$27="%w/w DM",(((R$28*10)*($B$28/100))*$B32),IF(R$27="kg/t SAR",(R$28*$B32),IF(R$27="kg/t DM",((R$28*($B$28/100))*$B32),IF(R$27="mg/kg SAR",((R$28*0.001)*$B32),IF(R$27="mg/kg DM",(((R$28*0.001)*($B$28/100))*$B32),0))))))</f>
        <v>0.20702000000000001</v>
      </c>
      <c r="S32" s="65">
        <f t="shared" si="11"/>
        <v>0.63988</v>
      </c>
      <c r="T32" s="65">
        <f t="shared" si="11"/>
        <v>9.4100000000000017E-2</v>
      </c>
      <c r="U32" s="126">
        <f t="shared" si="11"/>
        <v>0.18820000000000003</v>
      </c>
    </row>
    <row r="33" spans="1:21" s="48" customFormat="1" ht="13" x14ac:dyDescent="0.35">
      <c r="A33" s="125" t="str">
        <f>E8</f>
        <v>IV WG2</v>
      </c>
      <c r="B33" s="11">
        <v>2000</v>
      </c>
      <c r="C33" s="65">
        <f t="shared" si="6"/>
        <v>1016.2800000000001</v>
      </c>
      <c r="D33" s="65">
        <f t="shared" si="7"/>
        <v>0.81921577999999995</v>
      </c>
      <c r="E33" s="65">
        <f t="shared" si="8"/>
        <v>25.853034000000005</v>
      </c>
      <c r="F33" s="65">
        <f t="shared" si="9"/>
        <v>61.1589776</v>
      </c>
      <c r="G33" s="65">
        <f t="shared" si="5"/>
        <v>4.6673600000000004</v>
      </c>
      <c r="H33" s="65">
        <f t="shared" si="5"/>
        <v>23.280339999999999</v>
      </c>
      <c r="I33" s="65">
        <f t="shared" si="5"/>
        <v>7.0386800000000012</v>
      </c>
      <c r="J33" s="65">
        <f t="shared" si="5"/>
        <v>0.13174</v>
      </c>
      <c r="K33" s="65">
        <f t="shared" si="5"/>
        <v>9.4100000000000017E-2</v>
      </c>
      <c r="L33" s="65">
        <f t="shared" si="5"/>
        <v>4.0463000000000005</v>
      </c>
      <c r="M33" s="65">
        <f t="shared" si="5"/>
        <v>4.1592200000000004</v>
      </c>
      <c r="N33" s="65">
        <f t="shared" si="5"/>
        <v>0</v>
      </c>
      <c r="O33" s="65">
        <f t="shared" si="5"/>
        <v>0</v>
      </c>
      <c r="P33" s="65">
        <f t="shared" si="5"/>
        <v>39.7102</v>
      </c>
      <c r="Q33" s="65">
        <f t="shared" si="10"/>
        <v>4.1403999999999996E-2</v>
      </c>
      <c r="R33" s="65">
        <f t="shared" si="11"/>
        <v>0.20702000000000001</v>
      </c>
      <c r="S33" s="65">
        <f t="shared" si="11"/>
        <v>0.63988</v>
      </c>
      <c r="T33" s="65">
        <f t="shared" si="11"/>
        <v>9.4100000000000017E-2</v>
      </c>
      <c r="U33" s="126">
        <f t="shared" si="11"/>
        <v>0.18820000000000003</v>
      </c>
    </row>
    <row r="34" spans="1:21" s="48" customFormat="1" ht="13" x14ac:dyDescent="0.35">
      <c r="A34" s="125" t="str">
        <f>F8</f>
        <v>IV WG3</v>
      </c>
      <c r="B34" s="11">
        <v>1000</v>
      </c>
      <c r="C34" s="65">
        <f t="shared" si="6"/>
        <v>508.14000000000004</v>
      </c>
      <c r="D34" s="65">
        <f t="shared" si="7"/>
        <v>0.40960788999999997</v>
      </c>
      <c r="E34" s="65">
        <f t="shared" si="8"/>
        <v>12.926517000000002</v>
      </c>
      <c r="F34" s="65">
        <f t="shared" si="9"/>
        <v>30.5794888</v>
      </c>
      <c r="G34" s="65">
        <f t="shared" si="5"/>
        <v>2.3336800000000002</v>
      </c>
      <c r="H34" s="65">
        <f t="shared" si="5"/>
        <v>11.640169999999999</v>
      </c>
      <c r="I34" s="65">
        <f t="shared" si="5"/>
        <v>3.5193400000000006</v>
      </c>
      <c r="J34" s="65">
        <f t="shared" si="5"/>
        <v>6.5869999999999998E-2</v>
      </c>
      <c r="K34" s="65">
        <f t="shared" si="5"/>
        <v>4.7050000000000008E-2</v>
      </c>
      <c r="L34" s="65">
        <f t="shared" si="5"/>
        <v>2.0231500000000002</v>
      </c>
      <c r="M34" s="65">
        <f t="shared" si="5"/>
        <v>2.0796100000000002</v>
      </c>
      <c r="N34" s="65">
        <f t="shared" si="5"/>
        <v>0</v>
      </c>
      <c r="O34" s="65">
        <f t="shared" si="5"/>
        <v>0</v>
      </c>
      <c r="P34" s="65">
        <f t="shared" si="5"/>
        <v>19.8551</v>
      </c>
      <c r="Q34" s="65">
        <f t="shared" si="10"/>
        <v>2.0701999999999998E-2</v>
      </c>
      <c r="R34" s="65">
        <f t="shared" si="11"/>
        <v>0.10351</v>
      </c>
      <c r="S34" s="65">
        <f t="shared" si="11"/>
        <v>0.31994</v>
      </c>
      <c r="T34" s="65">
        <f t="shared" si="11"/>
        <v>4.7050000000000008E-2</v>
      </c>
      <c r="U34" s="126">
        <f t="shared" si="11"/>
        <v>9.4100000000000017E-2</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"&amp;(VLOOKUP(C14,Table24581114[],6,FALSE))</f>
        <v>#N/A</v>
      </c>
      <c r="C58" s="10" t="e">
        <f>D16&amp;" I "&amp;(VLOOKUP(D14,Table24581114[],6,FALSE))</f>
        <v>#N/A</v>
      </c>
      <c r="D58" s="10" t="e">
        <f>E16&amp;" I "&amp;(VLOOKUP(E14,Table24581114[],6,FALSE))</f>
        <v>#N/A</v>
      </c>
      <c r="E58" s="10" t="e">
        <f>F16&amp;" I "&amp;(VLOOKUP(F14,Table24581114[],6,FALSE))</f>
        <v>#N/A</v>
      </c>
      <c r="F58" s="10" t="e">
        <f>G16&amp;" I "&amp;(VLOOKUP(G14,Table24581114[],6,FALSE))</f>
        <v>#N/A</v>
      </c>
      <c r="G58" s="10" t="e">
        <f>H16&amp;" I "&amp;(VLOOKUP(H14,Table24581114[],6,FALSE))</f>
        <v>#N/A</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t="e">
        <f>VLOOKUP(C$14,Table24581114[],5,FALSE)</f>
        <v>#N/A</v>
      </c>
      <c r="C59" s="64" t="e">
        <f>VLOOKUP(D$14,Table24581114[],5,FALSE)</f>
        <v>#N/A</v>
      </c>
      <c r="D59" s="64" t="e">
        <f>VLOOKUP(E$14,Table24581114[],5,FALSE)</f>
        <v>#N/A</v>
      </c>
      <c r="E59" s="64" t="e">
        <f>VLOOKUP(F$14,Table24581114[],5,FALSE)</f>
        <v>#N/A</v>
      </c>
      <c r="F59" s="64" t="e">
        <f>VLOOKUP(G$14,Table24581114[],5,FALSE)</f>
        <v>#N/A</v>
      </c>
      <c r="G59" s="64" t="e">
        <f>VLOOKUP(H$14,Table24581114[],5,FALSE)</f>
        <v>#N/A</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I1"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v>
      </c>
      <c r="J1" s="161" t="s">
        <v>153</v>
      </c>
      <c r="K1" s="162"/>
      <c r="L1" s="109">
        <v>5.0999999999999996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266</v>
      </c>
      <c r="J2" s="141" t="s">
        <v>158</v>
      </c>
      <c r="K2" s="142"/>
      <c r="L2" s="110">
        <v>0.73</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3.01</v>
      </c>
      <c r="J3" s="163" t="s">
        <v>154</v>
      </c>
      <c r="K3" s="164"/>
      <c r="L3" s="110">
        <f>(L1/(L2*10000))*100</f>
        <v>6.9863013698630128E-2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182</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325.41363999999999</v>
      </c>
      <c r="D18" s="12">
        <f>$D32</f>
        <v>325.41363999999999</v>
      </c>
      <c r="E18" s="12">
        <f>$D33</f>
        <v>325.41363999999999</v>
      </c>
      <c r="F18" s="12">
        <f>$D34</f>
        <v>162.70681999999999</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126.19724000000002</v>
      </c>
      <c r="D22" s="12">
        <f>$E32</f>
        <v>126.19724000000002</v>
      </c>
      <c r="E22" s="12">
        <f>$E33</f>
        <v>126.19724000000002</v>
      </c>
      <c r="F22" s="12">
        <f>$E34</f>
        <v>63.098620000000011</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21.2</v>
      </c>
      <c r="C28" s="11">
        <v>0.73</v>
      </c>
      <c r="D28" s="11">
        <v>335</v>
      </c>
      <c r="E28" s="11">
        <v>247</v>
      </c>
      <c r="F28" s="11">
        <v>294</v>
      </c>
      <c r="G28" s="11">
        <v>25.5</v>
      </c>
      <c r="H28" s="11">
        <v>140.80000000000001</v>
      </c>
      <c r="I28" s="11">
        <v>50.6</v>
      </c>
      <c r="J28" s="11">
        <v>0.9</v>
      </c>
      <c r="K28" s="15">
        <v>0.5</v>
      </c>
      <c r="L28" s="11">
        <v>16.600000000000001</v>
      </c>
      <c r="M28" s="11">
        <v>16.399999999999999</v>
      </c>
      <c r="N28" s="11"/>
      <c r="O28" s="11"/>
      <c r="P28" s="11">
        <v>344</v>
      </c>
      <c r="Q28" s="11">
        <v>0.14199999999999999</v>
      </c>
      <c r="R28" s="11">
        <v>1.6</v>
      </c>
      <c r="S28" s="11">
        <v>4</v>
      </c>
      <c r="T28" s="11">
        <v>0.5</v>
      </c>
      <c r="U28" s="97">
        <v>1</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3095.2</v>
      </c>
      <c r="D31" s="65">
        <f>(IF(D$27="%w/w SAR",((D$28*10)*$B31),IF(D$27="%w/w DM",(((D$28*10)*($B$28/100))*$B31),IF(D$27="kg/t SAR",(D$28*$B31),IF(D$27="kg/t DM",((D$28*($B$28/100))*$B31),IF(D$27="mg/kg SAR",((D$28*0.001)*$B31),IF(D$27="mg/kg DM",(((D$28*0.001)*($B$28/100))*$B31),"0")))))))*2.291</f>
        <v>325.41363999999999</v>
      </c>
      <c r="E31" s="65">
        <f>(IF(E$27="%w/w SAR",((E$28*10)*$B31),IF(E$27="%w/w DM",(((E$28*10)*($B$28/100))*$B31),IF(E$27="kg/t SAR",(E$28*$B31),IF(E$27="kg/t DM",((E$28*($B$28/100))*$B31),IF(E$27="mg/kg SAR",((E$28*0.001)*$B31),IF(E$27="mg/kg DM",(((E$28*0.001)*($B$28/100))*$B31),"0")))))))*1.205</f>
        <v>126.19724000000002</v>
      </c>
      <c r="F31" s="65">
        <f>(IF(F$27="%w/w SAR",((F$28*10)*$B31),IF(F$27="%w/w DM",(((F$28*10)*($B$28/100))*$B31),IF(F$27="kg/t SAR",(F$28*$B31),IF(F$27="kg/t DM",((F$28*($B$28/100))*$B31),IF(F$27="mg/kg SAR",((F$28*0.001)*$B31),IF(F$27="mg/kg DM",(((F$28*0.001)*($B$28/100))*$B31),"0")))))))*1.658</f>
        <v>206.67964799999999</v>
      </c>
      <c r="G31" s="65">
        <f t="shared" ref="G31:P46" si="5">IF(G$27="%w/w SAR",((G$28*10)*$B31),IF(G$27="%w/w DM",(((G$28*10)*($B$28/100))*$B31),IF(G$27="kg/t SAR",(G$28*$B31),IF(G$27="kg/t DM",((G$28*($B$28/100))*$B31),IF(G$27="mg/kg SAR",((G$28*0.001)*$B31),IF(G$27="mg/kg DM",(((G$28*0.001)*($B$28/100))*$B31),0))))))</f>
        <v>10.812000000000001</v>
      </c>
      <c r="H31" s="65">
        <f t="shared" si="5"/>
        <v>59.699199999999998</v>
      </c>
      <c r="I31" s="65">
        <f t="shared" si="5"/>
        <v>21.4544</v>
      </c>
      <c r="J31" s="65">
        <f t="shared" si="5"/>
        <v>0.38159999999999999</v>
      </c>
      <c r="K31" s="65">
        <f t="shared" si="5"/>
        <v>0.21199999999999999</v>
      </c>
      <c r="L31" s="65">
        <f t="shared" si="5"/>
        <v>7.0384000000000002</v>
      </c>
      <c r="M31" s="65">
        <f t="shared" si="5"/>
        <v>6.9535999999999989</v>
      </c>
      <c r="N31" s="65">
        <f t="shared" si="5"/>
        <v>0</v>
      </c>
      <c r="O31" s="65">
        <f t="shared" si="5"/>
        <v>0</v>
      </c>
      <c r="P31" s="65">
        <f t="shared" si="5"/>
        <v>145.85600000000002</v>
      </c>
      <c r="Q31" s="65">
        <f>(IF(Q$27="%w/w SAR",((Q$28*10)*$B31),IF(Q$27="%w/w DM",(((Q$28*10)*($B$28/100))*$B31),IF(Q$27="kg/t SAR",(Q$28*$B31),IF(Q$27="kg/t DM",((Q$28*($B$28/100))*$B31),IF(Q$27="mg/kg SAR",((Q$28*0.001)*$B31),IF(Q$27="mg/kg DM",(((Q$28*0.001)*($B$28/100))*$B31),0)))))))*2.5</f>
        <v>0.15051999999999999</v>
      </c>
      <c r="R31" s="65">
        <f>IF(R$27="%w/w SAR",((R$28*10)*$B31),IF(R$27="%w/w DM",(((R$28*10)*($B$28/100))*$B31),IF(R$27="kg/t SAR",(R$28*$B31),IF(R$27="kg/t DM",((R$28*($B$28/100))*$B31),IF(R$27="mg/kg SAR",((R$28*0.001)*$B31),IF(R$27="mg/kg DM",(((R$28*0.001)*($B$28/100))*$B31),0))))))</f>
        <v>0.6784</v>
      </c>
      <c r="S31" s="65">
        <f>IF(S$27="%w/w SAR",((S$28*10)*$B31),IF(S$27="%w/w DM",(((S$28*10)*($B$28/100))*$B31),IF(S$27="kg/t SAR",(S$28*$B31),IF(S$27="kg/t DM",((S$28*($B$28/100))*$B31),IF(S$27="mg/kg SAR",((S$28*0.001)*$B31),IF(S$27="mg/kg DM",(((S$28*0.001)*($B$28/100))*$B31),0))))))</f>
        <v>1.696</v>
      </c>
      <c r="T31" s="65">
        <f>IF(T$27="%w/w SAR",((T$28*10)*$B31),IF(T$27="%w/w DM",(((T$28*10)*($B$28/100))*$B31),IF(T$27="kg/t SAR",(T$28*$B31),IF(T$27="kg/t DM",((T$28*($B$28/100))*$B31),IF(T$27="mg/kg SAR",((T$28*0.001)*$B31),IF(T$27="mg/kg DM",(((T$28*0.001)*($B$28/100))*$B31),0))))))</f>
        <v>0.21199999999999999</v>
      </c>
      <c r="U31" s="126">
        <f>IF(U$27="%w/w SAR",((U$28*10)*$B31),IF(U$27="%w/w DM",(((U$28*10)*($B$28/100))*$B31),IF(U$27="kg/t SAR",(U$28*$B31),IF(U$27="kg/t DM",((U$28*($B$28/100))*$B31),IF(U$27="mg/kg SAR",((U$28*0.001)*$B31),IF(U$27="mg/kg DM",(((U$28*0.001)*($B$28/100))*$B31),0))))))</f>
        <v>0.42399999999999999</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3095.2</v>
      </c>
      <c r="D32" s="65">
        <f t="shared" ref="D32:D50" si="7">(IF(D$27="%w/w SAR",((D$28*10)*$B32),IF(D$27="%w/w DM",(((D$28*10)*($B$28/100))*$B32),IF(D$27="kg/t SAR",(D$28*$B32),IF(D$27="kg/t DM",((D$28*($B$28/100))*$B32),IF(D$27="mg/kg SAR",((D$28*0.001)*$B32),IF(D$27="mg/kg DM",(((D$28*0.001)*($B$28/100))*$B32),"0")))))))*2.291</f>
        <v>325.41363999999999</v>
      </c>
      <c r="E32" s="65">
        <f t="shared" ref="E32:E50" si="8">(IF(E$27="%w/w SAR",((E$28*10)*$B32),IF(E$27="%w/w DM",(((E$28*10)*($B$28/100))*$B32),IF(E$27="kg/t SAR",(E$28*$B32),IF(E$27="kg/t DM",((E$28*($B$28/100))*$B32),IF(E$27="mg/kg SAR",((E$28*0.001)*$B32),IF(E$27="mg/kg DM",(((E$28*0.001)*($B$28/100))*$B32),"0")))))))*1.205</f>
        <v>126.19724000000002</v>
      </c>
      <c r="F32" s="65">
        <f t="shared" ref="F32:F50" si="9">(IF(F$27="%w/w SAR",((F$28*10)*$B32),IF(F$27="%w/w DM",(((F$28*10)*($B$28/100))*$B32),IF(F$27="kg/t SAR",(F$28*$B32),IF(F$27="kg/t DM",((F$28*($B$28/100))*$B32),IF(F$27="mg/kg SAR",((F$28*0.001)*$B32),IF(F$27="mg/kg DM",(((F$28*0.001)*($B$28/100))*$B32),"0")))))))*1.658</f>
        <v>206.67964799999999</v>
      </c>
      <c r="G32" s="65">
        <f t="shared" si="5"/>
        <v>10.812000000000001</v>
      </c>
      <c r="H32" s="65">
        <f t="shared" si="5"/>
        <v>59.699199999999998</v>
      </c>
      <c r="I32" s="65">
        <f t="shared" si="5"/>
        <v>21.4544</v>
      </c>
      <c r="J32" s="65">
        <f t="shared" si="5"/>
        <v>0.38159999999999999</v>
      </c>
      <c r="K32" s="65">
        <f t="shared" si="5"/>
        <v>0.21199999999999999</v>
      </c>
      <c r="L32" s="65">
        <f t="shared" si="5"/>
        <v>7.0384000000000002</v>
      </c>
      <c r="M32" s="65">
        <f t="shared" si="5"/>
        <v>6.9535999999999989</v>
      </c>
      <c r="N32" s="65">
        <f t="shared" si="5"/>
        <v>0</v>
      </c>
      <c r="O32" s="65">
        <f t="shared" si="5"/>
        <v>0</v>
      </c>
      <c r="P32" s="65">
        <f t="shared" si="5"/>
        <v>145.85600000000002</v>
      </c>
      <c r="Q32" s="65">
        <f t="shared" ref="Q32:Q50" si="10">(IF(Q$27="%w/w SAR",((Q$28*10)*$B32),IF(Q$27="%w/w DM",(((Q$28*10)*($B$28/100))*$B32),IF(Q$27="kg/t SAR",(Q$28*$B32),IF(Q$27="kg/t DM",((Q$28*($B$28/100))*$B32),IF(Q$27="mg/kg SAR",((Q$28*0.001)*$B32),IF(Q$27="mg/kg DM",(((Q$28*0.001)*($B$28/100))*$B32),0)))))))*2.5</f>
        <v>0.15051999999999999</v>
      </c>
      <c r="R32" s="65">
        <f t="shared" ref="R32:U50" si="11">IF(R$27="%w/w SAR",((R$28*10)*$B32),IF(R$27="%w/w DM",(((R$28*10)*($B$28/100))*$B32),IF(R$27="kg/t SAR",(R$28*$B32),IF(R$27="kg/t DM",((R$28*($B$28/100))*$B32),IF(R$27="mg/kg SAR",((R$28*0.001)*$B32),IF(R$27="mg/kg DM",(((R$28*0.001)*($B$28/100))*$B32),0))))))</f>
        <v>0.6784</v>
      </c>
      <c r="S32" s="65">
        <f t="shared" si="11"/>
        <v>1.696</v>
      </c>
      <c r="T32" s="65">
        <f t="shared" si="11"/>
        <v>0.21199999999999999</v>
      </c>
      <c r="U32" s="126">
        <f t="shared" si="11"/>
        <v>0.42399999999999999</v>
      </c>
    </row>
    <row r="33" spans="1:21" s="48" customFormat="1" ht="13" x14ac:dyDescent="0.35">
      <c r="A33" s="125" t="str">
        <f>E8</f>
        <v>IV WG2</v>
      </c>
      <c r="B33" s="11">
        <v>2000</v>
      </c>
      <c r="C33" s="65">
        <f t="shared" si="6"/>
        <v>3095.2</v>
      </c>
      <c r="D33" s="65">
        <f t="shared" si="7"/>
        <v>325.41363999999999</v>
      </c>
      <c r="E33" s="65">
        <f t="shared" si="8"/>
        <v>126.19724000000002</v>
      </c>
      <c r="F33" s="65">
        <f t="shared" si="9"/>
        <v>206.67964799999999</v>
      </c>
      <c r="G33" s="65">
        <f t="shared" si="5"/>
        <v>10.812000000000001</v>
      </c>
      <c r="H33" s="65">
        <f t="shared" si="5"/>
        <v>59.699199999999998</v>
      </c>
      <c r="I33" s="65">
        <f t="shared" si="5"/>
        <v>21.4544</v>
      </c>
      <c r="J33" s="65">
        <f t="shared" si="5"/>
        <v>0.38159999999999999</v>
      </c>
      <c r="K33" s="65">
        <f t="shared" si="5"/>
        <v>0.21199999999999999</v>
      </c>
      <c r="L33" s="65">
        <f t="shared" si="5"/>
        <v>7.0384000000000002</v>
      </c>
      <c r="M33" s="65">
        <f t="shared" si="5"/>
        <v>6.9535999999999989</v>
      </c>
      <c r="N33" s="65">
        <f t="shared" si="5"/>
        <v>0</v>
      </c>
      <c r="O33" s="65">
        <f t="shared" si="5"/>
        <v>0</v>
      </c>
      <c r="P33" s="65">
        <f t="shared" si="5"/>
        <v>145.85600000000002</v>
      </c>
      <c r="Q33" s="65">
        <f t="shared" si="10"/>
        <v>0.15051999999999999</v>
      </c>
      <c r="R33" s="65">
        <f t="shared" si="11"/>
        <v>0.6784</v>
      </c>
      <c r="S33" s="65">
        <f t="shared" si="11"/>
        <v>1.696</v>
      </c>
      <c r="T33" s="65">
        <f t="shared" si="11"/>
        <v>0.21199999999999999</v>
      </c>
      <c r="U33" s="126">
        <f t="shared" si="11"/>
        <v>0.42399999999999999</v>
      </c>
    </row>
    <row r="34" spans="1:21" s="48" customFormat="1" ht="13" x14ac:dyDescent="0.35">
      <c r="A34" s="125" t="str">
        <f>F8</f>
        <v>IV WG3</v>
      </c>
      <c r="B34" s="11">
        <v>1000</v>
      </c>
      <c r="C34" s="65">
        <f t="shared" si="6"/>
        <v>1547.6</v>
      </c>
      <c r="D34" s="65">
        <f t="shared" si="7"/>
        <v>162.70681999999999</v>
      </c>
      <c r="E34" s="65">
        <f t="shared" si="8"/>
        <v>63.098620000000011</v>
      </c>
      <c r="F34" s="65">
        <f t="shared" si="9"/>
        <v>103.33982399999999</v>
      </c>
      <c r="G34" s="65">
        <f t="shared" si="5"/>
        <v>5.4060000000000006</v>
      </c>
      <c r="H34" s="65">
        <f t="shared" si="5"/>
        <v>29.849599999999999</v>
      </c>
      <c r="I34" s="65">
        <f t="shared" si="5"/>
        <v>10.7272</v>
      </c>
      <c r="J34" s="65">
        <f t="shared" si="5"/>
        <v>0.1908</v>
      </c>
      <c r="K34" s="65">
        <f t="shared" si="5"/>
        <v>0.106</v>
      </c>
      <c r="L34" s="65">
        <f t="shared" si="5"/>
        <v>3.5192000000000001</v>
      </c>
      <c r="M34" s="65">
        <f t="shared" si="5"/>
        <v>3.4767999999999994</v>
      </c>
      <c r="N34" s="65">
        <f t="shared" si="5"/>
        <v>0</v>
      </c>
      <c r="O34" s="65">
        <f t="shared" si="5"/>
        <v>0</v>
      </c>
      <c r="P34" s="65">
        <f t="shared" si="5"/>
        <v>72.928000000000011</v>
      </c>
      <c r="Q34" s="65">
        <f t="shared" si="10"/>
        <v>7.5259999999999994E-2</v>
      </c>
      <c r="R34" s="65">
        <f t="shared" si="11"/>
        <v>0.3392</v>
      </c>
      <c r="S34" s="65">
        <f t="shared" si="11"/>
        <v>0.84799999999999998</v>
      </c>
      <c r="T34" s="65">
        <f t="shared" si="11"/>
        <v>0.106</v>
      </c>
      <c r="U34" s="126">
        <f t="shared" si="11"/>
        <v>0.21199999999999999</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"&amp;(VLOOKUP(C14,Table245810[],6,FALSE))</f>
        <v>#N/A</v>
      </c>
      <c r="C58" s="10" t="e">
        <f>D16&amp;" I "&amp;(VLOOKUP(D14,Table245810[],6,FALSE))</f>
        <v>#N/A</v>
      </c>
      <c r="D58" s="10" t="e">
        <f>E16&amp;" I "&amp;(VLOOKUP(E14,Table245810[],6,FALSE))</f>
        <v>#N/A</v>
      </c>
      <c r="E58" s="10" t="e">
        <f>F16&amp;" I "&amp;(VLOOKUP(F14,Table245810[],6,FALSE))</f>
        <v>#N/A</v>
      </c>
      <c r="F58" s="10" t="e">
        <f>G16&amp;" I "&amp;(VLOOKUP(G14,Table245810[],6,FALSE))</f>
        <v>#N/A</v>
      </c>
      <c r="G58" s="10" t="e">
        <f>H16&amp;" I "&amp;(VLOOKUP(H14,Table245810[],6,FALSE))</f>
        <v>#N/A</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t="e">
        <f>VLOOKUP(C$14,Table245810[],5,FALSE)</f>
        <v>#N/A</v>
      </c>
      <c r="C59" s="64" t="e">
        <f>VLOOKUP(D$14,Table245810[],5,FALSE)</f>
        <v>#N/A</v>
      </c>
      <c r="D59" s="64" t="e">
        <f>VLOOKUP(E$14,Table245810[],5,FALSE)</f>
        <v>#N/A</v>
      </c>
      <c r="E59" s="64" t="e">
        <f>VLOOKUP(F$14,Table245810[],5,FALSE)</f>
        <v>#N/A</v>
      </c>
      <c r="F59" s="64" t="e">
        <f>VLOOKUP(G$14,Table245810[],5,FALSE)</f>
        <v>#N/A</v>
      </c>
      <c r="G59" s="64" t="e">
        <f>VLOOKUP(H$14,Table245810[],5,FALSE)</f>
        <v>#N/A</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43" sqref="F4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v>
      </c>
      <c r="J1" s="161" t="s">
        <v>153</v>
      </c>
      <c r="K1" s="162"/>
      <c r="L1" s="109">
        <v>4.4000000000000004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215</v>
      </c>
      <c r="J2" s="141" t="s">
        <v>158</v>
      </c>
      <c r="K2" s="142"/>
      <c r="L2" s="110">
        <v>0.82</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2.93</v>
      </c>
      <c r="J3" s="163" t="s">
        <v>154</v>
      </c>
      <c r="K3" s="164"/>
      <c r="L3" s="110">
        <f>(L1/(L2*10000))*100</f>
        <v>5.365853658536586E-2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183</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346.784088</v>
      </c>
      <c r="D18" s="12">
        <f>$D32</f>
        <v>346.784088</v>
      </c>
      <c r="E18" s="12">
        <f>$D33</f>
        <v>346.784088</v>
      </c>
      <c r="F18" s="12">
        <f>$D34</f>
        <v>173.392044</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120.32165999999999</v>
      </c>
      <c r="D22" s="12">
        <f>$E32</f>
        <v>120.32165999999999</v>
      </c>
      <c r="E22" s="12">
        <f>$E33</f>
        <v>120.32165999999999</v>
      </c>
      <c r="F22" s="12">
        <f>$E34</f>
        <v>60.160829999999997</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31.8</v>
      </c>
      <c r="C28" s="11">
        <v>0.82</v>
      </c>
      <c r="D28" s="11">
        <v>238</v>
      </c>
      <c r="E28" s="11">
        <v>157</v>
      </c>
      <c r="F28" s="11">
        <v>292</v>
      </c>
      <c r="G28" s="11">
        <v>16.899999999999999</v>
      </c>
      <c r="H28" s="11">
        <v>93.8</v>
      </c>
      <c r="I28" s="11">
        <v>26.7</v>
      </c>
      <c r="J28" s="11">
        <v>0.6</v>
      </c>
      <c r="K28" s="15">
        <v>0.5</v>
      </c>
      <c r="L28" s="11">
        <v>12.8</v>
      </c>
      <c r="M28" s="11">
        <v>10.199999999999999</v>
      </c>
      <c r="N28" s="11"/>
      <c r="O28" s="11"/>
      <c r="P28" s="11">
        <v>316</v>
      </c>
      <c r="Q28" s="11">
        <v>0.158</v>
      </c>
      <c r="R28" s="11">
        <v>0.8</v>
      </c>
      <c r="S28" s="11">
        <v>5</v>
      </c>
      <c r="T28" s="11">
        <v>0.5</v>
      </c>
      <c r="U28" s="97">
        <v>0.8</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5215.2</v>
      </c>
      <c r="D31" s="65">
        <f>(IF(D$27="%w/w SAR",((D$28*10)*$B31),IF(D$27="%w/w DM",(((D$28*10)*($B$28/100))*$B31),IF(D$27="kg/t SAR",(D$28*$B31),IF(D$27="kg/t DM",((D$28*($B$28/100))*$B31),IF(D$27="mg/kg SAR",((D$28*0.001)*$B31),IF(D$27="mg/kg DM",(((D$28*0.001)*($B$28/100))*$B31),"0")))))))*2.291</f>
        <v>346.784088</v>
      </c>
      <c r="E31" s="65">
        <f>(IF(E$27="%w/w SAR",((E$28*10)*$B31),IF(E$27="%w/w DM",(((E$28*10)*($B$28/100))*$B31),IF(E$27="kg/t SAR",(E$28*$B31),IF(E$27="kg/t DM",((E$28*($B$28/100))*$B31),IF(E$27="mg/kg SAR",((E$28*0.001)*$B31),IF(E$27="mg/kg DM",(((E$28*0.001)*($B$28/100))*$B31),"0")))))))*1.205</f>
        <v>120.32165999999999</v>
      </c>
      <c r="F31" s="65">
        <f>(IF(F$27="%w/w SAR",((F$28*10)*$B31),IF(F$27="%w/w DM",(((F$28*10)*($B$28/100))*$B31),IF(F$27="kg/t SAR",(F$28*$B31),IF(F$27="kg/t DM",((F$28*($B$28/100))*$B31),IF(F$27="mg/kg SAR",((F$28*0.001)*$B31),IF(F$27="mg/kg DM",(((F$28*0.001)*($B$28/100))*$B31),"0")))))))*1.658</f>
        <v>307.91049599999997</v>
      </c>
      <c r="G31" s="65">
        <f t="shared" ref="G31:P46" si="5">IF(G$27="%w/w SAR",((G$28*10)*$B31),IF(G$27="%w/w DM",(((G$28*10)*($B$28/100))*$B31),IF(G$27="kg/t SAR",(G$28*$B31),IF(G$27="kg/t DM",((G$28*($B$28/100))*$B31),IF(G$27="mg/kg SAR",((G$28*0.001)*$B31),IF(G$27="mg/kg DM",(((G$28*0.001)*($B$28/100))*$B31),0))))))</f>
        <v>10.7484</v>
      </c>
      <c r="H31" s="65">
        <f t="shared" si="5"/>
        <v>59.656799999999997</v>
      </c>
      <c r="I31" s="65">
        <f t="shared" si="5"/>
        <v>16.981200000000001</v>
      </c>
      <c r="J31" s="65">
        <f t="shared" si="5"/>
        <v>0.38159999999999994</v>
      </c>
      <c r="K31" s="65">
        <f t="shared" si="5"/>
        <v>0.318</v>
      </c>
      <c r="L31" s="65">
        <f t="shared" si="5"/>
        <v>8.1408000000000005</v>
      </c>
      <c r="M31" s="65">
        <f t="shared" si="5"/>
        <v>6.4871999999999996</v>
      </c>
      <c r="N31" s="65">
        <f t="shared" si="5"/>
        <v>0</v>
      </c>
      <c r="O31" s="65">
        <f t="shared" si="5"/>
        <v>0</v>
      </c>
      <c r="P31" s="65">
        <f t="shared" si="5"/>
        <v>200.97600000000003</v>
      </c>
      <c r="Q31" s="65">
        <f>(IF(Q$27="%w/w SAR",((Q$28*10)*$B31),IF(Q$27="%w/w DM",(((Q$28*10)*($B$28/100))*$B31),IF(Q$27="kg/t SAR",(Q$28*$B31),IF(Q$27="kg/t DM",((Q$28*($B$28/100))*$B31),IF(Q$27="mg/kg SAR",((Q$28*0.001)*$B31),IF(Q$27="mg/kg DM",(((Q$28*0.001)*($B$28/100))*$B31),0)))))))*2.5</f>
        <v>0.25122</v>
      </c>
      <c r="R31" s="65">
        <f>IF(R$27="%w/w SAR",((R$28*10)*$B31),IF(R$27="%w/w DM",(((R$28*10)*($B$28/100))*$B31),IF(R$27="kg/t SAR",(R$28*$B31),IF(R$27="kg/t DM",((R$28*($B$28/100))*$B31),IF(R$27="mg/kg SAR",((R$28*0.001)*$B31),IF(R$27="mg/kg DM",(((R$28*0.001)*($B$28/100))*$B31),0))))))</f>
        <v>0.50880000000000003</v>
      </c>
      <c r="S31" s="65">
        <f>IF(S$27="%w/w SAR",((S$28*10)*$B31),IF(S$27="%w/w DM",(((S$28*10)*($B$28/100))*$B31),IF(S$27="kg/t SAR",(S$28*$B31),IF(S$27="kg/t DM",((S$28*($B$28/100))*$B31),IF(S$27="mg/kg SAR",((S$28*0.001)*$B31),IF(S$27="mg/kg DM",(((S$28*0.001)*($B$28/100))*$B31),0))))))</f>
        <v>3.18</v>
      </c>
      <c r="T31" s="65">
        <f>IF(T$27="%w/w SAR",((T$28*10)*$B31),IF(T$27="%w/w DM",(((T$28*10)*($B$28/100))*$B31),IF(T$27="kg/t SAR",(T$28*$B31),IF(T$27="kg/t DM",((T$28*($B$28/100))*$B31),IF(T$27="mg/kg SAR",((T$28*0.001)*$B31),IF(T$27="mg/kg DM",(((T$28*0.001)*($B$28/100))*$B31),0))))))</f>
        <v>0.318</v>
      </c>
      <c r="U31" s="126">
        <f>IF(U$27="%w/w SAR",((U$28*10)*$B31),IF(U$27="%w/w DM",(((U$28*10)*($B$28/100))*$B31),IF(U$27="kg/t SAR",(U$28*$B31),IF(U$27="kg/t DM",((U$28*($B$28/100))*$B31),IF(U$27="mg/kg SAR",((U$28*0.001)*$B31),IF(U$27="mg/kg DM",(((U$28*0.001)*($B$28/100))*$B31),0))))))</f>
        <v>0.50880000000000003</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5215.2</v>
      </c>
      <c r="D32" s="65">
        <f t="shared" ref="D32:D50" si="7">(IF(D$27="%w/w SAR",((D$28*10)*$B32),IF(D$27="%w/w DM",(((D$28*10)*($B$28/100))*$B32),IF(D$27="kg/t SAR",(D$28*$B32),IF(D$27="kg/t DM",((D$28*($B$28/100))*$B32),IF(D$27="mg/kg SAR",((D$28*0.001)*$B32),IF(D$27="mg/kg DM",(((D$28*0.001)*($B$28/100))*$B32),"0")))))))*2.291</f>
        <v>346.784088</v>
      </c>
      <c r="E32" s="65">
        <f t="shared" ref="E32:E50" si="8">(IF(E$27="%w/w SAR",((E$28*10)*$B32),IF(E$27="%w/w DM",(((E$28*10)*($B$28/100))*$B32),IF(E$27="kg/t SAR",(E$28*$B32),IF(E$27="kg/t DM",((E$28*($B$28/100))*$B32),IF(E$27="mg/kg SAR",((E$28*0.001)*$B32),IF(E$27="mg/kg DM",(((E$28*0.001)*($B$28/100))*$B32),"0")))))))*1.205</f>
        <v>120.32165999999999</v>
      </c>
      <c r="F32" s="65">
        <f t="shared" ref="F32:F50" si="9">(IF(F$27="%w/w SAR",((F$28*10)*$B32),IF(F$27="%w/w DM",(((F$28*10)*($B$28/100))*$B32),IF(F$27="kg/t SAR",(F$28*$B32),IF(F$27="kg/t DM",((F$28*($B$28/100))*$B32),IF(F$27="mg/kg SAR",((F$28*0.001)*$B32),IF(F$27="mg/kg DM",(((F$28*0.001)*($B$28/100))*$B32),"0")))))))*1.658</f>
        <v>307.91049599999997</v>
      </c>
      <c r="G32" s="65">
        <f t="shared" si="5"/>
        <v>10.7484</v>
      </c>
      <c r="H32" s="65">
        <f t="shared" si="5"/>
        <v>59.656799999999997</v>
      </c>
      <c r="I32" s="65">
        <f t="shared" si="5"/>
        <v>16.981200000000001</v>
      </c>
      <c r="J32" s="65">
        <f t="shared" si="5"/>
        <v>0.38159999999999994</v>
      </c>
      <c r="K32" s="65">
        <f t="shared" si="5"/>
        <v>0.318</v>
      </c>
      <c r="L32" s="65">
        <f t="shared" si="5"/>
        <v>8.1408000000000005</v>
      </c>
      <c r="M32" s="65">
        <f t="shared" si="5"/>
        <v>6.4871999999999996</v>
      </c>
      <c r="N32" s="65">
        <f t="shared" si="5"/>
        <v>0</v>
      </c>
      <c r="O32" s="65">
        <f t="shared" si="5"/>
        <v>0</v>
      </c>
      <c r="P32" s="65">
        <f t="shared" si="5"/>
        <v>200.97600000000003</v>
      </c>
      <c r="Q32" s="65">
        <f t="shared" ref="Q32:Q50" si="10">(IF(Q$27="%w/w SAR",((Q$28*10)*$B32),IF(Q$27="%w/w DM",(((Q$28*10)*($B$28/100))*$B32),IF(Q$27="kg/t SAR",(Q$28*$B32),IF(Q$27="kg/t DM",((Q$28*($B$28/100))*$B32),IF(Q$27="mg/kg SAR",((Q$28*0.001)*$B32),IF(Q$27="mg/kg DM",(((Q$28*0.001)*($B$28/100))*$B32),0)))))))*2.5</f>
        <v>0.25122</v>
      </c>
      <c r="R32" s="65">
        <f t="shared" ref="R32:U50" si="11">IF(R$27="%w/w SAR",((R$28*10)*$B32),IF(R$27="%w/w DM",(((R$28*10)*($B$28/100))*$B32),IF(R$27="kg/t SAR",(R$28*$B32),IF(R$27="kg/t DM",((R$28*($B$28/100))*$B32),IF(R$27="mg/kg SAR",((R$28*0.001)*$B32),IF(R$27="mg/kg DM",(((R$28*0.001)*($B$28/100))*$B32),0))))))</f>
        <v>0.50880000000000003</v>
      </c>
      <c r="S32" s="65">
        <f t="shared" si="11"/>
        <v>3.18</v>
      </c>
      <c r="T32" s="65">
        <f t="shared" si="11"/>
        <v>0.318</v>
      </c>
      <c r="U32" s="126">
        <f t="shared" si="11"/>
        <v>0.50880000000000003</v>
      </c>
    </row>
    <row r="33" spans="1:21" s="48" customFormat="1" ht="13" x14ac:dyDescent="0.35">
      <c r="A33" s="125" t="str">
        <f>E8</f>
        <v>IV WG2</v>
      </c>
      <c r="B33" s="11">
        <v>2000</v>
      </c>
      <c r="C33" s="65">
        <f t="shared" si="6"/>
        <v>5215.2</v>
      </c>
      <c r="D33" s="65">
        <f t="shared" si="7"/>
        <v>346.784088</v>
      </c>
      <c r="E33" s="65">
        <f t="shared" si="8"/>
        <v>120.32165999999999</v>
      </c>
      <c r="F33" s="65">
        <f t="shared" si="9"/>
        <v>307.91049599999997</v>
      </c>
      <c r="G33" s="65">
        <f t="shared" si="5"/>
        <v>10.7484</v>
      </c>
      <c r="H33" s="65">
        <f t="shared" si="5"/>
        <v>59.656799999999997</v>
      </c>
      <c r="I33" s="65">
        <f t="shared" si="5"/>
        <v>16.981200000000001</v>
      </c>
      <c r="J33" s="65">
        <f t="shared" si="5"/>
        <v>0.38159999999999994</v>
      </c>
      <c r="K33" s="65">
        <f t="shared" si="5"/>
        <v>0.318</v>
      </c>
      <c r="L33" s="65">
        <f t="shared" si="5"/>
        <v>8.1408000000000005</v>
      </c>
      <c r="M33" s="65">
        <f t="shared" si="5"/>
        <v>6.4871999999999996</v>
      </c>
      <c r="N33" s="65">
        <f t="shared" si="5"/>
        <v>0</v>
      </c>
      <c r="O33" s="65">
        <f t="shared" si="5"/>
        <v>0</v>
      </c>
      <c r="P33" s="65">
        <f t="shared" si="5"/>
        <v>200.97600000000003</v>
      </c>
      <c r="Q33" s="65">
        <f t="shared" si="10"/>
        <v>0.25122</v>
      </c>
      <c r="R33" s="65">
        <f t="shared" si="11"/>
        <v>0.50880000000000003</v>
      </c>
      <c r="S33" s="65">
        <f t="shared" si="11"/>
        <v>3.18</v>
      </c>
      <c r="T33" s="65">
        <f t="shared" si="11"/>
        <v>0.318</v>
      </c>
      <c r="U33" s="126">
        <f t="shared" si="11"/>
        <v>0.50880000000000003</v>
      </c>
    </row>
    <row r="34" spans="1:21" s="48" customFormat="1" ht="13" x14ac:dyDescent="0.35">
      <c r="A34" s="125" t="str">
        <f>F8</f>
        <v>IV WG3</v>
      </c>
      <c r="B34" s="11">
        <v>1000</v>
      </c>
      <c r="C34" s="65">
        <f t="shared" si="6"/>
        <v>2607.6</v>
      </c>
      <c r="D34" s="65">
        <f t="shared" si="7"/>
        <v>173.392044</v>
      </c>
      <c r="E34" s="65">
        <f t="shared" si="8"/>
        <v>60.160829999999997</v>
      </c>
      <c r="F34" s="65">
        <f t="shared" si="9"/>
        <v>153.95524799999998</v>
      </c>
      <c r="G34" s="65">
        <f t="shared" si="5"/>
        <v>5.3742000000000001</v>
      </c>
      <c r="H34" s="65">
        <f t="shared" si="5"/>
        <v>29.828399999999998</v>
      </c>
      <c r="I34" s="65">
        <f t="shared" si="5"/>
        <v>8.4906000000000006</v>
      </c>
      <c r="J34" s="65">
        <f t="shared" si="5"/>
        <v>0.19079999999999997</v>
      </c>
      <c r="K34" s="65">
        <f t="shared" si="5"/>
        <v>0.159</v>
      </c>
      <c r="L34" s="65">
        <f t="shared" si="5"/>
        <v>4.0704000000000002</v>
      </c>
      <c r="M34" s="65">
        <f t="shared" si="5"/>
        <v>3.2435999999999998</v>
      </c>
      <c r="N34" s="65">
        <f t="shared" si="5"/>
        <v>0</v>
      </c>
      <c r="O34" s="65">
        <f t="shared" si="5"/>
        <v>0</v>
      </c>
      <c r="P34" s="65">
        <f t="shared" si="5"/>
        <v>100.48800000000001</v>
      </c>
      <c r="Q34" s="65">
        <f t="shared" si="10"/>
        <v>0.12561</v>
      </c>
      <c r="R34" s="65">
        <f t="shared" si="11"/>
        <v>0.25440000000000002</v>
      </c>
      <c r="S34" s="65">
        <f t="shared" si="11"/>
        <v>1.59</v>
      </c>
      <c r="T34" s="65">
        <f t="shared" si="11"/>
        <v>0.159</v>
      </c>
      <c r="U34" s="126">
        <f t="shared" si="11"/>
        <v>0.25440000000000002</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"&amp;(VLOOKUP(C14,Table2458[],6,FALSE))</f>
        <v>#N/A</v>
      </c>
      <c r="C58" s="10" t="e">
        <f>D16&amp;" I "&amp;(VLOOKUP(D14,Table2458[],6,FALSE))</f>
        <v>#N/A</v>
      </c>
      <c r="D58" s="10" t="e">
        <f>E16&amp;" I "&amp;(VLOOKUP(E14,Table2458[],6,FALSE))</f>
        <v>#N/A</v>
      </c>
      <c r="E58" s="10" t="e">
        <f>F16&amp;" I "&amp;(VLOOKUP(F14,Table2458[],6,FALSE))</f>
        <v>#N/A</v>
      </c>
      <c r="F58" s="10" t="e">
        <f>G16&amp;" I "&amp;(VLOOKUP(G14,Table2458[],6,FALSE))</f>
        <v>#N/A</v>
      </c>
      <c r="G58" s="10" t="e">
        <f>H16&amp;" I "&amp;(VLOOKUP(H14,Table2458[],6,FALSE))</f>
        <v>#N/A</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t="e">
        <f>VLOOKUP(C$14,Table2458[],5,FALSE)</f>
        <v>#N/A</v>
      </c>
      <c r="C59" s="64" t="e">
        <f>VLOOKUP(D$14,Table2458[],5,FALSE)</f>
        <v>#N/A</v>
      </c>
      <c r="D59" s="64" t="e">
        <f>VLOOKUP(E$14,Table2458[],5,FALSE)</f>
        <v>#N/A</v>
      </c>
      <c r="E59" s="64" t="e">
        <f>VLOOKUP(F$14,Table2458[],5,FALSE)</f>
        <v>#N/A</v>
      </c>
      <c r="F59" s="64" t="e">
        <f>VLOOKUP(G$14,Table2458[],5,FALSE)</f>
        <v>#N/A</v>
      </c>
      <c r="G59" s="64" t="e">
        <f>VLOOKUP(H$14,Table2458[],5,FALSE)</f>
        <v>#N/A</v>
      </c>
      <c r="H59" s="64" t="e">
        <f>VLOOKUP(I$14,Table2458[],5,FALSE)</f>
        <v>#N/A</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B1" zoomScale="90" zoomScaleNormal="90" workbookViewId="0">
      <selection activeCell="M27" sqref="D27:M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7.2</v>
      </c>
      <c r="J1" s="161" t="s">
        <v>153</v>
      </c>
      <c r="K1" s="162"/>
      <c r="L1" s="109">
        <v>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113</v>
      </c>
      <c r="J2" s="141" t="s">
        <v>158</v>
      </c>
      <c r="K2" s="142"/>
      <c r="L2" s="110">
        <v>0.52</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3.14</v>
      </c>
      <c r="J3" s="163" t="s">
        <v>154</v>
      </c>
      <c r="K3" s="164"/>
      <c r="L3" s="110">
        <f>(L1/(L2*10000))*100</f>
        <v>0.05</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184</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23.723305</v>
      </c>
      <c r="D18" s="12">
        <f>$D32</f>
        <v>23.723305</v>
      </c>
      <c r="E18" s="12">
        <f>$D33</f>
        <v>23.723305</v>
      </c>
      <c r="F18" s="12">
        <f>$D34</f>
        <v>11.8616525</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30.997420000000002</v>
      </c>
      <c r="D22" s="12">
        <f>$E32</f>
        <v>30.997420000000002</v>
      </c>
      <c r="E22" s="12">
        <f>$E33</f>
        <v>30.997420000000002</v>
      </c>
      <c r="F22" s="12">
        <f>$E34</f>
        <v>15.498710000000001</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10.9</v>
      </c>
      <c r="C28" s="11">
        <v>0.52</v>
      </c>
      <c r="D28" s="11">
        <v>47.5</v>
      </c>
      <c r="E28" s="11">
        <v>118</v>
      </c>
      <c r="F28" s="11">
        <v>191</v>
      </c>
      <c r="G28" s="11">
        <v>20.6</v>
      </c>
      <c r="H28" s="11">
        <v>90.1</v>
      </c>
      <c r="I28" s="11">
        <v>27</v>
      </c>
      <c r="J28" s="11">
        <v>0.6</v>
      </c>
      <c r="K28" s="15">
        <v>0.5</v>
      </c>
      <c r="L28" s="11">
        <v>20.7</v>
      </c>
      <c r="M28" s="11">
        <v>19.7</v>
      </c>
      <c r="N28" s="11"/>
      <c r="O28" s="11"/>
      <c r="P28" s="11">
        <v>183</v>
      </c>
      <c r="Q28" s="11">
        <v>5.2</v>
      </c>
      <c r="R28" s="11">
        <v>0.7</v>
      </c>
      <c r="S28" s="11">
        <v>3.7</v>
      </c>
      <c r="T28" s="11">
        <v>0.5</v>
      </c>
      <c r="U28" s="97">
        <v>0.4</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1133.5999999999999</v>
      </c>
      <c r="D31" s="65">
        <f>(IF(D$27="%w/w SAR",((D$28*10)*$B31),IF(D$27="%w/w DM",(((D$28*10)*($B$28/100))*$B31),IF(D$27="kg/t SAR",(D$28*$B31),IF(D$27="kg/t DM",((D$28*($B$28/100))*$B31),IF(D$27="mg/kg SAR",((D$28*0.001)*$B31),IF(D$27="mg/kg DM",(((D$28*0.001)*($B$28/100))*$B31),"0")))))))*2.291</f>
        <v>23.723305</v>
      </c>
      <c r="E31" s="65">
        <f>(IF(E$27="%w/w SAR",((E$28*10)*$B31),IF(E$27="%w/w DM",(((E$28*10)*($B$28/100))*$B31),IF(E$27="kg/t SAR",(E$28*$B31),IF(E$27="kg/t DM",((E$28*($B$28/100))*$B31),IF(E$27="mg/kg SAR",((E$28*0.001)*$B31),IF(E$27="mg/kg DM",(((E$28*0.001)*($B$28/100))*$B31),"0")))))))*1.205</f>
        <v>30.997420000000002</v>
      </c>
      <c r="F31" s="65">
        <f>(IF(F$27="%w/w SAR",((F$28*10)*$B31),IF(F$27="%w/w DM",(((F$28*10)*($B$28/100))*$B31),IF(F$27="kg/t SAR",(F$28*$B31),IF(F$27="kg/t DM",((F$28*($B$28/100))*$B31),IF(F$27="mg/kg SAR",((F$28*0.001)*$B31),IF(F$27="mg/kg DM",(((F$28*0.001)*($B$28/100))*$B31),"0")))))))*1.658</f>
        <v>69.035803999999999</v>
      </c>
      <c r="G31" s="65">
        <f t="shared" ref="G31:P46" si="5">IF(G$27="%w/w SAR",((G$28*10)*$B31),IF(G$27="%w/w DM",(((G$28*10)*($B$28/100))*$B31),IF(G$27="kg/t SAR",(G$28*$B31),IF(G$27="kg/t DM",((G$28*($B$28/100))*$B31),IF(G$27="mg/kg SAR",((G$28*0.001)*$B31),IF(G$27="mg/kg DM",(((G$28*0.001)*($B$28/100))*$B31),0))))))</f>
        <v>4.4907999999999992</v>
      </c>
      <c r="H31" s="65">
        <f t="shared" si="5"/>
        <v>19.6418</v>
      </c>
      <c r="I31" s="65">
        <f t="shared" si="5"/>
        <v>5.8860000000000001</v>
      </c>
      <c r="J31" s="65">
        <f t="shared" si="5"/>
        <v>0.13079999999999997</v>
      </c>
      <c r="K31" s="65">
        <f t="shared" si="5"/>
        <v>0.10900000000000001</v>
      </c>
      <c r="L31" s="65">
        <f t="shared" si="5"/>
        <v>4.5125999999999999</v>
      </c>
      <c r="M31" s="65">
        <f t="shared" si="5"/>
        <v>4.2946</v>
      </c>
      <c r="N31" s="65">
        <f t="shared" si="5"/>
        <v>0</v>
      </c>
      <c r="O31" s="65">
        <f t="shared" si="5"/>
        <v>0</v>
      </c>
      <c r="P31" s="65">
        <f t="shared" si="5"/>
        <v>39.893999999999998</v>
      </c>
      <c r="Q31" s="65">
        <f>(IF(Q$27="%w/w SAR",((Q$28*10)*$B31),IF(Q$27="%w/w DM",(((Q$28*10)*($B$28/100))*$B31),IF(Q$27="kg/t SAR",(Q$28*$B31),IF(Q$27="kg/t DM",((Q$28*($B$28/100))*$B31),IF(Q$27="mg/kg SAR",((Q$28*0.001)*$B31),IF(Q$27="mg/kg DM",(((Q$28*0.001)*($B$28/100))*$B31),0)))))))*2.5</f>
        <v>2.8340000000000005</v>
      </c>
      <c r="R31" s="65">
        <f>IF(R$27="%w/w SAR",((R$28*10)*$B31),IF(R$27="%w/w DM",(((R$28*10)*($B$28/100))*$B31),IF(R$27="kg/t SAR",(R$28*$B31),IF(R$27="kg/t DM",((R$28*($B$28/100))*$B31),IF(R$27="mg/kg SAR",((R$28*0.001)*$B31),IF(R$27="mg/kg DM",(((R$28*0.001)*($B$28/100))*$B31),0))))))</f>
        <v>0.15259999999999999</v>
      </c>
      <c r="S31" s="65">
        <f>IF(S$27="%w/w SAR",((S$28*10)*$B31),IF(S$27="%w/w DM",(((S$28*10)*($B$28/100))*$B31),IF(S$27="kg/t SAR",(S$28*$B31),IF(S$27="kg/t DM",((S$28*($B$28/100))*$B31),IF(S$27="mg/kg SAR",((S$28*0.001)*$B31),IF(S$27="mg/kg DM",(((S$28*0.001)*($B$28/100))*$B31),0))))))</f>
        <v>0.80659999999999998</v>
      </c>
      <c r="T31" s="65">
        <f>IF(T$27="%w/w SAR",((T$28*10)*$B31),IF(T$27="%w/w DM",(((T$28*10)*($B$28/100))*$B31),IF(T$27="kg/t SAR",(T$28*$B31),IF(T$27="kg/t DM",((T$28*($B$28/100))*$B31),IF(T$27="mg/kg SAR",((T$28*0.001)*$B31),IF(T$27="mg/kg DM",(((T$28*0.001)*($B$28/100))*$B31),0))))))</f>
        <v>0.10900000000000001</v>
      </c>
      <c r="U31" s="126">
        <f>IF(U$27="%w/w SAR",((U$28*10)*$B31),IF(U$27="%w/w DM",(((U$28*10)*($B$28/100))*$B31),IF(U$27="kg/t SAR",(U$28*$B31),IF(U$27="kg/t DM",((U$28*($B$28/100))*$B31),IF(U$27="mg/kg SAR",((U$28*0.001)*$B31),IF(U$27="mg/kg DM",(((U$28*0.001)*($B$28/100))*$B31),0))))))</f>
        <v>8.72E-2</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1133.5999999999999</v>
      </c>
      <c r="D32" s="65">
        <f t="shared" ref="D32:D50" si="7">(IF(D$27="%w/w SAR",((D$28*10)*$B32),IF(D$27="%w/w DM",(((D$28*10)*($B$28/100))*$B32),IF(D$27="kg/t SAR",(D$28*$B32),IF(D$27="kg/t DM",((D$28*($B$28/100))*$B32),IF(D$27="mg/kg SAR",((D$28*0.001)*$B32),IF(D$27="mg/kg DM",(((D$28*0.001)*($B$28/100))*$B32),"0")))))))*2.291</f>
        <v>23.723305</v>
      </c>
      <c r="E32" s="65">
        <f t="shared" ref="E32:E50" si="8">(IF(E$27="%w/w SAR",((E$28*10)*$B32),IF(E$27="%w/w DM",(((E$28*10)*($B$28/100))*$B32),IF(E$27="kg/t SAR",(E$28*$B32),IF(E$27="kg/t DM",((E$28*($B$28/100))*$B32),IF(E$27="mg/kg SAR",((E$28*0.001)*$B32),IF(E$27="mg/kg DM",(((E$28*0.001)*($B$28/100))*$B32),"0")))))))*1.205</f>
        <v>30.997420000000002</v>
      </c>
      <c r="F32" s="65">
        <f t="shared" ref="F32:F50" si="9">(IF(F$27="%w/w SAR",((F$28*10)*$B32),IF(F$27="%w/w DM",(((F$28*10)*($B$28/100))*$B32),IF(F$27="kg/t SAR",(F$28*$B32),IF(F$27="kg/t DM",((F$28*($B$28/100))*$B32),IF(F$27="mg/kg SAR",((F$28*0.001)*$B32),IF(F$27="mg/kg DM",(((F$28*0.001)*($B$28/100))*$B32),"0")))))))*1.658</f>
        <v>69.035803999999999</v>
      </c>
      <c r="G32" s="65">
        <f t="shared" si="5"/>
        <v>4.4907999999999992</v>
      </c>
      <c r="H32" s="65">
        <f t="shared" si="5"/>
        <v>19.6418</v>
      </c>
      <c r="I32" s="65">
        <f t="shared" si="5"/>
        <v>5.8860000000000001</v>
      </c>
      <c r="J32" s="65">
        <f t="shared" si="5"/>
        <v>0.13079999999999997</v>
      </c>
      <c r="K32" s="65">
        <f t="shared" si="5"/>
        <v>0.10900000000000001</v>
      </c>
      <c r="L32" s="65">
        <f t="shared" si="5"/>
        <v>4.5125999999999999</v>
      </c>
      <c r="M32" s="65">
        <f t="shared" si="5"/>
        <v>4.2946</v>
      </c>
      <c r="N32" s="65">
        <f t="shared" si="5"/>
        <v>0</v>
      </c>
      <c r="O32" s="65">
        <f t="shared" si="5"/>
        <v>0</v>
      </c>
      <c r="P32" s="65">
        <f t="shared" si="5"/>
        <v>39.893999999999998</v>
      </c>
      <c r="Q32" s="65">
        <f t="shared" ref="Q32:Q50" si="10">(IF(Q$27="%w/w SAR",((Q$28*10)*$B32),IF(Q$27="%w/w DM",(((Q$28*10)*($B$28/100))*$B32),IF(Q$27="kg/t SAR",(Q$28*$B32),IF(Q$27="kg/t DM",((Q$28*($B$28/100))*$B32),IF(Q$27="mg/kg SAR",((Q$28*0.001)*$B32),IF(Q$27="mg/kg DM",(((Q$28*0.001)*($B$28/100))*$B32),0)))))))*2.5</f>
        <v>2.8340000000000005</v>
      </c>
      <c r="R32" s="65">
        <f t="shared" ref="R32:U50" si="11">IF(R$27="%w/w SAR",((R$28*10)*$B32),IF(R$27="%w/w DM",(((R$28*10)*($B$28/100))*$B32),IF(R$27="kg/t SAR",(R$28*$B32),IF(R$27="kg/t DM",((R$28*($B$28/100))*$B32),IF(R$27="mg/kg SAR",((R$28*0.001)*$B32),IF(R$27="mg/kg DM",(((R$28*0.001)*($B$28/100))*$B32),0))))))</f>
        <v>0.15259999999999999</v>
      </c>
      <c r="S32" s="65">
        <f t="shared" si="11"/>
        <v>0.80659999999999998</v>
      </c>
      <c r="T32" s="65">
        <f t="shared" si="11"/>
        <v>0.10900000000000001</v>
      </c>
      <c r="U32" s="126">
        <f t="shared" si="11"/>
        <v>8.72E-2</v>
      </c>
    </row>
    <row r="33" spans="1:21" s="48" customFormat="1" ht="13" x14ac:dyDescent="0.35">
      <c r="A33" s="125" t="str">
        <f>E8</f>
        <v>IV WG2</v>
      </c>
      <c r="B33" s="11">
        <v>2000</v>
      </c>
      <c r="C33" s="65">
        <f t="shared" si="6"/>
        <v>1133.5999999999999</v>
      </c>
      <c r="D33" s="65">
        <f t="shared" si="7"/>
        <v>23.723305</v>
      </c>
      <c r="E33" s="65">
        <f t="shared" si="8"/>
        <v>30.997420000000002</v>
      </c>
      <c r="F33" s="65">
        <f t="shared" si="9"/>
        <v>69.035803999999999</v>
      </c>
      <c r="G33" s="65">
        <f t="shared" si="5"/>
        <v>4.4907999999999992</v>
      </c>
      <c r="H33" s="65">
        <f t="shared" si="5"/>
        <v>19.6418</v>
      </c>
      <c r="I33" s="65">
        <f t="shared" si="5"/>
        <v>5.8860000000000001</v>
      </c>
      <c r="J33" s="65">
        <f t="shared" si="5"/>
        <v>0.13079999999999997</v>
      </c>
      <c r="K33" s="65">
        <f t="shared" si="5"/>
        <v>0.10900000000000001</v>
      </c>
      <c r="L33" s="65">
        <f t="shared" si="5"/>
        <v>4.5125999999999999</v>
      </c>
      <c r="M33" s="65">
        <f t="shared" si="5"/>
        <v>4.2946</v>
      </c>
      <c r="N33" s="65">
        <f t="shared" si="5"/>
        <v>0</v>
      </c>
      <c r="O33" s="65">
        <f t="shared" si="5"/>
        <v>0</v>
      </c>
      <c r="P33" s="65">
        <f t="shared" si="5"/>
        <v>39.893999999999998</v>
      </c>
      <c r="Q33" s="65">
        <f t="shared" si="10"/>
        <v>2.8340000000000005</v>
      </c>
      <c r="R33" s="65">
        <f t="shared" si="11"/>
        <v>0.15259999999999999</v>
      </c>
      <c r="S33" s="65">
        <f t="shared" si="11"/>
        <v>0.80659999999999998</v>
      </c>
      <c r="T33" s="65">
        <f t="shared" si="11"/>
        <v>0.10900000000000001</v>
      </c>
      <c r="U33" s="126">
        <f t="shared" si="11"/>
        <v>8.72E-2</v>
      </c>
    </row>
    <row r="34" spans="1:21" s="48" customFormat="1" ht="13" x14ac:dyDescent="0.35">
      <c r="A34" s="125" t="str">
        <f>F8</f>
        <v>IV WG3</v>
      </c>
      <c r="B34" s="11">
        <v>1000</v>
      </c>
      <c r="C34" s="65">
        <f t="shared" si="6"/>
        <v>566.79999999999995</v>
      </c>
      <c r="D34" s="65">
        <f t="shared" si="7"/>
        <v>11.8616525</v>
      </c>
      <c r="E34" s="65">
        <f t="shared" si="8"/>
        <v>15.498710000000001</v>
      </c>
      <c r="F34" s="65">
        <f t="shared" si="9"/>
        <v>34.517901999999999</v>
      </c>
      <c r="G34" s="65">
        <f t="shared" si="5"/>
        <v>2.2453999999999996</v>
      </c>
      <c r="H34" s="65">
        <f t="shared" si="5"/>
        <v>9.8209</v>
      </c>
      <c r="I34" s="65">
        <f t="shared" si="5"/>
        <v>2.9430000000000001</v>
      </c>
      <c r="J34" s="65">
        <f t="shared" si="5"/>
        <v>6.5399999999999986E-2</v>
      </c>
      <c r="K34" s="65">
        <f t="shared" si="5"/>
        <v>5.4500000000000007E-2</v>
      </c>
      <c r="L34" s="65">
        <f t="shared" si="5"/>
        <v>2.2563</v>
      </c>
      <c r="M34" s="65">
        <f t="shared" si="5"/>
        <v>2.1473</v>
      </c>
      <c r="N34" s="65">
        <f t="shared" si="5"/>
        <v>0</v>
      </c>
      <c r="O34" s="65">
        <f t="shared" si="5"/>
        <v>0</v>
      </c>
      <c r="P34" s="65">
        <f t="shared" si="5"/>
        <v>19.946999999999999</v>
      </c>
      <c r="Q34" s="65">
        <f t="shared" si="10"/>
        <v>1.4170000000000003</v>
      </c>
      <c r="R34" s="65">
        <f t="shared" si="11"/>
        <v>7.6299999999999993E-2</v>
      </c>
      <c r="S34" s="65">
        <f t="shared" si="11"/>
        <v>0.40329999999999999</v>
      </c>
      <c r="T34" s="65">
        <f t="shared" si="11"/>
        <v>5.4500000000000007E-2</v>
      </c>
      <c r="U34" s="126">
        <f t="shared" si="11"/>
        <v>4.36E-2</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"&amp;(VLOOKUP(C14,Table24581113[],6,FALSE))</f>
        <v>#N/A</v>
      </c>
      <c r="C58" s="10" t="e">
        <f>D16&amp;" I "&amp;(VLOOKUP(D14,Table24581113[],6,FALSE))</f>
        <v>#N/A</v>
      </c>
      <c r="D58" s="10" t="e">
        <f>E16&amp;" I "&amp;(VLOOKUP(E14,Table24581113[],6,FALSE))</f>
        <v>#N/A</v>
      </c>
      <c r="E58" s="10" t="e">
        <f>F16&amp;" I "&amp;(VLOOKUP(F14,Table24581113[],6,FALSE))</f>
        <v>#N/A</v>
      </c>
      <c r="F58" s="10" t="e">
        <f>G16&amp;" I "&amp;(VLOOKUP(G14,Table24581113[],6,FALSE))</f>
        <v>#N/A</v>
      </c>
      <c r="G58" s="10" t="e">
        <f>H16&amp;" I "&amp;(VLOOKUP(H14,Table24581113[],6,FALSE))</f>
        <v>#N/A</v>
      </c>
      <c r="H58" s="10" t="e">
        <f>I16&amp;" I "&amp;(VLOOKUP(I14,Table24581113[],6,FALSE))</f>
        <v>#N/A</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t="e">
        <f>VLOOKUP(C$14,Table24581113[],5,FALSE)</f>
        <v>#N/A</v>
      </c>
      <c r="C59" s="64" t="e">
        <f>VLOOKUP(D$14,Table24581113[],5,FALSE)</f>
        <v>#N/A</v>
      </c>
      <c r="D59" s="64" t="e">
        <f>VLOOKUP(E$14,Table24581113[],5,FALSE)</f>
        <v>#N/A</v>
      </c>
      <c r="E59" s="64" t="e">
        <f>VLOOKUP(F$14,Table24581113[],5,FALSE)</f>
        <v>#N/A</v>
      </c>
      <c r="F59" s="64" t="e">
        <f>VLOOKUP(G$14,Table24581113[],5,FALSE)</f>
        <v>#N/A</v>
      </c>
      <c r="G59" s="64" t="e">
        <f>VLOOKUP(H$14,Table24581113[],5,FALSE)</f>
        <v>#N/A</v>
      </c>
      <c r="H59" s="64" t="e">
        <f>VLOOKUP(I$14,Table24581113[],5,FALSE)</f>
        <v>#N/A</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M27" sqref="D27:M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7.2</v>
      </c>
      <c r="J1" s="161" t="s">
        <v>153</v>
      </c>
      <c r="K1" s="162"/>
      <c r="L1" s="109">
        <v>1.7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113</v>
      </c>
      <c r="J2" s="141" t="s">
        <v>158</v>
      </c>
      <c r="K2" s="142"/>
      <c r="L2" s="110">
        <v>0.57999999999999996</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2.2999999999999998</v>
      </c>
      <c r="J3" s="163" t="s">
        <v>154</v>
      </c>
      <c r="K3" s="164"/>
      <c r="L3" s="110">
        <f>(L1/(L2*10000))*100</f>
        <v>2.931034482758621E-2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185</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73.717048799999986</v>
      </c>
      <c r="D18" s="12">
        <f>$D32</f>
        <v>73.717048799999986</v>
      </c>
      <c r="E18" s="12">
        <f>$D33</f>
        <v>73.717048799999986</v>
      </c>
      <c r="F18" s="12">
        <f>$D34</f>
        <v>36.858524399999993</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45.847840000000005</v>
      </c>
      <c r="D22" s="12">
        <f>$E32</f>
        <v>45.847840000000005</v>
      </c>
      <c r="E22" s="12">
        <f>$E33</f>
        <v>45.847840000000005</v>
      </c>
      <c r="F22" s="12">
        <f>$E34</f>
        <v>22.923920000000003</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16.399999999999999</v>
      </c>
      <c r="C28" s="11">
        <v>1.7</v>
      </c>
      <c r="D28" s="11">
        <v>98.1</v>
      </c>
      <c r="E28" s="11">
        <v>116</v>
      </c>
      <c r="F28" s="11">
        <v>196</v>
      </c>
      <c r="G28" s="11">
        <v>21.9</v>
      </c>
      <c r="H28" s="11">
        <v>108.5</v>
      </c>
      <c r="I28" s="11">
        <v>35.9</v>
      </c>
      <c r="J28" s="11">
        <v>0.7</v>
      </c>
      <c r="K28" s="15">
        <v>0.5</v>
      </c>
      <c r="L28" s="11">
        <v>20.9</v>
      </c>
      <c r="M28" s="11">
        <v>19.600000000000001</v>
      </c>
      <c r="N28" s="11"/>
      <c r="O28" s="11"/>
      <c r="P28" s="11">
        <v>206</v>
      </c>
      <c r="Q28" s="11">
        <v>7.9000000000000001E-2</v>
      </c>
      <c r="R28" s="11">
        <v>1</v>
      </c>
      <c r="S28" s="11">
        <v>4</v>
      </c>
      <c r="T28" s="11">
        <v>0.5</v>
      </c>
      <c r="U28" s="97">
        <v>0.2</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5576</v>
      </c>
      <c r="D31" s="65">
        <f>(IF(D$27="%w/w SAR",((D$28*10)*$B31),IF(D$27="%w/w DM",(((D$28*10)*($B$28/100))*$B31),IF(D$27="kg/t SAR",(D$28*$B31),IF(D$27="kg/t DM",((D$28*($B$28/100))*$B31),IF(D$27="mg/kg SAR",((D$28*0.001)*$B31),IF(D$27="mg/kg DM",(((D$28*0.001)*($B$28/100))*$B31),"0")))))))*2.291</f>
        <v>73.717048799999986</v>
      </c>
      <c r="E31" s="65">
        <f>(IF(E$27="%w/w SAR",((E$28*10)*$B31),IF(E$27="%w/w DM",(((E$28*10)*($B$28/100))*$B31),IF(E$27="kg/t SAR",(E$28*$B31),IF(E$27="kg/t DM",((E$28*($B$28/100))*$B31),IF(E$27="mg/kg SAR",((E$28*0.001)*$B31),IF(E$27="mg/kg DM",(((E$28*0.001)*($B$28/100))*$B31),"0")))))))*1.205</f>
        <v>45.847840000000005</v>
      </c>
      <c r="F31" s="65">
        <f>(IF(F$27="%w/w SAR",((F$28*10)*$B31),IF(F$27="%w/w DM",(((F$28*10)*($B$28/100))*$B31),IF(F$27="kg/t SAR",(F$28*$B31),IF(F$27="kg/t DM",((F$28*($B$28/100))*$B31),IF(F$27="mg/kg SAR",((F$28*0.001)*$B31),IF(F$27="mg/kg DM",(((F$28*0.001)*($B$28/100))*$B31),"0")))))))*1.658</f>
        <v>106.58950399999999</v>
      </c>
      <c r="G31" s="65">
        <f t="shared" ref="G31:P46" si="5">IF(G$27="%w/w SAR",((G$28*10)*$B31),IF(G$27="%w/w DM",(((G$28*10)*($B$28/100))*$B31),IF(G$27="kg/t SAR",(G$28*$B31),IF(G$27="kg/t DM",((G$28*($B$28/100))*$B31),IF(G$27="mg/kg SAR",((G$28*0.001)*$B31),IF(G$27="mg/kg DM",(((G$28*0.001)*($B$28/100))*$B31),0))))))</f>
        <v>7.1831999999999994</v>
      </c>
      <c r="H31" s="65">
        <f t="shared" si="5"/>
        <v>35.587999999999994</v>
      </c>
      <c r="I31" s="65">
        <f t="shared" si="5"/>
        <v>11.7752</v>
      </c>
      <c r="J31" s="65">
        <f t="shared" si="5"/>
        <v>0.22959999999999997</v>
      </c>
      <c r="K31" s="65">
        <f t="shared" si="5"/>
        <v>0.16399999999999998</v>
      </c>
      <c r="L31" s="65">
        <f t="shared" si="5"/>
        <v>6.8551999999999991</v>
      </c>
      <c r="M31" s="65">
        <f t="shared" si="5"/>
        <v>6.4287999999999998</v>
      </c>
      <c r="N31" s="65">
        <f t="shared" si="5"/>
        <v>0</v>
      </c>
      <c r="O31" s="65">
        <f t="shared" si="5"/>
        <v>0</v>
      </c>
      <c r="P31" s="65">
        <f t="shared" si="5"/>
        <v>67.567999999999998</v>
      </c>
      <c r="Q31" s="65">
        <f>(IF(Q$27="%w/w SAR",((Q$28*10)*$B31),IF(Q$27="%w/w DM",(((Q$28*10)*($B$28/100))*$B31),IF(Q$27="kg/t SAR",(Q$28*$B31),IF(Q$27="kg/t DM",((Q$28*($B$28/100))*$B31),IF(Q$27="mg/kg SAR",((Q$28*0.001)*$B31),IF(Q$27="mg/kg DM",(((Q$28*0.001)*($B$28/100))*$B31),0)))))))*2.5</f>
        <v>6.477999999999999E-2</v>
      </c>
      <c r="R31" s="65">
        <f>IF(R$27="%w/w SAR",((R$28*10)*$B31),IF(R$27="%w/w DM",(((R$28*10)*($B$28/100))*$B31),IF(R$27="kg/t SAR",(R$28*$B31),IF(R$27="kg/t DM",((R$28*($B$28/100))*$B31),IF(R$27="mg/kg SAR",((R$28*0.001)*$B31),IF(R$27="mg/kg DM",(((R$28*0.001)*($B$28/100))*$B31),0))))))</f>
        <v>0.32799999999999996</v>
      </c>
      <c r="S31" s="65">
        <f>IF(S$27="%w/w SAR",((S$28*10)*$B31),IF(S$27="%w/w DM",(((S$28*10)*($B$28/100))*$B31),IF(S$27="kg/t SAR",(S$28*$B31),IF(S$27="kg/t DM",((S$28*($B$28/100))*$B31),IF(S$27="mg/kg SAR",((S$28*0.001)*$B31),IF(S$27="mg/kg DM",(((S$28*0.001)*($B$28/100))*$B31),0))))))</f>
        <v>1.3119999999999998</v>
      </c>
      <c r="T31" s="65">
        <f>IF(T$27="%w/w SAR",((T$28*10)*$B31),IF(T$27="%w/w DM",(((T$28*10)*($B$28/100))*$B31),IF(T$27="kg/t SAR",(T$28*$B31),IF(T$27="kg/t DM",((T$28*($B$28/100))*$B31),IF(T$27="mg/kg SAR",((T$28*0.001)*$B31),IF(T$27="mg/kg DM",(((T$28*0.001)*($B$28/100))*$B31),0))))))</f>
        <v>0.16399999999999998</v>
      </c>
      <c r="U31" s="126">
        <f>IF(U$27="%w/w SAR",((U$28*10)*$B31),IF(U$27="%w/w DM",(((U$28*10)*($B$28/100))*$B31),IF(U$27="kg/t SAR",(U$28*$B31),IF(U$27="kg/t DM",((U$28*($B$28/100))*$B31),IF(U$27="mg/kg SAR",((U$28*0.001)*$B31),IF(U$27="mg/kg DM",(((U$28*0.001)*($B$28/100))*$B31),0))))))</f>
        <v>6.5599999999999992E-2</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5576</v>
      </c>
      <c r="D32" s="65">
        <f t="shared" ref="D32:D50" si="7">(IF(D$27="%w/w SAR",((D$28*10)*$B32),IF(D$27="%w/w DM",(((D$28*10)*($B$28/100))*$B32),IF(D$27="kg/t SAR",(D$28*$B32),IF(D$27="kg/t DM",((D$28*($B$28/100))*$B32),IF(D$27="mg/kg SAR",((D$28*0.001)*$B32),IF(D$27="mg/kg DM",(((D$28*0.001)*($B$28/100))*$B32),"0")))))))*2.291</f>
        <v>73.717048799999986</v>
      </c>
      <c r="E32" s="65">
        <f t="shared" ref="E32:E50" si="8">(IF(E$27="%w/w SAR",((E$28*10)*$B32),IF(E$27="%w/w DM",(((E$28*10)*($B$28/100))*$B32),IF(E$27="kg/t SAR",(E$28*$B32),IF(E$27="kg/t DM",((E$28*($B$28/100))*$B32),IF(E$27="mg/kg SAR",((E$28*0.001)*$B32),IF(E$27="mg/kg DM",(((E$28*0.001)*($B$28/100))*$B32),"0")))))))*1.205</f>
        <v>45.847840000000005</v>
      </c>
      <c r="F32" s="65">
        <f t="shared" ref="F32:F50" si="9">(IF(F$27="%w/w SAR",((F$28*10)*$B32),IF(F$27="%w/w DM",(((F$28*10)*($B$28/100))*$B32),IF(F$27="kg/t SAR",(F$28*$B32),IF(F$27="kg/t DM",((F$28*($B$28/100))*$B32),IF(F$27="mg/kg SAR",((F$28*0.001)*$B32),IF(F$27="mg/kg DM",(((F$28*0.001)*($B$28/100))*$B32),"0")))))))*1.658</f>
        <v>106.58950399999999</v>
      </c>
      <c r="G32" s="65">
        <f t="shared" si="5"/>
        <v>7.1831999999999994</v>
      </c>
      <c r="H32" s="65">
        <f t="shared" si="5"/>
        <v>35.587999999999994</v>
      </c>
      <c r="I32" s="65">
        <f t="shared" si="5"/>
        <v>11.7752</v>
      </c>
      <c r="J32" s="65">
        <f t="shared" si="5"/>
        <v>0.22959999999999997</v>
      </c>
      <c r="K32" s="65">
        <f t="shared" si="5"/>
        <v>0.16399999999999998</v>
      </c>
      <c r="L32" s="65">
        <f t="shared" si="5"/>
        <v>6.8551999999999991</v>
      </c>
      <c r="M32" s="65">
        <f t="shared" si="5"/>
        <v>6.4287999999999998</v>
      </c>
      <c r="N32" s="65">
        <f t="shared" si="5"/>
        <v>0</v>
      </c>
      <c r="O32" s="65">
        <f t="shared" si="5"/>
        <v>0</v>
      </c>
      <c r="P32" s="65">
        <f t="shared" si="5"/>
        <v>67.567999999999998</v>
      </c>
      <c r="Q32" s="65">
        <f t="shared" ref="Q32:Q50" si="10">(IF(Q$27="%w/w SAR",((Q$28*10)*$B32),IF(Q$27="%w/w DM",(((Q$28*10)*($B$28/100))*$B32),IF(Q$27="kg/t SAR",(Q$28*$B32),IF(Q$27="kg/t DM",((Q$28*($B$28/100))*$B32),IF(Q$27="mg/kg SAR",((Q$28*0.001)*$B32),IF(Q$27="mg/kg DM",(((Q$28*0.001)*($B$28/100))*$B32),0)))))))*2.5</f>
        <v>6.477999999999999E-2</v>
      </c>
      <c r="R32" s="65">
        <f t="shared" ref="R32:U50" si="11">IF(R$27="%w/w SAR",((R$28*10)*$B32),IF(R$27="%w/w DM",(((R$28*10)*($B$28/100))*$B32),IF(R$27="kg/t SAR",(R$28*$B32),IF(R$27="kg/t DM",((R$28*($B$28/100))*$B32),IF(R$27="mg/kg SAR",((R$28*0.001)*$B32),IF(R$27="mg/kg DM",(((R$28*0.001)*($B$28/100))*$B32),0))))))</f>
        <v>0.32799999999999996</v>
      </c>
      <c r="S32" s="65">
        <f t="shared" si="11"/>
        <v>1.3119999999999998</v>
      </c>
      <c r="T32" s="65">
        <f t="shared" si="11"/>
        <v>0.16399999999999998</v>
      </c>
      <c r="U32" s="126">
        <f t="shared" si="11"/>
        <v>6.5599999999999992E-2</v>
      </c>
    </row>
    <row r="33" spans="1:21" s="48" customFormat="1" ht="13" x14ac:dyDescent="0.35">
      <c r="A33" s="125" t="str">
        <f>E8</f>
        <v>IV WG2</v>
      </c>
      <c r="B33" s="11">
        <v>2000</v>
      </c>
      <c r="C33" s="65">
        <f t="shared" si="6"/>
        <v>5576</v>
      </c>
      <c r="D33" s="65">
        <f t="shared" si="7"/>
        <v>73.717048799999986</v>
      </c>
      <c r="E33" s="65">
        <f t="shared" si="8"/>
        <v>45.847840000000005</v>
      </c>
      <c r="F33" s="65">
        <f t="shared" si="9"/>
        <v>106.58950399999999</v>
      </c>
      <c r="G33" s="65">
        <f t="shared" si="5"/>
        <v>7.1831999999999994</v>
      </c>
      <c r="H33" s="65">
        <f t="shared" si="5"/>
        <v>35.587999999999994</v>
      </c>
      <c r="I33" s="65">
        <f t="shared" si="5"/>
        <v>11.7752</v>
      </c>
      <c r="J33" s="65">
        <f t="shared" si="5"/>
        <v>0.22959999999999997</v>
      </c>
      <c r="K33" s="65">
        <f t="shared" si="5"/>
        <v>0.16399999999999998</v>
      </c>
      <c r="L33" s="65">
        <f t="shared" si="5"/>
        <v>6.8551999999999991</v>
      </c>
      <c r="M33" s="65">
        <f t="shared" si="5"/>
        <v>6.4287999999999998</v>
      </c>
      <c r="N33" s="65">
        <f t="shared" si="5"/>
        <v>0</v>
      </c>
      <c r="O33" s="65">
        <f t="shared" si="5"/>
        <v>0</v>
      </c>
      <c r="P33" s="65">
        <f t="shared" si="5"/>
        <v>67.567999999999998</v>
      </c>
      <c r="Q33" s="65">
        <f t="shared" si="10"/>
        <v>6.477999999999999E-2</v>
      </c>
      <c r="R33" s="65">
        <f t="shared" si="11"/>
        <v>0.32799999999999996</v>
      </c>
      <c r="S33" s="65">
        <f t="shared" si="11"/>
        <v>1.3119999999999998</v>
      </c>
      <c r="T33" s="65">
        <f t="shared" si="11"/>
        <v>0.16399999999999998</v>
      </c>
      <c r="U33" s="126">
        <f t="shared" si="11"/>
        <v>6.5599999999999992E-2</v>
      </c>
    </row>
    <row r="34" spans="1:21" s="48" customFormat="1" ht="13" x14ac:dyDescent="0.35">
      <c r="A34" s="125" t="str">
        <f>F8</f>
        <v>IV WG3</v>
      </c>
      <c r="B34" s="11">
        <v>1000</v>
      </c>
      <c r="C34" s="65">
        <f t="shared" si="6"/>
        <v>2788</v>
      </c>
      <c r="D34" s="65">
        <f t="shared" si="7"/>
        <v>36.858524399999993</v>
      </c>
      <c r="E34" s="65">
        <f t="shared" si="8"/>
        <v>22.923920000000003</v>
      </c>
      <c r="F34" s="65">
        <f t="shared" si="9"/>
        <v>53.294751999999995</v>
      </c>
      <c r="G34" s="65">
        <f t="shared" si="5"/>
        <v>3.5915999999999997</v>
      </c>
      <c r="H34" s="65">
        <f t="shared" si="5"/>
        <v>17.793999999999997</v>
      </c>
      <c r="I34" s="65">
        <f t="shared" si="5"/>
        <v>5.8875999999999999</v>
      </c>
      <c r="J34" s="65">
        <f t="shared" si="5"/>
        <v>0.11479999999999999</v>
      </c>
      <c r="K34" s="65">
        <f t="shared" si="5"/>
        <v>8.199999999999999E-2</v>
      </c>
      <c r="L34" s="65">
        <f t="shared" si="5"/>
        <v>3.4275999999999995</v>
      </c>
      <c r="M34" s="65">
        <f t="shared" si="5"/>
        <v>3.2143999999999999</v>
      </c>
      <c r="N34" s="65">
        <f t="shared" si="5"/>
        <v>0</v>
      </c>
      <c r="O34" s="65">
        <f t="shared" si="5"/>
        <v>0</v>
      </c>
      <c r="P34" s="65">
        <f t="shared" si="5"/>
        <v>33.783999999999999</v>
      </c>
      <c r="Q34" s="65">
        <f t="shared" si="10"/>
        <v>3.2389999999999995E-2</v>
      </c>
      <c r="R34" s="65">
        <f t="shared" si="11"/>
        <v>0.16399999999999998</v>
      </c>
      <c r="S34" s="65">
        <f t="shared" si="11"/>
        <v>0.65599999999999992</v>
      </c>
      <c r="T34" s="65">
        <f t="shared" si="11"/>
        <v>8.199999999999999E-2</v>
      </c>
      <c r="U34" s="126">
        <f t="shared" si="11"/>
        <v>3.2799999999999996E-2</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"&amp;(VLOOKUP(C14,Table24567[],6,FALSE))</f>
        <v>#N/A</v>
      </c>
      <c r="C58" s="10" t="e">
        <f>D16&amp;" I "&amp;(VLOOKUP(D14,Table24567[],6,FALSE))</f>
        <v>#N/A</v>
      </c>
      <c r="D58" s="10" t="e">
        <f>E16&amp;" I "&amp;(VLOOKUP(E14,Table24567[],6,FALSE))</f>
        <v>#N/A</v>
      </c>
      <c r="E58" s="10" t="e">
        <f>F16&amp;" I "&amp;(VLOOKUP(F14,Table24567[],6,FALSE))</f>
        <v>#N/A</v>
      </c>
      <c r="F58" s="10" t="e">
        <f>G16&amp;" I "&amp;(VLOOKUP(G14,Table24567[],6,FALSE))</f>
        <v>#N/A</v>
      </c>
      <c r="G58" s="10" t="e">
        <f>H16&amp;" I "&amp;(VLOOKUP(H14,Table24567[],6,FALSE))</f>
        <v>#N/A</v>
      </c>
      <c r="H58" s="10" t="e">
        <f>I16&amp;" I "&amp;(VLOOKUP(I14,Table24567[],6,FALSE))</f>
        <v>#N/A</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t="e">
        <f>VLOOKUP(C$14,Table24567[],5,FALSE)</f>
        <v>#N/A</v>
      </c>
      <c r="C59" s="64" t="e">
        <f>VLOOKUP(D$14,Table24567[],5,FALSE)</f>
        <v>#N/A</v>
      </c>
      <c r="D59" s="64" t="e">
        <f>VLOOKUP(E$14,Table24567[],5,FALSE)</f>
        <v>#N/A</v>
      </c>
      <c r="E59" s="64" t="e">
        <f>VLOOKUP(F$14,Table24567[],5,FALSE)</f>
        <v>#N/A</v>
      </c>
      <c r="F59" s="64" t="e">
        <f>VLOOKUP(G$14,Table24567[],5,FALSE)</f>
        <v>#N/A</v>
      </c>
      <c r="G59" s="64" t="e">
        <f>VLOOKUP(H$14,Table24567[],5,FALSE)</f>
        <v>#N/A</v>
      </c>
      <c r="H59" s="64" t="e">
        <f>VLOOKUP(I$14,Table24567[],5,FALSE)</f>
        <v>#N/A</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M1" sqref="M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v>7.2</v>
      </c>
      <c r="J1" s="161" t="s">
        <v>153</v>
      </c>
      <c r="K1" s="162"/>
      <c r="L1" s="109">
        <v>2.4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v>170506</v>
      </c>
      <c r="G2" s="139" t="s">
        <v>110</v>
      </c>
      <c r="H2" s="140"/>
      <c r="I2" s="110">
        <v>177</v>
      </c>
      <c r="J2" s="141" t="s">
        <v>158</v>
      </c>
      <c r="K2" s="142"/>
      <c r="L2" s="110">
        <v>0.62</v>
      </c>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t="s">
        <v>76</v>
      </c>
      <c r="G3" s="141" t="s">
        <v>159</v>
      </c>
      <c r="H3" s="142"/>
      <c r="I3" s="110">
        <v>1.61</v>
      </c>
      <c r="J3" s="163" t="s">
        <v>154</v>
      </c>
      <c r="K3" s="164"/>
      <c r="L3" s="110">
        <f>(L1/(L2*10000))*100</f>
        <v>3.870967741935484E-2</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t="s">
        <v>186</v>
      </c>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78.057577400000014</v>
      </c>
      <c r="D18" s="12">
        <f>$D32</f>
        <v>78.057577400000014</v>
      </c>
      <c r="E18" s="12">
        <f>$D33</f>
        <v>78.057577400000014</v>
      </c>
      <c r="F18" s="12">
        <f>$D34</f>
        <v>39.028788700000007</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50.47504</v>
      </c>
      <c r="D22" s="12">
        <f>$E32</f>
        <v>50.47504</v>
      </c>
      <c r="E22" s="12">
        <f>$E33</f>
        <v>50.47504</v>
      </c>
      <c r="F22" s="12">
        <f>$E34</f>
        <v>25.23752</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t="s">
        <v>55</v>
      </c>
      <c r="Q27" s="84" t="s">
        <v>55</v>
      </c>
      <c r="R27" s="84" t="s">
        <v>55</v>
      </c>
      <c r="S27" s="84" t="s">
        <v>55</v>
      </c>
      <c r="T27" s="84" t="s">
        <v>55</v>
      </c>
      <c r="U27" s="121" t="s">
        <v>55</v>
      </c>
    </row>
    <row r="28" spans="1:40" x14ac:dyDescent="0.35">
      <c r="A28" s="122"/>
      <c r="B28" s="16">
        <v>18.7</v>
      </c>
      <c r="C28" s="11">
        <v>0.62</v>
      </c>
      <c r="D28" s="11">
        <v>91.1</v>
      </c>
      <c r="E28" s="11">
        <v>112</v>
      </c>
      <c r="F28" s="11">
        <v>225</v>
      </c>
      <c r="G28" s="11">
        <v>16.3</v>
      </c>
      <c r="H28" s="11">
        <v>92.6</v>
      </c>
      <c r="I28" s="11">
        <v>23.6</v>
      </c>
      <c r="J28" s="11">
        <v>0.7</v>
      </c>
      <c r="K28" s="15">
        <v>0.5</v>
      </c>
      <c r="L28" s="11">
        <v>15.5</v>
      </c>
      <c r="M28" s="11">
        <v>0.2</v>
      </c>
      <c r="N28" s="11"/>
      <c r="O28" s="11"/>
      <c r="P28" s="11">
        <v>247</v>
      </c>
      <c r="Q28" s="11">
        <v>0.11899999999999999</v>
      </c>
      <c r="R28" s="11">
        <v>0.6</v>
      </c>
      <c r="S28" s="11">
        <v>4.8</v>
      </c>
      <c r="T28" s="11">
        <v>0.5</v>
      </c>
      <c r="U28" s="97">
        <v>1</v>
      </c>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2318.8000000000002</v>
      </c>
      <c r="D31" s="65">
        <f>(IF(D$27="%w/w SAR",((D$28*10)*$B31),IF(D$27="%w/w DM",(((D$28*10)*($B$28/100))*$B31),IF(D$27="kg/t SAR",(D$28*$B31),IF(D$27="kg/t DM",((D$28*($B$28/100))*$B31),IF(D$27="mg/kg SAR",((D$28*0.001)*$B31),IF(D$27="mg/kg DM",(((D$28*0.001)*($B$28/100))*$B31),"0")))))))*2.291</f>
        <v>78.057577400000014</v>
      </c>
      <c r="E31" s="65">
        <f>(IF(E$27="%w/w SAR",((E$28*10)*$B31),IF(E$27="%w/w DM",(((E$28*10)*($B$28/100))*$B31),IF(E$27="kg/t SAR",(E$28*$B31),IF(E$27="kg/t DM",((E$28*($B$28/100))*$B31),IF(E$27="mg/kg SAR",((E$28*0.001)*$B31),IF(E$27="mg/kg DM",(((E$28*0.001)*($B$28/100))*$B31),"0")))))))*1.205</f>
        <v>50.47504</v>
      </c>
      <c r="F31" s="65">
        <f>(IF(F$27="%w/w SAR",((F$28*10)*$B31),IF(F$27="%w/w DM",(((F$28*10)*($B$28/100))*$B31),IF(F$27="kg/t SAR",(F$28*$B31),IF(F$27="kg/t DM",((F$28*($B$28/100))*$B31),IF(F$27="mg/kg SAR",((F$28*0.001)*$B31),IF(F$27="mg/kg DM",(((F$28*0.001)*($B$28/100))*$B31),"0")))))))*1.658</f>
        <v>139.52070000000001</v>
      </c>
      <c r="G31" s="65">
        <f t="shared" ref="G31:P46" si="5">IF(G$27="%w/w SAR",((G$28*10)*$B31),IF(G$27="%w/w DM",(((G$28*10)*($B$28/100))*$B31),IF(G$27="kg/t SAR",(G$28*$B31),IF(G$27="kg/t DM",((G$28*($B$28/100))*$B31),IF(G$27="mg/kg SAR",((G$28*0.001)*$B31),IF(G$27="mg/kg DM",(((G$28*0.001)*($B$28/100))*$B31),0))))))</f>
        <v>6.0962000000000005</v>
      </c>
      <c r="H31" s="65">
        <f t="shared" si="5"/>
        <v>34.632400000000004</v>
      </c>
      <c r="I31" s="65">
        <f t="shared" si="5"/>
        <v>8.8264000000000014</v>
      </c>
      <c r="J31" s="65">
        <f t="shared" si="5"/>
        <v>0.26180000000000003</v>
      </c>
      <c r="K31" s="65">
        <f t="shared" si="5"/>
        <v>0.187</v>
      </c>
      <c r="L31" s="65">
        <f t="shared" si="5"/>
        <v>5.7969999999999997</v>
      </c>
      <c r="M31" s="65">
        <f t="shared" si="5"/>
        <v>7.4800000000000005E-2</v>
      </c>
      <c r="N31" s="65">
        <f t="shared" si="5"/>
        <v>0</v>
      </c>
      <c r="O31" s="65">
        <f t="shared" si="5"/>
        <v>0</v>
      </c>
      <c r="P31" s="65">
        <f t="shared" si="5"/>
        <v>92.378</v>
      </c>
      <c r="Q31" s="65">
        <f>(IF(Q$27="%w/w SAR",((Q$28*10)*$B31),IF(Q$27="%w/w DM",(((Q$28*10)*($B$28/100))*$B31),IF(Q$27="kg/t SAR",(Q$28*$B31),IF(Q$27="kg/t DM",((Q$28*($B$28/100))*$B31),IF(Q$27="mg/kg SAR",((Q$28*0.001)*$B31),IF(Q$27="mg/kg DM",(((Q$28*0.001)*($B$28/100))*$B31),0)))))))*2.5</f>
        <v>0.11126499999999999</v>
      </c>
      <c r="R31" s="65">
        <f>IF(R$27="%w/w SAR",((R$28*10)*$B31),IF(R$27="%w/w DM",(((R$28*10)*($B$28/100))*$B31),IF(R$27="kg/t SAR",(R$28*$B31),IF(R$27="kg/t DM",((R$28*($B$28/100))*$B31),IF(R$27="mg/kg SAR",((R$28*0.001)*$B31),IF(R$27="mg/kg DM",(((R$28*0.001)*($B$28/100))*$B31),0))))))</f>
        <v>0.22439999999999999</v>
      </c>
      <c r="S31" s="65">
        <f>IF(S$27="%w/w SAR",((S$28*10)*$B31),IF(S$27="%w/w DM",(((S$28*10)*($B$28/100))*$B31),IF(S$27="kg/t SAR",(S$28*$B31),IF(S$27="kg/t DM",((S$28*($B$28/100))*$B31),IF(S$27="mg/kg SAR",((S$28*0.001)*$B31),IF(S$27="mg/kg DM",(((S$28*0.001)*($B$28/100))*$B31),0))))))</f>
        <v>1.7951999999999999</v>
      </c>
      <c r="T31" s="65">
        <f>IF(T$27="%w/w SAR",((T$28*10)*$B31),IF(T$27="%w/w DM",(((T$28*10)*($B$28/100))*$B31),IF(T$27="kg/t SAR",(T$28*$B31),IF(T$27="kg/t DM",((T$28*($B$28/100))*$B31),IF(T$27="mg/kg SAR",((T$28*0.001)*$B31),IF(T$27="mg/kg DM",(((T$28*0.001)*($B$28/100))*$B31),0))))))</f>
        <v>0.187</v>
      </c>
      <c r="U31" s="126">
        <f>IF(U$27="%w/w SAR",((U$28*10)*$B31),IF(U$27="%w/w DM",(((U$28*10)*($B$28/100))*$B31),IF(U$27="kg/t SAR",(U$28*$B31),IF(U$27="kg/t DM",((U$28*($B$28/100))*$B31),IF(U$27="mg/kg SAR",((U$28*0.001)*$B31),IF(U$27="mg/kg DM",(((U$28*0.001)*($B$28/100))*$B31),0))))))</f>
        <v>0.374</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2318.8000000000002</v>
      </c>
      <c r="D32" s="65">
        <f t="shared" ref="D32:D50" si="7">(IF(D$27="%w/w SAR",((D$28*10)*$B32),IF(D$27="%w/w DM",(((D$28*10)*($B$28/100))*$B32),IF(D$27="kg/t SAR",(D$28*$B32),IF(D$27="kg/t DM",((D$28*($B$28/100))*$B32),IF(D$27="mg/kg SAR",((D$28*0.001)*$B32),IF(D$27="mg/kg DM",(((D$28*0.001)*($B$28/100))*$B32),"0")))))))*2.291</f>
        <v>78.057577400000014</v>
      </c>
      <c r="E32" s="65">
        <f t="shared" ref="E32:E50" si="8">(IF(E$27="%w/w SAR",((E$28*10)*$B32),IF(E$27="%w/w DM",(((E$28*10)*($B$28/100))*$B32),IF(E$27="kg/t SAR",(E$28*$B32),IF(E$27="kg/t DM",((E$28*($B$28/100))*$B32),IF(E$27="mg/kg SAR",((E$28*0.001)*$B32),IF(E$27="mg/kg DM",(((E$28*0.001)*($B$28/100))*$B32),"0")))))))*1.205</f>
        <v>50.47504</v>
      </c>
      <c r="F32" s="65">
        <f t="shared" ref="F32:F50" si="9">(IF(F$27="%w/w SAR",((F$28*10)*$B32),IF(F$27="%w/w DM",(((F$28*10)*($B$28/100))*$B32),IF(F$27="kg/t SAR",(F$28*$B32),IF(F$27="kg/t DM",((F$28*($B$28/100))*$B32),IF(F$27="mg/kg SAR",((F$28*0.001)*$B32),IF(F$27="mg/kg DM",(((F$28*0.001)*($B$28/100))*$B32),"0")))))))*1.658</f>
        <v>139.52070000000001</v>
      </c>
      <c r="G32" s="65">
        <f t="shared" si="5"/>
        <v>6.0962000000000005</v>
      </c>
      <c r="H32" s="65">
        <f t="shared" si="5"/>
        <v>34.632400000000004</v>
      </c>
      <c r="I32" s="65">
        <f t="shared" si="5"/>
        <v>8.8264000000000014</v>
      </c>
      <c r="J32" s="65">
        <f t="shared" si="5"/>
        <v>0.26180000000000003</v>
      </c>
      <c r="K32" s="65">
        <f t="shared" si="5"/>
        <v>0.187</v>
      </c>
      <c r="L32" s="65">
        <f t="shared" si="5"/>
        <v>5.7969999999999997</v>
      </c>
      <c r="M32" s="65">
        <f t="shared" si="5"/>
        <v>7.4800000000000005E-2</v>
      </c>
      <c r="N32" s="65">
        <f t="shared" si="5"/>
        <v>0</v>
      </c>
      <c r="O32" s="65">
        <f t="shared" si="5"/>
        <v>0</v>
      </c>
      <c r="P32" s="65">
        <f t="shared" si="5"/>
        <v>92.378</v>
      </c>
      <c r="Q32" s="65">
        <f t="shared" ref="Q32:Q50" si="10">(IF(Q$27="%w/w SAR",((Q$28*10)*$B32),IF(Q$27="%w/w DM",(((Q$28*10)*($B$28/100))*$B32),IF(Q$27="kg/t SAR",(Q$28*$B32),IF(Q$27="kg/t DM",((Q$28*($B$28/100))*$B32),IF(Q$27="mg/kg SAR",((Q$28*0.001)*$B32),IF(Q$27="mg/kg DM",(((Q$28*0.001)*($B$28/100))*$B32),0)))))))*2.5</f>
        <v>0.11126499999999999</v>
      </c>
      <c r="R32" s="65">
        <f t="shared" ref="R32:U50" si="11">IF(R$27="%w/w SAR",((R$28*10)*$B32),IF(R$27="%w/w DM",(((R$28*10)*($B$28/100))*$B32),IF(R$27="kg/t SAR",(R$28*$B32),IF(R$27="kg/t DM",((R$28*($B$28/100))*$B32),IF(R$27="mg/kg SAR",((R$28*0.001)*$B32),IF(R$27="mg/kg DM",(((R$28*0.001)*($B$28/100))*$B32),0))))))</f>
        <v>0.22439999999999999</v>
      </c>
      <c r="S32" s="65">
        <f t="shared" si="11"/>
        <v>1.7951999999999999</v>
      </c>
      <c r="T32" s="65">
        <f t="shared" si="11"/>
        <v>0.187</v>
      </c>
      <c r="U32" s="126">
        <f t="shared" si="11"/>
        <v>0.374</v>
      </c>
    </row>
    <row r="33" spans="1:21" s="48" customFormat="1" ht="13" x14ac:dyDescent="0.35">
      <c r="A33" s="125" t="str">
        <f>E8</f>
        <v>IV WG2</v>
      </c>
      <c r="B33" s="11">
        <v>2000</v>
      </c>
      <c r="C33" s="65">
        <f t="shared" si="6"/>
        <v>2318.8000000000002</v>
      </c>
      <c r="D33" s="65">
        <f t="shared" si="7"/>
        <v>78.057577400000014</v>
      </c>
      <c r="E33" s="65">
        <f t="shared" si="8"/>
        <v>50.47504</v>
      </c>
      <c r="F33" s="65">
        <f t="shared" si="9"/>
        <v>139.52070000000001</v>
      </c>
      <c r="G33" s="65">
        <f t="shared" si="5"/>
        <v>6.0962000000000005</v>
      </c>
      <c r="H33" s="65">
        <f t="shared" si="5"/>
        <v>34.632400000000004</v>
      </c>
      <c r="I33" s="65">
        <f t="shared" si="5"/>
        <v>8.8264000000000014</v>
      </c>
      <c r="J33" s="65">
        <f t="shared" si="5"/>
        <v>0.26180000000000003</v>
      </c>
      <c r="K33" s="65">
        <f t="shared" si="5"/>
        <v>0.187</v>
      </c>
      <c r="L33" s="65">
        <f t="shared" si="5"/>
        <v>5.7969999999999997</v>
      </c>
      <c r="M33" s="65">
        <f t="shared" si="5"/>
        <v>7.4800000000000005E-2</v>
      </c>
      <c r="N33" s="65">
        <f t="shared" si="5"/>
        <v>0</v>
      </c>
      <c r="O33" s="65">
        <f t="shared" si="5"/>
        <v>0</v>
      </c>
      <c r="P33" s="65">
        <f t="shared" si="5"/>
        <v>92.378</v>
      </c>
      <c r="Q33" s="65">
        <f t="shared" si="10"/>
        <v>0.11126499999999999</v>
      </c>
      <c r="R33" s="65">
        <f t="shared" si="11"/>
        <v>0.22439999999999999</v>
      </c>
      <c r="S33" s="65">
        <f t="shared" si="11"/>
        <v>1.7951999999999999</v>
      </c>
      <c r="T33" s="65">
        <f t="shared" si="11"/>
        <v>0.187</v>
      </c>
      <c r="U33" s="126">
        <f t="shared" si="11"/>
        <v>0.374</v>
      </c>
    </row>
    <row r="34" spans="1:21" s="48" customFormat="1" ht="13" x14ac:dyDescent="0.35">
      <c r="A34" s="125" t="str">
        <f>F8</f>
        <v>IV WG3</v>
      </c>
      <c r="B34" s="11">
        <v>1000</v>
      </c>
      <c r="C34" s="65">
        <f t="shared" si="6"/>
        <v>1159.4000000000001</v>
      </c>
      <c r="D34" s="65">
        <f t="shared" si="7"/>
        <v>39.028788700000007</v>
      </c>
      <c r="E34" s="65">
        <f t="shared" si="8"/>
        <v>25.23752</v>
      </c>
      <c r="F34" s="65">
        <f t="shared" si="9"/>
        <v>69.760350000000003</v>
      </c>
      <c r="G34" s="65">
        <f t="shared" si="5"/>
        <v>3.0481000000000003</v>
      </c>
      <c r="H34" s="65">
        <f t="shared" si="5"/>
        <v>17.316200000000002</v>
      </c>
      <c r="I34" s="65">
        <f t="shared" si="5"/>
        <v>4.4132000000000007</v>
      </c>
      <c r="J34" s="65">
        <f t="shared" si="5"/>
        <v>0.13090000000000002</v>
      </c>
      <c r="K34" s="65">
        <f t="shared" si="5"/>
        <v>9.35E-2</v>
      </c>
      <c r="L34" s="65">
        <f t="shared" si="5"/>
        <v>2.8984999999999999</v>
      </c>
      <c r="M34" s="65">
        <f t="shared" si="5"/>
        <v>3.7400000000000003E-2</v>
      </c>
      <c r="N34" s="65">
        <f t="shared" si="5"/>
        <v>0</v>
      </c>
      <c r="O34" s="65">
        <f t="shared" si="5"/>
        <v>0</v>
      </c>
      <c r="P34" s="65">
        <f t="shared" si="5"/>
        <v>46.189</v>
      </c>
      <c r="Q34" s="65">
        <f t="shared" si="10"/>
        <v>5.5632499999999994E-2</v>
      </c>
      <c r="R34" s="65">
        <f t="shared" si="11"/>
        <v>0.11219999999999999</v>
      </c>
      <c r="S34" s="65">
        <f t="shared" si="11"/>
        <v>0.89759999999999995</v>
      </c>
      <c r="T34" s="65">
        <f t="shared" si="11"/>
        <v>9.35E-2</v>
      </c>
      <c r="U34" s="126">
        <f t="shared" si="11"/>
        <v>0.187</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"&amp;(VLOOKUP(C14,Table2456[],6,FALSE))</f>
        <v>#N/A</v>
      </c>
      <c r="C58" s="10" t="e">
        <f>D16&amp;" I "&amp;(VLOOKUP(D14,Table2456[],6,FALSE))</f>
        <v>#N/A</v>
      </c>
      <c r="D58" s="10" t="e">
        <f>E16&amp;" I "&amp;(VLOOKUP(E14,Table2456[],6,FALSE))</f>
        <v>#N/A</v>
      </c>
      <c r="E58" s="10" t="e">
        <f>F16&amp;" I "&amp;(VLOOKUP(F14,Table2456[],6,FALSE))</f>
        <v>#N/A</v>
      </c>
      <c r="F58" s="10" t="e">
        <f>G16&amp;" I "&amp;(VLOOKUP(G14,Table2456[],6,FALSE))</f>
        <v>#N/A</v>
      </c>
      <c r="G58" s="10" t="e">
        <f>H16&amp;" I "&amp;(VLOOKUP(H14,Table2456[],6,FALSE))</f>
        <v>#N/A</v>
      </c>
      <c r="H58" s="10" t="e">
        <f>I16&amp;" I "&amp;(VLOOKUP(I14,Table2456[],6,FALSE))</f>
        <v>#N/A</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t="e">
        <f>VLOOKUP(C$14,Table2456[],5,FALSE)</f>
        <v>#N/A</v>
      </c>
      <c r="C59" s="64" t="e">
        <f>VLOOKUP(D$14,Table2456[],5,FALSE)</f>
        <v>#N/A</v>
      </c>
      <c r="D59" s="64" t="e">
        <f>VLOOKUP(E$14,Table2456[],5,FALSE)</f>
        <v>#N/A</v>
      </c>
      <c r="E59" s="64" t="e">
        <f>VLOOKUP(F$14,Table2456[],5,FALSE)</f>
        <v>#N/A</v>
      </c>
      <c r="F59" s="64" t="e">
        <f>VLOOKUP(G$14,Table2456[],5,FALSE)</f>
        <v>#N/A</v>
      </c>
      <c r="G59" s="64" t="e">
        <f>VLOOKUP(H$14,Table2456[],5,FALSE)</f>
        <v>#N/A</v>
      </c>
      <c r="H59" s="64" t="e">
        <f>VLOOKUP(I$14,Table2456[],5,FALSE)</f>
        <v>#N/A</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7" t="s">
        <v>84</v>
      </c>
      <c r="B1" s="29" t="str">
        <f>'Field data and sample 1'!B29</f>
        <v>Application Rate</v>
      </c>
      <c r="C1" s="29" t="str">
        <f>'Field data and sample 1'!C29</f>
        <v>Nitrogen Addition</v>
      </c>
      <c r="D1" s="29" t="str">
        <f>'Field data and sample 1'!D29</f>
        <v>Phosphate Addition</v>
      </c>
      <c r="E1" s="29" t="str">
        <f>'Field data and sample 1'!E29</f>
        <v>Potash  Addition</v>
      </c>
      <c r="F1" s="29" t="str">
        <f>'Field data and sample 1'!F29</f>
        <v>Mg Oxide Addition</v>
      </c>
      <c r="G1" s="29" t="str">
        <f>'Field data and sample 1'!G29</f>
        <v>Copper Addition</v>
      </c>
      <c r="H1" s="29" t="str">
        <f>'Field data and sample 1'!H29</f>
        <v>Zinc Addition</v>
      </c>
      <c r="I1" s="29" t="str">
        <f>'Field data and sample 1'!I29</f>
        <v>Lead Addition</v>
      </c>
      <c r="J1" s="29" t="str">
        <f>'Field data and sample 1'!J29</f>
        <v>Cadmium Addition</v>
      </c>
      <c r="K1" s="29" t="str">
        <f>'Field data and sample 1'!K29</f>
        <v>Mercury Addition</v>
      </c>
      <c r="L1" s="29" t="str">
        <f>'Field data and sample 1'!L29</f>
        <v>Nickel Addition</v>
      </c>
      <c r="M1" s="29" t="str">
        <f>'Field data and sample 1'!M29</f>
        <v>Chromium Addition</v>
      </c>
      <c r="N1" s="29" t="str">
        <f>'Field data and sample 1'!N29</f>
        <v>Aluminium Addition</v>
      </c>
      <c r="O1" s="29" t="str">
        <f>'Field data and sample 1'!O29</f>
        <v>Iron Addition</v>
      </c>
      <c r="P1" s="29" t="str">
        <f>'Field data and sample 1'!P29</f>
        <v xml:space="preserve">Sodium Addition                 </v>
      </c>
      <c r="Q1" s="29" t="str">
        <f>'Field data and sample 1'!Q29</f>
        <v>SO3  Addition                             kg/ha</v>
      </c>
      <c r="R1" s="29" t="str">
        <f>'Field data and sample 1'!R29</f>
        <v xml:space="preserve">Selenium Addition </v>
      </c>
      <c r="S1" s="29" t="str">
        <f>'Field data and sample 1'!S29</f>
        <v xml:space="preserve">Arsenic  Addition  </v>
      </c>
      <c r="T1" s="29" t="str">
        <f>'Field data and sample 1'!T29</f>
        <v xml:space="preserve">Molybdenum Addition  </v>
      </c>
      <c r="U1" s="29" t="str">
        <f>'Field data and sample 1'!U29</f>
        <v xml:space="preserve">Fluoride Addition </v>
      </c>
    </row>
    <row r="2" spans="1:21" ht="25" x14ac:dyDescent="0.25">
      <c r="A2" s="177"/>
      <c r="B2" s="29" t="str">
        <f>'Field data and sample 1'!B30</f>
        <v>tonnes/ha</v>
      </c>
      <c r="C2" s="29" t="str">
        <f>'Field data and sample 1'!C30</f>
        <v>kg/ha</v>
      </c>
      <c r="D2" s="29" t="str">
        <f>'Field data and sample 1'!D30</f>
        <v>P2O5 
kg/ha</v>
      </c>
      <c r="E2" s="29" t="str">
        <f>'Field data and sample 1'!E30</f>
        <v>K2O 
kg/ha</v>
      </c>
      <c r="F2" s="29" t="str">
        <f>'Field data and sample 1'!F30</f>
        <v>MgO 
kg/ha</v>
      </c>
      <c r="G2" s="29" t="str">
        <f>'Field data and sample 1'!G30</f>
        <v>kg/ha</v>
      </c>
      <c r="H2" s="29" t="str">
        <f>'Field data and sample 1'!H30</f>
        <v>kg/ha</v>
      </c>
      <c r="I2" s="29" t="str">
        <f>'Field data and sample 1'!I30</f>
        <v>kg/ha</v>
      </c>
      <c r="J2" s="29" t="str">
        <f>'Field data and sample 1'!J30</f>
        <v>kg/ha</v>
      </c>
      <c r="K2" s="29" t="str">
        <f>'Field data and sample 1'!K30</f>
        <v>kg/ha</v>
      </c>
      <c r="L2" s="29" t="str">
        <f>'Field data and sample 1'!L30</f>
        <v>kg/ha</v>
      </c>
      <c r="M2" s="29" t="str">
        <f>'Field data and sample 1'!M30</f>
        <v>kg/ha</v>
      </c>
      <c r="N2" s="29" t="str">
        <f>'Field data and sample 1'!N30</f>
        <v>kg/ha</v>
      </c>
      <c r="O2" s="29" t="str">
        <f>'Field data and sample 1'!O30</f>
        <v>kg/ha</v>
      </c>
      <c r="P2" s="29" t="str">
        <f>'Field data and sample 1'!P30</f>
        <v>kg/ha</v>
      </c>
      <c r="Q2" s="29" t="str">
        <f>'Field data and sample 1'!Q30</f>
        <v>kg/ha</v>
      </c>
      <c r="R2" s="29" t="str">
        <f>'Field data and sample 1'!R30</f>
        <v>kg/ha</v>
      </c>
      <c r="S2" s="29" t="str">
        <f>'Field data and sample 1'!S30</f>
        <v>kg/ha</v>
      </c>
      <c r="T2" s="29" t="str">
        <f>'Field data and sample 1'!T30</f>
        <v>kg/ha</v>
      </c>
      <c r="U2" s="29" t="str">
        <f>'Field data and sample 1'!U30</f>
        <v>kg/ha</v>
      </c>
    </row>
    <row r="3" spans="1:21" x14ac:dyDescent="0.25">
      <c r="A3" s="27">
        <v>1</v>
      </c>
      <c r="B3" s="24">
        <f>'Field data and sample 1'!B31</f>
        <v>2000</v>
      </c>
      <c r="C3" s="24">
        <f>'Field data and sample 1'!C31</f>
        <v>1795.2000000000003</v>
      </c>
      <c r="D3" s="24">
        <f>'Field data and sample 1'!D31</f>
        <v>114.036816</v>
      </c>
      <c r="E3" s="24">
        <f>'Field data and sample 1'!E31</f>
        <v>124.54880000000003</v>
      </c>
      <c r="F3" s="24">
        <f>'Field data and sample 1'!F31</f>
        <v>259.76217600000001</v>
      </c>
      <c r="G3" s="24">
        <f>'Field data and sample 1'!G31</f>
        <v>8.3232000000000017</v>
      </c>
      <c r="H3" s="24">
        <f>'Field data and sample 1'!H31</f>
        <v>76.432000000000016</v>
      </c>
      <c r="I3" s="24">
        <f>'Field data and sample 1'!I31</f>
        <v>10.716800000000001</v>
      </c>
      <c r="J3" s="24">
        <f>'Field data and sample 1'!J31</f>
        <v>0.19040000000000001</v>
      </c>
      <c r="K3" s="24">
        <f>'Field data and sample 1'!K31</f>
        <v>0.13600000000000004</v>
      </c>
      <c r="L3" s="24">
        <f>'Field data and sample 1'!L31</f>
        <v>9.0848000000000013</v>
      </c>
      <c r="M3" s="24">
        <f>'Field data and sample 1'!M31</f>
        <v>9.1936</v>
      </c>
      <c r="N3" s="24">
        <f>'Field data and sample 1'!N31</f>
        <v>0</v>
      </c>
      <c r="O3" s="24">
        <f>'Field data and sample 1'!O31</f>
        <v>0</v>
      </c>
      <c r="P3" s="24">
        <f>'Field data and sample 1'!P31</f>
        <v>76.432000000000016</v>
      </c>
      <c r="Q3" s="24">
        <f>'Field data and sample 1'!Q31</f>
        <v>4.2839999999999996E-2</v>
      </c>
      <c r="R3" s="24">
        <f>'Field data and sample 1'!R31</f>
        <v>0.29920000000000008</v>
      </c>
      <c r="S3" s="24">
        <f>'Field data and sample 1'!S31</f>
        <v>1.496</v>
      </c>
      <c r="T3" s="24">
        <f>'Field data and sample 1'!T31</f>
        <v>0.13600000000000004</v>
      </c>
      <c r="U3" s="24">
        <f>'Field data and sample 1'!U31</f>
        <v>0.27200000000000008</v>
      </c>
    </row>
    <row r="4" spans="1:21" x14ac:dyDescent="0.25">
      <c r="A4" s="27">
        <v>2</v>
      </c>
      <c r="B4" s="24">
        <f>'sample 3'!B31</f>
        <v>2000</v>
      </c>
      <c r="C4" s="24">
        <f>'sample 3'!C31</f>
        <v>1604.8</v>
      </c>
      <c r="D4" s="24">
        <f>'sample 3'!D31</f>
        <v>97.211712000000006</v>
      </c>
      <c r="E4" s="24">
        <f>'sample 3'!E31</f>
        <v>54.735920000000014</v>
      </c>
      <c r="F4" s="24">
        <f>'sample 3'!F31</f>
        <v>100.56764800000001</v>
      </c>
      <c r="G4" s="24">
        <f>'sample 3'!G31</f>
        <v>8.16</v>
      </c>
      <c r="H4" s="24">
        <f>'sample 3'!H31</f>
        <v>38.787199999999999</v>
      </c>
      <c r="I4" s="24">
        <f>'sample 3'!I31</f>
        <v>10.88</v>
      </c>
      <c r="J4" s="24">
        <f>'sample 3'!J31</f>
        <v>72.624000000000009</v>
      </c>
      <c r="K4" s="24">
        <f>'sample 3'!K31</f>
        <v>0.13600000000000004</v>
      </c>
      <c r="L4" s="24">
        <f>'sample 3'!L31</f>
        <v>0.13600000000000004</v>
      </c>
      <c r="M4" s="24">
        <f>'sample 3'!M31</f>
        <v>9.2208000000000006</v>
      </c>
      <c r="N4" s="24">
        <f>'sample 3'!N31</f>
        <v>0</v>
      </c>
      <c r="O4" s="24">
        <f>'sample 3'!O31</f>
        <v>0</v>
      </c>
      <c r="P4" s="24">
        <f>'sample 3'!P31</f>
        <v>96.56</v>
      </c>
      <c r="Q4" s="24">
        <f>'sample 3'!Q31</f>
        <v>5.7800000000000004E-2</v>
      </c>
      <c r="R4" s="24">
        <f>'sample 3'!R31</f>
        <v>0.32640000000000002</v>
      </c>
      <c r="S4" s="24">
        <f>'sample 3'!S31</f>
        <v>1.6048000000000004</v>
      </c>
      <c r="T4" s="24">
        <f>'sample 3'!T31</f>
        <v>1.3600000000000003E-2</v>
      </c>
      <c r="U4" s="24">
        <f>'sample 3'!U31</f>
        <v>0.27200000000000008</v>
      </c>
    </row>
    <row r="5" spans="1:21" x14ac:dyDescent="0.25">
      <c r="A5" s="27">
        <v>3</v>
      </c>
      <c r="B5" s="24">
        <f>'sample 6'!B31</f>
        <v>2000</v>
      </c>
      <c r="C5" s="24">
        <f>'sample 6'!C31</f>
        <v>0.21887999999999996</v>
      </c>
      <c r="D5" s="24">
        <f>'sample 6'!D31</f>
        <v>130.23876799999999</v>
      </c>
      <c r="E5" s="24">
        <f>'sample 6'!E31</f>
        <v>63.007040000000011</v>
      </c>
      <c r="F5" s="24">
        <f>'sample 6'!F31</f>
        <v>128.52816000000001</v>
      </c>
      <c r="G5" s="24">
        <f>'sample 6'!G31</f>
        <v>10.275199999999998</v>
      </c>
      <c r="H5" s="24">
        <f>'sample 6'!H31</f>
        <v>49.643200000000007</v>
      </c>
      <c r="I5" s="24">
        <f>'sample 6'!I31</f>
        <v>12.828799999999999</v>
      </c>
      <c r="J5" s="24">
        <f>'sample 6'!J31</f>
        <v>0.2432</v>
      </c>
      <c r="K5" s="24">
        <f>'sample 6'!K31</f>
        <v>0.152</v>
      </c>
      <c r="L5" s="24">
        <f>'sample 6'!L31</f>
        <v>9.9408000000000012</v>
      </c>
      <c r="M5" s="24">
        <f>'sample 6'!M31</f>
        <v>10.396799999999999</v>
      </c>
      <c r="N5" s="24">
        <f>'sample 6'!N31</f>
        <v>0</v>
      </c>
      <c r="O5" s="24">
        <f>'sample 6'!O31</f>
        <v>0</v>
      </c>
      <c r="P5" s="24">
        <f>'sample 6'!P31</f>
        <v>79.343999999999994</v>
      </c>
      <c r="Q5" s="24">
        <f>'sample 6'!Q31</f>
        <v>8.131999999999999E-2</v>
      </c>
      <c r="R5" s="24">
        <f>'sample 6'!R31</f>
        <v>0.45600000000000002</v>
      </c>
      <c r="S5" s="24">
        <f>'sample 6'!S31</f>
        <v>1.3983999999999999</v>
      </c>
      <c r="T5" s="24">
        <f>'sample 6'!T31</f>
        <v>1.52E-2</v>
      </c>
      <c r="U5" s="24">
        <f>'sample 6'!U31</f>
        <v>0.30399999999999999</v>
      </c>
    </row>
    <row r="6" spans="1:21" x14ac:dyDescent="0.25">
      <c r="A6" s="27">
        <v>4</v>
      </c>
      <c r="B6" s="24">
        <f>'Sample 9'!B31</f>
        <v>2000</v>
      </c>
      <c r="C6" s="24">
        <f>'Sample 9'!C31</f>
        <v>1020.5999999999999</v>
      </c>
      <c r="D6" s="24">
        <f>'Sample 9'!D31</f>
        <v>59.753861999999998</v>
      </c>
      <c r="E6" s="24">
        <f>'Sample 9'!E31</f>
        <v>24.401250000000001</v>
      </c>
      <c r="F6" s="24">
        <f>'Sample 9'!F31</f>
        <v>56.405160000000002</v>
      </c>
      <c r="G6" s="24">
        <f>'Sample 9'!G31</f>
        <v>4.1958000000000002</v>
      </c>
      <c r="H6" s="24">
        <f>'Sample 9'!H31</f>
        <v>20.331000000000003</v>
      </c>
      <c r="I6" s="24">
        <f>'Sample 9'!I31</f>
        <v>6.4152000000000013</v>
      </c>
      <c r="J6" s="24">
        <f>'Sample 9'!J31</f>
        <v>9.7199999999999995E-2</v>
      </c>
      <c r="K6" s="24">
        <f>'Sample 9'!K31</f>
        <v>8.1000000000000003E-2</v>
      </c>
      <c r="L6" s="24">
        <f>'Sample 9'!L31</f>
        <v>3.6774000000000004</v>
      </c>
      <c r="M6" s="24">
        <f>'Sample 9'!M31</f>
        <v>3.8393999999999999</v>
      </c>
      <c r="N6" s="24">
        <f>'Sample 9'!N31</f>
        <v>0</v>
      </c>
      <c r="O6" s="24">
        <f>'Sample 9'!O31</f>
        <v>0</v>
      </c>
      <c r="P6" s="24">
        <f>'Sample 9'!P31</f>
        <v>44.388000000000005</v>
      </c>
      <c r="Q6" s="24">
        <f>'Sample 9'!Q31</f>
        <v>3.6045000000000001E-2</v>
      </c>
      <c r="R6" s="24">
        <f>'Sample 9'!R31</f>
        <v>0.19439999999999999</v>
      </c>
      <c r="S6" s="24">
        <f>'Sample 9'!S31</f>
        <v>0.58320000000000005</v>
      </c>
      <c r="T6" s="24">
        <f>'Sample 9'!T31</f>
        <v>8.1000000000000003E-2</v>
      </c>
      <c r="U6" s="24">
        <f>'Sample 9'!U31</f>
        <v>0.16200000000000001</v>
      </c>
    </row>
    <row r="7" spans="1:21" x14ac:dyDescent="0.25">
      <c r="A7" s="27">
        <v>5</v>
      </c>
      <c r="B7" s="24">
        <f>'Sample 12'!B31</f>
        <v>2000</v>
      </c>
      <c r="C7" s="24">
        <f>'Sample 12'!C31</f>
        <v>1016.2800000000001</v>
      </c>
      <c r="D7" s="24">
        <f>'Sample 12'!D31</f>
        <v>0.81921577999999995</v>
      </c>
      <c r="E7" s="24">
        <f>'Sample 12'!E31</f>
        <v>25.853034000000005</v>
      </c>
      <c r="F7" s="24">
        <f>'Sample 12'!F31</f>
        <v>61.1589776</v>
      </c>
      <c r="G7" s="24">
        <f>'Sample 12'!G31</f>
        <v>4.6673600000000004</v>
      </c>
      <c r="H7" s="24">
        <f>'Sample 12'!H31</f>
        <v>23.280339999999999</v>
      </c>
      <c r="I7" s="24">
        <f>'Sample 12'!I31</f>
        <v>7.0386800000000012</v>
      </c>
      <c r="J7" s="24">
        <f>'Sample 12'!J31</f>
        <v>0.13174</v>
      </c>
      <c r="K7" s="24">
        <f>'Sample 12'!K31</f>
        <v>9.4100000000000017E-2</v>
      </c>
      <c r="L7" s="24">
        <f>'Sample 12'!L31</f>
        <v>4.0463000000000005</v>
      </c>
      <c r="M7" s="24">
        <f>'Sample 12'!M31</f>
        <v>4.1592200000000004</v>
      </c>
      <c r="N7" s="24">
        <f>'Sample 12'!N31</f>
        <v>0</v>
      </c>
      <c r="O7" s="24">
        <f>'Sample 12'!O31</f>
        <v>0</v>
      </c>
      <c r="P7" s="24">
        <f>'Sample 12'!P31</f>
        <v>39.7102</v>
      </c>
      <c r="Q7" s="24">
        <f>'Sample 12'!Q31</f>
        <v>4.1403999999999996E-2</v>
      </c>
      <c r="R7" s="24">
        <f>'Sample 12'!R31</f>
        <v>0.20702000000000001</v>
      </c>
      <c r="S7" s="24">
        <f>'Sample 12'!S31</f>
        <v>0.63988</v>
      </c>
      <c r="T7" s="24">
        <f>'Sample 12'!T31</f>
        <v>9.4100000000000017E-2</v>
      </c>
      <c r="U7" s="24">
        <f>'Sample 12'!U31</f>
        <v>0.18820000000000003</v>
      </c>
    </row>
    <row r="8" spans="1:21" x14ac:dyDescent="0.25">
      <c r="A8" s="27">
        <v>6</v>
      </c>
      <c r="B8" s="24">
        <f>'Sample 15'!B31</f>
        <v>2000</v>
      </c>
      <c r="C8" s="24">
        <f>'Sample 15'!C31</f>
        <v>3095.2</v>
      </c>
      <c r="D8" s="24">
        <f>'Sample 15'!D31</f>
        <v>325.41363999999999</v>
      </c>
      <c r="E8" s="24">
        <f>'Sample 15'!E31</f>
        <v>126.19724000000002</v>
      </c>
      <c r="F8" s="24">
        <f>'Sample 15'!F31</f>
        <v>206.67964799999999</v>
      </c>
      <c r="G8" s="24">
        <f>'Sample 15'!G31</f>
        <v>10.812000000000001</v>
      </c>
      <c r="H8" s="24">
        <f>'Sample 15'!H31</f>
        <v>59.699199999999998</v>
      </c>
      <c r="I8" s="24">
        <f>'Sample 15'!I31</f>
        <v>21.4544</v>
      </c>
      <c r="J8" s="24">
        <f>'Sample 15'!J31</f>
        <v>0.38159999999999999</v>
      </c>
      <c r="K8" s="24">
        <f>'Sample 15'!K31</f>
        <v>0.21199999999999999</v>
      </c>
      <c r="L8" s="24">
        <f>'Sample 15'!L31</f>
        <v>7.0384000000000002</v>
      </c>
      <c r="M8" s="24">
        <f>'Sample 15'!M31</f>
        <v>6.9535999999999989</v>
      </c>
      <c r="N8" s="24">
        <f>'Sample 15'!N31</f>
        <v>0</v>
      </c>
      <c r="O8" s="24">
        <f>'Sample 15'!O31</f>
        <v>0</v>
      </c>
      <c r="P8" s="24">
        <f>'Sample 15'!P31</f>
        <v>145.85600000000002</v>
      </c>
      <c r="Q8" s="24">
        <f>'Sample 15'!Q31</f>
        <v>0.15051999999999999</v>
      </c>
      <c r="R8" s="24">
        <f>'Sample 15'!R31</f>
        <v>0.6784</v>
      </c>
      <c r="S8" s="24">
        <f>'Sample 15'!S31</f>
        <v>1.696</v>
      </c>
      <c r="T8" s="24">
        <f>'Sample 15'!T31</f>
        <v>0.21199999999999999</v>
      </c>
      <c r="U8" s="24">
        <f>'Sample 15'!U31</f>
        <v>0.42399999999999999</v>
      </c>
    </row>
    <row r="9" spans="1:21" x14ac:dyDescent="0.25">
      <c r="A9" s="27">
        <v>7</v>
      </c>
      <c r="B9" s="24">
        <f>'Sample 18'!B31</f>
        <v>2000</v>
      </c>
      <c r="C9" s="24">
        <f>'Sample 18'!C31</f>
        <v>5215.2</v>
      </c>
      <c r="D9" s="24">
        <f>'Sample 18'!D31</f>
        <v>346.784088</v>
      </c>
      <c r="E9" s="24">
        <f>'Sample 18'!E31</f>
        <v>120.32165999999999</v>
      </c>
      <c r="F9" s="24">
        <f>'Sample 18'!F31</f>
        <v>307.91049599999997</v>
      </c>
      <c r="G9" s="24">
        <f>'Sample 18'!G31</f>
        <v>10.7484</v>
      </c>
      <c r="H9" s="24">
        <f>'Sample 18'!H31</f>
        <v>59.656799999999997</v>
      </c>
      <c r="I9" s="24">
        <f>'Sample 18'!I31</f>
        <v>16.981200000000001</v>
      </c>
      <c r="J9" s="24">
        <f>'Sample 18'!J31</f>
        <v>0.38159999999999994</v>
      </c>
      <c r="K9" s="24">
        <f>'Sample 18'!K31</f>
        <v>0.318</v>
      </c>
      <c r="L9" s="24">
        <f>'Sample 18'!L31</f>
        <v>8.1408000000000005</v>
      </c>
      <c r="M9" s="24">
        <f>'Sample 18'!M31</f>
        <v>6.4871999999999996</v>
      </c>
      <c r="N9" s="24">
        <f>'Sample 18'!N31</f>
        <v>0</v>
      </c>
      <c r="O9" s="24">
        <f>'Sample 18'!O31</f>
        <v>0</v>
      </c>
      <c r="P9" s="24">
        <f>'Sample 18'!P31</f>
        <v>200.97600000000003</v>
      </c>
      <c r="Q9" s="24">
        <f>'Sample 18'!Q31</f>
        <v>0.25122</v>
      </c>
      <c r="R9" s="24">
        <f>'Sample 18'!R31</f>
        <v>0.50880000000000003</v>
      </c>
      <c r="S9" s="24">
        <f>'Sample 18'!S31</f>
        <v>3.18</v>
      </c>
      <c r="T9" s="24">
        <f>'Sample 18'!T31</f>
        <v>0.318</v>
      </c>
      <c r="U9" s="24">
        <f>'Sample 18'!U31</f>
        <v>0.50880000000000003</v>
      </c>
    </row>
    <row r="10" spans="1:21" x14ac:dyDescent="0.25">
      <c r="A10" s="27">
        <v>8</v>
      </c>
      <c r="B10" s="24">
        <f>'Sample 21'!B31</f>
        <v>2000</v>
      </c>
      <c r="C10" s="24">
        <f>'Sample 21'!C31</f>
        <v>1133.5999999999999</v>
      </c>
      <c r="D10" s="24">
        <f>'Sample 21'!D31</f>
        <v>23.723305</v>
      </c>
      <c r="E10" s="24">
        <f>'Sample 21'!E31</f>
        <v>30.997420000000002</v>
      </c>
      <c r="F10" s="24">
        <f>'Sample 21'!F31</f>
        <v>69.035803999999999</v>
      </c>
      <c r="G10" s="24">
        <f>'Sample 21'!G31</f>
        <v>4.4907999999999992</v>
      </c>
      <c r="H10" s="24">
        <f>'Sample 21'!H31</f>
        <v>19.6418</v>
      </c>
      <c r="I10" s="24">
        <f>'Sample 21'!I31</f>
        <v>5.8860000000000001</v>
      </c>
      <c r="J10" s="24">
        <f>'Sample 21'!J31</f>
        <v>0.13079999999999997</v>
      </c>
      <c r="K10" s="24">
        <f>'Sample 21'!K31</f>
        <v>0.10900000000000001</v>
      </c>
      <c r="L10" s="24">
        <f>'Sample 21'!L31</f>
        <v>4.5125999999999999</v>
      </c>
      <c r="M10" s="24">
        <f>'Sample 21'!M31</f>
        <v>4.2946</v>
      </c>
      <c r="N10" s="24">
        <f>'Sample 21'!N31</f>
        <v>0</v>
      </c>
      <c r="O10" s="24">
        <f>'Sample 21'!O31</f>
        <v>0</v>
      </c>
      <c r="P10" s="24">
        <f>'Sample 21'!P31</f>
        <v>39.893999999999998</v>
      </c>
      <c r="Q10" s="24">
        <f>'Sample 21'!Q31</f>
        <v>2.8340000000000005</v>
      </c>
      <c r="R10" s="24">
        <f>'Sample 21'!R31</f>
        <v>0.15259999999999999</v>
      </c>
      <c r="S10" s="24">
        <f>'Sample 21'!S31</f>
        <v>0.80659999999999998</v>
      </c>
      <c r="T10" s="24">
        <f>'Sample 21'!T31</f>
        <v>0.10900000000000001</v>
      </c>
      <c r="U10" s="24">
        <f>'Sample 21'!U31</f>
        <v>8.72E-2</v>
      </c>
    </row>
    <row r="11" spans="1:21" x14ac:dyDescent="0.25">
      <c r="A11" s="27">
        <v>9</v>
      </c>
      <c r="B11" s="24">
        <f>'Sample 24'!B31</f>
        <v>2000</v>
      </c>
      <c r="C11" s="24">
        <f>'Sample 24'!C31</f>
        <v>5576</v>
      </c>
      <c r="D11" s="24">
        <f>'Sample 24'!D31</f>
        <v>73.717048799999986</v>
      </c>
      <c r="E11" s="24">
        <f>'Sample 24'!E31</f>
        <v>45.847840000000005</v>
      </c>
      <c r="F11" s="24">
        <f>'Sample 24'!F31</f>
        <v>106.58950399999999</v>
      </c>
      <c r="G11" s="24">
        <f>'Sample 24'!G31</f>
        <v>7.1831999999999994</v>
      </c>
      <c r="H11" s="24">
        <f>'Sample 24'!H31</f>
        <v>35.587999999999994</v>
      </c>
      <c r="I11" s="24">
        <f>'Sample 24'!I31</f>
        <v>11.7752</v>
      </c>
      <c r="J11" s="24">
        <f>'Sample 24'!J31</f>
        <v>0.22959999999999997</v>
      </c>
      <c r="K11" s="24">
        <f>'Sample 24'!K31</f>
        <v>0.16399999999999998</v>
      </c>
      <c r="L11" s="24">
        <f>'Sample 24'!L31</f>
        <v>6.8551999999999991</v>
      </c>
      <c r="M11" s="24">
        <f>'Sample 24'!M31</f>
        <v>6.4287999999999998</v>
      </c>
      <c r="N11" s="24">
        <f>'Sample 24'!N31</f>
        <v>0</v>
      </c>
      <c r="O11" s="24">
        <f>'Sample 24'!O31</f>
        <v>0</v>
      </c>
      <c r="P11" s="24">
        <f>'Sample 24'!P31</f>
        <v>67.567999999999998</v>
      </c>
      <c r="Q11" s="24">
        <f>'Sample 24'!Q31</f>
        <v>6.477999999999999E-2</v>
      </c>
      <c r="R11" s="24">
        <f>'Sample 24'!R31</f>
        <v>0.32799999999999996</v>
      </c>
      <c r="S11" s="24">
        <f>'Sample 24'!S31</f>
        <v>1.3119999999999998</v>
      </c>
      <c r="T11" s="24">
        <f>'Sample 24'!T31</f>
        <v>0.16399999999999998</v>
      </c>
      <c r="U11" s="24">
        <f>'Sample 24'!U31</f>
        <v>6.5599999999999992E-2</v>
      </c>
    </row>
    <row r="12" spans="1:21" x14ac:dyDescent="0.25">
      <c r="A12" s="27">
        <v>10</v>
      </c>
      <c r="B12" s="24">
        <f>'Sample 27'!B31</f>
        <v>2000</v>
      </c>
      <c r="C12" s="24">
        <f>'Sample 27'!C31</f>
        <v>2318.8000000000002</v>
      </c>
      <c r="D12" s="24">
        <f>'Sample 27'!D31</f>
        <v>78.057577400000014</v>
      </c>
      <c r="E12" s="24">
        <f>'Sample 27'!E31</f>
        <v>50.47504</v>
      </c>
      <c r="F12" s="24">
        <f>'Sample 27'!F31</f>
        <v>139.52070000000001</v>
      </c>
      <c r="G12" s="24">
        <f>'Sample 27'!G31</f>
        <v>6.0962000000000005</v>
      </c>
      <c r="H12" s="24">
        <f>'Sample 27'!H31</f>
        <v>34.632400000000004</v>
      </c>
      <c r="I12" s="24">
        <f>'Sample 27'!I31</f>
        <v>8.8264000000000014</v>
      </c>
      <c r="J12" s="24">
        <f>'Sample 27'!J31</f>
        <v>0.26180000000000003</v>
      </c>
      <c r="K12" s="24">
        <f>'Sample 27'!K31</f>
        <v>0.187</v>
      </c>
      <c r="L12" s="24">
        <f>'Sample 27'!L31</f>
        <v>5.7969999999999997</v>
      </c>
      <c r="M12" s="24">
        <f>'Sample 27'!M31</f>
        <v>7.4800000000000005E-2</v>
      </c>
      <c r="N12" s="24">
        <f>'Sample 27'!N31</f>
        <v>0</v>
      </c>
      <c r="O12" s="24">
        <f>'Sample 27'!O31</f>
        <v>0</v>
      </c>
      <c r="P12" s="24">
        <f>'Sample 27'!P31</f>
        <v>92.378</v>
      </c>
      <c r="Q12" s="24">
        <f>'Sample 27'!Q31</f>
        <v>0.11126499999999999</v>
      </c>
      <c r="R12" s="24">
        <f>'Sample 27'!R31</f>
        <v>0.22439999999999999</v>
      </c>
      <c r="S12" s="24">
        <f>'Sample 27'!S31</f>
        <v>1.7951999999999999</v>
      </c>
      <c r="T12" s="24">
        <f>'Sample 27'!T31</f>
        <v>0.187</v>
      </c>
      <c r="U12" s="24">
        <f>'Sample 27'!U31</f>
        <v>0.374</v>
      </c>
    </row>
    <row r="13" spans="1:21" s="69" customFormat="1" ht="15.5" x14ac:dyDescent="0.35">
      <c r="A13" s="67" t="s">
        <v>85</v>
      </c>
      <c r="B13" s="68">
        <f>SUM(B3:B12)</f>
        <v>20000</v>
      </c>
      <c r="C13" s="68">
        <f t="shared" ref="C13:U13" si="0">SUM(C3:C12)</f>
        <v>22775.898879999997</v>
      </c>
      <c r="D13" s="68">
        <f t="shared" si="0"/>
        <v>1249.7560329799999</v>
      </c>
      <c r="E13" s="68">
        <f t="shared" si="0"/>
        <v>666.38524400000017</v>
      </c>
      <c r="F13" s="68">
        <f t="shared" si="0"/>
        <v>1436.1582736</v>
      </c>
      <c r="G13" s="68">
        <f t="shared" si="0"/>
        <v>74.952160000000006</v>
      </c>
      <c r="H13" s="68">
        <f t="shared" si="0"/>
        <v>417.69193999999999</v>
      </c>
      <c r="I13" s="68">
        <f t="shared" si="0"/>
        <v>112.80268</v>
      </c>
      <c r="J13" s="68">
        <f t="shared" si="0"/>
        <v>74.671940000000006</v>
      </c>
      <c r="K13" s="68">
        <f t="shared" si="0"/>
        <v>1.5891</v>
      </c>
      <c r="L13" s="68">
        <f t="shared" si="0"/>
        <v>59.229299999999995</v>
      </c>
      <c r="M13" s="68">
        <f t="shared" si="0"/>
        <v>61.048820000000006</v>
      </c>
      <c r="N13" s="68">
        <f t="shared" si="0"/>
        <v>0</v>
      </c>
      <c r="O13" s="68">
        <f t="shared" si="0"/>
        <v>0</v>
      </c>
      <c r="P13" s="68">
        <f t="shared" si="0"/>
        <v>883.10620000000006</v>
      </c>
      <c r="Q13" s="68">
        <f t="shared" si="0"/>
        <v>3.6711940000000003</v>
      </c>
      <c r="R13" s="68">
        <f t="shared" si="0"/>
        <v>3.3752200000000001</v>
      </c>
      <c r="S13" s="68">
        <f t="shared" si="0"/>
        <v>14.512079999999997</v>
      </c>
      <c r="T13" s="68">
        <f t="shared" si="0"/>
        <v>1.3299000000000001</v>
      </c>
      <c r="U13" s="68">
        <f t="shared" si="0"/>
        <v>2.6577999999999999</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8" t="s">
        <v>84</v>
      </c>
      <c r="B1" s="25" t="s">
        <v>152</v>
      </c>
      <c r="C1" s="26" t="str">
        <f>'Field data and sample 1'!B29</f>
        <v>Application Rate</v>
      </c>
      <c r="D1" s="26" t="str">
        <f>'Field data and sample 1'!C29</f>
        <v>Nitrogen Addition</v>
      </c>
      <c r="E1" s="26" t="str">
        <f>'Field data and sample 1'!D29</f>
        <v>Phosphate Addition</v>
      </c>
      <c r="F1" s="26" t="str">
        <f>'Field data and sample 1'!E29</f>
        <v>Potash  Addition</v>
      </c>
      <c r="G1" s="26" t="str">
        <f>'Field data and sample 1'!F29</f>
        <v>Mg Oxide Addition</v>
      </c>
      <c r="H1" s="26" t="str">
        <f>'Field data and sample 1'!G29</f>
        <v>Copper Addition</v>
      </c>
      <c r="I1" s="26" t="str">
        <f>'Field data and sample 1'!H29</f>
        <v>Zinc Addition</v>
      </c>
      <c r="J1" s="26" t="str">
        <f>'Field data and sample 1'!I29</f>
        <v>Lead Addition</v>
      </c>
      <c r="K1" s="26" t="str">
        <f>'Field data and sample 1'!J29</f>
        <v>Cadmium Addition</v>
      </c>
      <c r="L1" s="26" t="str">
        <f>'Field data and sample 1'!K29</f>
        <v>Mercury Addition</v>
      </c>
      <c r="M1" s="26" t="str">
        <f>'Field data and sample 1'!L29</f>
        <v>Nickel Addition</v>
      </c>
      <c r="N1" s="26" t="str">
        <f>'Field data and sample 1'!M29</f>
        <v>Chromium Addition</v>
      </c>
      <c r="O1" s="26" t="str">
        <f>'Field data and sample 1'!N29</f>
        <v>Aluminium Addition</v>
      </c>
      <c r="P1" s="26" t="str">
        <f>'Field data and sample 1'!O29</f>
        <v>Iron Addition</v>
      </c>
      <c r="Q1" s="26" t="str">
        <f>'Field data and sample 1'!P29</f>
        <v xml:space="preserve">Sodium Addition                 </v>
      </c>
      <c r="R1" s="26" t="str">
        <f>'Field data and sample 1'!Q29</f>
        <v>SO3  Addition                             kg/ha</v>
      </c>
      <c r="S1" s="26" t="str">
        <f>'Field data and sample 1'!R29</f>
        <v xml:space="preserve">Selenium Addition </v>
      </c>
      <c r="T1" s="26" t="str">
        <f>'Field data and sample 1'!S29</f>
        <v xml:space="preserve">Arsenic  Addition  </v>
      </c>
      <c r="U1" s="26" t="str">
        <f>'Field data and sample 1'!T29</f>
        <v xml:space="preserve">Molybdenum Addition  </v>
      </c>
      <c r="V1" s="26" t="str">
        <f>'Field data and sample 1'!U29</f>
        <v xml:space="preserve">Fluoride Addition </v>
      </c>
    </row>
    <row r="2" spans="1:22" s="70" customFormat="1" ht="25" x14ac:dyDescent="0.35">
      <c r="A2" s="178"/>
      <c r="B2" s="23" t="s">
        <v>46</v>
      </c>
      <c r="C2" s="26" t="str">
        <f>'Field data and sample 1'!B30</f>
        <v>tonnes/ha</v>
      </c>
      <c r="D2" s="26" t="str">
        <f>'Field data and sample 1'!C30</f>
        <v>kg/ha</v>
      </c>
      <c r="E2" s="26" t="str">
        <f>'Field data and sample 1'!D30</f>
        <v>P2O5 
kg/ha</v>
      </c>
      <c r="F2" s="26" t="str">
        <f>'Field data and sample 1'!E30</f>
        <v>K2O 
kg/ha</v>
      </c>
      <c r="G2" s="26" t="str">
        <f>'Field data and sample 1'!F30</f>
        <v>MgO 
kg/ha</v>
      </c>
      <c r="H2" s="26" t="str">
        <f>'Field data and sample 1'!G30</f>
        <v>kg/ha</v>
      </c>
      <c r="I2" s="26" t="str">
        <f>'Field data and sample 1'!H30</f>
        <v>kg/ha</v>
      </c>
      <c r="J2" s="26" t="str">
        <f>'Field data and sample 1'!I30</f>
        <v>kg/ha</v>
      </c>
      <c r="K2" s="26" t="str">
        <f>'Field data and sample 1'!J30</f>
        <v>kg/ha</v>
      </c>
      <c r="L2" s="26" t="str">
        <f>'Field data and sample 1'!K30</f>
        <v>kg/ha</v>
      </c>
      <c r="M2" s="26" t="str">
        <f>'Field data and sample 1'!L30</f>
        <v>kg/ha</v>
      </c>
      <c r="N2" s="26" t="str">
        <f>'Field data and sample 1'!M30</f>
        <v>kg/ha</v>
      </c>
      <c r="O2" s="26" t="str">
        <f>'Field data and sample 1'!N30</f>
        <v>kg/ha</v>
      </c>
      <c r="P2" s="26" t="str">
        <f>'Field data and sample 1'!O30</f>
        <v>kg/ha</v>
      </c>
      <c r="Q2" s="26" t="str">
        <f>'Field data and sample 1'!P30</f>
        <v>kg/ha</v>
      </c>
      <c r="R2" s="26" t="str">
        <f>'Field data and sample 1'!Q30</f>
        <v>kg/ha</v>
      </c>
      <c r="S2" s="26" t="str">
        <f>'Field data and sample 1'!R30</f>
        <v>kg/ha</v>
      </c>
      <c r="T2" s="26" t="str">
        <f>'Field data and sample 1'!S30</f>
        <v>kg/ha</v>
      </c>
      <c r="U2" s="26" t="str">
        <f>'Field data and sample 1'!T30</f>
        <v>kg/ha</v>
      </c>
      <c r="V2" s="26" t="str">
        <f>'Field data and sample 1'!U30</f>
        <v>kg/ha</v>
      </c>
    </row>
    <row r="3" spans="1:22" x14ac:dyDescent="0.25">
      <c r="A3" s="27">
        <v>1</v>
      </c>
      <c r="B3" s="78"/>
      <c r="C3" s="24">
        <f>'Field data and sample 1'!B31</f>
        <v>2000</v>
      </c>
      <c r="D3" s="24">
        <f>'Field data and sample 1'!C31</f>
        <v>1795.2000000000003</v>
      </c>
      <c r="E3" s="24">
        <f>'Field data and sample 1'!D31</f>
        <v>114.036816</v>
      </c>
      <c r="F3" s="24">
        <f>'Field data and sample 1'!E31</f>
        <v>124.54880000000003</v>
      </c>
      <c r="G3" s="24">
        <f>'Field data and sample 1'!F31</f>
        <v>259.76217600000001</v>
      </c>
      <c r="H3" s="24">
        <f>'Field data and sample 1'!G31</f>
        <v>8.3232000000000017</v>
      </c>
      <c r="I3" s="24">
        <f>'Field data and sample 1'!H31</f>
        <v>76.432000000000016</v>
      </c>
      <c r="J3" s="24">
        <f>'Field data and sample 1'!I31</f>
        <v>10.716800000000001</v>
      </c>
      <c r="K3" s="24">
        <f>'Field data and sample 1'!J31</f>
        <v>0.19040000000000001</v>
      </c>
      <c r="L3" s="24">
        <f>'Field data and sample 1'!K31</f>
        <v>0.13600000000000004</v>
      </c>
      <c r="M3" s="24">
        <f>'Field data and sample 1'!L31</f>
        <v>9.0848000000000013</v>
      </c>
      <c r="N3" s="24">
        <f>'Field data and sample 1'!M31</f>
        <v>9.1936</v>
      </c>
      <c r="O3" s="24">
        <f>'Field data and sample 1'!N31</f>
        <v>0</v>
      </c>
      <c r="P3" s="24">
        <f>'Field data and sample 1'!O31</f>
        <v>0</v>
      </c>
      <c r="Q3" s="24">
        <f>'Field data and sample 1'!P31</f>
        <v>76.432000000000016</v>
      </c>
      <c r="R3" s="24">
        <f>'Field data and sample 1'!Q31</f>
        <v>4.2839999999999996E-2</v>
      </c>
      <c r="S3" s="24">
        <f>'Field data and sample 1'!R31</f>
        <v>0.29920000000000008</v>
      </c>
      <c r="T3" s="24">
        <f>'Field data and sample 1'!S31</f>
        <v>1.496</v>
      </c>
      <c r="U3" s="24">
        <f>'Field data and sample 1'!T31</f>
        <v>0.13600000000000004</v>
      </c>
      <c r="V3" s="24">
        <f>'Field data and sample 1'!U31</f>
        <v>0.27200000000000008</v>
      </c>
    </row>
    <row r="4" spans="1:22" x14ac:dyDescent="0.25">
      <c r="A4" s="27">
        <v>2</v>
      </c>
      <c r="B4" s="78"/>
      <c r="C4" s="24">
        <f>'sample 3'!B31</f>
        <v>2000</v>
      </c>
      <c r="D4" s="24">
        <f>'sample 3'!C31</f>
        <v>1604.8</v>
      </c>
      <c r="E4" s="24">
        <f>'sample 3'!D31</f>
        <v>97.211712000000006</v>
      </c>
      <c r="F4" s="24">
        <f>'sample 3'!E31</f>
        <v>54.735920000000014</v>
      </c>
      <c r="G4" s="24">
        <f>'sample 3'!F31</f>
        <v>100.56764800000001</v>
      </c>
      <c r="H4" s="24">
        <f>'sample 3'!G31</f>
        <v>8.16</v>
      </c>
      <c r="I4" s="24">
        <f>'sample 3'!H31</f>
        <v>38.787199999999999</v>
      </c>
      <c r="J4" s="24">
        <f>'sample 3'!I31</f>
        <v>10.88</v>
      </c>
      <c r="K4" s="24">
        <f>'sample 3'!J31</f>
        <v>72.624000000000009</v>
      </c>
      <c r="L4" s="24">
        <f>'sample 3'!K31</f>
        <v>0.13600000000000004</v>
      </c>
      <c r="M4" s="24">
        <f>'sample 3'!L31</f>
        <v>0.13600000000000004</v>
      </c>
      <c r="N4" s="24">
        <f>'sample 3'!M31</f>
        <v>9.2208000000000006</v>
      </c>
      <c r="O4" s="24">
        <f>'sample 3'!N31</f>
        <v>0</v>
      </c>
      <c r="P4" s="24">
        <f>'sample 3'!O31</f>
        <v>0</v>
      </c>
      <c r="Q4" s="24">
        <f>'sample 3'!P31</f>
        <v>96.56</v>
      </c>
      <c r="R4" s="24">
        <f>'sample 3'!Q31</f>
        <v>5.7800000000000004E-2</v>
      </c>
      <c r="S4" s="24">
        <f>'sample 3'!R31</f>
        <v>0.32640000000000002</v>
      </c>
      <c r="T4" s="24">
        <f>'sample 3'!S31</f>
        <v>1.6048000000000004</v>
      </c>
      <c r="U4" s="24">
        <f>'sample 3'!T31</f>
        <v>1.3600000000000003E-2</v>
      </c>
      <c r="V4" s="24">
        <f>'sample 3'!U31</f>
        <v>0.27200000000000008</v>
      </c>
    </row>
    <row r="5" spans="1:22" x14ac:dyDescent="0.25">
      <c r="A5" s="27">
        <v>3</v>
      </c>
      <c r="B5" s="78"/>
      <c r="C5" s="24">
        <f>'sample 6'!B31</f>
        <v>2000</v>
      </c>
      <c r="D5" s="24">
        <f>'sample 6'!C31</f>
        <v>0.21887999999999996</v>
      </c>
      <c r="E5" s="24">
        <f>'sample 6'!D31</f>
        <v>130.23876799999999</v>
      </c>
      <c r="F5" s="24">
        <f>'sample 6'!E31</f>
        <v>63.007040000000011</v>
      </c>
      <c r="G5" s="24">
        <f>'sample 6'!F31</f>
        <v>128.52816000000001</v>
      </c>
      <c r="H5" s="24">
        <f>'sample 6'!G31</f>
        <v>10.275199999999998</v>
      </c>
      <c r="I5" s="24">
        <f>'sample 6'!H31</f>
        <v>49.643200000000007</v>
      </c>
      <c r="J5" s="24">
        <f>'sample 6'!I31</f>
        <v>12.828799999999999</v>
      </c>
      <c r="K5" s="24">
        <f>'sample 6'!J31</f>
        <v>0.2432</v>
      </c>
      <c r="L5" s="24">
        <f>'sample 6'!K31</f>
        <v>0.152</v>
      </c>
      <c r="M5" s="24">
        <f>'sample 6'!L31</f>
        <v>9.9408000000000012</v>
      </c>
      <c r="N5" s="24">
        <f>'sample 6'!M31</f>
        <v>10.396799999999999</v>
      </c>
      <c r="O5" s="24">
        <f>'sample 6'!N31</f>
        <v>0</v>
      </c>
      <c r="P5" s="24">
        <f>'sample 6'!O31</f>
        <v>0</v>
      </c>
      <c r="Q5" s="24">
        <f>'sample 6'!P31</f>
        <v>79.343999999999994</v>
      </c>
      <c r="R5" s="24">
        <f>'sample 6'!Q31</f>
        <v>8.131999999999999E-2</v>
      </c>
      <c r="S5" s="24">
        <f>'sample 6'!R31</f>
        <v>0.45600000000000002</v>
      </c>
      <c r="T5" s="24">
        <f>'sample 6'!S31</f>
        <v>1.3983999999999999</v>
      </c>
      <c r="U5" s="24">
        <f>'sample 6'!T31</f>
        <v>1.52E-2</v>
      </c>
      <c r="V5" s="24">
        <f>'sample 6'!U31</f>
        <v>0.30399999999999999</v>
      </c>
    </row>
    <row r="6" spans="1:22" x14ac:dyDescent="0.25">
      <c r="A6" s="27">
        <v>4</v>
      </c>
      <c r="B6" s="78"/>
      <c r="C6" s="24">
        <f>'Sample 9'!B31</f>
        <v>2000</v>
      </c>
      <c r="D6" s="24">
        <f>'Sample 9'!C31</f>
        <v>1020.5999999999999</v>
      </c>
      <c r="E6" s="24">
        <f>'Sample 9'!D31</f>
        <v>59.753861999999998</v>
      </c>
      <c r="F6" s="24">
        <f>'Sample 9'!E31</f>
        <v>24.401250000000001</v>
      </c>
      <c r="G6" s="24">
        <f>'Sample 9'!F31</f>
        <v>56.405160000000002</v>
      </c>
      <c r="H6" s="24">
        <f>'Sample 9'!G31</f>
        <v>4.1958000000000002</v>
      </c>
      <c r="I6" s="24">
        <f>'Sample 9'!H31</f>
        <v>20.331000000000003</v>
      </c>
      <c r="J6" s="24">
        <f>'Sample 9'!I31</f>
        <v>6.4152000000000013</v>
      </c>
      <c r="K6" s="24">
        <f>'Sample 9'!J31</f>
        <v>9.7199999999999995E-2</v>
      </c>
      <c r="L6" s="24">
        <f>'Sample 9'!K31</f>
        <v>8.1000000000000003E-2</v>
      </c>
      <c r="M6" s="24">
        <f>'Sample 9'!L31</f>
        <v>3.6774000000000004</v>
      </c>
      <c r="N6" s="24">
        <f>'Sample 9'!M31</f>
        <v>3.8393999999999999</v>
      </c>
      <c r="O6" s="24">
        <f>'Sample 9'!N31</f>
        <v>0</v>
      </c>
      <c r="P6" s="24">
        <f>'Sample 9'!O31</f>
        <v>0</v>
      </c>
      <c r="Q6" s="24">
        <f>'Sample 9'!P31</f>
        <v>44.388000000000005</v>
      </c>
      <c r="R6" s="24">
        <f>'Sample 9'!Q31</f>
        <v>3.6045000000000001E-2</v>
      </c>
      <c r="S6" s="24">
        <f>'Sample 9'!R31</f>
        <v>0.19439999999999999</v>
      </c>
      <c r="T6" s="24">
        <f>'Sample 9'!S31</f>
        <v>0.58320000000000005</v>
      </c>
      <c r="U6" s="24">
        <f>'Sample 9'!T31</f>
        <v>8.1000000000000003E-2</v>
      </c>
      <c r="V6" s="24">
        <f>'Sample 9'!U31</f>
        <v>0.16200000000000001</v>
      </c>
    </row>
    <row r="7" spans="1:22" x14ac:dyDescent="0.25">
      <c r="A7" s="27">
        <v>5</v>
      </c>
      <c r="B7" s="78"/>
      <c r="C7" s="24">
        <f>'Sample 12'!B31</f>
        <v>2000</v>
      </c>
      <c r="D7" s="24">
        <f>'Sample 12'!C31</f>
        <v>1016.2800000000001</v>
      </c>
      <c r="E7" s="24">
        <f>'Sample 12'!D31</f>
        <v>0.81921577999999995</v>
      </c>
      <c r="F7" s="24">
        <f>'Sample 12'!E31</f>
        <v>25.853034000000005</v>
      </c>
      <c r="G7" s="24">
        <f>'Sample 12'!F31</f>
        <v>61.1589776</v>
      </c>
      <c r="H7" s="24">
        <f>'Sample 12'!G31</f>
        <v>4.6673600000000004</v>
      </c>
      <c r="I7" s="24">
        <f>'Sample 12'!H31</f>
        <v>23.280339999999999</v>
      </c>
      <c r="J7" s="24">
        <f>'Sample 12'!I31</f>
        <v>7.0386800000000012</v>
      </c>
      <c r="K7" s="24">
        <f>'Sample 12'!J31</f>
        <v>0.13174</v>
      </c>
      <c r="L7" s="24">
        <f>'Sample 12'!K31</f>
        <v>9.4100000000000017E-2</v>
      </c>
      <c r="M7" s="24">
        <f>'Sample 12'!L31</f>
        <v>4.0463000000000005</v>
      </c>
      <c r="N7" s="24">
        <f>'Sample 12'!M31</f>
        <v>4.1592200000000004</v>
      </c>
      <c r="O7" s="24">
        <f>'Sample 12'!N31</f>
        <v>0</v>
      </c>
      <c r="P7" s="24">
        <f>'Sample 12'!O31</f>
        <v>0</v>
      </c>
      <c r="Q7" s="24">
        <f>'Sample 12'!P31</f>
        <v>39.7102</v>
      </c>
      <c r="R7" s="24">
        <f>'Sample 12'!Q31</f>
        <v>4.1403999999999996E-2</v>
      </c>
      <c r="S7" s="24">
        <f>'Sample 12'!R31</f>
        <v>0.20702000000000001</v>
      </c>
      <c r="T7" s="24">
        <f>'Sample 12'!S31</f>
        <v>0.63988</v>
      </c>
      <c r="U7" s="24">
        <f>'Sample 12'!T31</f>
        <v>9.4100000000000017E-2</v>
      </c>
      <c r="V7" s="24">
        <f>'Sample 12'!U31</f>
        <v>0.18820000000000003</v>
      </c>
    </row>
    <row r="8" spans="1:22" x14ac:dyDescent="0.25">
      <c r="A8" s="27">
        <v>6</v>
      </c>
      <c r="B8" s="78"/>
      <c r="C8" s="24">
        <f>'Sample 15'!B31</f>
        <v>2000</v>
      </c>
      <c r="D8" s="24">
        <f>'Sample 15'!C31</f>
        <v>3095.2</v>
      </c>
      <c r="E8" s="24">
        <f>'Sample 15'!D31</f>
        <v>325.41363999999999</v>
      </c>
      <c r="F8" s="24">
        <f>'Sample 15'!E31</f>
        <v>126.19724000000002</v>
      </c>
      <c r="G8" s="24">
        <f>'Sample 15'!F31</f>
        <v>206.67964799999999</v>
      </c>
      <c r="H8" s="24">
        <f>'Sample 15'!G31</f>
        <v>10.812000000000001</v>
      </c>
      <c r="I8" s="24">
        <f>'Sample 15'!H31</f>
        <v>59.699199999999998</v>
      </c>
      <c r="J8" s="24">
        <f>'Sample 15'!I31</f>
        <v>21.4544</v>
      </c>
      <c r="K8" s="24">
        <f>'Sample 15'!J31</f>
        <v>0.38159999999999999</v>
      </c>
      <c r="L8" s="24">
        <f>'Sample 15'!K31</f>
        <v>0.21199999999999999</v>
      </c>
      <c r="M8" s="24">
        <f>'Sample 15'!L31</f>
        <v>7.0384000000000002</v>
      </c>
      <c r="N8" s="24">
        <f>'Sample 15'!M31</f>
        <v>6.9535999999999989</v>
      </c>
      <c r="O8" s="24">
        <f>'Sample 15'!N31</f>
        <v>0</v>
      </c>
      <c r="P8" s="24">
        <f>'Sample 15'!O31</f>
        <v>0</v>
      </c>
      <c r="Q8" s="24">
        <f>'Sample 15'!P31</f>
        <v>145.85600000000002</v>
      </c>
      <c r="R8" s="24">
        <f>'Sample 15'!Q31</f>
        <v>0.15051999999999999</v>
      </c>
      <c r="S8" s="24">
        <f>'Sample 15'!R31</f>
        <v>0.6784</v>
      </c>
      <c r="T8" s="24">
        <f>'Sample 15'!S31</f>
        <v>1.696</v>
      </c>
      <c r="U8" s="24">
        <f>'Sample 15'!T31</f>
        <v>0.21199999999999999</v>
      </c>
      <c r="V8" s="24">
        <f>'Sample 15'!U31</f>
        <v>0.42399999999999999</v>
      </c>
    </row>
    <row r="9" spans="1:22" x14ac:dyDescent="0.25">
      <c r="A9" s="27">
        <v>7</v>
      </c>
      <c r="B9" s="78"/>
      <c r="C9" s="24">
        <f>'Sample 18'!B31</f>
        <v>2000</v>
      </c>
      <c r="D9" s="24">
        <f>'Sample 18'!C31</f>
        <v>5215.2</v>
      </c>
      <c r="E9" s="24">
        <f>'Sample 18'!D31</f>
        <v>346.784088</v>
      </c>
      <c r="F9" s="24">
        <f>'Sample 18'!E31</f>
        <v>120.32165999999999</v>
      </c>
      <c r="G9" s="24">
        <f>'Sample 18'!F31</f>
        <v>307.91049599999997</v>
      </c>
      <c r="H9" s="24">
        <f>'Sample 18'!G31</f>
        <v>10.7484</v>
      </c>
      <c r="I9" s="24">
        <f>'Sample 18'!H31</f>
        <v>59.656799999999997</v>
      </c>
      <c r="J9" s="24">
        <f>'Sample 18'!I31</f>
        <v>16.981200000000001</v>
      </c>
      <c r="K9" s="24">
        <f>'Sample 18'!J31</f>
        <v>0.38159999999999994</v>
      </c>
      <c r="L9" s="24">
        <f>'Sample 18'!K31</f>
        <v>0.318</v>
      </c>
      <c r="M9" s="24">
        <f>'Sample 18'!L31</f>
        <v>8.1408000000000005</v>
      </c>
      <c r="N9" s="24">
        <f>'Sample 18'!M31</f>
        <v>6.4871999999999996</v>
      </c>
      <c r="O9" s="24">
        <f>'Sample 18'!N31</f>
        <v>0</v>
      </c>
      <c r="P9" s="24">
        <f>'Sample 18'!O31</f>
        <v>0</v>
      </c>
      <c r="Q9" s="24">
        <f>'Sample 18'!P31</f>
        <v>200.97600000000003</v>
      </c>
      <c r="R9" s="24">
        <f>'Sample 18'!Q31</f>
        <v>0.25122</v>
      </c>
      <c r="S9" s="24">
        <f>'Sample 18'!R31</f>
        <v>0.50880000000000003</v>
      </c>
      <c r="T9" s="24">
        <f>'Sample 18'!S31</f>
        <v>3.18</v>
      </c>
      <c r="U9" s="24">
        <f>'Sample 18'!T31</f>
        <v>0.318</v>
      </c>
      <c r="V9" s="24">
        <f>'Sample 18'!U31</f>
        <v>0.50880000000000003</v>
      </c>
    </row>
    <row r="10" spans="1:22" x14ac:dyDescent="0.25">
      <c r="A10" s="27">
        <v>8</v>
      </c>
      <c r="B10" s="78"/>
      <c r="C10" s="24">
        <f>'Sample 21'!B31</f>
        <v>2000</v>
      </c>
      <c r="D10" s="24">
        <f>'Sample 21'!C31</f>
        <v>1133.5999999999999</v>
      </c>
      <c r="E10" s="24">
        <f>'Sample 21'!D31</f>
        <v>23.723305</v>
      </c>
      <c r="F10" s="24">
        <f>'Sample 21'!E31</f>
        <v>30.997420000000002</v>
      </c>
      <c r="G10" s="24">
        <f>'Sample 21'!F31</f>
        <v>69.035803999999999</v>
      </c>
      <c r="H10" s="24">
        <f>'Sample 21'!G31</f>
        <v>4.4907999999999992</v>
      </c>
      <c r="I10" s="24">
        <f>'Sample 21'!H31</f>
        <v>19.6418</v>
      </c>
      <c r="J10" s="24">
        <f>'Sample 21'!I31</f>
        <v>5.8860000000000001</v>
      </c>
      <c r="K10" s="24">
        <f>'Sample 21'!J31</f>
        <v>0.13079999999999997</v>
      </c>
      <c r="L10" s="24">
        <f>'Sample 21'!K31</f>
        <v>0.10900000000000001</v>
      </c>
      <c r="M10" s="24">
        <f>'Sample 21'!L31</f>
        <v>4.5125999999999999</v>
      </c>
      <c r="N10" s="24">
        <f>'Sample 21'!M31</f>
        <v>4.2946</v>
      </c>
      <c r="O10" s="24">
        <f>'Sample 21'!N31</f>
        <v>0</v>
      </c>
      <c r="P10" s="24">
        <f>'Sample 21'!O31</f>
        <v>0</v>
      </c>
      <c r="Q10" s="24">
        <f>'Sample 21'!P31</f>
        <v>39.893999999999998</v>
      </c>
      <c r="R10" s="24">
        <f>'Sample 21'!Q31</f>
        <v>2.8340000000000005</v>
      </c>
      <c r="S10" s="24">
        <f>'Sample 21'!R31</f>
        <v>0.15259999999999999</v>
      </c>
      <c r="T10" s="24">
        <f>'Sample 21'!S31</f>
        <v>0.80659999999999998</v>
      </c>
      <c r="U10" s="24">
        <f>'Sample 21'!T31</f>
        <v>0.10900000000000001</v>
      </c>
      <c r="V10" s="24">
        <f>'Sample 21'!U31</f>
        <v>8.72E-2</v>
      </c>
    </row>
    <row r="11" spans="1:22" x14ac:dyDescent="0.25">
      <c r="A11" s="27">
        <v>9</v>
      </c>
      <c r="B11" s="78"/>
      <c r="C11" s="24">
        <f>'Sample 24'!B31</f>
        <v>2000</v>
      </c>
      <c r="D11" s="24">
        <f>'Sample 24'!C31</f>
        <v>5576</v>
      </c>
      <c r="E11" s="24">
        <f>'Sample 24'!D31</f>
        <v>73.717048799999986</v>
      </c>
      <c r="F11" s="24">
        <f>'Sample 24'!E31</f>
        <v>45.847840000000005</v>
      </c>
      <c r="G11" s="24">
        <f>'Sample 24'!F31</f>
        <v>106.58950399999999</v>
      </c>
      <c r="H11" s="24">
        <f>'Sample 24'!G31</f>
        <v>7.1831999999999994</v>
      </c>
      <c r="I11" s="24">
        <f>'Sample 24'!H31</f>
        <v>35.587999999999994</v>
      </c>
      <c r="J11" s="24">
        <f>'Sample 24'!I31</f>
        <v>11.7752</v>
      </c>
      <c r="K11" s="24">
        <f>'Sample 24'!J31</f>
        <v>0.22959999999999997</v>
      </c>
      <c r="L11" s="24">
        <f>'Sample 24'!K31</f>
        <v>0.16399999999999998</v>
      </c>
      <c r="M11" s="24">
        <f>'Sample 24'!L31</f>
        <v>6.8551999999999991</v>
      </c>
      <c r="N11" s="24">
        <f>'Sample 24'!M31</f>
        <v>6.4287999999999998</v>
      </c>
      <c r="O11" s="24">
        <f>'Sample 24'!N31</f>
        <v>0</v>
      </c>
      <c r="P11" s="24">
        <f>'Sample 24'!O31</f>
        <v>0</v>
      </c>
      <c r="Q11" s="24">
        <f>'Sample 24'!P31</f>
        <v>67.567999999999998</v>
      </c>
      <c r="R11" s="24">
        <f>'Sample 24'!Q31</f>
        <v>6.477999999999999E-2</v>
      </c>
      <c r="S11" s="24">
        <f>'Sample 24'!R31</f>
        <v>0.32799999999999996</v>
      </c>
      <c r="T11" s="24">
        <f>'Sample 24'!S31</f>
        <v>1.3119999999999998</v>
      </c>
      <c r="U11" s="24">
        <f>'Sample 24'!T31</f>
        <v>0.16399999999999998</v>
      </c>
      <c r="V11" s="24">
        <f>'Sample 24'!U31</f>
        <v>6.5599999999999992E-2</v>
      </c>
    </row>
    <row r="12" spans="1:22" x14ac:dyDescent="0.25">
      <c r="A12" s="27">
        <v>10</v>
      </c>
      <c r="B12" s="78"/>
      <c r="C12" s="24">
        <f>'Sample 27'!B31</f>
        <v>2000</v>
      </c>
      <c r="D12" s="24">
        <f>'Sample 27'!C31</f>
        <v>2318.8000000000002</v>
      </c>
      <c r="E12" s="24">
        <f>'Sample 27'!D31</f>
        <v>78.057577400000014</v>
      </c>
      <c r="F12" s="24">
        <f>'Sample 27'!E31</f>
        <v>50.47504</v>
      </c>
      <c r="G12" s="24">
        <f>'Sample 27'!F31</f>
        <v>139.52070000000001</v>
      </c>
      <c r="H12" s="24">
        <f>'Sample 27'!G31</f>
        <v>6.0962000000000005</v>
      </c>
      <c r="I12" s="24">
        <f>'Sample 27'!H31</f>
        <v>34.632400000000004</v>
      </c>
      <c r="J12" s="24">
        <f>'Sample 27'!I31</f>
        <v>8.8264000000000014</v>
      </c>
      <c r="K12" s="24">
        <f>'Sample 27'!J31</f>
        <v>0.26180000000000003</v>
      </c>
      <c r="L12" s="24">
        <f>'Sample 27'!K31</f>
        <v>0.187</v>
      </c>
      <c r="M12" s="24">
        <f>'Sample 27'!L31</f>
        <v>5.7969999999999997</v>
      </c>
      <c r="N12" s="24">
        <f>'Sample 27'!M31</f>
        <v>7.4800000000000005E-2</v>
      </c>
      <c r="O12" s="24">
        <f>'Sample 27'!N31</f>
        <v>0</v>
      </c>
      <c r="P12" s="24">
        <f>'Sample 27'!O31</f>
        <v>0</v>
      </c>
      <c r="Q12" s="24">
        <f>'Sample 27'!P31</f>
        <v>92.378</v>
      </c>
      <c r="R12" s="24">
        <f>'Sample 27'!Q31</f>
        <v>0.11126499999999999</v>
      </c>
      <c r="S12" s="24">
        <f>'Sample 27'!R31</f>
        <v>0.22439999999999999</v>
      </c>
      <c r="T12" s="24">
        <f>'Sample 27'!S31</f>
        <v>1.7951999999999999</v>
      </c>
      <c r="U12" s="24">
        <f>'Sample 27'!T31</f>
        <v>0.187</v>
      </c>
      <c r="V12" s="24">
        <f>'Sample 27'!U31</f>
        <v>0.374</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7" t="s">
        <v>84</v>
      </c>
      <c r="B15" s="26" t="s">
        <v>152</v>
      </c>
      <c r="C15" s="26">
        <f>'Field data and sample 1'!B43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7"/>
      <c r="B16" s="23" t="s">
        <v>46</v>
      </c>
      <c r="C16" s="26">
        <f>'Field data and sample 1'!B44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2000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2000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2000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2000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2000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2000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2000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2000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2000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2000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9" t="s">
        <v>85</v>
      </c>
      <c r="B27" s="179"/>
      <c r="C27" s="179"/>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5900F-D660-4E32-B919-223131BA8555}">
  <dimension ref="A1:D6"/>
  <sheetViews>
    <sheetView workbookViewId="0">
      <selection activeCell="F7" sqref="F7"/>
    </sheetView>
  </sheetViews>
  <sheetFormatPr defaultColWidth="9.1796875" defaultRowHeight="14" x14ac:dyDescent="0.3"/>
  <cols>
    <col min="1" max="1" width="6.54296875" style="131" bestFit="1" customWidth="1"/>
    <col min="2" max="2" width="10.7265625" style="131" bestFit="1" customWidth="1"/>
    <col min="3" max="3" width="16.81640625" style="131" bestFit="1" customWidth="1"/>
    <col min="4" max="4" width="31.54296875" style="131" bestFit="1" customWidth="1"/>
    <col min="5" max="16384" width="9.1796875" style="131"/>
  </cols>
  <sheetData>
    <row r="1" spans="1:4" x14ac:dyDescent="0.3">
      <c r="A1" s="130" t="s">
        <v>172</v>
      </c>
      <c r="B1" s="130" t="s">
        <v>175</v>
      </c>
      <c r="C1" s="130" t="s">
        <v>176</v>
      </c>
      <c r="D1" s="130" t="s">
        <v>178</v>
      </c>
    </row>
    <row r="2" spans="1:4" x14ac:dyDescent="0.3">
      <c r="A2" s="130" t="s">
        <v>166</v>
      </c>
      <c r="B2" s="132">
        <v>1.48</v>
      </c>
      <c r="C2" s="132">
        <v>2000</v>
      </c>
      <c r="D2" s="132">
        <f>B2*C2</f>
        <v>2960</v>
      </c>
    </row>
    <row r="3" spans="1:4" x14ac:dyDescent="0.3">
      <c r="A3" s="130" t="s">
        <v>167</v>
      </c>
      <c r="B3" s="132">
        <v>1.58</v>
      </c>
      <c r="C3" s="132">
        <v>2000</v>
      </c>
      <c r="D3" s="132">
        <f t="shared" ref="D3:D5" si="0">B3*C3</f>
        <v>3160</v>
      </c>
    </row>
    <row r="4" spans="1:4" x14ac:dyDescent="0.3">
      <c r="A4" s="130" t="s">
        <v>173</v>
      </c>
      <c r="B4" s="132">
        <v>0.46</v>
      </c>
      <c r="C4" s="132">
        <v>2000</v>
      </c>
      <c r="D4" s="132">
        <f t="shared" si="0"/>
        <v>920</v>
      </c>
    </row>
    <row r="5" spans="1:4" x14ac:dyDescent="0.3">
      <c r="A5" s="130" t="s">
        <v>174</v>
      </c>
      <c r="B5" s="132">
        <v>1.1499999999999999</v>
      </c>
      <c r="C5" s="132">
        <v>1000</v>
      </c>
      <c r="D5" s="132">
        <f t="shared" si="0"/>
        <v>1150</v>
      </c>
    </row>
    <row r="6" spans="1:4" x14ac:dyDescent="0.3">
      <c r="A6" s="180" t="s">
        <v>177</v>
      </c>
      <c r="B6" s="181"/>
      <c r="C6" s="182"/>
      <c r="D6" s="130">
        <f>SUM(D2:D5)</f>
        <v>8190</v>
      </c>
    </row>
  </sheetData>
  <mergeCells count="1">
    <mergeCell ref="A6:C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CC97D-8928-4308-8FB3-86B45D863B37}">
  <dimension ref="A1:AO66"/>
  <sheetViews>
    <sheetView zoomScale="90" zoomScaleNormal="90" workbookViewId="0">
      <selection activeCell="F36" sqref="F3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61" t="s">
        <v>41</v>
      </c>
      <c r="B1" s="162"/>
      <c r="C1" s="169" t="str">
        <f>'Field data and sample 1'!C1:D1</f>
        <v>PAN-031595</v>
      </c>
      <c r="D1" s="170"/>
      <c r="E1" s="106" t="s">
        <v>45</v>
      </c>
      <c r="F1" s="113">
        <f>'Field data and sample 1'!F1</f>
        <v>4.67</v>
      </c>
      <c r="G1" s="137" t="s">
        <v>43</v>
      </c>
      <c r="H1" s="138"/>
      <c r="I1" s="109"/>
      <c r="J1" s="161" t="s">
        <v>153</v>
      </c>
      <c r="K1" s="16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41" t="s">
        <v>87</v>
      </c>
      <c r="B2" s="142"/>
      <c r="C2" s="171" t="str">
        <f>'Field data and sample 1'!C2:D2</f>
        <v>GP3498LG</v>
      </c>
      <c r="D2" s="172"/>
      <c r="E2" s="96" t="s">
        <v>109</v>
      </c>
      <c r="F2" s="110"/>
      <c r="G2" s="139" t="s">
        <v>110</v>
      </c>
      <c r="H2" s="140"/>
      <c r="I2" s="110"/>
      <c r="J2" s="141" t="s">
        <v>158</v>
      </c>
      <c r="K2" s="142"/>
      <c r="L2" s="110"/>
      <c r="AB2" s="22" t="s">
        <v>56</v>
      </c>
      <c r="AC2" s="13"/>
      <c r="AD2" s="22" t="s">
        <v>70</v>
      </c>
      <c r="AE2" s="13"/>
      <c r="AF2" s="13"/>
      <c r="AG2" s="34" t="s">
        <v>76</v>
      </c>
      <c r="AH2" s="13"/>
      <c r="AI2" s="35" t="s">
        <v>126</v>
      </c>
      <c r="AJ2" s="36">
        <v>0</v>
      </c>
      <c r="AK2" s="37">
        <v>0</v>
      </c>
      <c r="AL2" s="7">
        <v>0</v>
      </c>
      <c r="AM2" s="9">
        <v>0</v>
      </c>
      <c r="AN2" s="9">
        <v>0</v>
      </c>
    </row>
    <row r="3" spans="1:41" ht="13" x14ac:dyDescent="0.25">
      <c r="A3" s="163" t="s">
        <v>42</v>
      </c>
      <c r="B3" s="164"/>
      <c r="C3" s="171" t="str">
        <f>'Field data and sample 1'!C3:D3</f>
        <v>Land &amp; Water Services Limited</v>
      </c>
      <c r="D3" s="172"/>
      <c r="E3" s="96" t="s">
        <v>108</v>
      </c>
      <c r="F3" s="111"/>
      <c r="G3" s="141" t="s">
        <v>159</v>
      </c>
      <c r="H3" s="142"/>
      <c r="I3" s="110"/>
      <c r="J3" s="163" t="s">
        <v>154</v>
      </c>
      <c r="K3" s="164"/>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41" t="s">
        <v>0</v>
      </c>
      <c r="B4" s="142"/>
      <c r="C4" s="173" t="str">
        <f>'Field data and sample 1'!C4:D4</f>
        <v>Tir William Richard Farm, Llangynidr, Crick Howell, PowysNP8 1LL</v>
      </c>
      <c r="D4" s="174"/>
      <c r="E4" s="99" t="s">
        <v>1</v>
      </c>
      <c r="F4" s="110"/>
      <c r="G4" s="163"/>
      <c r="H4" s="164"/>
      <c r="I4" s="115"/>
      <c r="J4" s="163"/>
      <c r="K4" s="16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3" t="s">
        <v>47</v>
      </c>
      <c r="B5" s="144"/>
      <c r="C5" s="175" t="str">
        <f>'Field data and sample 1'!C5:D5</f>
        <v>Bryan Burn</v>
      </c>
      <c r="D5" s="176"/>
      <c r="E5" s="107"/>
      <c r="F5" s="114"/>
      <c r="G5" s="167"/>
      <c r="H5" s="168"/>
      <c r="I5" s="114"/>
      <c r="J5" s="167"/>
      <c r="K5" s="16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3" t="s">
        <v>63</v>
      </c>
      <c r="B7" s="154"/>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41" t="s">
        <v>2</v>
      </c>
      <c r="B8" s="142"/>
      <c r="C8" s="49" t="str">
        <f>'Field data and sample 1'!C8</f>
        <v>CD1</v>
      </c>
      <c r="D8" s="49" t="str">
        <f>'Field data and sample 1'!D8</f>
        <v>CD2</v>
      </c>
      <c r="E8" s="49" t="str">
        <f>'Field data and sample 1'!E8</f>
        <v>IV WG2</v>
      </c>
      <c r="F8" s="49" t="str">
        <f>'Field data and sample 1'!F8</f>
        <v>IV WG3</v>
      </c>
      <c r="G8" s="49">
        <f>'Field data and sample 1'!G8</f>
        <v>0</v>
      </c>
      <c r="H8" s="49">
        <f>'Field data and sample 1'!H8</f>
        <v>0</v>
      </c>
      <c r="I8" s="49">
        <f>'Field data and sample 1'!I8</f>
        <v>0</v>
      </c>
      <c r="J8" s="49">
        <f>'Field data and sample 1'!J8</f>
        <v>0</v>
      </c>
      <c r="K8" s="49">
        <f>'Field data and sample 1'!K8</f>
        <v>0</v>
      </c>
      <c r="L8" s="49">
        <f>'Field data and sample 1'!L8</f>
        <v>0</v>
      </c>
      <c r="M8" s="49">
        <f>'Field data and sample 1'!M8</f>
        <v>0</v>
      </c>
      <c r="N8" s="49">
        <f>'Field data and sample 1'!N8</f>
        <v>0</v>
      </c>
      <c r="O8" s="49">
        <f>'Field data and sample 1'!O8</f>
        <v>0</v>
      </c>
      <c r="P8" s="49">
        <f>'Field data and sample 1'!P8</f>
        <v>0</v>
      </c>
      <c r="Q8" s="49">
        <f>'Field data and sample 1'!Q8</f>
        <v>0</v>
      </c>
      <c r="R8" s="49">
        <f>'Field data and sample 1'!R8</f>
        <v>0</v>
      </c>
      <c r="S8" s="49">
        <f>'Field data and sample 1'!S8</f>
        <v>0</v>
      </c>
      <c r="T8" s="49">
        <f>'Field data and sample 1'!T8</f>
        <v>0</v>
      </c>
      <c r="U8" s="49">
        <f>'Field data and sample 1'!U8</f>
        <v>0</v>
      </c>
      <c r="V8" s="102">
        <f>'Field data and sample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41" t="s">
        <v>3</v>
      </c>
      <c r="B9" s="142"/>
      <c r="C9" s="49" t="str">
        <f>'Field data and sample 1'!C9</f>
        <v>n/a</v>
      </c>
      <c r="D9" s="49" t="str">
        <f>'Field data and sample 1'!D9</f>
        <v>n/a</v>
      </c>
      <c r="E9" s="49" t="str">
        <f>'Field data and sample 1'!E9</f>
        <v>n/a</v>
      </c>
      <c r="F9" s="49" t="str">
        <f>'Field data and sample 1'!F9</f>
        <v>n/a</v>
      </c>
      <c r="G9" s="49">
        <f>'Field data and sample 1'!G9</f>
        <v>0</v>
      </c>
      <c r="H9" s="49">
        <f>'Field data and sample 1'!H9</f>
        <v>0</v>
      </c>
      <c r="I9" s="49">
        <f>'Field data and sample 1'!I9</f>
        <v>0</v>
      </c>
      <c r="J9" s="49">
        <f>'Field data and sample 1'!J9</f>
        <v>0</v>
      </c>
      <c r="K9" s="49">
        <f>'Field data and sample 1'!K9</f>
        <v>0</v>
      </c>
      <c r="L9" s="49">
        <f>'Field data and sample 1'!L9</f>
        <v>0</v>
      </c>
      <c r="M9" s="49">
        <f>'Field data and sample 1'!M9</f>
        <v>0</v>
      </c>
      <c r="N9" s="49">
        <f>'Field data and sample 1'!N9</f>
        <v>0</v>
      </c>
      <c r="O9" s="49">
        <f>'Field data and sample 1'!O9</f>
        <v>0</v>
      </c>
      <c r="P9" s="49">
        <f>'Field data and sample 1'!P9</f>
        <v>0</v>
      </c>
      <c r="Q9" s="49">
        <f>'Field data and sample 1'!Q9</f>
        <v>0</v>
      </c>
      <c r="R9" s="49">
        <f>'Field data and sample 1'!R9</f>
        <v>0</v>
      </c>
      <c r="S9" s="49">
        <f>'Field data and sample 1'!S9</f>
        <v>0</v>
      </c>
      <c r="T9" s="49">
        <f>'Field data and sample 1'!T9</f>
        <v>0</v>
      </c>
      <c r="U9" s="49">
        <f>'Field data and sample 1'!U9</f>
        <v>0</v>
      </c>
      <c r="V9" s="102">
        <f>'Field data and sample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41" t="s">
        <v>4</v>
      </c>
      <c r="B10" s="142"/>
      <c r="C10" s="49">
        <f>'Field data and sample 1'!C10</f>
        <v>8.1999999999999993</v>
      </c>
      <c r="D10" s="49">
        <f>'Field data and sample 1'!D10</f>
        <v>8.6</v>
      </c>
      <c r="E10" s="49">
        <f>'Field data and sample 1'!E10</f>
        <v>12</v>
      </c>
      <c r="F10" s="49">
        <f>'Field data and sample 1'!F10</f>
        <v>4.8</v>
      </c>
      <c r="G10" s="49">
        <f>'Field data and sample 1'!G10</f>
        <v>0</v>
      </c>
      <c r="H10" s="49">
        <f>'Field data and sample 1'!H10</f>
        <v>0</v>
      </c>
      <c r="I10" s="49">
        <f>'Field data and sample 1'!I10</f>
        <v>0</v>
      </c>
      <c r="J10" s="49">
        <f>'Field data and sample 1'!J10</f>
        <v>0</v>
      </c>
      <c r="K10" s="49">
        <f>'Field data and sample 1'!K10</f>
        <v>0</v>
      </c>
      <c r="L10" s="49">
        <f>'Field data and sample 1'!L10</f>
        <v>0</v>
      </c>
      <c r="M10" s="49">
        <f>'Field data and sample 1'!M10</f>
        <v>0</v>
      </c>
      <c r="N10" s="49">
        <f>'Field data and sample 1'!N10</f>
        <v>0</v>
      </c>
      <c r="O10" s="49">
        <f>'Field data and sample 1'!O10</f>
        <v>0</v>
      </c>
      <c r="P10" s="49">
        <f>'Field data and sample 1'!P10</f>
        <v>0</v>
      </c>
      <c r="Q10" s="49">
        <f>'Field data and sample 1'!Q10</f>
        <v>0</v>
      </c>
      <c r="R10" s="49">
        <f>'Field data and sample 1'!R10</f>
        <v>0</v>
      </c>
      <c r="S10" s="49">
        <f>'Field data and sample 1'!S10</f>
        <v>0</v>
      </c>
      <c r="T10" s="49">
        <f>'Field data and sample 1'!T10</f>
        <v>0</v>
      </c>
      <c r="U10" s="49">
        <f>'Field data and sample 1'!U10</f>
        <v>0</v>
      </c>
      <c r="V10" s="102">
        <f>'Field data and sample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41" t="s">
        <v>5</v>
      </c>
      <c r="B11" s="142"/>
      <c r="C11" s="49">
        <f>'Field data and sample 1'!C11</f>
        <v>1</v>
      </c>
      <c r="D11" s="49">
        <f>'Field data and sample 1'!D11</f>
        <v>0</v>
      </c>
      <c r="E11" s="49">
        <f>'Field data and sample 1'!E11</f>
        <v>0</v>
      </c>
      <c r="F11" s="49">
        <f>'Field data and sample 1'!F11</f>
        <v>3</v>
      </c>
      <c r="G11" s="49">
        <f>'Field data and sample 1'!G11</f>
        <v>0</v>
      </c>
      <c r="H11" s="49">
        <f>'Field data and sample 1'!H11</f>
        <v>0</v>
      </c>
      <c r="I11" s="49">
        <f>'Field data and sample 1'!I11</f>
        <v>0</v>
      </c>
      <c r="J11" s="49">
        <f>'Field data and sample 1'!J11</f>
        <v>0</v>
      </c>
      <c r="K11" s="49">
        <f>'Field data and sample 1'!K11</f>
        <v>0</v>
      </c>
      <c r="L11" s="49">
        <f>'Field data and sample 1'!L11</f>
        <v>0</v>
      </c>
      <c r="M11" s="49">
        <f>'Field data and sample 1'!M11</f>
        <v>0</v>
      </c>
      <c r="N11" s="49">
        <f>'Field data and sample 1'!N11</f>
        <v>0</v>
      </c>
      <c r="O11" s="49">
        <f>'Field data and sample 1'!O11</f>
        <v>0</v>
      </c>
      <c r="P11" s="49">
        <f>'Field data and sample 1'!P11</f>
        <v>0</v>
      </c>
      <c r="Q11" s="49">
        <f>'Field data and sample 1'!Q11</f>
        <v>0</v>
      </c>
      <c r="R11" s="49">
        <f>'Field data and sample 1'!R11</f>
        <v>0</v>
      </c>
      <c r="S11" s="49">
        <f>'Field data and sample 1'!S11</f>
        <v>0</v>
      </c>
      <c r="T11" s="49">
        <f>'Field data and sample 1'!T11</f>
        <v>0</v>
      </c>
      <c r="U11" s="49">
        <f>'Field data and sample 1'!U11</f>
        <v>0</v>
      </c>
      <c r="V11" s="102">
        <f>'Field data and sample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41" t="s">
        <v>6</v>
      </c>
      <c r="B12" s="142"/>
      <c r="C12" s="49">
        <f>'Field data and sample 1'!C12</f>
        <v>0</v>
      </c>
      <c r="D12" s="49">
        <f>'Field data and sample 1'!D12</f>
        <v>1</v>
      </c>
      <c r="E12" s="49">
        <f>'Field data and sample 1'!E12</f>
        <v>1</v>
      </c>
      <c r="F12" s="49">
        <f>'Field data and sample 1'!F12</f>
        <v>1</v>
      </c>
      <c r="G12" s="49">
        <f>'Field data and sample 1'!G12</f>
        <v>0</v>
      </c>
      <c r="H12" s="49">
        <f>'Field data and sample 1'!H12</f>
        <v>0</v>
      </c>
      <c r="I12" s="49">
        <f>'Field data and sample 1'!I12</f>
        <v>0</v>
      </c>
      <c r="J12" s="49">
        <f>'Field data and sample 1'!J12</f>
        <v>0</v>
      </c>
      <c r="K12" s="49">
        <f>'Field data and sample 1'!K12</f>
        <v>0</v>
      </c>
      <c r="L12" s="49">
        <f>'Field data and sample 1'!L12</f>
        <v>0</v>
      </c>
      <c r="M12" s="49">
        <f>'Field data and sample 1'!M12</f>
        <v>0</v>
      </c>
      <c r="N12" s="49">
        <f>'Field data and sample 1'!N12</f>
        <v>0</v>
      </c>
      <c r="O12" s="49">
        <f>'Field data and sample 1'!O12</f>
        <v>0</v>
      </c>
      <c r="P12" s="49">
        <f>'Field data and sample 1'!P12</f>
        <v>0</v>
      </c>
      <c r="Q12" s="49">
        <f>'Field data and sample 1'!Q12</f>
        <v>0</v>
      </c>
      <c r="R12" s="49">
        <f>'Field data and sample 1'!R12</f>
        <v>0</v>
      </c>
      <c r="S12" s="49">
        <f>'Field data and sample 1'!S12</f>
        <v>0</v>
      </c>
      <c r="T12" s="49">
        <f>'Field data and sample 1'!T12</f>
        <v>0</v>
      </c>
      <c r="U12" s="49">
        <f>'Field data and sample 1'!U12</f>
        <v>0</v>
      </c>
      <c r="V12" s="102">
        <f>'Field data and sample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41" t="s">
        <v>7</v>
      </c>
      <c r="B13" s="142"/>
      <c r="C13" s="49">
        <f>'Field data and sample 1'!C13</f>
        <v>3</v>
      </c>
      <c r="D13" s="49">
        <f>'Field data and sample 1'!D13</f>
        <v>2</v>
      </c>
      <c r="E13" s="49">
        <f>'Field data and sample 1'!E13</f>
        <v>2</v>
      </c>
      <c r="F13" s="49">
        <f>'Field data and sample 1'!F13</f>
        <v>3</v>
      </c>
      <c r="G13" s="49">
        <f>'Field data and sample 1'!G13</f>
        <v>0</v>
      </c>
      <c r="H13" s="49">
        <f>'Field data and sample 1'!H13</f>
        <v>0</v>
      </c>
      <c r="I13" s="49">
        <f>'Field data and sample 1'!I13</f>
        <v>0</v>
      </c>
      <c r="J13" s="49">
        <f>'Field data and sample 1'!J13</f>
        <v>0</v>
      </c>
      <c r="K13" s="49">
        <f>'Field data and sample 1'!K13</f>
        <v>0</v>
      </c>
      <c r="L13" s="49">
        <f>'Field data and sample 1'!L13</f>
        <v>0</v>
      </c>
      <c r="M13" s="49">
        <f>'Field data and sample 1'!M13</f>
        <v>0</v>
      </c>
      <c r="N13" s="49">
        <f>'Field data and sample 1'!N13</f>
        <v>0</v>
      </c>
      <c r="O13" s="49">
        <f>'Field data and sample 1'!O13</f>
        <v>0</v>
      </c>
      <c r="P13" s="49">
        <f>'Field data and sample 1'!P13</f>
        <v>0</v>
      </c>
      <c r="Q13" s="49">
        <f>'Field data and sample 1'!Q13</f>
        <v>0</v>
      </c>
      <c r="R13" s="49">
        <f>'Field data and sample 1'!R13</f>
        <v>0</v>
      </c>
      <c r="S13" s="49">
        <f>'Field data and sample 1'!S13</f>
        <v>0</v>
      </c>
      <c r="T13" s="49">
        <f>'Field data and sample 1'!T13</f>
        <v>0</v>
      </c>
      <c r="U13" s="49">
        <f>'Field data and sample 1'!U13</f>
        <v>0</v>
      </c>
      <c r="V13" s="102">
        <f>'Field data and sample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f>'Field data and sample 1'!C14</f>
        <v>0</v>
      </c>
      <c r="D14" s="83">
        <f>'Field data and sample 1'!D14</f>
        <v>0</v>
      </c>
      <c r="E14" s="83">
        <f>'Field data and sample 1'!E14</f>
        <v>0</v>
      </c>
      <c r="F14" s="83">
        <f>'Field data and sample 1'!F14</f>
        <v>0</v>
      </c>
      <c r="G14" s="83">
        <f>'Field data and sample 1'!G14</f>
        <v>0</v>
      </c>
      <c r="H14" s="83">
        <f>'Field data and sample 1'!H14</f>
        <v>0</v>
      </c>
      <c r="I14" s="83">
        <f>'Field data and sample 1'!I14</f>
        <v>0</v>
      </c>
      <c r="J14" s="83">
        <f>'Field data and sample 1'!J14</f>
        <v>0</v>
      </c>
      <c r="K14" s="83">
        <f>'Field data and sample 1'!K14</f>
        <v>0</v>
      </c>
      <c r="L14" s="83">
        <f>'Field data and sample 1'!L14</f>
        <v>0</v>
      </c>
      <c r="M14" s="83">
        <f>'Field data and sample 1'!M14</f>
        <v>0</v>
      </c>
      <c r="N14" s="83">
        <f>'Field data and sample 1'!N14</f>
        <v>0</v>
      </c>
      <c r="O14" s="83">
        <f>'Field data and sample 1'!O14</f>
        <v>0</v>
      </c>
      <c r="P14" s="83">
        <f>'Field data and sample 1'!P14</f>
        <v>0</v>
      </c>
      <c r="Q14" s="83">
        <f>'Field data and sample 1'!Q14</f>
        <v>0</v>
      </c>
      <c r="R14" s="83">
        <f>'Field data and sample 1'!R14</f>
        <v>0</v>
      </c>
      <c r="S14" s="83">
        <f>'Field data and sample 1'!S14</f>
        <v>0</v>
      </c>
      <c r="T14" s="83">
        <f>'Field data and sample 1'!T14</f>
        <v>0</v>
      </c>
      <c r="U14" s="83">
        <f>'Field data and sample 1'!U14</f>
        <v>0</v>
      </c>
      <c r="V14" s="103">
        <f>'Field data and sample 1'!V14</f>
        <v>0</v>
      </c>
      <c r="AD14" s="22" t="s">
        <v>138</v>
      </c>
      <c r="AE14" s="22">
        <v>6</v>
      </c>
      <c r="AI14" s="43" t="s">
        <v>119</v>
      </c>
      <c r="AJ14" s="44">
        <v>0.8</v>
      </c>
      <c r="AK14" s="45">
        <v>1.7</v>
      </c>
      <c r="AL14" s="9">
        <v>12</v>
      </c>
      <c r="AM14" s="9">
        <v>6.7</v>
      </c>
      <c r="AN14" s="9" t="s">
        <v>135</v>
      </c>
    </row>
    <row r="15" spans="1:41" ht="13" x14ac:dyDescent="0.25">
      <c r="A15" s="155" t="s">
        <v>9</v>
      </c>
      <c r="B15" s="156"/>
      <c r="C15" s="49">
        <f>'Field data and sample 1'!C15</f>
        <v>0</v>
      </c>
      <c r="D15" s="49">
        <f>'Field data and sample 1'!D15</f>
        <v>0</v>
      </c>
      <c r="E15" s="49">
        <f>'Field data and sample 1'!E15</f>
        <v>0</v>
      </c>
      <c r="F15" s="49">
        <f>'Field data and sample 1'!F15</f>
        <v>0</v>
      </c>
      <c r="G15" s="49">
        <f>'Field data and sample 1'!G15</f>
        <v>0</v>
      </c>
      <c r="H15" s="49">
        <f>'Field data and sample 1'!H15</f>
        <v>0</v>
      </c>
      <c r="I15" s="49">
        <f>'Field data and sample 1'!I15</f>
        <v>0</v>
      </c>
      <c r="J15" s="49">
        <f>'Field data and sample 1'!J15</f>
        <v>0</v>
      </c>
      <c r="K15" s="49">
        <f>'Field data and sample 1'!K15</f>
        <v>0</v>
      </c>
      <c r="L15" s="49">
        <f>'Field data and sample 1'!L15</f>
        <v>0</v>
      </c>
      <c r="M15" s="49">
        <f>'Field data and sample 1'!M15</f>
        <v>0</v>
      </c>
      <c r="N15" s="49">
        <f>'Field data and sample 1'!N15</f>
        <v>0</v>
      </c>
      <c r="O15" s="49">
        <f>'Field data and sample 1'!O15</f>
        <v>0</v>
      </c>
      <c r="P15" s="49">
        <f>'Field data and sample 1'!P15</f>
        <v>0</v>
      </c>
      <c r="Q15" s="49">
        <f>'Field data and sample 1'!Q15</f>
        <v>0</v>
      </c>
      <c r="R15" s="49">
        <f>'Field data and sample 1'!R15</f>
        <v>0</v>
      </c>
      <c r="S15" s="49">
        <f>'Field data and sample 1'!S15</f>
        <v>0</v>
      </c>
      <c r="T15" s="49">
        <f>'Field data and sample 1'!T15</f>
        <v>0</v>
      </c>
      <c r="U15" s="49">
        <f>'Field data and sample 1'!U15</f>
        <v>0</v>
      </c>
      <c r="V15" s="102">
        <f>'Field data and sample 1'!V15</f>
        <v>0</v>
      </c>
      <c r="AD15" s="22" t="s">
        <v>144</v>
      </c>
      <c r="AE15" s="22">
        <v>7</v>
      </c>
      <c r="AI15" s="43" t="s">
        <v>101</v>
      </c>
      <c r="AJ15" s="51">
        <v>1.8</v>
      </c>
      <c r="AK15" s="45">
        <v>5.4</v>
      </c>
      <c r="AL15" s="9">
        <v>13</v>
      </c>
      <c r="AM15" s="9">
        <v>6.7</v>
      </c>
      <c r="AN15" s="9" t="s">
        <v>135</v>
      </c>
    </row>
    <row r="16" spans="1:41" ht="13.5" thickBot="1" x14ac:dyDescent="0.3">
      <c r="A16" s="159" t="s">
        <v>44</v>
      </c>
      <c r="B16" s="160"/>
      <c r="C16" s="104" t="str">
        <f>'Field data and sample 1'!C16</f>
        <v>Sandy Loam</v>
      </c>
      <c r="D16" s="104" t="str">
        <f>'Field data and sample 1'!D16</f>
        <v>Sandy Loam</v>
      </c>
      <c r="E16" s="104" t="str">
        <f>'Field data and sample 1'!E16</f>
        <v>Sandy Loam</v>
      </c>
      <c r="F16" s="104" t="str">
        <f>'Field data and sample 1'!F16</f>
        <v>Sandy Loam</v>
      </c>
      <c r="G16" s="104">
        <f>'Field data and sample 1'!G16</f>
        <v>0</v>
      </c>
      <c r="H16" s="104">
        <f>'Field data and sample 1'!H16</f>
        <v>0</v>
      </c>
      <c r="I16" s="104">
        <f>'Field data and sample 1'!I16</f>
        <v>0</v>
      </c>
      <c r="J16" s="104">
        <f>'Field data and sample 1'!J16</f>
        <v>0</v>
      </c>
      <c r="K16" s="104">
        <f>'Field data and sample 1'!K16</f>
        <v>0</v>
      </c>
      <c r="L16" s="104">
        <f>'Field data and sample 1'!L16</f>
        <v>0</v>
      </c>
      <c r="M16" s="104">
        <f>'Field data and sample 1'!M16</f>
        <v>0</v>
      </c>
      <c r="N16" s="104">
        <f>'Field data and sample 1'!N16</f>
        <v>0</v>
      </c>
      <c r="O16" s="104">
        <f>'Field data and sample 1'!O16</f>
        <v>0</v>
      </c>
      <c r="P16" s="104">
        <f>'Field data and sample 1'!P16</f>
        <v>0</v>
      </c>
      <c r="Q16" s="104">
        <f>'Field data and sample 1'!Q16</f>
        <v>0</v>
      </c>
      <c r="R16" s="104">
        <f>'Field data and sample 1'!R16</f>
        <v>0</v>
      </c>
      <c r="S16" s="104">
        <f>'Field data and sample 1'!S16</f>
        <v>0</v>
      </c>
      <c r="T16" s="104">
        <f>'Field data and sample 1'!T16</f>
        <v>0</v>
      </c>
      <c r="U16" s="104">
        <f>'Field data and sample 1'!U16</f>
        <v>0</v>
      </c>
      <c r="V16" s="105">
        <f>'Field data and sample 1'!V16</f>
        <v>0</v>
      </c>
      <c r="AD16" s="42" t="s">
        <v>145</v>
      </c>
      <c r="AE16" s="22">
        <v>8</v>
      </c>
      <c r="AI16" s="43" t="s">
        <v>118</v>
      </c>
      <c r="AJ16" s="44">
        <v>8</v>
      </c>
      <c r="AK16" s="45">
        <v>5.5</v>
      </c>
      <c r="AL16" s="7">
        <v>14</v>
      </c>
      <c r="AM16" s="9">
        <v>6.7</v>
      </c>
      <c r="AN16" s="9" t="s">
        <v>135</v>
      </c>
    </row>
    <row r="17" spans="1:40" ht="13" x14ac:dyDescent="0.25">
      <c r="A17" s="153" t="s">
        <v>69</v>
      </c>
      <c r="B17" s="154"/>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1" t="s">
        <v>23</v>
      </c>
      <c r="B18" s="152"/>
      <c r="C18" s="12">
        <f>$D31</f>
        <v>76.175749999999994</v>
      </c>
      <c r="D18" s="12">
        <f>$D32</f>
        <v>76.175749999999994</v>
      </c>
      <c r="E18" s="12">
        <f>$D33</f>
        <v>76.175749999999994</v>
      </c>
      <c r="F18" s="12">
        <f>$D34</f>
        <v>38.087874999999997</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1" t="s">
        <v>90</v>
      </c>
      <c r="B19" s="152"/>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9" t="s">
        <v>91</v>
      </c>
      <c r="B20" s="150"/>
      <c r="C20" s="18" t="e">
        <f>IF($B31="","",IF(C$19&gt;=0,"INCREASE","DECREASE"))</f>
        <v>#N/A</v>
      </c>
      <c r="D20" s="18" t="e">
        <f>IF($B32="","",IF(D$19&gt;=0,"INCREASE","DECREASE"))</f>
        <v>#N/A</v>
      </c>
      <c r="E20" s="18" t="e">
        <f>IF($B33="","",IF(E$19&gt;=0,"INCREASE","DECREASE"))</f>
        <v>#N/A</v>
      </c>
      <c r="F20" s="18" t="e">
        <f>IF($B34="","",IF(F$19&gt;=0,"INCREASE","DECREASE"))</f>
        <v>#N/A</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3" t="s">
        <v>88</v>
      </c>
      <c r="B21" s="154"/>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1" t="s">
        <v>89</v>
      </c>
      <c r="B22" s="152"/>
      <c r="C22" s="12">
        <f>$E31</f>
        <v>46.797380000000011</v>
      </c>
      <c r="D22" s="12">
        <f>$E32</f>
        <v>46.797380000000011</v>
      </c>
      <c r="E22" s="12">
        <f>$E33</f>
        <v>46.797380000000011</v>
      </c>
      <c r="F22" s="12">
        <f>$E34</f>
        <v>23.398690000000006</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1" t="s">
        <v>92</v>
      </c>
      <c r="B23" s="152"/>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9" t="s">
        <v>93</v>
      </c>
      <c r="B24" s="150"/>
      <c r="C24" s="18" t="e">
        <f>IF($B31="","",IF(C$23&gt;=0,"INCREASE","DECREASE"))</f>
        <v>#N/A</v>
      </c>
      <c r="D24" s="18" t="e">
        <f t="shared" ref="D24:V24" si="4">IF($B31="","",IF(D$23&gt;=0,"INCREASE","DECREASE"))</f>
        <v>#N/A</v>
      </c>
      <c r="E24" s="18" t="e">
        <f t="shared" si="4"/>
        <v>#N/A</v>
      </c>
      <c r="F24" s="18" t="e">
        <f t="shared" si="4"/>
        <v>#N/A</v>
      </c>
      <c r="G24" s="18" t="e">
        <f t="shared" si="4"/>
        <v>#N/A</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c r="Q27" s="84"/>
      <c r="R27" s="84" t="s">
        <v>55</v>
      </c>
      <c r="S27" s="84" t="s">
        <v>55</v>
      </c>
      <c r="T27" s="84"/>
      <c r="U27" s="121"/>
    </row>
    <row r="28" spans="1:40" x14ac:dyDescent="0.35">
      <c r="A28" s="122"/>
      <c r="B28" s="16">
        <v>13.3</v>
      </c>
      <c r="C28" s="11">
        <v>0.6</v>
      </c>
      <c r="D28" s="11">
        <v>125</v>
      </c>
      <c r="E28" s="11">
        <v>146</v>
      </c>
      <c r="F28" s="11">
        <v>240</v>
      </c>
      <c r="G28" s="11">
        <v>22.4</v>
      </c>
      <c r="H28" s="11">
        <v>110</v>
      </c>
      <c r="I28" s="11">
        <v>32.4</v>
      </c>
      <c r="J28" s="11">
        <v>0.6</v>
      </c>
      <c r="K28" s="15">
        <v>0.5</v>
      </c>
      <c r="L28" s="11">
        <v>21.8</v>
      </c>
      <c r="M28" s="11">
        <v>21.3</v>
      </c>
      <c r="N28" s="11"/>
      <c r="O28" s="11"/>
      <c r="P28" s="11"/>
      <c r="Q28" s="11"/>
      <c r="R28" s="11">
        <v>1</v>
      </c>
      <c r="S28" s="11">
        <v>4.0999999999999996</v>
      </c>
      <c r="T28" s="11"/>
      <c r="U28" s="97"/>
    </row>
    <row r="29" spans="1:40" s="7" customFormat="1" ht="28" x14ac:dyDescent="0.35">
      <c r="A29" s="16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CD1</v>
      </c>
      <c r="B31" s="11">
        <v>2000</v>
      </c>
      <c r="C31" s="65">
        <f>IF(C$27="%w/w SAR",((C$28*10)*$B31),IF(C$27="%w/w DM",(((C$28*10)*($B$28/100))*$B31),IF(C$27="kg/t SAR",(C$28*$B31),IF(C$27="kg/t DM",((C$28*($B$28/100))*$B31),IF(C$27="mg/kg SAR",((C$28*0.001)*$B31),IF(C$27="mg/kg DM",(((C$28*0.001)*($B$28/100))*$B31),0))))))</f>
        <v>1596</v>
      </c>
      <c r="D31" s="65">
        <f>(IF(D$27="%w/w SAR",((D$28*10)*$B31),IF(D$27="%w/w DM",(((D$28*10)*($B$28/100))*$B31),IF(D$27="kg/t SAR",(D$28*$B31),IF(D$27="kg/t DM",((D$28*($B$28/100))*$B31),IF(D$27="mg/kg SAR",((D$28*0.001)*$B31),IF(D$27="mg/kg DM",(((D$28*0.001)*($B$28/100))*$B31),"0")))))))*2.291</f>
        <v>76.175749999999994</v>
      </c>
      <c r="E31" s="65">
        <f>(IF(E$27="%w/w SAR",((E$28*10)*$B31),IF(E$27="%w/w DM",(((E$28*10)*($B$28/100))*$B31),IF(E$27="kg/t SAR",(E$28*$B31),IF(E$27="kg/t DM",((E$28*($B$28/100))*$B31),IF(E$27="mg/kg SAR",((E$28*0.001)*$B31),IF(E$27="mg/kg DM",(((E$28*0.001)*($B$28/100))*$B31),"0")))))))*1.205</f>
        <v>46.797380000000011</v>
      </c>
      <c r="F31" s="65">
        <f>(IF(F$27="%w/w SAR",((F$28*10)*$B31),IF(F$27="%w/w DM",(((F$28*10)*($B$28/100))*$B31),IF(F$27="kg/t SAR",(F$28*$B31),IF(F$27="kg/t DM",((F$28*($B$28/100))*$B31),IF(F$27="mg/kg SAR",((F$28*0.001)*$B31),IF(F$27="mg/kg DM",(((F$28*0.001)*($B$28/100))*$B31),"0")))))))*1.658</f>
        <v>105.84672000000002</v>
      </c>
      <c r="G31" s="65">
        <f t="shared" ref="G31:P46" si="5">IF(G$27="%w/w SAR",((G$28*10)*$B31),IF(G$27="%w/w DM",(((G$28*10)*($B$28/100))*$B31),IF(G$27="kg/t SAR",(G$28*$B31),IF(G$27="kg/t DM",((G$28*($B$28/100))*$B31),IF(G$27="mg/kg SAR",((G$28*0.001)*$B31),IF(G$27="mg/kg DM",(((G$28*0.001)*($B$28/100))*$B31),0))))))</f>
        <v>5.9584000000000001</v>
      </c>
      <c r="H31" s="65">
        <f t="shared" si="5"/>
        <v>29.26</v>
      </c>
      <c r="I31" s="65">
        <f t="shared" si="5"/>
        <v>8.6183999999999994</v>
      </c>
      <c r="J31" s="65">
        <f t="shared" si="5"/>
        <v>0.15959999999999999</v>
      </c>
      <c r="K31" s="65">
        <f t="shared" si="5"/>
        <v>0.13300000000000001</v>
      </c>
      <c r="L31" s="65">
        <f t="shared" si="5"/>
        <v>5.7988000000000008</v>
      </c>
      <c r="M31" s="65">
        <f t="shared" si="5"/>
        <v>5.6657999999999999</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0.26600000000000001</v>
      </c>
      <c r="S31" s="65">
        <f>IF(S$27="%w/w SAR",((S$28*10)*$B31),IF(S$27="%w/w DM",(((S$28*10)*($B$28/100))*$B31),IF(S$27="kg/t SAR",(S$28*$B31),IF(S$27="kg/t DM",((S$28*($B$28/100))*$B31),IF(S$27="mg/kg SAR",((S$28*0.001)*$B31),IF(S$27="mg/kg DM",(((S$28*0.001)*($B$28/100))*$B31),0))))))</f>
        <v>1.0906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CD2</v>
      </c>
      <c r="B32" s="11">
        <v>2000</v>
      </c>
      <c r="C32" s="65">
        <f t="shared" ref="C32:C50" si="6">IF(C$27="%w/w SAR",((C$28*10)*$B32),IF(C$27="%w/w DM",(((C$28*10)*($B$28/100))*$B32),IF(C$27="kg/t SAR",(C$28*$B32),IF(C$27="kg/t DM",((C$28*($B$28/100))*$B32),IF(C$27="mg/kg SAR",((C$28*0.001)*$B32),IF(C$27="mg/kg DM",(((C$28*0.001)*($B$28/100))*$B32),0))))))</f>
        <v>1596</v>
      </c>
      <c r="D32" s="65">
        <f t="shared" ref="D32:D50" si="7">(IF(D$27="%w/w SAR",((D$28*10)*$B32),IF(D$27="%w/w DM",(((D$28*10)*($B$28/100))*$B32),IF(D$27="kg/t SAR",(D$28*$B32),IF(D$27="kg/t DM",((D$28*($B$28/100))*$B32),IF(D$27="mg/kg SAR",((D$28*0.001)*$B32),IF(D$27="mg/kg DM",(((D$28*0.001)*($B$28/100))*$B32),"0")))))))*2.291</f>
        <v>76.175749999999994</v>
      </c>
      <c r="E32" s="65">
        <f t="shared" ref="E32:E50" si="8">(IF(E$27="%w/w SAR",((E$28*10)*$B32),IF(E$27="%w/w DM",(((E$28*10)*($B$28/100))*$B32),IF(E$27="kg/t SAR",(E$28*$B32),IF(E$27="kg/t DM",((E$28*($B$28/100))*$B32),IF(E$27="mg/kg SAR",((E$28*0.001)*$B32),IF(E$27="mg/kg DM",(((E$28*0.001)*($B$28/100))*$B32),"0")))))))*1.205</f>
        <v>46.797380000000011</v>
      </c>
      <c r="F32" s="65">
        <f t="shared" ref="F32:F50" si="9">(IF(F$27="%w/w SAR",((F$28*10)*$B32),IF(F$27="%w/w DM",(((F$28*10)*($B$28/100))*$B32),IF(F$27="kg/t SAR",(F$28*$B32),IF(F$27="kg/t DM",((F$28*($B$28/100))*$B32),IF(F$27="mg/kg SAR",((F$28*0.001)*$B32),IF(F$27="mg/kg DM",(((F$28*0.001)*($B$28/100))*$B32),"0")))))))*1.658</f>
        <v>105.84672000000002</v>
      </c>
      <c r="G32" s="65">
        <f t="shared" si="5"/>
        <v>5.9584000000000001</v>
      </c>
      <c r="H32" s="65">
        <f t="shared" si="5"/>
        <v>29.26</v>
      </c>
      <c r="I32" s="65">
        <f t="shared" si="5"/>
        <v>8.6183999999999994</v>
      </c>
      <c r="J32" s="65">
        <f t="shared" si="5"/>
        <v>0.15959999999999999</v>
      </c>
      <c r="K32" s="65">
        <f t="shared" si="5"/>
        <v>0.13300000000000001</v>
      </c>
      <c r="L32" s="65">
        <f t="shared" si="5"/>
        <v>5.7988000000000008</v>
      </c>
      <c r="M32" s="65">
        <f t="shared" si="5"/>
        <v>5.6657999999999999</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0.26600000000000001</v>
      </c>
      <c r="S32" s="65">
        <f t="shared" si="11"/>
        <v>1.0906</v>
      </c>
      <c r="T32" s="65">
        <f t="shared" si="11"/>
        <v>0</v>
      </c>
      <c r="U32" s="126">
        <f t="shared" si="11"/>
        <v>0</v>
      </c>
    </row>
    <row r="33" spans="1:21" s="48" customFormat="1" ht="13" x14ac:dyDescent="0.35">
      <c r="A33" s="125" t="str">
        <f>E8</f>
        <v>IV WG2</v>
      </c>
      <c r="B33" s="11">
        <v>2000</v>
      </c>
      <c r="C33" s="65">
        <f t="shared" si="6"/>
        <v>1596</v>
      </c>
      <c r="D33" s="65">
        <f t="shared" si="7"/>
        <v>76.175749999999994</v>
      </c>
      <c r="E33" s="65">
        <f t="shared" si="8"/>
        <v>46.797380000000011</v>
      </c>
      <c r="F33" s="65">
        <f t="shared" si="9"/>
        <v>105.84672000000002</v>
      </c>
      <c r="G33" s="65">
        <f t="shared" si="5"/>
        <v>5.9584000000000001</v>
      </c>
      <c r="H33" s="65">
        <f t="shared" si="5"/>
        <v>29.26</v>
      </c>
      <c r="I33" s="65">
        <f t="shared" si="5"/>
        <v>8.6183999999999994</v>
      </c>
      <c r="J33" s="65">
        <f t="shared" si="5"/>
        <v>0.15959999999999999</v>
      </c>
      <c r="K33" s="65">
        <f t="shared" si="5"/>
        <v>0.13300000000000001</v>
      </c>
      <c r="L33" s="65">
        <f t="shared" si="5"/>
        <v>5.7988000000000008</v>
      </c>
      <c r="M33" s="65">
        <f t="shared" si="5"/>
        <v>5.6657999999999999</v>
      </c>
      <c r="N33" s="65">
        <f t="shared" si="5"/>
        <v>0</v>
      </c>
      <c r="O33" s="65">
        <f t="shared" si="5"/>
        <v>0</v>
      </c>
      <c r="P33" s="65">
        <f t="shared" si="5"/>
        <v>0</v>
      </c>
      <c r="Q33" s="65">
        <f t="shared" si="10"/>
        <v>0</v>
      </c>
      <c r="R33" s="65">
        <f t="shared" si="11"/>
        <v>0.26600000000000001</v>
      </c>
      <c r="S33" s="65">
        <f t="shared" si="11"/>
        <v>1.0906</v>
      </c>
      <c r="T33" s="65">
        <f t="shared" si="11"/>
        <v>0</v>
      </c>
      <c r="U33" s="126">
        <f t="shared" si="11"/>
        <v>0</v>
      </c>
    </row>
    <row r="34" spans="1:21" s="48" customFormat="1" ht="13" x14ac:dyDescent="0.35">
      <c r="A34" s="125" t="str">
        <f>F8</f>
        <v>IV WG3</v>
      </c>
      <c r="B34" s="11">
        <v>1000</v>
      </c>
      <c r="C34" s="65">
        <f t="shared" si="6"/>
        <v>798</v>
      </c>
      <c r="D34" s="65">
        <f t="shared" si="7"/>
        <v>38.087874999999997</v>
      </c>
      <c r="E34" s="65">
        <f t="shared" si="8"/>
        <v>23.398690000000006</v>
      </c>
      <c r="F34" s="65">
        <f t="shared" si="9"/>
        <v>52.92336000000001</v>
      </c>
      <c r="G34" s="65">
        <f t="shared" si="5"/>
        <v>2.9792000000000001</v>
      </c>
      <c r="H34" s="65">
        <f t="shared" si="5"/>
        <v>14.63</v>
      </c>
      <c r="I34" s="65">
        <f t="shared" si="5"/>
        <v>4.3091999999999997</v>
      </c>
      <c r="J34" s="65">
        <f t="shared" si="5"/>
        <v>7.9799999999999996E-2</v>
      </c>
      <c r="K34" s="65">
        <f t="shared" si="5"/>
        <v>6.6500000000000004E-2</v>
      </c>
      <c r="L34" s="65">
        <f t="shared" si="5"/>
        <v>2.8994000000000004</v>
      </c>
      <c r="M34" s="65">
        <f t="shared" si="5"/>
        <v>2.8329</v>
      </c>
      <c r="N34" s="65">
        <f t="shared" si="5"/>
        <v>0</v>
      </c>
      <c r="O34" s="65">
        <f t="shared" si="5"/>
        <v>0</v>
      </c>
      <c r="P34" s="65">
        <f t="shared" si="5"/>
        <v>0</v>
      </c>
      <c r="Q34" s="65">
        <f t="shared" si="10"/>
        <v>0</v>
      </c>
      <c r="R34" s="65">
        <f t="shared" si="11"/>
        <v>0.13300000000000001</v>
      </c>
      <c r="S34" s="65">
        <f t="shared" si="11"/>
        <v>0.54530000000000001</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CD1</v>
      </c>
      <c r="C57" s="8" t="str">
        <f t="shared" ref="C57:U57" si="13">D8</f>
        <v>CD2</v>
      </c>
      <c r="D57" s="8" t="str">
        <f t="shared" si="13"/>
        <v>IV WG2</v>
      </c>
      <c r="E57" s="8" t="str">
        <f t="shared" si="13"/>
        <v>IV WG3</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"&amp;(VLOOKUP(C14,Table24562[],6,FALSE))</f>
        <v>#N/A</v>
      </c>
      <c r="C58" s="10" t="e">
        <f>D16&amp;" I "&amp;(VLOOKUP(D14,Table24562[],6,FALSE))</f>
        <v>#N/A</v>
      </c>
      <c r="D58" s="10" t="e">
        <f>E16&amp;" I "&amp;(VLOOKUP(E14,Table24562[],6,FALSE))</f>
        <v>#N/A</v>
      </c>
      <c r="E58" s="10" t="e">
        <f>F16&amp;" I "&amp;(VLOOKUP(F14,Table24562[],6,FALSE))</f>
        <v>#N/A</v>
      </c>
      <c r="F58" s="10" t="e">
        <f>G16&amp;" I "&amp;(VLOOKUP(G14,Table24562[],6,FALSE))</f>
        <v>#N/A</v>
      </c>
      <c r="G58" s="10" t="e">
        <f>H16&amp;" I "&amp;(VLOOKUP(H14,Table24562[],6,FALSE))</f>
        <v>#N/A</v>
      </c>
      <c r="H58" s="10" t="e">
        <f>I16&amp;" I "&amp;(VLOOKUP(I14,Table24562[],6,FALSE))</f>
        <v>#N/A</v>
      </c>
      <c r="I58" s="10" t="e">
        <f>J16&amp;" I "&amp;(VLOOKUP(J14,Table24562[],6,FALSE))</f>
        <v>#N/A</v>
      </c>
      <c r="J58" s="10" t="e">
        <f>K16&amp;" I "&amp;(VLOOKUP(K14,Table24562[],6,FALSE))</f>
        <v>#N/A</v>
      </c>
      <c r="K58" s="10" t="e">
        <f>L16&amp;" I "&amp;(VLOOKUP(L14,Table24562[],6,FALSE))</f>
        <v>#N/A</v>
      </c>
      <c r="L58" s="10" t="e">
        <f>M16&amp;" I "&amp;(VLOOKUP(M14,Table24562[],6,FALSE))</f>
        <v>#N/A</v>
      </c>
      <c r="M58" s="10" t="e">
        <f>N16&amp;" I "&amp;(VLOOKUP(N14,Table24562[],6,FALSE))</f>
        <v>#N/A</v>
      </c>
      <c r="N58" s="10" t="e">
        <f>O16&amp;" I "&amp;(VLOOKUP(O14,Table24562[],6,FALSE))</f>
        <v>#N/A</v>
      </c>
      <c r="O58" s="10" t="e">
        <f>P16&amp;" I "&amp;(VLOOKUP(P14,Table24562[],6,FALSE))</f>
        <v>#N/A</v>
      </c>
      <c r="P58" s="10" t="e">
        <f>Q16&amp;" I "&amp;(VLOOKUP(Q14,Table24562[],6,FALSE))</f>
        <v>#N/A</v>
      </c>
      <c r="Q58" s="10" t="e">
        <f>R16&amp;" I "&amp;(VLOOKUP(R14,Table24562[],6,FALSE))</f>
        <v>#N/A</v>
      </c>
      <c r="R58" s="10" t="e">
        <f>S16&amp;" I "&amp;(VLOOKUP(S14,Table24562[],6,FALSE))</f>
        <v>#N/A</v>
      </c>
      <c r="S58" s="10" t="e">
        <f>T16&amp;" I "&amp;(VLOOKUP(T14,Table24562[],6,FALSE))</f>
        <v>#N/A</v>
      </c>
      <c r="T58" s="10" t="e">
        <f>U16&amp;" I "&amp;(VLOOKUP(U14,Table24562[],6,FALSE))</f>
        <v>#N/A</v>
      </c>
      <c r="U58" s="10" t="e">
        <f>V16&amp;" I "&amp;(VLOOKUP(V14,Table24562[],6,FALSE))</f>
        <v>#N/A</v>
      </c>
    </row>
    <row r="59" spans="1:21" ht="13" x14ac:dyDescent="0.3">
      <c r="A59" s="87" t="s">
        <v>132</v>
      </c>
      <c r="B59" s="64" t="e">
        <f>VLOOKUP(C$14,Table24562[],5,FALSE)</f>
        <v>#N/A</v>
      </c>
      <c r="C59" s="64" t="e">
        <f>VLOOKUP(D$14,Table24562[],5,FALSE)</f>
        <v>#N/A</v>
      </c>
      <c r="D59" s="64" t="e">
        <f>VLOOKUP(E$14,Table24562[],5,FALSE)</f>
        <v>#N/A</v>
      </c>
      <c r="E59" s="64" t="e">
        <f>VLOOKUP(F$14,Table24562[],5,FALSE)</f>
        <v>#N/A</v>
      </c>
      <c r="F59" s="64" t="e">
        <f>VLOOKUP(G$14,Table24562[],5,FALSE)</f>
        <v>#N/A</v>
      </c>
      <c r="G59" s="64" t="e">
        <f>VLOOKUP(H$14,Table24562[],5,FALSE)</f>
        <v>#N/A</v>
      </c>
      <c r="H59" s="64" t="e">
        <f>VLOOKUP(I$14,Table24562[],5,FALSE)</f>
        <v>#N/A</v>
      </c>
      <c r="I59" s="64" t="e">
        <f>VLOOKUP(J$14,Table24562[],5,FALSE)</f>
        <v>#N/A</v>
      </c>
      <c r="J59" s="64" t="e">
        <f>VLOOKUP(K$14,Table24562[],5,FALSE)</f>
        <v>#N/A</v>
      </c>
      <c r="K59" s="64" t="e">
        <f>VLOOKUP(L$14,Table24562[],5,FALSE)</f>
        <v>#N/A</v>
      </c>
      <c r="L59" s="64" t="e">
        <f>VLOOKUP(M$14,Table24562[],5,FALSE)</f>
        <v>#N/A</v>
      </c>
      <c r="M59" s="64" t="e">
        <f>VLOOKUP(N$14,Table24562[],5,FALSE)</f>
        <v>#N/A</v>
      </c>
      <c r="N59" s="64" t="e">
        <f>VLOOKUP(O$14,Table24562[],5,FALSE)</f>
        <v>#N/A</v>
      </c>
      <c r="O59" s="64" t="e">
        <f>VLOOKUP(P$14,Table24562[],5,FALSE)</f>
        <v>#N/A</v>
      </c>
      <c r="P59" s="64" t="e">
        <f>VLOOKUP(Q$14,Table24562[],5,FALSE)</f>
        <v>#N/A</v>
      </c>
      <c r="Q59" s="64" t="e">
        <f>VLOOKUP(R$14,Table24562[],5,FALSE)</f>
        <v>#N/A</v>
      </c>
      <c r="R59" s="64" t="e">
        <f>VLOOKUP(S$14,Table24562[],5,FALSE)</f>
        <v>#N/A</v>
      </c>
      <c r="S59" s="64" t="e">
        <f>VLOOKUP(T$14,Table24562[],5,FALSE)</f>
        <v>#N/A</v>
      </c>
      <c r="T59" s="64" t="e">
        <f>VLOOKUP(U$14,Table24562[],5,FALSE)</f>
        <v>#N/A</v>
      </c>
      <c r="U59" s="64" t="e">
        <f>VLOOKUP(V$14,Table24562[],5,FALSE)</f>
        <v>#N/A</v>
      </c>
    </row>
    <row r="60" spans="1:21" ht="13" x14ac:dyDescent="0.3">
      <c r="A60" s="87" t="s">
        <v>4</v>
      </c>
      <c r="B60" s="64">
        <f>C10</f>
        <v>8.1999999999999993</v>
      </c>
      <c r="C60" s="64">
        <f t="shared" ref="C60:U60" si="14">D10</f>
        <v>8.6</v>
      </c>
      <c r="D60" s="64">
        <f t="shared" si="14"/>
        <v>12</v>
      </c>
      <c r="E60" s="64">
        <f t="shared" si="14"/>
        <v>4.8</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2000</v>
      </c>
      <c r="C62" s="65">
        <f>B32</f>
        <v>2000</v>
      </c>
      <c r="D62" s="65">
        <f>B33</f>
        <v>2000</v>
      </c>
      <c r="E62" s="65">
        <f>B34</f>
        <v>1000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21:B21"/>
    <mergeCell ref="A22:B22"/>
    <mergeCell ref="A23:B23"/>
    <mergeCell ref="A24:B24"/>
    <mergeCell ref="A29:A30"/>
    <mergeCell ref="A20:B20"/>
    <mergeCell ref="A9:B9"/>
    <mergeCell ref="A10:B10"/>
    <mergeCell ref="A11:B11"/>
    <mergeCell ref="A12:B12"/>
    <mergeCell ref="A13:B13"/>
    <mergeCell ref="A14:B14"/>
    <mergeCell ref="A15:B15"/>
    <mergeCell ref="A16:B16"/>
    <mergeCell ref="A17:B17"/>
    <mergeCell ref="A18:B18"/>
    <mergeCell ref="A19:B19"/>
    <mergeCell ref="A8:B8"/>
    <mergeCell ref="A3:B3"/>
    <mergeCell ref="C3:D3"/>
    <mergeCell ref="G3:H3"/>
    <mergeCell ref="J3:K3"/>
    <mergeCell ref="A4:B4"/>
    <mergeCell ref="C4:D4"/>
    <mergeCell ref="G4:H4"/>
    <mergeCell ref="J4:K4"/>
    <mergeCell ref="A5:B5"/>
    <mergeCell ref="C5:D5"/>
    <mergeCell ref="G5:H5"/>
    <mergeCell ref="J5:K5"/>
    <mergeCell ref="A7:B7"/>
    <mergeCell ref="A1:B1"/>
    <mergeCell ref="C1:D1"/>
    <mergeCell ref="G1:H1"/>
    <mergeCell ref="J1:K1"/>
    <mergeCell ref="A2:B2"/>
    <mergeCell ref="C2:D2"/>
    <mergeCell ref="G2:H2"/>
    <mergeCell ref="J2:K2"/>
  </mergeCells>
  <conditionalFormatting sqref="B62:U66 B31:B50">
    <cfRule type="cellIs" dxfId="28" priority="27" operator="greaterThan">
      <formula>$B$51</formula>
    </cfRule>
  </conditionalFormatting>
  <conditionalFormatting sqref="B66:U66">
    <cfRule type="cellIs" dxfId="27" priority="8" operator="equal">
      <formula>"UNDER"</formula>
    </cfRule>
    <cfRule type="cellIs" dxfId="26" priority="9" operator="equal">
      <formula>"OVER"</formula>
    </cfRule>
  </conditionalFormatting>
  <conditionalFormatting sqref="C31:C50">
    <cfRule type="cellIs" dxfId="25" priority="26" operator="greaterThan">
      <formula>$C$51</formula>
    </cfRule>
  </conditionalFormatting>
  <conditionalFormatting sqref="C11:V13">
    <cfRule type="cellIs" dxfId="24" priority="1" operator="greaterThan">
      <formula>2</formula>
    </cfRule>
  </conditionalFormatting>
  <conditionalFormatting sqref="C17:V19">
    <cfRule type="cellIs" dxfId="23" priority="25" operator="equal">
      <formula>0</formula>
    </cfRule>
  </conditionalFormatting>
  <conditionalFormatting sqref="C20:V21">
    <cfRule type="cellIs" dxfId="22" priority="28" operator="equal">
      <formula>"DECREASE"</formula>
    </cfRule>
    <cfRule type="cellIs" dxfId="21" priority="29" operator="equal">
      <formula>"INCREASE"</formula>
    </cfRule>
  </conditionalFormatting>
  <conditionalFormatting sqref="C21:V21">
    <cfRule type="cellIs" dxfId="20" priority="10" operator="equal">
      <formula>0</formula>
    </cfRule>
  </conditionalFormatting>
  <conditionalFormatting sqref="C22:V23">
    <cfRule type="cellIs" dxfId="19" priority="11" operator="equal">
      <formula>0</formula>
    </cfRule>
  </conditionalFormatting>
  <conditionalFormatting sqref="C24:V24">
    <cfRule type="cellIs" dxfId="18" priority="12" operator="equal">
      <formula>"DECREASE"</formula>
    </cfRule>
    <cfRule type="cellIs" dxfId="17" priority="13" operator="equal">
      <formula>"INCREASE"</formula>
    </cfRule>
  </conditionalFormatting>
  <conditionalFormatting sqref="G31:G50">
    <cfRule type="cellIs" dxfId="16" priority="24" operator="greaterThan">
      <formula>$G$51</formula>
    </cfRule>
  </conditionalFormatting>
  <conditionalFormatting sqref="H31:H50">
    <cfRule type="cellIs" dxfId="15" priority="23"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22" operator="greaterThan">
      <formula>$I$51</formula>
    </cfRule>
  </conditionalFormatting>
  <conditionalFormatting sqref="J31:J50">
    <cfRule type="cellIs" dxfId="10" priority="7" operator="greaterThan">
      <formula>$J$51</formula>
    </cfRule>
  </conditionalFormatting>
  <conditionalFormatting sqref="K31:K50">
    <cfRule type="cellIs" dxfId="9" priority="21"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0" operator="greaterThan">
      <formula>$L$51</formula>
    </cfRule>
  </conditionalFormatting>
  <conditionalFormatting sqref="M31:M50">
    <cfRule type="cellIs" dxfId="5" priority="19" operator="greaterThan">
      <formula>$M$51</formula>
    </cfRule>
  </conditionalFormatting>
  <conditionalFormatting sqref="P31:P50">
    <cfRule type="cellIs" dxfId="4" priority="18" operator="greaterThan">
      <formula>$P$51</formula>
    </cfRule>
  </conditionalFormatting>
  <conditionalFormatting sqref="R31:R50">
    <cfRule type="cellIs" dxfId="3" priority="17" operator="greaterThan">
      <formula>$R$51</formula>
    </cfRule>
  </conditionalFormatting>
  <conditionalFormatting sqref="S31:S50">
    <cfRule type="cellIs" dxfId="2" priority="16" operator="greaterThan">
      <formula>$S$51</formula>
    </cfRule>
  </conditionalFormatting>
  <conditionalFormatting sqref="T31:T50">
    <cfRule type="cellIs" dxfId="1" priority="15" operator="greaterThan">
      <formula>$T$51</formula>
    </cfRule>
  </conditionalFormatting>
  <conditionalFormatting sqref="U31:U50">
    <cfRule type="cellIs" dxfId="0" priority="14" operator="greaterThan">
      <formula>$U$51</formula>
    </cfRule>
  </conditionalFormatting>
  <dataValidations count="4">
    <dataValidation type="list" allowBlank="1" showInputMessage="1" showErrorMessage="1" sqref="C16:V16" xr:uid="{CC55A2AB-E709-43AA-8FA3-45F22900725B}">
      <formula1>$AD$1:$AD$6</formula1>
    </dataValidation>
    <dataValidation type="list" allowBlank="1" showInputMessage="1" showErrorMessage="1" sqref="C14:V14" xr:uid="{C759D863-762B-40A1-9641-B702D7069573}">
      <formula1>$AI$2:$AI$26</formula1>
    </dataValidation>
    <dataValidation type="list" allowBlank="1" showInputMessage="1" showErrorMessage="1" sqref="F3" xr:uid="{72198308-C11C-4AB3-97B1-6E49C8F40A03}">
      <formula1>$AG$2:$AG$5</formula1>
    </dataValidation>
    <dataValidation type="list" showInputMessage="1" sqref="C27:U27" xr:uid="{B744395B-1228-418E-B7DC-E0E7A3ABA397}">
      <formula1>$AB$2:$AB$8</formula1>
    </dataValidation>
  </dataValidations>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REGU-415-1633438</_dlc_DocId>
    <_dlc_DocIdUrl xmlns="9be56660-2c31-41ef-bc00-23e72f632f2a">
      <Url>https://cyfoethnaturiolcymru.sharepoint.com/teams/Regulatory/Permitting/_layouts/15/DocIdRedir.aspx?ID=REGU-415-1633438</Url>
      <Description>REGU-415-1633438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Numeric House, 99 Station Road, Sidcup, Kent, DA15 7BY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2026-04-01T23:00:00+00:00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Land &amp; Water Services Ltd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A817B2-4041-43B8-8069-F83C2DDEE7EF}"/>
</file>

<file path=customXml/itemProps2.xml><?xml version="1.0" encoding="utf-8"?>
<ds:datastoreItem xmlns:ds="http://schemas.openxmlformats.org/officeDocument/2006/customXml" ds:itemID="{68BD77DC-8CCF-4E1C-830C-BAB187212426}"/>
</file>

<file path=customXml/itemProps3.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terms/"/>
    <ds:schemaRef ds:uri="9be56660-2c31-41ef-bc00-23e72f632f2a"/>
    <ds:schemaRef ds:uri="http://schemas.microsoft.com/office/2006/metadata/properties"/>
    <ds:schemaRef ds:uri="http://schemas.microsoft.com/office/infopath/2007/PartnerControls"/>
    <ds:schemaRef ds:uri="http://www.w3.org/XML/1998/namespace"/>
    <ds:schemaRef ds:uri="http://purl.org/dc/dcmitype/"/>
    <ds:schemaRef ds:uri="http://purl.org/dc/elements/1.1/"/>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Field data and sample 1</vt:lpstr>
      <vt:lpstr>sample 3</vt:lpstr>
      <vt:lpstr>sample 6</vt:lpstr>
      <vt:lpstr>Sample 9</vt:lpstr>
      <vt:lpstr>Sample 12</vt:lpstr>
      <vt:lpstr>Sample 15</vt:lpstr>
      <vt:lpstr>Sample 18</vt:lpstr>
      <vt:lpstr>Sample 21</vt:lpstr>
      <vt:lpstr>Sample 24</vt:lpstr>
      <vt:lpstr>Sample 27</vt:lpstr>
      <vt:lpstr>Additions</vt:lpstr>
      <vt:lpstr>Ratios</vt:lpstr>
      <vt:lpstr>Waste tonnage calc</vt:lpstr>
      <vt:lpstr>Average values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2026-04-02T10:08:32Z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52ee4f38-dfbc-485e-9f5f-a2ee94b016ae</vt:lpwstr>
  </property>
  <property fmtid="{D5CDD505-2E9C-101B-9397-08002B2CF9AE}" pid="4" name="MediaServiceImageTags">
    <vt:lpwstr/>
  </property>
</Properties>
</file>