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3.xml" ContentType="application/vnd.ms-excel.controlproperties+xml"/>
  <Override PartName="/xl/drawings/drawing8.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harts/chart4.xml" ContentType="application/vnd.openxmlformats-officedocument.drawingml.chart+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slr.local\eu\Offices\UK\Manchester\Projects\NEW_ PROJECTS\132380 Tradebe Healthcare National Ltd\410.067673.00001 - Wrexham Sharps Bin variation\Tech\EMPC\Wking\1. App Forms\"/>
    </mc:Choice>
  </mc:AlternateContent>
  <xr:revisionPtr revIDLastSave="0" documentId="8_{F7A8285C-87E4-4F4A-8F4C-FB129BFB8F6E}" xr6:coauthVersionLast="47" xr6:coauthVersionMax="47" xr10:uidLastSave="{00000000-0000-0000-0000-000000000000}"/>
  <workbookProtection workbookAlgorithmName="SHA-512" workbookHashValue="aWtLj90uqJoypsqgMEOraC2h6/OoLBzOGJWNh35FVybm/MHWQH1Cfqp5PStS+8aBZ5lV9p1xi4+5Sndx/xbZhw==" workbookSaltValue="Oy+Y2TSr6ikYHnptTvRw7w==" workbookSpinCount="100000" lockStructure="1"/>
  <bookViews>
    <workbookView xWindow="28680" yWindow="-120" windowWidth="29040" windowHeight="15720" firstSheet="7"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state="hidden" r:id="rId16"/>
  </sheets>
  <definedNames>
    <definedName name="category">Picklists!$J$8:$P$8</definedName>
    <definedName name="DAA">Picklists!$M$9</definedName>
    <definedName name="DAA_Waste">Picklists!$M$9</definedName>
    <definedName name="MCP">Picklists!$P$9:$P$9</definedName>
    <definedName name="MCP_and_SG">Picklists!$N$9:$N$9</definedName>
    <definedName name="No">Picklists!$AC$8</definedName>
    <definedName name="Operator">Picklists!$AB$7:$AC$7</definedName>
    <definedName name="PartA2">Picklists!$J$9:$J$29</definedName>
    <definedName name="PartB">Picklists!$K$9:$K$79</definedName>
    <definedName name="PartB_MCP_and_or_SG">Picklists!$L$9:$L$14</definedName>
    <definedName name="SG">Picklists!$O$9</definedName>
    <definedName name="Yes">Picklists!$AB$8:$AB$9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 i="17" l="1"/>
  <c r="D1" i="17"/>
  <c r="I86" i="14" l="1"/>
  <c r="I34" i="16"/>
  <c r="F32" i="16"/>
  <c r="J81" i="14"/>
  <c r="J80" i="14"/>
  <c r="J79" i="14"/>
  <c r="J78" i="14"/>
  <c r="J77" i="14"/>
  <c r="J76" i="14"/>
  <c r="J75" i="14"/>
  <c r="J73" i="14"/>
  <c r="J72" i="14"/>
  <c r="J71" i="14"/>
  <c r="J165" i="14" l="1"/>
  <c r="J164" i="14"/>
  <c r="J163" i="14"/>
  <c r="J84" i="14"/>
  <c r="J83"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E126" i="14" s="1"/>
  <c r="F126" i="14" s="1"/>
  <c r="D110" i="14"/>
  <c r="F110" i="14"/>
  <c r="E127" i="14"/>
  <c r="F127"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l="1"/>
  <c r="S13" i="5"/>
  <c r="T13" i="5"/>
  <c r="T17" i="5"/>
  <c r="T21" i="5"/>
  <c r="T25" i="5"/>
  <c r="T29" i="5"/>
  <c r="T33" i="5"/>
  <c r="S10" i="5"/>
  <c r="S14" i="5"/>
  <c r="S18" i="5"/>
  <c r="S22" i="5"/>
  <c r="S26" i="5"/>
  <c r="S30" i="5"/>
  <c r="S34" i="5"/>
  <c r="S38" i="5"/>
  <c r="S20" i="5"/>
  <c r="S36" i="5"/>
  <c r="T10" i="5"/>
  <c r="T14" i="5"/>
  <c r="T18" i="5"/>
  <c r="T22" i="5"/>
  <c r="T26" i="5"/>
  <c r="T30" i="5"/>
  <c r="T34" i="5"/>
  <c r="T38" i="5"/>
  <c r="T15" i="5"/>
  <c r="T23" i="5"/>
  <c r="T31" i="5"/>
  <c r="T35" i="5"/>
  <c r="S16" i="5"/>
  <c r="S28" i="5"/>
  <c r="S11" i="5"/>
  <c r="S15" i="5"/>
  <c r="S19" i="5"/>
  <c r="S23" i="5"/>
  <c r="S27" i="5"/>
  <c r="S31" i="5"/>
  <c r="S35" i="5"/>
  <c r="T9" i="5"/>
  <c r="T19" i="5"/>
  <c r="T27" i="5"/>
  <c r="S9" i="5"/>
  <c r="S24" i="5"/>
  <c r="S32" i="5"/>
  <c r="T11" i="5"/>
  <c r="S12" i="5"/>
  <c r="T12" i="5"/>
  <c r="T16" i="5"/>
  <c r="T20" i="5"/>
  <c r="T24" i="5"/>
  <c r="T28" i="5"/>
  <c r="T32" i="5"/>
  <c r="T36" i="5"/>
  <c r="S17" i="5"/>
  <c r="S21" i="5"/>
  <c r="S25" i="5"/>
  <c r="S29" i="5"/>
  <c r="S33" i="5"/>
  <c r="S37" i="5"/>
  <c r="T37" i="5"/>
  <c r="L9" i="5"/>
  <c r="U26" i="5" l="1"/>
  <c r="U11" i="5"/>
  <c r="V11" i="5" s="1"/>
  <c r="W11" i="5" s="1"/>
  <c r="U22" i="5"/>
  <c r="V22" i="5" s="1"/>
  <c r="W22" i="5" s="1"/>
  <c r="U18" i="5"/>
  <c r="U33" i="5"/>
  <c r="U10" i="5"/>
  <c r="V10" i="5" s="1"/>
  <c r="W10" i="5" s="1"/>
  <c r="U36" i="5"/>
  <c r="V36" i="5" s="1"/>
  <c r="W36" i="5" s="1"/>
  <c r="U35" i="5"/>
  <c r="U25" i="5"/>
  <c r="V25" i="5" s="1"/>
  <c r="U32" i="5"/>
  <c r="V32" i="5" s="1"/>
  <c r="U19" i="5"/>
  <c r="V19" i="5" s="1"/>
  <c r="U31" i="5"/>
  <c r="V31" i="5" s="1"/>
  <c r="W31" i="5" s="1"/>
  <c r="U21" i="5"/>
  <c r="U28" i="5"/>
  <c r="V28" i="5" s="1"/>
  <c r="W28" i="5" s="1"/>
  <c r="U9" i="5"/>
  <c r="V9" i="5" s="1"/>
  <c r="W9" i="5" s="1"/>
  <c r="U23" i="5"/>
  <c r="V23" i="5" s="1"/>
  <c r="U17" i="5"/>
  <c r="V17" i="5" s="1"/>
  <c r="W17" i="5" s="1"/>
  <c r="U24" i="5"/>
  <c r="V24" i="5" s="1"/>
  <c r="U15" i="5"/>
  <c r="V15" i="5" s="1"/>
  <c r="U13" i="5"/>
  <c r="V13" i="5" s="1"/>
  <c r="U20" i="5"/>
  <c r="U38" i="5"/>
  <c r="U12" i="5"/>
  <c r="V12" i="5" s="1"/>
  <c r="U30" i="5"/>
  <c r="V30" i="5" s="1"/>
  <c r="W30" i="5" s="1"/>
  <c r="U14" i="5"/>
  <c r="U29" i="5"/>
  <c r="V29" i="5" s="1"/>
  <c r="U27" i="5"/>
  <c r="V27" i="5" s="1"/>
  <c r="W27" i="5" s="1"/>
  <c r="U37" i="5"/>
  <c r="U16" i="5"/>
  <c r="V16" i="5" s="1"/>
  <c r="W16" i="5" s="1"/>
  <c r="U34" i="5"/>
  <c r="V34" i="5" s="1"/>
  <c r="W34" i="5" s="1"/>
  <c r="P17" i="5" l="1"/>
  <c r="Q17" i="5" s="1"/>
  <c r="P36" i="5"/>
  <c r="Q36" i="5" s="1"/>
  <c r="P11" i="5"/>
  <c r="Q11" i="5" s="1"/>
  <c r="P10" i="5"/>
  <c r="Q10" i="5" s="1"/>
  <c r="P22" i="5"/>
  <c r="Q22" i="5" s="1"/>
  <c r="P16" i="5"/>
  <c r="Q16" i="5" s="1"/>
  <c r="P9" i="5"/>
  <c r="P31" i="5"/>
  <c r="Q31" i="5" s="1"/>
  <c r="V26" i="5"/>
  <c r="W26" i="5" s="1"/>
  <c r="P26" i="5" s="1"/>
  <c r="Q26" i="5" s="1"/>
  <c r="P30" i="5"/>
  <c r="Q30" i="5" s="1"/>
  <c r="V38" i="5"/>
  <c r="W38" i="5" s="1"/>
  <c r="P38" i="5" s="1"/>
  <c r="Q38" i="5" s="1"/>
  <c r="V37" i="5"/>
  <c r="W37" i="5" s="1"/>
  <c r="P37" i="5" s="1"/>
  <c r="Q37" i="5" s="1"/>
  <c r="P28" i="5"/>
  <c r="Q28" i="5" s="1"/>
  <c r="V21" i="5"/>
  <c r="W21" i="5" s="1"/>
  <c r="V20" i="5"/>
  <c r="W20" i="5" s="1"/>
  <c r="P20" i="5" s="1"/>
  <c r="Q20" i="5" s="1"/>
  <c r="P34" i="5"/>
  <c r="Q34" i="5" s="1"/>
  <c r="P27" i="5"/>
  <c r="Q27" i="5" s="1"/>
  <c r="V14" i="5"/>
  <c r="W14" i="5" s="1"/>
  <c r="V33" i="5"/>
  <c r="W33" i="5" s="1"/>
  <c r="P33" i="5" s="1"/>
  <c r="Q33" i="5" s="1"/>
  <c r="V18" i="5"/>
  <c r="W18" i="5" s="1"/>
  <c r="W19" i="5"/>
  <c r="P19" i="5" s="1"/>
  <c r="W13" i="5"/>
  <c r="P13" i="5" s="1"/>
  <c r="W15" i="5"/>
  <c r="W23" i="5"/>
  <c r="P23" i="5" s="1"/>
  <c r="Q23" i="5" s="1"/>
  <c r="V35" i="5"/>
  <c r="W35" i="5" s="1"/>
  <c r="W12" i="5"/>
  <c r="P12" i="5" s="1"/>
  <c r="Q12" i="5" s="1"/>
  <c r="W25" i="5"/>
  <c r="P25" i="5" s="1"/>
  <c r="Q25" i="5" s="1"/>
  <c r="W32" i="5"/>
  <c r="P32" i="5" s="1"/>
  <c r="Q32" i="5" s="1"/>
  <c r="W29" i="5"/>
  <c r="P29" i="5" s="1"/>
  <c r="Q29" i="5" s="1"/>
  <c r="W24" i="5"/>
  <c r="P24" i="5" s="1"/>
  <c r="Q24" i="5" s="1"/>
  <c r="P21" i="5" l="1"/>
  <c r="Q21" i="5" s="1"/>
  <c r="P15" i="5"/>
  <c r="Q15" i="5" s="1"/>
  <c r="P35" i="5"/>
  <c r="Q35" i="5" s="1"/>
  <c r="Q13" i="5"/>
  <c r="P18" i="5"/>
  <c r="Q18" i="5" s="1"/>
  <c r="Q19" i="5"/>
  <c r="P14" i="5"/>
  <c r="Q14" i="5" s="1"/>
  <c r="Q9" i="5"/>
  <c r="D57" i="5" l="1"/>
  <c r="D56" i="5"/>
  <c r="D48" i="5"/>
  <c r="D55" i="5"/>
  <c r="D52" i="5"/>
  <c r="D54" i="5"/>
  <c r="D53" i="5"/>
  <c r="C54" i="5"/>
  <c r="C57" i="5"/>
  <c r="E57" i="5" s="1"/>
  <c r="C55" i="5"/>
  <c r="C53" i="5"/>
  <c r="C52" i="5"/>
  <c r="C56" i="5"/>
  <c r="E53" i="5" l="1"/>
  <c r="F8" i="15" s="1"/>
  <c r="E11" i="16" s="1"/>
  <c r="G11" i="16" s="1"/>
  <c r="E55" i="5"/>
  <c r="F10" i="15" s="1"/>
  <c r="E13" i="16" s="1"/>
  <c r="G13" i="16" s="1"/>
  <c r="E52" i="5"/>
  <c r="F7" i="15" s="1"/>
  <c r="E10" i="16" s="1"/>
  <c r="G10" i="16" s="1"/>
  <c r="E54" i="5"/>
  <c r="F9" i="15" s="1"/>
  <c r="E12" i="16" s="1"/>
  <c r="G12" i="16" s="1"/>
  <c r="E56" i="5"/>
  <c r="F11" i="15" s="1"/>
  <c r="E14" i="16" s="1"/>
  <c r="G14" i="16" s="1"/>
  <c r="G23" i="16" l="1"/>
  <c r="D34"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<sst xmlns="http://schemas.openxmlformats.org/spreadsheetml/2006/main" count="1566" uniqueCount="810">
  <si>
    <t>Version</t>
  </si>
  <si>
    <t>Operational Risk Appraisal (Opra) for Installations under EPR</t>
  </si>
  <si>
    <t>Organisation Name</t>
  </si>
  <si>
    <t>Permit Number</t>
  </si>
  <si>
    <t xml:space="preserve">Date </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</si>
  <si>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</si>
  <si>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t>Colour coding</t>
  </si>
  <si>
    <t>Free text</t>
  </si>
  <si>
    <t>Pick List</t>
  </si>
  <si>
    <t>Auto- populated</t>
  </si>
  <si>
    <t>Guidance link available</t>
  </si>
  <si>
    <t>Instruction</t>
  </si>
  <si>
    <t>Cell answered</t>
  </si>
  <si>
    <t>Information or commentary</t>
  </si>
  <si>
    <t>Does this document contain information that is commercial in confidence ?</t>
  </si>
  <si>
    <t>Defra Core guidance</t>
  </si>
  <si>
    <t>Listed Activities</t>
  </si>
  <si>
    <t>Emissions to Sewer</t>
  </si>
  <si>
    <t xml:space="preserve">Please refer to the Opra Scheme for Installations for the look-up tables and guidance.
Use abbreviated descriptions, select the Schedule 1 references and bands from the pick lists provided.
</t>
  </si>
  <si>
    <t>Please enter details of your emissions to sewer on this sheet</t>
  </si>
  <si>
    <t>Emissions to Waste</t>
  </si>
  <si>
    <t>Please enter details of waste taken off site, or imported for waste treatment activities</t>
  </si>
  <si>
    <t>Other Activities</t>
  </si>
  <si>
    <t>Please enter Part A(2), Part B, Medium Combustion Plant, Specified Generator and Waste Operation activities onto this sheet.
These activities attract separate charges</t>
  </si>
  <si>
    <t>Emissions Summary</t>
  </si>
  <si>
    <r>
      <t>No input is required.</t>
    </r>
    <r>
      <rPr>
        <sz val="10"/>
        <rFont val="Arial"/>
        <family val="2"/>
      </rPr>
      <t xml:space="preserve">  Output screen only. Summary of emissions.</t>
    </r>
  </si>
  <si>
    <t>Complexities</t>
  </si>
  <si>
    <t>Location</t>
  </si>
  <si>
    <r>
      <t xml:space="preserve">Summary of complexities and rules applied - </t>
    </r>
    <r>
      <rPr>
        <sz val="10"/>
        <color rgb="FFFF0000"/>
        <rFont val="Arial"/>
        <family val="2"/>
      </rPr>
      <t>you only need to answer rule 6 on this worksheet</t>
    </r>
  </si>
  <si>
    <t>Please answer the questions regarding the location of your site on this sheet</t>
  </si>
  <si>
    <t>Operational Management</t>
  </si>
  <si>
    <t>Emissions to Air</t>
  </si>
  <si>
    <t>Please answer the questions regarding your site management</t>
  </si>
  <si>
    <t>Please enter details of your emissions to air on this sheet</t>
  </si>
  <si>
    <t>Opra Summary</t>
  </si>
  <si>
    <t>Emissions to Water</t>
  </si>
  <si>
    <r>
      <t xml:space="preserve">No input is required.  </t>
    </r>
    <r>
      <rPr>
        <sz val="10"/>
        <rFont val="Arial"/>
        <family val="2"/>
      </rPr>
      <t>Output screen only.  The emissions are shown separately.</t>
    </r>
  </si>
  <si>
    <t>Please enter details of your emissions to water on this sheet</t>
  </si>
  <si>
    <t>Emissions to Land</t>
  </si>
  <si>
    <t>Calculation</t>
  </si>
  <si>
    <t>Please enter details of your emissions to land on this sheet</t>
  </si>
  <si>
    <r>
      <t xml:space="preserve">No input is required. </t>
    </r>
    <r>
      <rPr>
        <sz val="10"/>
        <rFont val="Arial"/>
        <family val="2"/>
      </rPr>
      <t xml:space="preserve">Charges with separate emissions totals.  </t>
    </r>
  </si>
  <si>
    <t>Listed Activities - Complexity Attribute</t>
  </si>
  <si>
    <t>Organisation name:</t>
  </si>
  <si>
    <t>Permit Number:</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</si>
  <si>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</si>
  <si>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</si>
  <si>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</si>
  <si>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</si>
  <si>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</si>
  <si>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A</t>
  </si>
  <si>
    <t>B</t>
  </si>
  <si>
    <t>C</t>
  </si>
  <si>
    <t>D</t>
  </si>
  <si>
    <t>E</t>
  </si>
  <si>
    <r>
      <t xml:space="preserve">Schedule 1 Part A(1) - Rule 4 Aggregation Details (Chemical Industry only)                                            
</t>
    </r>
    <r>
      <rPr>
        <b/>
        <sz val="12"/>
        <color rgb="FFFF0000"/>
        <rFont val="Arial"/>
        <family val="2"/>
      </rPr>
      <t>Please contact your local NRW Industry Regulation Team if you need to use this rule</t>
    </r>
  </si>
  <si>
    <t>Aggregation
Group</t>
  </si>
  <si>
    <t>Description</t>
  </si>
  <si>
    <t>Schedule 1 Ref</t>
  </si>
  <si>
    <t>Complexity</t>
  </si>
  <si>
    <t xml:space="preserve">Rule 4 </t>
  </si>
  <si>
    <t>Not Applied</t>
  </si>
  <si>
    <t>Schedule1 Part A(2) and Part B Activities, Medium combustion plant, Specified generators and Directly Associated  Waste Activities</t>
  </si>
  <si>
    <t>Organisation Name:</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</si>
  <si>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</si>
  <si>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t>List of EPR Schedule Part (A) 2, Part B, Medium Combustion Plant (MCP), Specified Generator (SG) and Directly Associated Waste Activities (DAA Waste) included in the Installation</t>
  </si>
  <si>
    <t>Enter description of Activity</t>
  </si>
  <si>
    <t>Part A2 or Part B, MCP, SG or DAA Waste activity</t>
  </si>
  <si>
    <t>EPR Schedule Reference</t>
  </si>
  <si>
    <t>EPR- Installations Charging Scheme Complexity - Application of Rules</t>
  </si>
  <si>
    <t>Rule 6</t>
  </si>
  <si>
    <t>Rule 7</t>
  </si>
  <si>
    <t xml:space="preserve">This rule is applied if your site is &gt;50Ha
The first and highest complexity letter after any E will be increased by one - so a D would be come an E or a C would become a D or a B would become a C or an A would become a B
</t>
  </si>
  <si>
    <t>This rule is automatically applied if the number of complexities are &gt;6.  It drops the complexity by one band for the seventh and subsequent complexity scores</t>
  </si>
  <si>
    <t>Organisation name</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</si>
  <si>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</si>
  <si>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r>
      <t xml:space="preserve">Is the site &gt;50 Ha?
</t>
    </r>
    <r>
      <rPr>
        <b/>
        <sz val="12"/>
        <color theme="1"/>
        <rFont val="Calibri"/>
        <family val="2"/>
        <scheme val="minor"/>
      </rPr>
      <t>Please answer Y/N below</t>
    </r>
  </si>
  <si>
    <t>Permit number</t>
  </si>
  <si>
    <t>Complexities transferred from 1 Listed activities tab</t>
  </si>
  <si>
    <t>Rule 3 capping applied but not sorted</t>
  </si>
  <si>
    <t>Rule 3 applied and sorted</t>
  </si>
  <si>
    <r>
      <t xml:space="preserve">Former Permit Ref     </t>
    </r>
    <r>
      <rPr>
        <b/>
        <sz val="8"/>
        <color indexed="42"/>
        <rFont val="Arial"/>
        <family val="2"/>
      </rPr>
      <t>(if applicable)</t>
    </r>
  </si>
  <si>
    <t>Description / 
Aggregation
Group</t>
  </si>
  <si>
    <t>Schedule 1
Ref</t>
  </si>
  <si>
    <t>capped Unsorted</t>
  </si>
  <si>
    <t>capped sorted</t>
  </si>
  <si>
    <t>e</t>
  </si>
  <si>
    <t>d</t>
  </si>
  <si>
    <t>c</t>
  </si>
  <si>
    <t>b</t>
  </si>
  <si>
    <t>a</t>
  </si>
  <si>
    <t>Summary of Rules Applied</t>
  </si>
  <si>
    <t>Status</t>
  </si>
  <si>
    <t>These totals will be carried forward and used to calculate the Opra Risk Summary and Calculation of Charges</t>
  </si>
  <si>
    <t>Rule 3</t>
  </si>
  <si>
    <t>Rule 4</t>
  </si>
  <si>
    <t>No</t>
  </si>
  <si>
    <t>Rule 5</t>
  </si>
  <si>
    <t xml:space="preserve">N/A </t>
  </si>
  <si>
    <t>Scores after Rules applied (Used for calculation of Charges)</t>
  </si>
  <si>
    <t>Scores before rules applied (Used for summary of Risk)</t>
  </si>
  <si>
    <t>First 6 Complexities</t>
  </si>
  <si>
    <t>Remaining
 complexities</t>
  </si>
  <si>
    <t>Total</t>
  </si>
  <si>
    <t>*Capped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</si>
  <si>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</si>
  <si>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</si>
  <si>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</si>
  <si>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</si>
  <si>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</si>
  <si>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</si>
  <si>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</si>
  <si>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</si>
  <si>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</si>
  <si>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</si>
  <si>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</si>
  <si>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</si>
  <si>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</si>
  <si>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</si>
  <si>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</si>
  <si>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</si>
  <si>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</si>
  <si>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</si>
  <si>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</si>
  <si>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</si>
  <si>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</si>
  <si>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</si>
  <si>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</si>
  <si>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</si>
  <si>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</si>
  <si>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</si>
  <si>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</si>
  <si>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</si>
  <si>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</si>
  <si>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</si>
  <si>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</si>
  <si>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</si>
  <si>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</si>
  <si>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</si>
  <si>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</si>
  <si>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</si>
  <si>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</si>
  <si>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</si>
  <si>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</si>
  <si>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</si>
  <si>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</si>
  <si>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</si>
  <si>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</si>
  <si>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</si>
  <si>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</si>
  <si>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</si>
  <si>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</si>
  <si>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</si>
  <si>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</si>
  <si>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</si>
  <si>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</si>
  <si>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</si>
  <si>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</si>
  <si>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</si>
  <si>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</si>
  <si>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</si>
  <si>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</si>
  <si>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</si>
  <si>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</si>
  <si>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</si>
  <si>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</si>
  <si>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</si>
  <si>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</si>
  <si>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</si>
  <si>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</si>
  <si>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</si>
  <si>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</si>
  <si>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</si>
  <si>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</si>
  <si>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</si>
  <si>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</si>
  <si>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</si>
  <si>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</si>
  <si>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</si>
  <si>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</si>
  <si>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</si>
  <si>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</si>
  <si>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</si>
  <si>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</si>
  <si>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</si>
  <si>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</si>
  <si>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</si>
  <si>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</si>
  <si>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</si>
  <si>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</si>
  <si>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</si>
  <si>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</si>
  <si>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</si>
  <si>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</si>
  <si>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</si>
  <si>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</si>
  <si>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</si>
  <si>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</si>
  <si>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</si>
  <si>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</si>
  <si>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</si>
  <si>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</si>
  <si>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</si>
  <si>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</si>
  <si>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</si>
  <si>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</si>
  <si>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</si>
  <si>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</si>
  <si>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</si>
  <si>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</si>
  <si>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</si>
  <si>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Commercial in Confidence
If you need to use these entries please contact your local NRW office</t>
  </si>
  <si>
    <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</si>
  <si>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</si>
  <si>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</si>
  <si>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</si>
  <si>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</si>
  <si>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</si>
  <si>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</si>
  <si>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</si>
  <si>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</si>
  <si>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</si>
  <si>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</si>
  <si>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</si>
  <si>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</si>
  <si>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</si>
  <si>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</si>
  <si>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</si>
  <si>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</si>
  <si>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</si>
  <si>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</si>
  <si>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</si>
  <si>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</si>
  <si>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</si>
  <si>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</si>
  <si>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</si>
  <si>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</si>
  <si>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</si>
  <si>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</si>
  <si>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</si>
  <si>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</si>
  <si>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</si>
  <si>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</si>
  <si>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</si>
  <si>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</si>
  <si>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</si>
  <si>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</si>
  <si>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</si>
  <si>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</si>
  <si>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</si>
  <si>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</si>
  <si>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</si>
  <si>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</si>
  <si>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</si>
  <si>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</si>
  <si>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</si>
  <si>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</si>
  <si>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</si>
  <si>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</si>
  <si>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</si>
  <si>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</si>
  <si>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</si>
  <si>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</si>
  <si>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</si>
  <si>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</si>
  <si>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</si>
  <si>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</si>
  <si>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</si>
  <si>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</si>
  <si>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Table W1 Substances</t>
  </si>
  <si>
    <t>Table W2 Substances</t>
  </si>
  <si>
    <t>Table W3 Substances</t>
  </si>
  <si>
    <t>Table W4 Substances</t>
  </si>
  <si>
    <t>Table W5 Substances</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</si>
  <si>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</si>
  <si>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</si>
  <si>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</si>
  <si>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</si>
  <si>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</si>
  <si>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</si>
  <si>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</si>
  <si>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</si>
  <si>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Please check that the data is entered in the correct units.The Emission Index will only show if the data entered exceeds the threshold.</t>
  </si>
  <si>
    <t>Permit number:</t>
  </si>
  <si>
    <t>Maximum 
Quantity</t>
  </si>
  <si>
    <t>chlorfenvinphos</t>
  </si>
  <si>
    <t>Chemical Oxygen Demand</t>
  </si>
  <si>
    <t>Suspended Solids</t>
  </si>
  <si>
    <t>Table S1 Substances</t>
  </si>
  <si>
    <t>Table S2 Substances</t>
  </si>
  <si>
    <t>Table S3 Substances</t>
  </si>
  <si>
    <t>Table S4 Substances</t>
  </si>
  <si>
    <t>Table S5 Substances</t>
  </si>
  <si>
    <t>Commercial in Confidence
 If you need to use these entries please contact your local NRW office</t>
  </si>
  <si>
    <t>Weighting Factor</t>
  </si>
  <si>
    <t>(Weighting factor =  0.33)</t>
  </si>
  <si>
    <t>Weighted Total</t>
  </si>
  <si>
    <t>Emissions Attribute - Off-site Disposals of Waste</t>
  </si>
  <si>
    <t>Emissions Attribute - Off-site Recovery, Recycling, Re-use of Waste</t>
  </si>
  <si>
    <t>Installation Name: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</si>
  <si>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</si>
  <si>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</si>
  <si>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</si>
  <si>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</si>
  <si>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</si>
  <si>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</si>
  <si>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</si>
  <si>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</si>
  <si>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</si>
  <si>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</si>
  <si>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</si>
  <si>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</si>
  <si>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</si>
  <si>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</si>
  <si>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</si>
  <si>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</si>
  <si>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</si>
  <si>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</si>
  <si>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</si>
  <si>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</si>
  <si>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</si>
  <si>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</si>
  <si>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</si>
  <si>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</si>
  <si>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</si>
  <si>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</si>
  <si>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</si>
  <si>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If your installation is within a certain distance of Statutory sites designated under Habitats Directive or CROW Act 2000 then the impact of emissions on these conservation areas must be assessed during our determination :</t>
  </si>
  <si>
    <t>a) if "relevant" under Habitats Directive</t>
  </si>
  <si>
    <t>or</t>
  </si>
  <si>
    <t>b) if CROW Act 2000 assessment required</t>
  </si>
  <si>
    <t>a) if on an aquifer and within a Groundwater Protection Zone</t>
  </si>
  <si>
    <t xml:space="preserve">b) if on an aquifer and not within a Groundwater Protection Zone </t>
  </si>
  <si>
    <t>Sensitivity of receiving waters (information available from the NRW web site see river basin management plans), if:</t>
  </si>
  <si>
    <t>a) WFD 'Bad' classification (formerly grade 5 )</t>
  </si>
  <si>
    <t>b) WFD 'Poor' or 'moderate' (previously grade 4 or 3)</t>
  </si>
  <si>
    <t>c) WFD 'Good' or 'high' (previously grade 2 or 1) or estuarine</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</si>
  <si>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</si>
  <si>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</si>
  <si>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</si>
  <si>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</si>
  <si>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</si>
  <si>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c) as a) except do not emit pollutants that have be declared for the</t>
  </si>
  <si>
    <t xml:space="preserve">    AQMZ </t>
  </si>
  <si>
    <t xml:space="preserve">If within a flood plain </t>
  </si>
  <si>
    <t>Maximum Score = 20
Band A = 0 - 4, B = 5 - 8, C = 9 - 12, D = 13 - 17 and E = 18 - 20</t>
  </si>
  <si>
    <t>Location attribute</t>
  </si>
  <si>
    <t>Occupation</t>
  </si>
  <si>
    <t>Habitats</t>
  </si>
  <si>
    <t>Aquifers</t>
  </si>
  <si>
    <t>Receiving waters</t>
  </si>
  <si>
    <t>Run off</t>
  </si>
  <si>
    <t>Air Quality</t>
  </si>
  <si>
    <t>Flood plain</t>
  </si>
  <si>
    <t>Location Attribute Totals</t>
  </si>
  <si>
    <t xml:space="preserve">Occupation </t>
  </si>
  <si>
    <t>Receiving Waters</t>
  </si>
  <si>
    <t>Run Off</t>
  </si>
  <si>
    <t>Flood Plain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</si>
  <si>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</si>
  <si>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</si>
  <si>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</si>
  <si>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</si>
  <si>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</si>
  <si>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</si>
  <si>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</si>
  <si>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</si>
  <si>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</si>
  <si>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</si>
  <si>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</si>
  <si>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</si>
  <si>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</si>
  <si>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</si>
  <si>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</si>
  <si>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</si>
  <si>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</si>
  <si>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</si>
  <si>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</si>
  <si>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</si>
  <si>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</si>
  <si>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</si>
  <si>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</si>
  <si>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</si>
  <si>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</si>
  <si>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</si>
  <si>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</si>
  <si>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</si>
  <si>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procedures to be used by supervisors or managers and  for the reporting of deviations from permit conditions to Natural Resources Wales and</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</si>
  <si>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</si>
  <si>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</si>
  <si>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</si>
  <si>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</si>
  <si>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</si>
  <si>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Are there industry standards for training in this sector (e.g. WAMITAB) and if so do you apply them?
(If no industry standards please use N/A)</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</si>
  <si>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</si>
  <si>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</si>
  <si>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</si>
  <si>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</si>
  <si>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</si>
  <si>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</si>
  <si>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</si>
  <si>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</si>
  <si>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</si>
  <si>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</si>
  <si>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</si>
  <si>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</si>
  <si>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</si>
  <si>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</si>
  <si>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</si>
  <si>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</si>
  <si>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</si>
  <si>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</si>
  <si>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</si>
  <si>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</si>
  <si>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t>If you operate under an externally auditted environment management system answer questions 1, 3 and 4, if you do not have an externally auditted environment management system answer questions 2, 3 and 4.</t>
  </si>
  <si>
    <t>The following aspects of  site management procedures and controls may not be in the permit conditions but are likely to have an impact on NRW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</si>
  <si>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</si>
  <si>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r>
      <t xml:space="preserve">Is your Environmental Management System EMAS registered?
</t>
    </r>
    <r>
      <rPr>
        <sz val="10"/>
        <color rgb="FFFF0000"/>
        <rFont val="Arial"/>
        <family val="2"/>
      </rPr>
      <t>If yes select Yes and go to question 4.</t>
    </r>
  </si>
  <si>
    <r>
      <t xml:space="preserve">Is your Environmental Management System certified to ISO 14001? 
</t>
    </r>
    <r>
      <rPr>
        <sz val="10"/>
        <color rgb="FFFF0000"/>
        <rFont val="Arial"/>
        <family val="2"/>
      </rPr>
      <t>If yes enter Yes and go to questions 3 and 4.</t>
    </r>
  </si>
  <si>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</si>
  <si>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t>Yes</t>
  </si>
  <si>
    <t>Sub Total</t>
  </si>
  <si>
    <t>Maximum score possible =20</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</si>
  <si>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</si>
  <si>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</si>
  <si>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</si>
  <si>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</si>
  <si>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</si>
  <si>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</si>
  <si>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</si>
  <si>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</si>
  <si>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</si>
  <si>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</si>
  <si>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</si>
  <si>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</si>
  <si>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</si>
  <si>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All operators need to answer the following two questions</t>
  </si>
  <si>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</si>
  <si>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</si>
  <si>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 xml:space="preserve">Organisational Totals </t>
  </si>
  <si>
    <t>Enforcement History (0 to -40% weighting)</t>
  </si>
  <si>
    <t>Enter type of Enforcement</t>
  </si>
  <si>
    <t>Enter Date enforcement Issued</t>
  </si>
  <si>
    <t xml:space="preserve">Enter date that enforcement is, or is due to become completed (spent) in ascending order </t>
  </si>
  <si>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</si>
  <si>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t>None      0
1st       - 5
2nd      -10
3rd or more
           -40</t>
  </si>
  <si>
    <t>Date that enforcement is, or is due to become spent</t>
  </si>
  <si>
    <r>
      <t>Formal cautions, Enforcement Undertakings or Fixed Monetary Penalties issued</t>
    </r>
    <r>
      <rPr>
        <sz val="10"/>
        <rFont val="Arial"/>
        <family val="2"/>
      </rPr>
      <t xml:space="preserve"> by Natural Resources Wales (NRW)  in respect of offences under any legislation in the last 3 years.</t>
    </r>
  </si>
  <si>
    <t>Date that the enforcement is, or is due to become spent</t>
  </si>
  <si>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</si>
  <si>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 xml:space="preserve">None      0
1st      - 10
2nd or more
            -40
</t>
  </si>
  <si>
    <t>Type of conviction</t>
  </si>
  <si>
    <t>Conviction date</t>
  </si>
  <si>
    <t>Date that the conviction and/or Penalty (VMP) is, or is due to become spent</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</si>
  <si>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</si>
  <si>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None      0
1st      - 15
2nd or more
            -40
</t>
  </si>
  <si>
    <t>Enforcement History Total</t>
  </si>
  <si>
    <t>Entered</t>
  </si>
  <si>
    <t>Spent</t>
  </si>
  <si>
    <t>Extant</t>
  </si>
  <si>
    <t>Enforcement etc Notices</t>
  </si>
  <si>
    <t>Formal Cautions etc</t>
  </si>
  <si>
    <t>Prohibition etc Notices</t>
  </si>
  <si>
    <t>Convictions on Prosecutions etc</t>
  </si>
  <si>
    <t>Non capped history</t>
  </si>
  <si>
    <t>Enforcement History Total (min -40)</t>
  </si>
  <si>
    <t>Capped to -40</t>
  </si>
  <si>
    <t>Band E= less than 2 
 D= 2 to 3.99, C= 4 to 5.99, B= 6 to 7.99 , A= 8 to 11</t>
  </si>
  <si>
    <t>BAND =</t>
  </si>
  <si>
    <t>Company :</t>
  </si>
  <si>
    <t xml:space="preserve">Permit: </t>
  </si>
  <si>
    <t>Data calculations generating the above graph</t>
  </si>
  <si>
    <t>Summary</t>
  </si>
  <si>
    <t>Max</t>
  </si>
  <si>
    <t>Score from above</t>
  </si>
  <si>
    <t>Score as % of Max</t>
  </si>
  <si>
    <t>Normalised to scale out of 10</t>
  </si>
  <si>
    <t>Weighting</t>
  </si>
  <si>
    <t>Weighted score</t>
  </si>
  <si>
    <t>Status?</t>
  </si>
  <si>
    <t>Operations and Maintenance 20%</t>
  </si>
  <si>
    <t>Training 20%</t>
  </si>
  <si>
    <t>Emergency Planning 20%</t>
  </si>
  <si>
    <t>external EMS</t>
  </si>
  <si>
    <t>Organisation 40%</t>
  </si>
  <si>
    <t>Enforcement History Penalty -up to 40%</t>
  </si>
  <si>
    <t>Overall average weighted score</t>
  </si>
  <si>
    <t>Profile before any rules or capping applied</t>
  </si>
  <si>
    <r>
      <t xml:space="preserve">Opra Banded Profile used for charging              </t>
    </r>
    <r>
      <rPr>
        <sz val="10"/>
        <rFont val="Arial"/>
        <family val="2"/>
      </rPr>
      <t>(i.e. after capping and applying rules)</t>
    </r>
  </si>
  <si>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</si>
  <si>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</si>
  <si>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</si>
  <si>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</si>
  <si>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</si>
  <si>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</si>
  <si>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</si>
  <si>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</si>
  <si>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</si>
  <si>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</si>
  <si>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Part A(2), Part B, MCP and SG Activities</t>
  </si>
  <si>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</si>
  <si>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Link to Environmental Permitting Charges</t>
  </si>
  <si>
    <t>Indicative Charge</t>
  </si>
  <si>
    <t>Subsistence Charge*</t>
  </si>
  <si>
    <t>Subsistence</t>
  </si>
  <si>
    <t>* Does not take into account Compliance Rating</t>
  </si>
  <si>
    <t>Annual changes needed</t>
  </si>
  <si>
    <t>Subsistence charges tab 13 cell F32</t>
  </si>
  <si>
    <t>Subsistence charges tab 13 cell I34</t>
  </si>
  <si>
    <t>£/OPRA point</t>
  </si>
  <si>
    <t>Year for enforcement work in tab 11 cell  I86</t>
  </si>
  <si>
    <t>Needs to be reset every year</t>
  </si>
  <si>
    <t>Introduction</t>
  </si>
  <si>
    <t>Listed activity</t>
  </si>
  <si>
    <t>Other activities</t>
  </si>
  <si>
    <t>Other activites</t>
  </si>
  <si>
    <t>Locaton</t>
  </si>
  <si>
    <t>Operator performance</t>
  </si>
  <si>
    <t>Opra charging mulitpliers</t>
  </si>
  <si>
    <t>CinC</t>
  </si>
  <si>
    <t>Schedule 1</t>
  </si>
  <si>
    <t>Schedule activiites</t>
  </si>
  <si>
    <t>1.1 Part A (1) a) (i) &lt;300MW but &gt;50MW</t>
  </si>
  <si>
    <t>Part A2 or Part B</t>
  </si>
  <si>
    <t>PartA2</t>
  </si>
  <si>
    <t>PartB</t>
  </si>
  <si>
    <t>PartB_MCP_and_or_SG</t>
  </si>
  <si>
    <t>DAA_Waste</t>
  </si>
  <si>
    <t>MCP_and_SG</t>
  </si>
  <si>
    <t>SG</t>
  </si>
  <si>
    <t>MCP</t>
  </si>
  <si>
    <t>Complexcity</t>
  </si>
  <si>
    <t>Aggregation Group</t>
  </si>
  <si>
    <t>N/A</t>
  </si>
  <si>
    <t>1.1 Part A (1) a) (i) &gt;300MW</t>
  </si>
  <si>
    <t>1.2 Part A(2) (a)</t>
  </si>
  <si>
    <t>1.1 Part B a)</t>
  </si>
  <si>
    <t>1.1 Part B MCP-Schedule 25A</t>
  </si>
  <si>
    <t>Waste activity that is not a Part A(1) activity</t>
  </si>
  <si>
    <t>Schedule 25 A &amp; B - Both an MCP &amp; a Specified Generator</t>
  </si>
  <si>
    <t>Schedule 25B – Specified generator only</t>
  </si>
  <si>
    <t>Schedule 25A - Medium combustion plant only</t>
  </si>
  <si>
    <t>Now linkeddirectly to the main schedule activies</t>
  </si>
  <si>
    <t>None</t>
  </si>
  <si>
    <t>1.2 Part A(1) a)</t>
  </si>
  <si>
    <t>2.1 Part A(2) (a)</t>
  </si>
  <si>
    <t>1.1 Part B b)</t>
  </si>
  <si>
    <t>1.1 Part B SG-Schedule 25B</t>
  </si>
  <si>
    <t>Permit application</t>
  </si>
  <si>
    <t>1.2 Part A(1) b) &gt;250 TPA</t>
  </si>
  <si>
    <t>2.1 Part A(2) (b)</t>
  </si>
  <si>
    <t>1.1 Part B c) ii)</t>
  </si>
  <si>
    <t>1.1 Part B MCP &amp; SG _Schedule 25 A&amp;B</t>
  </si>
  <si>
    <t>Susbsistance charge</t>
  </si>
  <si>
    <t>1.2 Part A(1) b) &lt;250 TPA</t>
  </si>
  <si>
    <t>2.1 Part A(2) (c)</t>
  </si>
  <si>
    <t>1.1 Part B c) i)</t>
  </si>
  <si>
    <t>5.1 Part B MCP-Schedule 25A</t>
  </si>
  <si>
    <t>Normal vcariaiton</t>
  </si>
  <si>
    <t>1.2 Part A (1) c) (A)</t>
  </si>
  <si>
    <t>2.1 Part A(2) (d)</t>
  </si>
  <si>
    <t>1.2 Part B a)</t>
  </si>
  <si>
    <t>5.1 Part B SG-Schedule 25B</t>
  </si>
  <si>
    <t>Substantial variaiton</t>
  </si>
  <si>
    <t>1.2 Part A (1) d)</t>
  </si>
  <si>
    <t>2.2 Part A(2) a)</t>
  </si>
  <si>
    <t>1.2 Part B b)</t>
  </si>
  <si>
    <t>5.1 Part B MCP &amp; SG-Schedule 25A&amp;B</t>
  </si>
  <si>
    <t>Full surrender</t>
  </si>
  <si>
    <t>1.2 Part A(1) e) i)</t>
  </si>
  <si>
    <t>2.3 Part A(2) a)</t>
  </si>
  <si>
    <t>1.2 Part B c)</t>
  </si>
  <si>
    <t>5 or more</t>
  </si>
  <si>
    <t>Partialo surrnder</t>
  </si>
  <si>
    <t>1.2 Part A(1) e) ii)</t>
  </si>
  <si>
    <t>3.1 Part A(2) a)</t>
  </si>
  <si>
    <t>1.2 Part B d)</t>
  </si>
  <si>
    <t>1.2 Part A(1) e) i) or ii) but &lt;500000 TPA</t>
  </si>
  <si>
    <t>3.1 Part A(2) b)</t>
  </si>
  <si>
    <t>2.1 Part B a)</t>
  </si>
  <si>
    <t>Notice</t>
  </si>
  <si>
    <t>Formal Caution</t>
  </si>
  <si>
    <t>Prohibition Notice</t>
  </si>
  <si>
    <t>Prosecution</t>
  </si>
  <si>
    <t>Enforcement Notice</t>
  </si>
  <si>
    <t>Improvement notice</t>
  </si>
  <si>
    <t>Works Notice</t>
  </si>
  <si>
    <t>Complaince Notice</t>
  </si>
  <si>
    <t>Restoration Notice</t>
  </si>
  <si>
    <t>1.2 Part A (1) f)</t>
  </si>
  <si>
    <t>3.3 Part A(2) a)</t>
  </si>
  <si>
    <t>2.1 Part B b) i)</t>
  </si>
  <si>
    <t>Enforcement undertaking</t>
  </si>
  <si>
    <t>Stop Notice</t>
  </si>
  <si>
    <t>Variable Money Penalty</t>
  </si>
  <si>
    <t xml:space="preserve">Formal cautions, Enforcement Undertakings or Fixed Monetary Penalties </t>
  </si>
  <si>
    <t>1.2 Part A (1) f) A)</t>
  </si>
  <si>
    <t>3.5 Part A(2) a)</t>
  </si>
  <si>
    <t>2.1 Part B b) ii)</t>
  </si>
  <si>
    <t>Fixed Monetary Penalty</t>
  </si>
  <si>
    <t>Suspension Notice</t>
  </si>
  <si>
    <t xml:space="preserve">Prohibition, Stop, Suspension or Revocation Notices </t>
  </si>
  <si>
    <t>1.2 Part A (1) g)</t>
  </si>
  <si>
    <t>3.6 Part A (2) a) i)</t>
  </si>
  <si>
    <t>2.1 Part B c)</t>
  </si>
  <si>
    <t>Revocation Notice</t>
  </si>
  <si>
    <t>2.1 Part A (1) a)</t>
  </si>
  <si>
    <t>3.6 Part A (2) a) ii)</t>
  </si>
  <si>
    <t>2.1 Part B d) i)</t>
  </si>
  <si>
    <t>Compliance Notice</t>
  </si>
  <si>
    <t>2.1 Part A (1) b) i or ii</t>
  </si>
  <si>
    <t>5.1 Part A (2) a)</t>
  </si>
  <si>
    <t>2.1 Part B d) ii)</t>
  </si>
  <si>
    <t>2.1 Part A (1) b) A</t>
  </si>
  <si>
    <t>5.1 Part A (2) b)</t>
  </si>
  <si>
    <t>2.1 Part B d) iii)</t>
  </si>
  <si>
    <t>2.1 Part A (1) c)</t>
  </si>
  <si>
    <t>5.1 Part A (2) c)</t>
  </si>
  <si>
    <t>2.1 Part B e)</t>
  </si>
  <si>
    <t>2.1 Part A (1) d)</t>
  </si>
  <si>
    <t>6.1 Part A (2) a)</t>
  </si>
  <si>
    <t>2.2 Part B a)</t>
  </si>
  <si>
    <t>2.2 Part A(1) a)</t>
  </si>
  <si>
    <t>6.4 Part A (2) a)</t>
  </si>
  <si>
    <t>2.2 Part B b)</t>
  </si>
  <si>
    <t>2.2 Part A(1) b) i)</t>
  </si>
  <si>
    <t>6.7 Part A (2) a)</t>
  </si>
  <si>
    <t>2.2 Part B c)</t>
  </si>
  <si>
    <t>2.2 Part A(1) b) ii)</t>
  </si>
  <si>
    <t>6.8 Part A (2) a)</t>
  </si>
  <si>
    <t>2.2 Part B d)</t>
  </si>
  <si>
    <t>2.2 Part A(1) c)</t>
  </si>
  <si>
    <t>2.2 Part B e)</t>
  </si>
  <si>
    <t>2.3 Part A (1) a)</t>
  </si>
  <si>
    <t>2.3 Part B a)</t>
  </si>
  <si>
    <t>3.1 Part A(1) a)</t>
  </si>
  <si>
    <t>3.1 Part B a)</t>
  </si>
  <si>
    <t>3.1 Part A(1) b)</t>
  </si>
  <si>
    <t>3.1 Part B b)</t>
  </si>
  <si>
    <t>3.2 Part A(1) a)</t>
  </si>
  <si>
    <t>3.1 Part B c)</t>
  </si>
  <si>
    <t>3.2 Part A(1) b)</t>
  </si>
  <si>
    <t>3.1 Part B d)</t>
  </si>
  <si>
    <t>3.3 Part A(1) a)</t>
  </si>
  <si>
    <t>3.3 Part B a)</t>
  </si>
  <si>
    <t>3.4 Part A(1) a)</t>
  </si>
  <si>
    <t>3.3 Part B b)</t>
  </si>
  <si>
    <t>3.6 Part A(1) a)</t>
  </si>
  <si>
    <t>3.3 Part B c)</t>
  </si>
  <si>
    <t>4.1 Part A1 a) (i) &lt;2000TPA</t>
  </si>
  <si>
    <t>3.3 Part B d) i)</t>
  </si>
  <si>
    <t>4.1 Part A1 a) (i) &gt;2000TPA</t>
  </si>
  <si>
    <t>3.3 Part B d) ii)</t>
  </si>
  <si>
    <t>4.1 Part A1 a) (ii) &lt;2000TPA</t>
  </si>
  <si>
    <t>3.3 Part B e)</t>
  </si>
  <si>
    <t>4.1 Part A1 a) (ii) &gt;2000TPA</t>
  </si>
  <si>
    <t>3.5 Part B a)</t>
  </si>
  <si>
    <t>4.1 Part A1 a) (iii) &lt;2000TPA</t>
  </si>
  <si>
    <t>3.5 Part B b) i)</t>
  </si>
  <si>
    <t>4.1 Part A1 a) (iii) &gt;2000TPA</t>
  </si>
  <si>
    <t>3.5 Part B b) ii)</t>
  </si>
  <si>
    <t>4.1 Part A1 a) (iv) &lt;2000TPA</t>
  </si>
  <si>
    <t>3.5 Part B b) iii)</t>
  </si>
  <si>
    <t>4.1 Part A1 a) (iv) &gt;2000TPA</t>
  </si>
  <si>
    <t>3.5 Part B c)</t>
  </si>
  <si>
    <t>4.1 Part A1 a) (v) &lt;2000TPA</t>
  </si>
  <si>
    <t>3.5 Part B d)</t>
  </si>
  <si>
    <t>4.1 Part A1 a) (v) &gt;2000TPA</t>
  </si>
  <si>
    <t>3.5 Part B e)</t>
  </si>
  <si>
    <t>4.1 Part A1 a) (vi) &lt;2000TPA</t>
  </si>
  <si>
    <t>3.5 Part B f)</t>
  </si>
  <si>
    <t>4.1 Part A1 a) (vi) &gt;2000TPA</t>
  </si>
  <si>
    <t>3.5 Part B g)</t>
  </si>
  <si>
    <t>4.1 Part A1 a) (vii) &lt;2000TPA</t>
  </si>
  <si>
    <t>3.6 Part B a)</t>
  </si>
  <si>
    <t>4.1 Part A1 a) (vii) &gt;2000TPA</t>
  </si>
  <si>
    <t>3.6 Part B b)</t>
  </si>
  <si>
    <t>4.1 Part A1 a) (viii) &lt;2000TPA</t>
  </si>
  <si>
    <t>4.1 Part B a)</t>
  </si>
  <si>
    <t>4.1 Part A1 a) (viii) &gt;2000TPA</t>
  </si>
  <si>
    <t>4.1 Part B b)</t>
  </si>
  <si>
    <t>4.1 Part A1 a) (ix) &lt;2000TPA</t>
  </si>
  <si>
    <t>4.1 Part B c)</t>
  </si>
  <si>
    <t>4.1 Part A1 a) (ix) &gt;2000TPA</t>
  </si>
  <si>
    <t>4.1 Part B d)</t>
  </si>
  <si>
    <t>4.1 Part A1 a) (x) &lt;2000TPA</t>
  </si>
  <si>
    <t>4.8 Part B a)</t>
  </si>
  <si>
    <t>4.1 Part A1 a) (x) &gt;2000TPA</t>
  </si>
  <si>
    <t>5.1 Part B a)</t>
  </si>
  <si>
    <t>4.1 Part A1 a) (xi) &lt;2000TPA</t>
  </si>
  <si>
    <t>5.1 Part B b)</t>
  </si>
  <si>
    <t>4.1 Part A1 a) (xi) &gt;2000TPA</t>
  </si>
  <si>
    <t>6.3 Part B a) i)</t>
  </si>
  <si>
    <t>4.1 Part A1 a) (xi) Soap via neutralisation</t>
  </si>
  <si>
    <t>6.3 Part B a) ii)</t>
  </si>
  <si>
    <t>4.1 Part A1 a) (A)</t>
  </si>
  <si>
    <t>6.4 Part B a) i)</t>
  </si>
  <si>
    <t>4.1 Part A1 a) (B)</t>
  </si>
  <si>
    <t>6.4 Part B a) ii)</t>
  </si>
  <si>
    <t>4.1 Part A1 a) (C)</t>
  </si>
  <si>
    <t>6.4 Part B a) iii)</t>
  </si>
  <si>
    <t>4.2 Part A1 (a) i)</t>
  </si>
  <si>
    <t>6.4 Part B a) iv)</t>
  </si>
  <si>
    <t>4.2 Part A1 (a) ii)</t>
  </si>
  <si>
    <t>6.4 Part B b)</t>
  </si>
  <si>
    <t>4.2 Part A1 (a) iii)</t>
  </si>
  <si>
    <t>6.4 Part B c) i)</t>
  </si>
  <si>
    <t>4.2 Part A1 (a) iv)</t>
  </si>
  <si>
    <t>6.4 Part B c) ii)</t>
  </si>
  <si>
    <t>4.2 Part A1 (a) v)</t>
  </si>
  <si>
    <t>6.4 Part B c) iii)</t>
  </si>
  <si>
    <t>4.2 Part A1 (a) vi)</t>
  </si>
  <si>
    <t>6.5 Part B a) i)</t>
  </si>
  <si>
    <t>4.2 Part A1 (a) A)</t>
  </si>
  <si>
    <t>6.5 Part B a) ii)</t>
  </si>
  <si>
    <t>4.2 Part A1 (a) B)</t>
  </si>
  <si>
    <t>6.6 Part B a) i)</t>
  </si>
  <si>
    <t>4.2 Part A1 (b)</t>
  </si>
  <si>
    <t>6.6 Part B a) ii)</t>
  </si>
  <si>
    <t>4.2 Part A1 (c)</t>
  </si>
  <si>
    <t>6.7 Part B a) i)</t>
  </si>
  <si>
    <t>4.2 Part A1 (d)</t>
  </si>
  <si>
    <t>6.7 Part B a) ii)</t>
  </si>
  <si>
    <t>4.2 Part A1 (e)</t>
  </si>
  <si>
    <t>6.7 Part B b)</t>
  </si>
  <si>
    <t>4.2 Part A1 (f)</t>
  </si>
  <si>
    <t>6.8 Part B a)</t>
  </si>
  <si>
    <t>4.3 Part A1 (a) &gt;100t/TPA</t>
  </si>
  <si>
    <t>6.8 Part B b)</t>
  </si>
  <si>
    <t>4.3 Part A1 (a) A)&lt;100TPA</t>
  </si>
  <si>
    <t>7 Part B</t>
  </si>
  <si>
    <t>4.3 Part A1 (a) B)</t>
  </si>
  <si>
    <t>Associated process</t>
  </si>
  <si>
    <t>4.4 Part A1 (a) &gt;2000 TPA</t>
  </si>
  <si>
    <t>4.4 Part A1 (a) &lt;2000 TPA</t>
  </si>
  <si>
    <t>4.5 Part A1 (a) &gt;2000 TPA</t>
  </si>
  <si>
    <t>4.5 Part A1 (a) &lt;2000 TPA</t>
  </si>
  <si>
    <t>4.6 Part A1 (a) &gt;2000 TPA</t>
  </si>
  <si>
    <t>4.6 Part A1 (a) &lt;2000 TPA</t>
  </si>
  <si>
    <t>4.7 Part A1 (a)</t>
  </si>
  <si>
    <t>5.1 Part A1 (a) &gt;10 TPD</t>
  </si>
  <si>
    <t>5.1 Part A1 (a) (A)</t>
  </si>
  <si>
    <t>5.1 Part A1 (a) (B)</t>
  </si>
  <si>
    <t>5.1 Part A1 (a) (C)</t>
  </si>
  <si>
    <t>5.1 Part A1 (b)</t>
  </si>
  <si>
    <t>5.1 Part A1 (b) (A)</t>
  </si>
  <si>
    <t>5.1 Part A1 (b) (B)</t>
  </si>
  <si>
    <t>5.1 Part A1 (b) (C)</t>
  </si>
  <si>
    <t>5.1 Part A1 (b) (D)</t>
  </si>
  <si>
    <t>5.1 Part A1 (c)</t>
  </si>
  <si>
    <t>5.2 Part A1 (a) Non hazardous</t>
  </si>
  <si>
    <t>5.2 Part A1 (a) Hazardous</t>
  </si>
  <si>
    <t>5.3 Part A (1) a) (i)</t>
  </si>
  <si>
    <t>5.3 Part A (1) a) (ii)</t>
  </si>
  <si>
    <t>5.3 Part A (1) a) (ii) (A)</t>
  </si>
  <si>
    <t>5.3 Part A (1) a) (ii) (B)</t>
  </si>
  <si>
    <t>5.3 Part A (1) a) (ii) (C)</t>
  </si>
  <si>
    <t>5.3 Part A (1) a) (iii)</t>
  </si>
  <si>
    <t>5.3 Part A (1) a)(iii) (A)</t>
  </si>
  <si>
    <t>5.3 Part A (1) a) (iv)</t>
  </si>
  <si>
    <t>5.3 Part A (1) a) (iv) (A)</t>
  </si>
  <si>
    <t>5.3 Part A (1) a) (v)</t>
  </si>
  <si>
    <t>5.3 Part A (1) a) (vi)</t>
  </si>
  <si>
    <t>5.3 Part A (1) a) (vii)</t>
  </si>
  <si>
    <t>5.3 Part A (1) a) (viii)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</si>
  <si>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</si>
  <si>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</si>
  <si>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</si>
  <si>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</si>
  <si>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</si>
  <si>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</si>
  <si>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</si>
  <si>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</si>
  <si>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</si>
  <si>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</si>
  <si>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</si>
  <si>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</si>
  <si>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5.5 Part A (1) a)</t>
  </si>
  <si>
    <t>5.6 Part A (1) a)</t>
  </si>
  <si>
    <t>5.6 Part A (1) b)</t>
  </si>
  <si>
    <t>5.7 Part A (1) a)</t>
  </si>
  <si>
    <t>6.1 Part A (1) a) &gt;50000 TPA</t>
  </si>
  <si>
    <t>6.1 Part A (1) a) &lt;50000 TPA</t>
  </si>
  <si>
    <t>6.1 Part A (1) b) &gt;50000 TPA</t>
  </si>
  <si>
    <t>6.1 Part A (1) b) &lt;50000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</si>
  <si>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</si>
  <si>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</si>
  <si>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</si>
  <si>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</si>
  <si>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</si>
  <si>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</si>
  <si>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</si>
  <si>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</si>
  <si>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</si>
  <si>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</si>
  <si>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</si>
  <si>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</si>
  <si>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</si>
  <si>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NRW V2.6 No Macros</t>
  </si>
  <si>
    <t>Opra Charge Multipliers (2026/2027)</t>
  </si>
  <si>
    <t>Opra Scheme NRW V2.6 2026/27</t>
  </si>
  <si>
    <t>see Natural Resources Wales / River basin management plans</t>
  </si>
  <si>
    <t>Tradebe Healthcare National Limited</t>
  </si>
  <si>
    <t>EPR/WP3636ZG</t>
  </si>
  <si>
    <t>PHYSIO-CHEMICAL TREATMENT OF HAZARDOUS AND NON HAZARDOUS HEALTHCARE WASTE &gt;20T / DAY</t>
  </si>
  <si>
    <t>STORAGE OF HAZARDOUS AND NON HAZARDOUS HEALTHCARE WASTE PRIOR TO TREATMENT / DISPOSAL OFFSITE &gt;10T / DAY</t>
  </si>
  <si>
    <t>Onwards treatment 18 01 03 and limited incineration</t>
  </si>
  <si>
    <t>21779-EMS-013</t>
  </si>
  <si>
    <t>Available on request</t>
  </si>
  <si>
    <t>12.03.2024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</si>
</sst>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6"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1"/>
      <color theme="9" tint="0.79998168889431442"/>
      <name val="Calibri"/>
      <family val="2"/>
      <scheme val="minor"/>
    </font>
    <font>
      <b/>
      <sz val="11"/>
      <color theme="1"/>
      <name val="Arial"/>
      <family val="2"/>
    </font>
    <font>
      <b/>
      <sz val="10"/>
      <color theme="0"/>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ck">
        <color indexed="64"/>
      </right>
      <top style="medium">
        <color indexed="64"/>
      </top>
      <bottom style="medium">
        <color indexed="64"/>
      </bottom>
      <diagonal/>
    </border>
    <border>
      <left/>
      <right style="thick">
        <color indexed="64"/>
      </right>
      <top/>
      <bottom/>
      <diagonal/>
    </border>
    <border>
      <left style="thin">
        <color indexed="64"/>
      </left>
      <right style="thick">
        <color indexed="64"/>
      </right>
      <top/>
      <bottom/>
      <diagonal/>
    </border>
    <border>
      <left/>
      <right style="thick">
        <color indexed="64"/>
      </right>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bottom/>
      <diagonal/>
    </border>
    <border>
      <left style="thick">
        <color indexed="64"/>
      </left>
      <right style="thick">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34">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6"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8"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59" fillId="12" borderId="24" xfId="0" applyFont="1" applyFill="1" applyBorder="1" applyProtection="1">
      <protection hidden="1"/>
    </xf>
    <xf numFmtId="0" fontId="59"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0"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1" fillId="7" borderId="5" xfId="0" applyFont="1" applyFill="1" applyBorder="1" applyProtection="1">
      <protection hidden="1"/>
    </xf>
    <xf numFmtId="0" fontId="60" fillId="12" borderId="14" xfId="0" applyFont="1" applyFill="1" applyBorder="1" applyProtection="1">
      <protection hidden="1"/>
    </xf>
    <xf numFmtId="0" fontId="60" fillId="12" borderId="94" xfId="0" applyFont="1" applyFill="1" applyBorder="1" applyProtection="1">
      <protection hidden="1"/>
    </xf>
    <xf numFmtId="2" fontId="11" fillId="7" borderId="23" xfId="0" applyNumberFormat="1" applyFont="1" applyFill="1" applyBorder="1" applyProtection="1">
      <protection hidden="1"/>
    </xf>
    <xf numFmtId="0" fontId="60"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0" fillId="7" borderId="149" xfId="0" applyFont="1" applyFill="1" applyBorder="1" applyAlignment="1" applyProtection="1">
      <alignment horizontal="center"/>
      <protection hidden="1"/>
    </xf>
    <xf numFmtId="0" fontId="60" fillId="7" borderId="27" xfId="0" applyFont="1" applyFill="1" applyBorder="1" applyAlignment="1" applyProtection="1">
      <alignment horizontal="center"/>
      <protection hidden="1"/>
    </xf>
    <xf numFmtId="0" fontId="60" fillId="12" borderId="27" xfId="0" applyFont="1" applyFill="1" applyBorder="1" applyProtection="1">
      <protection hidden="1"/>
    </xf>
    <xf numFmtId="0" fontId="60"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4"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62"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3"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5" fillId="3" borderId="147" xfId="0" applyFont="1" applyFill="1" applyBorder="1" applyAlignment="1" applyProtection="1">
      <alignment horizontal="center" vertical="top"/>
      <protection hidden="1"/>
    </xf>
    <xf numFmtId="0" fontId="57"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0" fillId="3" borderId="0" xfId="0" applyFont="1" applyFill="1" applyProtection="1">
      <protection hidden="1"/>
    </xf>
    <xf numFmtId="0" fontId="60"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0" fillId="8" borderId="0" xfId="0" applyFill="1"/>
    <xf numFmtId="14" fontId="0" fillId="8" borderId="16" xfId="0" applyNumberFormat="1" applyFill="1" applyBorder="1"/>
    <xf numFmtId="0" fontId="34" fillId="8" borderId="10" xfId="0" applyFont="1" applyFill="1" applyBorder="1"/>
    <xf numFmtId="0" fontId="34" fillId="8" borderId="11" xfId="0" applyFont="1" applyFill="1" applyBorder="1"/>
    <xf numFmtId="0" fontId="0" fillId="8" borderId="11" xfId="0" applyFill="1" applyBorder="1"/>
    <xf numFmtId="0" fontId="0" fillId="8" borderId="12" xfId="0" applyFill="1" applyBorder="1"/>
    <xf numFmtId="0" fontId="0" fillId="8" borderId="13" xfId="0" applyFill="1" applyBorder="1"/>
    <xf numFmtId="0" fontId="0" fillId="8" borderId="14" xfId="0" applyFill="1" applyBorder="1"/>
    <xf numFmtId="0" fontId="11" fillId="8" borderId="0" xfId="0" applyFont="1" applyFill="1" applyAlignment="1" applyProtection="1">
      <alignment horizontal="left"/>
      <protection hidden="1"/>
    </xf>
    <xf numFmtId="0" fontId="0" fillId="8" borderId="15" xfId="0" applyFill="1" applyBorder="1"/>
    <xf numFmtId="0" fontId="0" fillId="8" borderId="16" xfId="0" applyFill="1" applyBorder="1"/>
    <xf numFmtId="0" fontId="0" fillId="8" borderId="17" xfId="0" applyFill="1" applyBorder="1"/>
    <xf numFmtId="0" fontId="0" fillId="13" borderId="0" xfId="0" applyFill="1" applyAlignment="1">
      <alignment horizontal="center" wrapText="1"/>
    </xf>
    <xf numFmtId="0" fontId="0" fillId="3" borderId="151" xfId="0" applyFill="1" applyBorder="1"/>
    <xf numFmtId="0" fontId="0" fillId="3" borderId="152" xfId="0" applyFill="1" applyBorder="1"/>
    <xf numFmtId="0" fontId="0" fillId="3" borderId="153" xfId="0" applyFill="1" applyBorder="1"/>
    <xf numFmtId="0" fontId="0" fillId="3" borderId="154" xfId="0" applyFill="1" applyBorder="1"/>
    <xf numFmtId="0" fontId="46" fillId="0" borderId="155" xfId="0" applyFont="1" applyBorder="1"/>
    <xf numFmtId="0" fontId="46" fillId="0" borderId="156" xfId="0" applyFont="1" applyBorder="1"/>
    <xf numFmtId="0" fontId="65" fillId="0" borderId="156" xfId="0" applyFont="1" applyBorder="1" applyAlignment="1">
      <alignment horizontal="center" wrapText="1"/>
    </xf>
    <xf numFmtId="0" fontId="65" fillId="0" borderId="0" xfId="0" applyFont="1" applyAlignment="1">
      <alignment horizontal="center" wrapText="1"/>
    </xf>
    <xf numFmtId="0" fontId="46" fillId="0" borderId="156" xfId="0" applyFont="1" applyBorder="1" applyAlignment="1">
      <alignment horizontal="center"/>
    </xf>
    <xf numFmtId="0" fontId="46" fillId="0" borderId="0" xfId="0" applyFont="1" applyAlignment="1">
      <alignment horizontal="center"/>
    </xf>
    <xf numFmtId="0" fontId="46" fillId="0" borderId="157" xfId="0" applyFont="1" applyBorder="1"/>
    <xf numFmtId="0" fontId="12" fillId="0" borderId="6" xfId="0" applyFont="1" applyBorder="1" applyAlignment="1" applyProtection="1">
      <alignment horizontal="left"/>
      <protection locked="0"/>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0"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0" fillId="2" borderId="8" xfId="0" applyFont="1" applyFill="1" applyBorder="1" applyAlignment="1" applyProtection="1">
      <alignment horizontal="left"/>
      <protection hidden="1"/>
    </xf>
    <xf numFmtId="0" fontId="60" fillId="2" borderId="0" xfId="0" applyFont="1" applyFill="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left" vertical="top"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4"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11" fillId="8" borderId="10" xfId="0" applyFont="1" applyFill="1" applyBorder="1" applyAlignment="1" applyProtection="1">
      <alignment horizontal="left"/>
      <protection hidden="1"/>
    </xf>
    <xf numFmtId="0" fontId="11" fillId="8" borderId="11" xfId="0" applyFont="1" applyFill="1" applyBorder="1" applyAlignment="1" applyProtection="1">
      <alignment horizontal="left"/>
      <protection hidden="1"/>
    </xf>
    <xf numFmtId="0" fontId="11" fillId="8" borderId="12" xfId="0" applyFont="1" applyFill="1" applyBorder="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9">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rgb="FFFFFF00"/>
        </patternFill>
      </fill>
    </dxf>
    <dxf>
      <font>
        <b/>
        <i val="0"/>
      </font>
      <fill>
        <patternFill>
          <bgColor rgb="FFFFFF00"/>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26" Type="http://schemas.openxmlformats.org/officeDocument/2006/relationships/customXml" Target="../customXml/item5.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harts/_rels/chart3.xml.rels><?xml version="1.0" encoding="UTF-8" standalone="yes"?>
<Relationships xmlns="http://schemas.openxmlformats.org/package/2006/relationships"><Relationship Id="rId1" Type="http://schemas.openxmlformats.org/officeDocument/2006/relationships/image" Target="../media/image4.jpeg"/></Relationships>
</file>

<file path=xl/charts/_rels/chart4.xml.rels><?xml version="1.0" encoding="UTF-8" standalone="yes"?>
<Relationships xmlns="http://schemas.openxmlformats.org/package/2006/relationships"><Relationship Id="rId1" Type="http://schemas.openxmlformats.org/officeDocument/2006/relationships/image" Target="../media/image4.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Lit>
              <c:ptCount val="6"/>
              <c:pt idx="0">
                <c:v>Air</c:v>
              </c:pt>
              <c:pt idx="1">
                <c:v>Water</c:v>
              </c:pt>
              <c:pt idx="2">
                <c:v>Land</c:v>
              </c:pt>
              <c:pt idx="3">
                <c:v>Sewer</c:v>
              </c:pt>
              <c:pt idx="4">
                <c:v>Waste Off Site</c:v>
              </c:pt>
              <c:pt idx="5">
                <c:v>Waste Input</c:v>
              </c:pt>
            </c:strLit>
          </c:cat>
          <c:val>
            <c:numRef>
              <c:f>'9 Emissions summary'!$D$10:$D$15</c:f>
              <c:numCache>
                <c:formatCode>0</c:formatCode>
                <c:ptCount val="6"/>
                <c:pt idx="0">
                  <c:v>0</c:v>
                </c:pt>
                <c:pt idx="1">
                  <c:v>0</c:v>
                </c:pt>
                <c:pt idx="2">
                  <c:v>0</c:v>
                </c:pt>
                <c:pt idx="3">
                  <c:v>0</c:v>
                </c:pt>
                <c:pt idx="4">
                  <c:v>1</c:v>
                </c:pt>
                <c:pt idx="5">
                  <c:v>3</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Lit>
              <c:ptCount val="6"/>
              <c:pt idx="0">
                <c:v>Air</c:v>
              </c:pt>
              <c:pt idx="1">
                <c:v>Water</c:v>
              </c:pt>
              <c:pt idx="2">
                <c:v>Land</c:v>
              </c:pt>
              <c:pt idx="3">
                <c:v>Sewer</c:v>
              </c:pt>
              <c:pt idx="4">
                <c:v>Waste Off Site</c:v>
              </c:pt>
              <c:pt idx="5">
                <c:v>Waste Input</c:v>
              </c:pt>
            </c:strLit>
          </c:cat>
          <c:val>
            <c:numRef>
              <c:f>'9 Emissions summary'!$D$24:$D$29</c:f>
              <c:numCache>
                <c:formatCode>General</c:formatCode>
                <c:ptCount val="6"/>
                <c:pt idx="0">
                  <c:v>0</c:v>
                </c:pt>
                <c:pt idx="1">
                  <c:v>0</c:v>
                </c:pt>
                <c:pt idx="2">
                  <c:v>0</c:v>
                </c:pt>
                <c:pt idx="3">
                  <c:v>0</c:v>
                </c:pt>
                <c:pt idx="4">
                  <c:v>1</c:v>
                </c:pt>
                <c:pt idx="5">
                  <c:v>1</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Lit>
              <c:ptCount val="7"/>
              <c:pt idx="0">
                <c:v>Occupation </c:v>
              </c:pt>
              <c:pt idx="1">
                <c:v>Habitats</c:v>
              </c:pt>
              <c:pt idx="2">
                <c:v>Aquifers</c:v>
              </c:pt>
              <c:pt idx="3">
                <c:v>Receiving Waters</c:v>
              </c:pt>
              <c:pt idx="4">
                <c:v>Run Off</c:v>
              </c:pt>
              <c:pt idx="5">
                <c:v>Air Quality</c:v>
              </c:pt>
              <c:pt idx="6">
                <c:v>Flood Plain</c:v>
              </c:pt>
            </c:strLit>
          </c:cat>
          <c:val>
            <c:numRef>
              <c:f>'10 Location'!$D$57:$D$63</c:f>
              <c:numCache>
                <c:formatCode>General</c:formatCode>
                <c:ptCount val="7"/>
                <c:pt idx="0">
                  <c:v>5</c:v>
                </c:pt>
                <c:pt idx="1">
                  <c:v>0</c:v>
                </c:pt>
                <c:pt idx="2">
                  <c:v>1</c:v>
                </c:pt>
                <c:pt idx="3">
                  <c:v>2</c:v>
                </c:pt>
                <c:pt idx="4">
                  <c:v>1</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Lit>
              <c:ptCount val="6"/>
              <c:pt idx="0">
                <c:v>Maintenance 20%</c:v>
              </c:pt>
              <c:pt idx="1">
                <c:v>Training 20%</c:v>
              </c:pt>
              <c:pt idx="2">
                <c:v>Emergency Planning 20%</c:v>
              </c:pt>
              <c:pt idx="3">
                <c:v>Organisation 40%</c:v>
              </c:pt>
              <c:pt idx="4">
                <c:v>Enforcement History Penalty -up to 40%</c:v>
              </c:pt>
              <c:pt idx="5">
                <c:v>Overall average weighted score</c:v>
              </c:pt>
            </c:strLit>
          </c:cat>
          <c:val>
            <c:numRef>
              <c:f>'11 Operator performance'!$I$163:$I$168</c:f>
              <c:numCache>
                <c:formatCode>0.0</c:formatCode>
                <c:ptCount val="6"/>
                <c:pt idx="0">
                  <c:v>2</c:v>
                </c:pt>
                <c:pt idx="1">
                  <c:v>2</c:v>
                </c:pt>
                <c:pt idx="2">
                  <c:v>2</c:v>
                </c:pt>
                <c:pt idx="3">
                  <c:v>5.4</c:v>
                </c:pt>
                <c:pt idx="4">
                  <c:v>0</c:v>
                </c:pt>
                <c:pt idx="5">
                  <c:v>11.4</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28</xdr:row>
      <xdr:rowOff>180974</xdr:rowOff>
    </xdr:from>
    <xdr:to>
      <xdr:col>14</xdr:col>
      <xdr:colOff>428626</xdr:colOff>
      <xdr:row>31</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32</xdr:row>
      <xdr:rowOff>85725</xdr:rowOff>
    </xdr:from>
    <xdr:to>
      <xdr:col>14</xdr:col>
      <xdr:colOff>438150</xdr:colOff>
      <xdr:row>36</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twoCellAnchor>
    <xdr:from>
      <xdr:col>1</xdr:col>
      <xdr:colOff>257175</xdr:colOff>
      <xdr:row>22</xdr:row>
      <xdr:rowOff>57149</xdr:rowOff>
    </xdr:from>
    <xdr:to>
      <xdr:col>14</xdr:col>
      <xdr:colOff>469899</xdr:colOff>
      <xdr:row>28</xdr:row>
      <xdr:rowOff>38100</xdr:rowOff>
    </xdr:to>
    <xdr:sp macro="" textlink="">
      <xdr:nvSpPr>
        <xdr:cNvPr id="6" name="TextBox 5">
          <a:extLst>
            <a:ext uri="{FF2B5EF4-FFF2-40B4-BE49-F238E27FC236}">
              <a16:creationId xmlns:a16="http://schemas.microsoft.com/office/drawing/2014/main" id="{12462822-1621-2051-B726-18536674CA90}"/>
            </a:ext>
          </a:extLst>
        </xdr:cNvPr>
        <xdr:cNvSpPr txBox="1"/>
      </xdr:nvSpPr>
      <xdr:spPr>
        <a:xfrm>
          <a:off x="866775" y="4038599"/>
          <a:ext cx="8242299" cy="10668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Note - Rule</a:t>
          </a:r>
          <a:r>
            <a:rPr lang="en-GB" sz="1100" b="1" baseline="0"/>
            <a:t> 9 </a:t>
          </a:r>
          <a:r>
            <a:rPr lang="en-GB" sz="1100" b="0" baseline="0"/>
            <a:t>- You do not need to include effluent treatment plants in the list of complexities if they are in Section 5.3 A(1)(a)(i), (ii),  Section 5.4 A(1)(a)(i),(ii)  or Section 5.4 A(1)(b)(i) of Schedule 1 of the EPR if all the following are met:</a:t>
          </a:r>
        </a:p>
        <a:p>
          <a:r>
            <a:rPr lang="en-GB" sz="1100" b="0" baseline="0"/>
            <a:t>     &gt; The capacity of the plant is less than 300m</a:t>
          </a:r>
          <a:r>
            <a:rPr lang="en-GB" sz="1200" b="0" baseline="30000"/>
            <a:t>3</a:t>
          </a:r>
          <a:r>
            <a:rPr lang="en-GB" sz="1200" b="0" baseline="0"/>
            <a:t> a day</a:t>
          </a:r>
        </a:p>
        <a:p>
          <a:r>
            <a:rPr lang="en-GB" sz="1200" b="0" baseline="0"/>
            <a:t>    &gt; The operation of the plant is included in a permit covering one or more other Schedule 1 activities</a:t>
          </a:r>
        </a:p>
        <a:p>
          <a:r>
            <a:rPr lang="en-GB" sz="1200" b="0" baseline="0"/>
            <a:t>    &gt; The other Schedule 1 activity(ies) is NOT a Specified Waste Management Activity</a:t>
          </a:r>
          <a:r>
            <a:rPr lang="en-GB" sz="1100" b="0" baseline="0"/>
            <a:t> </a:t>
          </a:r>
          <a:endParaRPr lang="en-GB" sz="11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522817</xdr:colOff>
      <xdr:row>6</xdr:row>
      <xdr:rowOff>101600</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68791</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314325</xdr:colOff>
      <xdr:row>13</xdr:row>
      <xdr:rowOff>47625</xdr:rowOff>
    </xdr:from>
    <xdr:to>
      <xdr:col>14</xdr:col>
      <xdr:colOff>180624</xdr:colOff>
      <xdr:row>19</xdr:row>
      <xdr:rowOff>135523</xdr:rowOff>
    </xdr:to>
    <xdr:pic>
      <xdr:nvPicPr>
        <xdr:cNvPr id="9" name="Picture 8">
          <a:extLst>
            <a:ext uri="{FF2B5EF4-FFF2-40B4-BE49-F238E27FC236}">
              <a16:creationId xmlns:a16="http://schemas.microsoft.com/office/drawing/2014/main" id="{6B7987A4-82B0-F84D-2C0A-B2B8B4306A15}"/>
            </a:ext>
          </a:extLst>
        </xdr:cNvPr>
        <xdr:cNvPicPr>
          <a:picLocks noChangeAspect="1"/>
        </xdr:cNvPicPr>
      </xdr:nvPicPr>
      <xdr:blipFill>
        <a:blip xmlns:r="http://schemas.openxmlformats.org/officeDocument/2006/relationships" r:embed="rId1"/>
        <a:stretch>
          <a:fillRect/>
        </a:stretch>
      </xdr:blipFill>
      <xdr:spPr>
        <a:xfrm>
          <a:off x="9115425" y="3333750"/>
          <a:ext cx="4743099" cy="163094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298450</xdr:colOff>
          <xdr:row>5</xdr:row>
          <xdr:rowOff>374650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298450</xdr:colOff>
          <xdr:row>6</xdr:row>
          <xdr:rowOff>374650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298450</xdr:colOff>
          <xdr:row>6</xdr:row>
          <xdr:rowOff>374650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184150</xdr:rowOff>
        </xdr:from>
        <xdr:to>
          <xdr:col>6</xdr:col>
          <xdr:colOff>184150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31</xdr:col>
      <xdr:colOff>9525</xdr:colOff>
      <xdr:row>20</xdr:row>
      <xdr:rowOff>142875</xdr:rowOff>
    </xdr:from>
    <xdr:to>
      <xdr:col>41</xdr:col>
      <xdr:colOff>190500</xdr:colOff>
      <xdr:row>55</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5</xdr:row>
      <xdr:rowOff>28575</xdr:rowOff>
    </xdr:from>
    <xdr:to>
      <xdr:col>53</xdr:col>
      <xdr:colOff>457200</xdr:colOff>
      <xdr:row>19</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5.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6.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8.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naturalresources.wales/evidence-and-data/research-and-reports/water-reports/river-basin-management-plans/?lang=en" TargetMode="External"/><Relationship Id="rId1" Type="http://schemas.openxmlformats.org/officeDocument/2006/relationships/hyperlink" Target="https://naturalresources.wales/evidence-and-data/research-and-reports/water-reports/river-basin-management-plans/river-basin-management-plans-published/?lang=en" TargetMode="External"/><Relationship Id="rId4"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9"/>
  <sheetViews>
    <sheetView workbookViewId="0">
      <selection activeCell="I2" sqref="I2"/>
    </sheetView>
  </sheetViews>
  <sheetFormatPr defaultRowHeight="14.5" x14ac:dyDescent="0.35"/>
  <cols>
    <col min="4" max="4" width="10.1796875" customWidth="1"/>
  </cols>
  <sheetData>
    <row r="1" spans="1:18" x14ac:dyDescent="0.35">
      <c r="A1" s="379"/>
      <c r="B1" s="379"/>
      <c r="C1" s="485" t="s">
        <v>0</v>
      </c>
      <c r="D1" s="757" t="str">
        <f>Introduction!C3</f>
        <v>NRW V2.6 No Macros</v>
      </c>
      <c r="E1" s="757"/>
      <c r="F1" s="486"/>
      <c r="G1" s="484"/>
      <c r="H1" s="484"/>
      <c r="I1" s="484"/>
      <c r="J1" s="758" t="str">
        <f>Introduction!I3</f>
        <v>Opra Scheme NRW V2.6 2026/27</v>
      </c>
      <c r="K1" s="759"/>
      <c r="L1" s="759"/>
      <c r="M1" s="759"/>
      <c r="N1" s="759"/>
      <c r="O1" s="760"/>
      <c r="P1" s="379"/>
      <c r="Q1" s="379"/>
      <c r="R1" s="379"/>
    </row>
    <row r="2" spans="1:18" x14ac:dyDescent="0.35">
      <c r="A2" s="379"/>
      <c r="B2" s="379"/>
      <c r="C2" s="379"/>
      <c r="D2" s="379"/>
      <c r="E2" s="379"/>
      <c r="F2" s="379"/>
      <c r="G2" s="379"/>
      <c r="H2" s="379"/>
      <c r="I2" s="379"/>
      <c r="J2" s="379"/>
      <c r="K2" s="379"/>
      <c r="L2" s="379"/>
      <c r="M2" s="379"/>
      <c r="N2" s="379"/>
      <c r="O2" s="379"/>
      <c r="P2" s="379"/>
      <c r="Q2" s="379"/>
      <c r="R2" s="379"/>
    </row>
    <row r="3" spans="1:18" x14ac:dyDescent="0.35">
      <c r="A3" s="379"/>
      <c r="B3" s="379"/>
      <c r="C3" s="379"/>
      <c r="D3" s="379"/>
      <c r="E3" s="379"/>
      <c r="F3" s="379"/>
      <c r="G3" s="379"/>
      <c r="H3" s="379"/>
      <c r="I3" s="379"/>
      <c r="J3" s="379"/>
      <c r="K3" s="379"/>
      <c r="L3" s="379"/>
      <c r="M3" s="379"/>
      <c r="N3" s="379"/>
      <c r="O3" s="379"/>
      <c r="P3" s="379"/>
      <c r="Q3" s="379"/>
      <c r="R3" s="379"/>
    </row>
    <row r="4" spans="1:18" x14ac:dyDescent="0.35">
      <c r="A4" s="379"/>
      <c r="B4" s="379"/>
      <c r="C4" s="379"/>
      <c r="D4" s="379"/>
      <c r="E4" s="379"/>
      <c r="F4" s="379"/>
      <c r="G4" s="379"/>
      <c r="H4" s="379"/>
      <c r="I4" s="379"/>
      <c r="J4" s="379"/>
      <c r="K4" s="379"/>
      <c r="L4" s="379"/>
      <c r="M4" s="379"/>
      <c r="N4" s="379"/>
      <c r="O4" s="379"/>
      <c r="P4" s="379"/>
      <c r="Q4" s="379"/>
      <c r="R4" s="379"/>
    </row>
    <row r="5" spans="1:18" x14ac:dyDescent="0.35">
      <c r="A5" s="379"/>
      <c r="B5" s="379"/>
      <c r="C5" s="379"/>
      <c r="D5" s="379"/>
      <c r="E5" s="379"/>
      <c r="F5" s="379"/>
      <c r="G5" s="379"/>
      <c r="H5" s="379"/>
      <c r="I5" s="379"/>
      <c r="J5" s="379"/>
      <c r="K5" s="379"/>
      <c r="L5" s="379"/>
      <c r="M5" s="379"/>
      <c r="N5" s="379"/>
      <c r="O5" s="379"/>
      <c r="P5" s="379"/>
      <c r="Q5" s="379"/>
      <c r="R5" s="379"/>
    </row>
    <row r="6" spans="1:18" x14ac:dyDescent="0.35">
      <c r="A6" s="379"/>
      <c r="B6" s="379"/>
      <c r="C6" s="379"/>
      <c r="D6" s="379"/>
      <c r="E6" s="379"/>
      <c r="F6" s="379"/>
      <c r="G6" s="379"/>
      <c r="H6" s="379"/>
      <c r="I6" s="379"/>
      <c r="J6" s="379"/>
      <c r="K6" s="379"/>
      <c r="L6" s="379"/>
      <c r="M6" s="379"/>
      <c r="N6" s="379"/>
      <c r="O6" s="379"/>
      <c r="P6" s="379"/>
      <c r="Q6" s="379"/>
      <c r="R6" s="379"/>
    </row>
    <row r="7" spans="1:18" x14ac:dyDescent="0.35">
      <c r="A7" s="379"/>
      <c r="B7" s="379"/>
      <c r="C7" s="379"/>
      <c r="D7" s="379"/>
      <c r="E7" s="379"/>
      <c r="F7" s="379"/>
      <c r="G7" s="379"/>
      <c r="H7" s="379"/>
      <c r="I7" s="379"/>
      <c r="J7" s="379"/>
      <c r="K7" s="379"/>
      <c r="L7" s="379"/>
      <c r="M7" s="379"/>
      <c r="N7" s="379"/>
      <c r="O7" s="379"/>
      <c r="P7" s="379"/>
      <c r="Q7" s="379"/>
      <c r="R7" s="379"/>
    </row>
    <row r="8" spans="1:18" x14ac:dyDescent="0.35">
      <c r="A8" s="379"/>
      <c r="B8" s="379"/>
      <c r="C8" s="379"/>
      <c r="D8" s="379"/>
      <c r="E8" s="379"/>
      <c r="F8" s="379"/>
      <c r="G8" s="379"/>
      <c r="H8" s="379"/>
      <c r="I8" s="379"/>
      <c r="J8" s="379"/>
      <c r="K8" s="379"/>
      <c r="L8" s="379"/>
      <c r="M8" s="379"/>
      <c r="N8" s="379"/>
      <c r="O8" s="379"/>
      <c r="P8" s="379"/>
      <c r="Q8" s="379"/>
      <c r="R8" s="379"/>
    </row>
    <row r="9" spans="1:18" x14ac:dyDescent="0.35">
      <c r="A9" s="379"/>
      <c r="B9" s="379"/>
      <c r="C9" s="379"/>
      <c r="D9" s="379"/>
      <c r="E9" s="379"/>
      <c r="F9" s="379"/>
      <c r="G9" s="379"/>
      <c r="H9" s="379"/>
      <c r="I9" s="379"/>
      <c r="J9" s="379"/>
      <c r="K9" s="379"/>
      <c r="L9" s="379"/>
      <c r="M9" s="379"/>
      <c r="N9" s="379"/>
      <c r="O9" s="379"/>
      <c r="P9" s="379"/>
      <c r="Q9" s="379"/>
      <c r="R9" s="379"/>
    </row>
    <row r="10" spans="1:18" x14ac:dyDescent="0.35">
      <c r="A10" s="379"/>
      <c r="B10" s="379"/>
      <c r="C10" s="379"/>
      <c r="D10" s="379"/>
      <c r="E10" s="379"/>
      <c r="F10" s="379"/>
      <c r="G10" s="379"/>
      <c r="H10" s="379"/>
      <c r="I10" s="379"/>
      <c r="J10" s="379"/>
      <c r="K10" s="379"/>
      <c r="L10" s="379"/>
      <c r="M10" s="379"/>
      <c r="N10" s="379"/>
      <c r="O10" s="379"/>
      <c r="P10" s="379"/>
      <c r="Q10" s="379"/>
      <c r="R10" s="379"/>
    </row>
    <row r="11" spans="1:18" x14ac:dyDescent="0.35">
      <c r="A11" s="379"/>
      <c r="B11" s="379"/>
      <c r="C11" s="379"/>
      <c r="D11" s="379"/>
      <c r="E11" s="379"/>
      <c r="F11" s="379"/>
      <c r="G11" s="379"/>
      <c r="H11" s="379"/>
      <c r="I11" s="379"/>
      <c r="J11" s="379"/>
      <c r="K11" s="379"/>
      <c r="L11" s="379"/>
      <c r="M11" s="379"/>
      <c r="N11" s="379"/>
      <c r="O11" s="379"/>
      <c r="P11" s="379"/>
      <c r="Q11" s="379"/>
      <c r="R11" s="379"/>
    </row>
    <row r="12" spans="1:18" x14ac:dyDescent="0.35">
      <c r="A12" s="379"/>
      <c r="B12" s="379"/>
      <c r="C12" s="379"/>
      <c r="D12" s="379"/>
      <c r="E12" s="379"/>
      <c r="F12" s="379"/>
      <c r="G12" s="379"/>
      <c r="H12" s="379"/>
      <c r="I12" s="379"/>
      <c r="J12" s="379"/>
      <c r="K12" s="379"/>
      <c r="L12" s="379"/>
      <c r="M12" s="379"/>
      <c r="N12" s="379"/>
      <c r="O12" s="379"/>
      <c r="P12" s="379"/>
      <c r="Q12" s="379"/>
      <c r="R12" s="379"/>
    </row>
    <row r="13" spans="1:18" x14ac:dyDescent="0.35">
      <c r="A13" s="379"/>
      <c r="B13" s="379"/>
      <c r="C13" s="379"/>
      <c r="D13" s="379"/>
      <c r="E13" s="379"/>
      <c r="F13" s="379"/>
      <c r="G13" s="379"/>
      <c r="H13" s="379"/>
      <c r="I13" s="379"/>
      <c r="J13" s="379"/>
      <c r="K13" s="379"/>
      <c r="L13" s="379"/>
      <c r="M13" s="379"/>
      <c r="N13" s="379"/>
      <c r="O13" s="379"/>
      <c r="P13" s="379"/>
      <c r="Q13" s="379"/>
      <c r="R13" s="379"/>
    </row>
    <row r="14" spans="1:18" x14ac:dyDescent="0.35">
      <c r="A14" s="379"/>
      <c r="B14" s="379"/>
      <c r="C14" s="379"/>
      <c r="D14" s="379"/>
      <c r="E14" s="379"/>
      <c r="F14" s="379"/>
      <c r="G14" s="379"/>
      <c r="H14" s="379"/>
      <c r="I14" s="379"/>
      <c r="J14" s="379"/>
      <c r="K14" s="379"/>
      <c r="L14" s="379"/>
      <c r="M14" s="379"/>
      <c r="N14" s="379"/>
      <c r="O14" s="379"/>
      <c r="P14" s="379"/>
      <c r="Q14" s="379"/>
      <c r="R14" s="379"/>
    </row>
    <row r="15" spans="1:18" x14ac:dyDescent="0.35">
      <c r="A15" s="379"/>
      <c r="B15" s="379"/>
      <c r="C15" s="379"/>
      <c r="D15" s="379"/>
      <c r="E15" s="379"/>
      <c r="F15" s="379"/>
      <c r="G15" s="379"/>
      <c r="H15" s="379"/>
      <c r="I15" s="379"/>
      <c r="J15" s="379"/>
      <c r="K15" s="379"/>
      <c r="L15" s="379"/>
      <c r="M15" s="379"/>
      <c r="N15" s="379"/>
      <c r="O15" s="379"/>
      <c r="P15" s="379"/>
      <c r="Q15" s="379"/>
      <c r="R15" s="379"/>
    </row>
    <row r="16" spans="1:18" x14ac:dyDescent="0.35">
      <c r="A16" s="379"/>
      <c r="B16" s="379"/>
      <c r="C16" s="379"/>
      <c r="D16" s="379"/>
      <c r="E16" s="379"/>
      <c r="F16" s="379"/>
      <c r="G16" s="379"/>
      <c r="H16" s="379"/>
      <c r="I16" s="379"/>
      <c r="J16" s="379"/>
      <c r="K16" s="379"/>
      <c r="L16" s="379"/>
      <c r="M16" s="379"/>
      <c r="N16" s="379"/>
      <c r="O16" s="379"/>
      <c r="P16" s="379"/>
      <c r="Q16" s="379"/>
      <c r="R16" s="379"/>
    </row>
    <row r="17" spans="1:18" x14ac:dyDescent="0.35">
      <c r="A17" s="379"/>
      <c r="B17" s="379"/>
      <c r="C17" s="379"/>
      <c r="D17" s="379"/>
      <c r="E17" s="379"/>
      <c r="F17" s="379"/>
      <c r="G17" s="379"/>
      <c r="H17" s="379"/>
      <c r="I17" s="379"/>
      <c r="J17" s="379"/>
      <c r="K17" s="379"/>
      <c r="L17" s="379"/>
      <c r="M17" s="379"/>
      <c r="N17" s="379"/>
      <c r="O17" s="379"/>
      <c r="P17" s="379"/>
      <c r="Q17" s="379"/>
      <c r="R17" s="379"/>
    </row>
    <row r="18" spans="1:18" x14ac:dyDescent="0.35">
      <c r="A18" s="379"/>
      <c r="B18" s="379"/>
      <c r="C18" s="379"/>
      <c r="D18" s="379"/>
      <c r="E18" s="379"/>
      <c r="F18" s="379"/>
      <c r="G18" s="379"/>
      <c r="H18" s="379"/>
      <c r="I18" s="379"/>
      <c r="J18" s="379"/>
      <c r="K18" s="379"/>
      <c r="L18" s="379"/>
      <c r="M18" s="379"/>
      <c r="N18" s="379"/>
      <c r="O18" s="379"/>
      <c r="P18" s="379"/>
      <c r="Q18" s="379"/>
      <c r="R18" s="379"/>
    </row>
    <row r="19" spans="1:18" x14ac:dyDescent="0.35">
      <c r="A19" s="379"/>
      <c r="B19" s="379"/>
      <c r="C19" s="379"/>
      <c r="D19" s="379"/>
      <c r="E19" s="379"/>
      <c r="F19" s="379"/>
      <c r="G19" s="379"/>
      <c r="H19" s="379"/>
      <c r="I19" s="379"/>
      <c r="J19" s="379"/>
      <c r="K19" s="379"/>
      <c r="L19" s="379"/>
      <c r="M19" s="379"/>
      <c r="N19" s="379"/>
      <c r="O19" s="379"/>
      <c r="P19" s="379"/>
      <c r="Q19" s="379"/>
      <c r="R19" s="379"/>
    </row>
    <row r="20" spans="1:18" x14ac:dyDescent="0.35">
      <c r="A20" s="379"/>
      <c r="B20" s="379"/>
      <c r="C20" s="379"/>
      <c r="D20" s="379"/>
      <c r="E20" s="379"/>
      <c r="F20" s="379"/>
      <c r="G20" s="379"/>
      <c r="H20" s="379"/>
      <c r="I20" s="379"/>
      <c r="J20" s="379"/>
      <c r="K20" s="379"/>
      <c r="L20" s="379"/>
      <c r="M20" s="379"/>
      <c r="N20" s="379"/>
      <c r="O20" s="379"/>
      <c r="P20" s="379"/>
      <c r="Q20" s="379"/>
      <c r="R20" s="379"/>
    </row>
    <row r="21" spans="1:18" x14ac:dyDescent="0.35">
      <c r="A21" s="379"/>
      <c r="B21" s="379"/>
      <c r="C21" s="379"/>
      <c r="D21" s="379"/>
      <c r="E21" s="379"/>
      <c r="F21" s="379"/>
      <c r="G21" s="379"/>
      <c r="H21" s="379"/>
      <c r="I21" s="379"/>
      <c r="J21" s="379"/>
      <c r="K21" s="379"/>
      <c r="L21" s="379"/>
      <c r="M21" s="379"/>
      <c r="N21" s="379"/>
      <c r="O21" s="379"/>
      <c r="P21" s="379"/>
      <c r="Q21" s="379"/>
      <c r="R21" s="379"/>
    </row>
    <row r="22" spans="1:18" x14ac:dyDescent="0.35">
      <c r="A22" s="379"/>
      <c r="B22" s="379"/>
      <c r="C22" s="379"/>
      <c r="D22" s="379"/>
      <c r="E22" s="379"/>
      <c r="F22" s="379"/>
      <c r="G22" s="379"/>
      <c r="H22" s="379"/>
      <c r="I22" s="379"/>
      <c r="J22" s="379"/>
      <c r="K22" s="379"/>
      <c r="L22" s="379"/>
      <c r="M22" s="379"/>
      <c r="N22" s="379"/>
      <c r="O22" s="379"/>
      <c r="P22" s="379"/>
      <c r="Q22" s="379"/>
      <c r="R22" s="379"/>
    </row>
    <row r="23" spans="1:18" x14ac:dyDescent="0.35">
      <c r="A23" s="379"/>
      <c r="B23" s="379"/>
      <c r="C23" s="379"/>
      <c r="D23" s="379"/>
      <c r="E23" s="379"/>
      <c r="F23" s="379"/>
      <c r="G23" s="379"/>
      <c r="H23" s="379"/>
      <c r="I23" s="379"/>
      <c r="J23" s="379"/>
      <c r="K23" s="379"/>
      <c r="L23" s="379"/>
      <c r="M23" s="379"/>
      <c r="N23" s="379"/>
      <c r="O23" s="379"/>
      <c r="P23" s="379"/>
      <c r="Q23" s="379"/>
      <c r="R23" s="379"/>
    </row>
    <row r="24" spans="1:18" x14ac:dyDescent="0.35">
      <c r="A24" s="379"/>
      <c r="B24" s="379"/>
      <c r="C24" s="379"/>
      <c r="D24" s="379"/>
      <c r="E24" s="379"/>
      <c r="F24" s="379"/>
      <c r="G24" s="379"/>
      <c r="H24" s="379"/>
      <c r="I24" s="379"/>
      <c r="J24" s="379"/>
      <c r="K24" s="379"/>
      <c r="L24" s="379"/>
      <c r="M24" s="379"/>
      <c r="N24" s="379"/>
      <c r="O24" s="379"/>
      <c r="P24" s="379"/>
      <c r="Q24" s="379"/>
      <c r="R24" s="379"/>
    </row>
    <row r="25" spans="1:18" x14ac:dyDescent="0.35">
      <c r="A25" s="379"/>
      <c r="B25" s="379"/>
      <c r="C25" s="379"/>
      <c r="D25" s="379"/>
      <c r="E25" s="379"/>
      <c r="F25" s="379"/>
      <c r="G25" s="379"/>
      <c r="H25" s="379"/>
      <c r="I25" s="379"/>
      <c r="J25" s="379"/>
      <c r="K25" s="379"/>
      <c r="L25" s="379"/>
      <c r="M25" s="379"/>
      <c r="N25" s="379"/>
      <c r="O25" s="379"/>
      <c r="P25" s="379"/>
      <c r="Q25" s="379"/>
      <c r="R25" s="379"/>
    </row>
    <row r="26" spans="1:18" x14ac:dyDescent="0.35">
      <c r="A26" s="379"/>
      <c r="B26" s="379"/>
      <c r="C26" s="379"/>
      <c r="D26" s="379"/>
      <c r="E26" s="379"/>
      <c r="F26" s="379"/>
      <c r="G26" s="379"/>
      <c r="H26" s="379"/>
      <c r="I26" s="379"/>
      <c r="J26" s="379"/>
      <c r="K26" s="379"/>
      <c r="L26" s="379"/>
      <c r="M26" s="379"/>
      <c r="N26" s="379"/>
      <c r="O26" s="379"/>
      <c r="P26" s="379"/>
      <c r="Q26" s="379"/>
      <c r="R26" s="379"/>
    </row>
    <row r="27" spans="1:18" x14ac:dyDescent="0.35">
      <c r="A27" s="379"/>
      <c r="B27" s="379"/>
      <c r="C27" s="379"/>
      <c r="D27" s="379"/>
      <c r="E27" s="379"/>
      <c r="F27" s="379"/>
      <c r="G27" s="379"/>
      <c r="H27" s="379"/>
      <c r="I27" s="379"/>
      <c r="J27" s="379"/>
      <c r="K27" s="379"/>
      <c r="L27" s="379"/>
      <c r="M27" s="379"/>
      <c r="N27" s="379"/>
      <c r="O27" s="379"/>
      <c r="P27" s="379"/>
      <c r="Q27" s="379"/>
      <c r="R27" s="379"/>
    </row>
    <row r="28" spans="1:18" x14ac:dyDescent="0.35">
      <c r="A28" s="379"/>
      <c r="B28" s="379"/>
      <c r="C28" s="379"/>
      <c r="D28" s="379"/>
      <c r="E28" s="379"/>
      <c r="F28" s="379"/>
      <c r="G28" s="379"/>
      <c r="H28" s="379"/>
      <c r="I28" s="379"/>
      <c r="J28" s="379"/>
      <c r="K28" s="379"/>
      <c r="L28" s="379"/>
      <c r="M28" s="379"/>
      <c r="N28" s="379"/>
      <c r="O28" s="379"/>
      <c r="P28" s="379"/>
      <c r="Q28" s="379"/>
      <c r="R28" s="379"/>
    </row>
    <row r="29" spans="1:18" x14ac:dyDescent="0.35">
      <c r="A29" s="379"/>
      <c r="B29" s="379"/>
      <c r="C29" s="379"/>
      <c r="D29" s="379"/>
      <c r="E29" s="379"/>
      <c r="F29" s="379"/>
      <c r="G29" s="379"/>
      <c r="H29" s="379"/>
      <c r="I29" s="379"/>
      <c r="J29" s="379"/>
      <c r="K29" s="379"/>
      <c r="L29" s="379"/>
      <c r="M29" s="379"/>
      <c r="N29" s="379"/>
      <c r="O29" s="379"/>
      <c r="P29" s="379"/>
      <c r="Q29" s="379"/>
      <c r="R29" s="379"/>
    </row>
    <row r="30" spans="1:18" x14ac:dyDescent="0.35">
      <c r="A30" s="379"/>
      <c r="B30" s="379"/>
      <c r="C30" s="379"/>
      <c r="D30" s="379"/>
      <c r="E30" s="379"/>
      <c r="F30" s="379"/>
      <c r="G30" s="379"/>
      <c r="H30" s="379"/>
      <c r="I30" s="379"/>
      <c r="J30" s="379"/>
      <c r="K30" s="379"/>
      <c r="L30" s="379"/>
      <c r="M30" s="379"/>
      <c r="N30" s="379"/>
      <c r="O30" s="379"/>
      <c r="P30" s="379"/>
      <c r="Q30" s="379"/>
      <c r="R30" s="379"/>
    </row>
    <row r="31" spans="1:18" x14ac:dyDescent="0.35">
      <c r="A31" s="379"/>
      <c r="B31" s="379"/>
      <c r="C31" s="379"/>
      <c r="D31" s="379"/>
      <c r="E31" s="379"/>
      <c r="F31" s="379"/>
      <c r="G31" s="379"/>
      <c r="H31" s="379"/>
      <c r="I31" s="379"/>
      <c r="J31" s="379"/>
      <c r="K31" s="379"/>
      <c r="L31" s="379"/>
      <c r="M31" s="379"/>
      <c r="N31" s="379"/>
      <c r="O31" s="379"/>
      <c r="P31" s="379"/>
      <c r="Q31" s="379"/>
      <c r="R31" s="379"/>
    </row>
    <row r="32" spans="1:18" x14ac:dyDescent="0.35">
      <c r="A32" s="379"/>
      <c r="B32" s="379"/>
      <c r="C32" s="379"/>
      <c r="D32" s="379"/>
      <c r="E32" s="379"/>
      <c r="F32" s="379"/>
      <c r="G32" s="379"/>
      <c r="H32" s="379"/>
      <c r="I32" s="379"/>
      <c r="J32" s="379"/>
      <c r="K32" s="379"/>
      <c r="L32" s="379"/>
      <c r="M32" s="379"/>
      <c r="N32" s="379"/>
      <c r="O32" s="379"/>
      <c r="P32" s="379"/>
      <c r="Q32" s="379"/>
      <c r="R32" s="379"/>
    </row>
    <row r="33" spans="1:18" x14ac:dyDescent="0.35">
      <c r="A33" s="379"/>
      <c r="B33" s="379"/>
      <c r="C33" s="379"/>
      <c r="D33" s="379"/>
      <c r="E33" s="379"/>
      <c r="F33" s="379"/>
      <c r="G33" s="379"/>
      <c r="H33" s="379"/>
      <c r="I33" s="379"/>
      <c r="J33" s="379"/>
      <c r="K33" s="379"/>
      <c r="L33" s="379"/>
      <c r="M33" s="379"/>
      <c r="N33" s="379"/>
      <c r="O33" s="379"/>
      <c r="P33" s="379"/>
      <c r="Q33" s="379"/>
      <c r="R33" s="379"/>
    </row>
    <row r="34" spans="1:18" x14ac:dyDescent="0.35">
      <c r="A34" s="379"/>
      <c r="B34" s="379"/>
      <c r="C34" s="379"/>
      <c r="D34" s="379"/>
      <c r="E34" s="379"/>
      <c r="F34" s="379"/>
      <c r="G34" s="379"/>
      <c r="H34" s="379"/>
      <c r="I34" s="379"/>
      <c r="J34" s="379"/>
      <c r="K34" s="379"/>
      <c r="L34" s="379"/>
      <c r="M34" s="379"/>
      <c r="N34" s="379"/>
      <c r="O34" s="379"/>
      <c r="P34" s="379"/>
      <c r="Q34" s="379"/>
      <c r="R34" s="379"/>
    </row>
    <row r="35" spans="1:18" x14ac:dyDescent="0.35">
      <c r="A35" s="379"/>
      <c r="B35" s="379"/>
      <c r="C35" s="379"/>
      <c r="D35" s="379"/>
      <c r="E35" s="379"/>
      <c r="F35" s="379"/>
      <c r="G35" s="379"/>
      <c r="H35" s="379"/>
      <c r="I35" s="379"/>
      <c r="J35" s="379"/>
      <c r="K35" s="379"/>
      <c r="L35" s="379"/>
      <c r="M35" s="379"/>
      <c r="N35" s="379"/>
      <c r="O35" s="379"/>
      <c r="P35" s="379"/>
      <c r="Q35" s="379"/>
      <c r="R35" s="379"/>
    </row>
    <row r="36" spans="1:18" x14ac:dyDescent="0.35">
      <c r="A36" s="379"/>
      <c r="B36" s="379"/>
      <c r="C36" s="379"/>
      <c r="D36" s="379"/>
      <c r="E36" s="379"/>
      <c r="F36" s="379"/>
      <c r="G36" s="379"/>
      <c r="H36" s="379"/>
      <c r="I36" s="379"/>
      <c r="J36" s="379"/>
      <c r="K36" s="379"/>
      <c r="L36" s="379"/>
      <c r="M36" s="379"/>
      <c r="N36" s="379"/>
      <c r="O36" s="379"/>
      <c r="P36" s="379"/>
      <c r="Q36" s="379"/>
      <c r="R36" s="379"/>
    </row>
    <row r="37" spans="1:18" x14ac:dyDescent="0.35">
      <c r="A37" s="379"/>
      <c r="B37" s="379"/>
      <c r="C37" s="379"/>
      <c r="D37" s="379"/>
      <c r="E37" s="379"/>
      <c r="F37" s="379"/>
      <c r="G37" s="379"/>
      <c r="H37" s="379"/>
      <c r="I37" s="379"/>
      <c r="J37" s="379"/>
      <c r="K37" s="379"/>
      <c r="L37" s="379"/>
      <c r="M37" s="379"/>
      <c r="N37" s="379"/>
      <c r="O37" s="379"/>
      <c r="P37" s="379"/>
      <c r="Q37" s="379"/>
      <c r="R37" s="379"/>
    </row>
    <row r="38" spans="1:18" x14ac:dyDescent="0.35">
      <c r="A38" s="379"/>
      <c r="B38" s="379"/>
      <c r="C38" s="379"/>
      <c r="D38" s="379"/>
      <c r="E38" s="379"/>
      <c r="F38" s="379"/>
      <c r="G38" s="379"/>
      <c r="H38" s="379"/>
      <c r="I38" s="379"/>
      <c r="J38" s="379"/>
      <c r="K38" s="379"/>
      <c r="L38" s="379"/>
      <c r="M38" s="379"/>
      <c r="N38" s="379"/>
      <c r="O38" s="379"/>
      <c r="P38" s="379"/>
      <c r="Q38" s="379"/>
      <c r="R38" s="379"/>
    </row>
    <row r="39" spans="1:18" x14ac:dyDescent="0.35">
      <c r="A39" s="379"/>
      <c r="B39" s="379"/>
      <c r="C39" s="379"/>
      <c r="D39" s="379"/>
      <c r="E39" s="379"/>
      <c r="F39" s="379"/>
      <c r="G39" s="379"/>
      <c r="H39" s="379"/>
      <c r="I39" s="379"/>
      <c r="J39" s="379"/>
      <c r="K39" s="379"/>
      <c r="L39" s="379"/>
      <c r="M39" s="379"/>
      <c r="N39" s="379"/>
      <c r="O39" s="379"/>
      <c r="P39" s="379"/>
      <c r="Q39" s="379"/>
      <c r="R39" s="379"/>
    </row>
  </sheetData>
  <sheetProtection algorithmName="SHA-512" hashValue="E7T5JH0JENKXU/0kBSW/62wmpRyvzfwrjgAVVej2nyfJ3YtpPw5j52omC51PZgngu1PVzTHw6xVoIbcj940Wng==" saltValue="Iw+YbdX24H/Qx/qfvUAQmQ=="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zoomScale="90" zoomScaleNormal="90" workbookViewId="0">
      <selection activeCell="P10" sqref="P10"/>
    </sheetView>
  </sheetViews>
  <sheetFormatPr defaultRowHeight="14.5" x14ac:dyDescent="0.35"/>
  <cols>
    <col min="4" max="4" width="10.1796875" customWidth="1"/>
    <col min="6" max="6" width="10.453125" customWidth="1"/>
    <col min="7" max="7" width="15.1796875" customWidth="1"/>
    <col min="8" max="8" width="14.453125" customWidth="1"/>
    <col min="9" max="9" width="13.453125" customWidth="1"/>
    <col min="10" max="10" width="14" customWidth="1"/>
    <col min="11" max="11" width="16.81640625" style="306" customWidth="1"/>
  </cols>
  <sheetData>
    <row r="2" spans="2:14" ht="15" thickBot="1" x14ac:dyDescent="0.4"/>
    <row r="3" spans="2:14" x14ac:dyDescent="0.35">
      <c r="B3" s="380" t="s">
        <v>0</v>
      </c>
      <c r="C3" s="785" t="s">
        <v>798</v>
      </c>
      <c r="D3" s="785"/>
      <c r="E3" s="381"/>
      <c r="F3" s="2"/>
      <c r="G3" s="2"/>
      <c r="H3" s="2"/>
      <c r="I3" s="767" t="s">
        <v>800</v>
      </c>
      <c r="J3" s="768"/>
      <c r="K3" s="768"/>
      <c r="L3" s="768"/>
      <c r="M3" s="768"/>
      <c r="N3" s="769"/>
    </row>
    <row r="4" spans="2:14" ht="15" customHeight="1" x14ac:dyDescent="0.35">
      <c r="B4" s="4"/>
      <c r="C4" s="5"/>
      <c r="D4" s="379"/>
      <c r="E4" s="394"/>
      <c r="F4" s="394"/>
      <c r="G4" s="394"/>
      <c r="H4" s="394"/>
      <c r="I4" s="5"/>
      <c r="J4" s="5"/>
      <c r="K4" s="382"/>
      <c r="L4" s="5"/>
      <c r="M4" s="5"/>
      <c r="N4" s="6"/>
    </row>
    <row r="5" spans="2:14" ht="15" customHeight="1" x14ac:dyDescent="0.35">
      <c r="B5" s="4"/>
      <c r="C5" s="383"/>
      <c r="D5" s="394"/>
      <c r="E5" s="779" t="s">
        <v>1</v>
      </c>
      <c r="F5" s="779"/>
      <c r="G5" s="779"/>
      <c r="H5" s="779"/>
      <c r="I5" s="779"/>
      <c r="J5" s="5"/>
      <c r="K5" s="382"/>
      <c r="L5" s="5"/>
      <c r="M5" s="5"/>
      <c r="N5" s="6"/>
    </row>
    <row r="6" spans="2:14" ht="15" customHeight="1" x14ac:dyDescent="0.35">
      <c r="B6" s="4"/>
      <c r="C6" s="383"/>
      <c r="D6" s="394"/>
      <c r="E6" s="779"/>
      <c r="F6" s="779"/>
      <c r="G6" s="779"/>
      <c r="H6" s="779"/>
      <c r="I6" s="779"/>
      <c r="J6" s="5"/>
      <c r="K6" s="382"/>
      <c r="L6" s="5"/>
      <c r="M6" s="5"/>
      <c r="N6" s="6"/>
    </row>
    <row r="7" spans="2:14" ht="15" customHeight="1" x14ac:dyDescent="0.35">
      <c r="B7" s="4"/>
      <c r="C7" s="383"/>
      <c r="D7" s="394"/>
      <c r="E7" s="779"/>
      <c r="F7" s="779"/>
      <c r="G7" s="779"/>
      <c r="H7" s="779"/>
      <c r="I7" s="779"/>
      <c r="J7" s="5"/>
      <c r="K7" s="382"/>
      <c r="L7" s="5"/>
      <c r="M7" s="5"/>
      <c r="N7" s="6"/>
    </row>
    <row r="8" spans="2:14" ht="18" customHeight="1" x14ac:dyDescent="0.4">
      <c r="B8" s="4"/>
      <c r="C8" s="5"/>
      <c r="D8" s="779"/>
      <c r="E8" s="779"/>
      <c r="F8" s="779"/>
      <c r="G8" s="779"/>
      <c r="H8" s="779"/>
      <c r="I8" s="779"/>
      <c r="J8" s="5"/>
      <c r="K8" s="382"/>
      <c r="L8" s="384"/>
      <c r="M8" s="385"/>
      <c r="N8" s="378"/>
    </row>
    <row r="9" spans="2:14" ht="18" customHeight="1" x14ac:dyDescent="0.4">
      <c r="B9" s="4"/>
      <c r="C9" s="5"/>
      <c r="D9" s="671"/>
      <c r="E9" s="671"/>
      <c r="F9" s="671"/>
      <c r="G9" s="671"/>
      <c r="H9" s="671"/>
      <c r="I9" s="671"/>
      <c r="J9" s="5"/>
      <c r="K9" s="382"/>
      <c r="L9" s="384"/>
      <c r="M9" s="385"/>
      <c r="N9" s="378"/>
    </row>
    <row r="10" spans="2:14" ht="30.75" customHeight="1" x14ac:dyDescent="0.4">
      <c r="B10" s="4"/>
      <c r="C10" s="780" t="s">
        <v>2</v>
      </c>
      <c r="D10" s="781"/>
      <c r="E10" s="786" t="s">
        <v>802</v>
      </c>
      <c r="F10" s="787"/>
      <c r="G10" s="788"/>
      <c r="H10" s="379"/>
      <c r="I10" s="782" t="s">
        <v>3</v>
      </c>
      <c r="J10" s="783"/>
      <c r="K10" s="784" t="s">
        <v>803</v>
      </c>
      <c r="L10" s="784"/>
      <c r="M10" s="385"/>
      <c r="N10" s="378"/>
    </row>
    <row r="11" spans="2:14" x14ac:dyDescent="0.35">
      <c r="B11" s="4"/>
      <c r="C11" s="5"/>
      <c r="D11" s="5"/>
      <c r="E11" s="5"/>
      <c r="F11" s="5"/>
      <c r="G11" s="5"/>
      <c r="H11" s="5"/>
      <c r="I11" s="5"/>
      <c r="J11" s="5"/>
      <c r="K11" s="382"/>
      <c r="L11" s="5"/>
      <c r="M11" s="5"/>
      <c r="N11" s="6"/>
    </row>
    <row r="12" spans="2:14" ht="29.25" customHeight="1" x14ac:dyDescent="0.35">
      <c r="B12" s="4"/>
      <c r="C12" s="789" t="s">
        <v>4</v>
      </c>
      <c r="D12" s="789"/>
      <c r="E12" s="790">
        <v>46195</v>
      </c>
      <c r="F12" s="791"/>
      <c r="G12" s="791"/>
      <c r="H12" s="5"/>
      <c r="I12" s="5"/>
      <c r="J12" s="5"/>
      <c r="K12" s="382"/>
      <c r="L12" s="5"/>
      <c r="M12" s="5"/>
      <c r="N12" s="6"/>
    </row>
    <row r="13" spans="2:14" ht="23.25" customHeight="1" x14ac:dyDescent="0.35">
      <c r="B13" s="4"/>
      <c r="C13" s="5"/>
      <c r="D13" s="386"/>
      <c r="E13" s="386"/>
      <c r="F13" s="5"/>
      <c r="G13" s="5"/>
      <c r="H13" s="5"/>
      <c r="I13" s="5"/>
      <c r="J13" s="5"/>
      <c r="K13" s="382"/>
      <c r="L13" s="5"/>
      <c r="M13" s="5"/>
      <c r="N13" s="6"/>
    </row>
    <row r="14" spans="2:14" ht="33.65" customHeight="1" x14ac:dyDescent="0.35">
      <c r="B14" s="4"/>
      <c r="C14" s="770" t="s">
        <v>5</v>
      </c>
      <c r="D14" s="771"/>
      <c r="E14" s="771"/>
      <c r="F14" s="771"/>
      <c r="G14" s="771"/>
      <c r="H14" s="771"/>
      <c r="I14" s="771"/>
      <c r="J14" s="771"/>
      <c r="K14" s="771"/>
      <c r="L14" s="771"/>
      <c r="M14" s="772"/>
      <c r="N14" s="6"/>
    </row>
    <row r="15" spans="2:14" ht="25.4" customHeight="1" x14ac:dyDescent="0.35">
      <c r="B15" s="4"/>
      <c r="C15" s="773"/>
      <c r="D15" s="774"/>
      <c r="E15" s="774"/>
      <c r="F15" s="774"/>
      <c r="G15" s="774"/>
      <c r="H15" s="774"/>
      <c r="I15" s="774"/>
      <c r="J15" s="774"/>
      <c r="K15" s="774"/>
      <c r="L15" s="774"/>
      <c r="M15" s="775"/>
      <c r="N15" s="6"/>
    </row>
    <row r="16" spans="2:14" ht="25.4" customHeight="1" x14ac:dyDescent="0.35">
      <c r="B16" s="4"/>
      <c r="C16" s="773"/>
      <c r="D16" s="774"/>
      <c r="E16" s="774"/>
      <c r="F16" s="774"/>
      <c r="G16" s="774"/>
      <c r="H16" s="774"/>
      <c r="I16" s="774"/>
      <c r="J16" s="774"/>
      <c r="K16" s="774"/>
      <c r="L16" s="774"/>
      <c r="M16" s="775"/>
      <c r="N16" s="6"/>
    </row>
    <row r="17" spans="2:14" ht="25.4" customHeight="1" x14ac:dyDescent="0.35">
      <c r="B17" s="4"/>
      <c r="C17" s="773"/>
      <c r="D17" s="774"/>
      <c r="E17" s="774"/>
      <c r="F17" s="774"/>
      <c r="G17" s="774"/>
      <c r="H17" s="774"/>
      <c r="I17" s="774"/>
      <c r="J17" s="774"/>
      <c r="K17" s="774"/>
      <c r="L17" s="774"/>
      <c r="M17" s="775"/>
      <c r="N17" s="6"/>
    </row>
    <row r="18" spans="2:14" ht="48.75" customHeight="1" x14ac:dyDescent="0.35">
      <c r="B18" s="4"/>
      <c r="C18" s="773"/>
      <c r="D18" s="774"/>
      <c r="E18" s="774"/>
      <c r="F18" s="774"/>
      <c r="G18" s="774"/>
      <c r="H18" s="774"/>
      <c r="I18" s="774"/>
      <c r="J18" s="774"/>
      <c r="K18" s="774"/>
      <c r="L18" s="774"/>
      <c r="M18" s="775"/>
      <c r="N18" s="6"/>
    </row>
    <row r="19" spans="2:14" ht="17.25" customHeight="1" x14ac:dyDescent="0.35">
      <c r="B19" s="4"/>
      <c r="C19" s="776"/>
      <c r="D19" s="777"/>
      <c r="E19" s="777"/>
      <c r="F19" s="777"/>
      <c r="G19" s="777"/>
      <c r="H19" s="777"/>
      <c r="I19" s="777"/>
      <c r="J19" s="777"/>
      <c r="K19" s="777"/>
      <c r="L19" s="777"/>
      <c r="M19" s="778"/>
      <c r="N19" s="6"/>
    </row>
    <row r="20" spans="2:14" ht="15" customHeight="1" x14ac:dyDescent="0.35">
      <c r="B20" s="4"/>
      <c r="C20" s="387"/>
      <c r="D20" s="387"/>
      <c r="E20" s="387"/>
      <c r="F20" s="387"/>
      <c r="G20" s="387"/>
      <c r="H20" s="387"/>
      <c r="I20" s="387"/>
      <c r="J20" s="387"/>
      <c r="K20" s="387"/>
      <c r="L20" s="387"/>
      <c r="M20" s="387"/>
      <c r="N20" s="6"/>
    </row>
    <row r="21" spans="2:14" ht="24.65" customHeight="1" x14ac:dyDescent="0.35">
      <c r="B21" s="4"/>
      <c r="C21" s="311"/>
      <c r="D21" s="311"/>
      <c r="E21" s="311"/>
      <c r="F21" s="311"/>
      <c r="G21" s="311"/>
      <c r="H21" s="311"/>
      <c r="I21" s="672"/>
      <c r="J21" s="672"/>
      <c r="K21" s="388"/>
      <c r="L21" s="672"/>
      <c r="M21" s="672"/>
      <c r="N21" s="6"/>
    </row>
    <row r="22" spans="2:14" ht="30" customHeight="1" x14ac:dyDescent="0.35">
      <c r="B22" s="4"/>
      <c r="C22" s="765" t="s">
        <v>6</v>
      </c>
      <c r="D22" s="765"/>
      <c r="E22" s="489" t="s">
        <v>7</v>
      </c>
      <c r="F22" s="490" t="s">
        <v>8</v>
      </c>
      <c r="G22" s="491" t="s">
        <v>9</v>
      </c>
      <c r="H22" s="492" t="s">
        <v>10</v>
      </c>
      <c r="I22" s="493" t="s">
        <v>11</v>
      </c>
      <c r="J22" s="494" t="s">
        <v>12</v>
      </c>
      <c r="K22" s="495" t="s">
        <v>13</v>
      </c>
      <c r="L22" s="672"/>
      <c r="M22" s="672"/>
      <c r="N22" s="6"/>
    </row>
    <row r="23" spans="2:14" ht="28.5" customHeight="1" x14ac:dyDescent="0.35">
      <c r="B23" s="4"/>
      <c r="C23" s="311"/>
      <c r="D23" s="488"/>
      <c r="E23" s="487"/>
      <c r="F23" s="487"/>
      <c r="G23" s="487"/>
      <c r="H23" s="487"/>
      <c r="I23" s="487"/>
      <c r="J23" s="487"/>
      <c r="K23" s="487"/>
      <c r="L23" s="672"/>
      <c r="M23" s="672"/>
      <c r="N23" s="6"/>
    </row>
    <row r="24" spans="2:14" ht="24.75" customHeight="1" x14ac:dyDescent="0.35">
      <c r="B24" s="4"/>
      <c r="C24" s="761" t="s">
        <v>14</v>
      </c>
      <c r="D24" s="762"/>
      <c r="E24" s="762"/>
      <c r="F24" s="762"/>
      <c r="G24" s="762"/>
      <c r="H24" s="496"/>
      <c r="I24" s="487"/>
      <c r="J24" s="487"/>
      <c r="K24" s="487"/>
      <c r="L24" s="672"/>
      <c r="M24" s="672"/>
      <c r="N24" s="6"/>
    </row>
    <row r="25" spans="2:14" ht="26.15" customHeight="1" x14ac:dyDescent="0.35">
      <c r="B25" s="4"/>
      <c r="C25" s="763"/>
      <c r="D25" s="764"/>
      <c r="E25" s="764"/>
      <c r="F25" s="764"/>
      <c r="G25" s="764"/>
      <c r="H25" s="497" t="s">
        <v>15</v>
      </c>
      <c r="I25" s="487"/>
      <c r="J25" s="487"/>
      <c r="K25" s="487"/>
      <c r="L25" s="672"/>
      <c r="M25" s="672"/>
      <c r="N25" s="6"/>
    </row>
    <row r="26" spans="2:14" ht="27" customHeight="1" x14ac:dyDescent="0.35">
      <c r="B26" s="4"/>
      <c r="C26" s="5"/>
      <c r="D26" s="5"/>
      <c r="E26" s="5"/>
      <c r="F26" s="5"/>
      <c r="G26" s="5"/>
      <c r="H26" s="379"/>
      <c r="I26" s="379"/>
      <c r="J26" s="379"/>
      <c r="K26" s="387"/>
      <c r="L26" s="387"/>
      <c r="M26" s="387"/>
      <c r="N26" s="6"/>
    </row>
    <row r="27" spans="2:14" ht="23.25" customHeight="1" x14ac:dyDescent="0.35">
      <c r="B27" s="7">
        <v>1</v>
      </c>
      <c r="C27" s="389" t="s">
        <v>16</v>
      </c>
      <c r="D27" s="5"/>
      <c r="E27" s="5"/>
      <c r="F27" s="389"/>
      <c r="G27" s="5"/>
      <c r="H27" s="389">
        <v>7</v>
      </c>
      <c r="I27" s="389" t="s">
        <v>17</v>
      </c>
      <c r="J27" s="389"/>
      <c r="K27" s="387"/>
      <c r="L27" s="387"/>
      <c r="M27" s="387"/>
      <c r="N27" s="6"/>
    </row>
    <row r="28" spans="2:14" ht="22.5" customHeight="1" x14ac:dyDescent="0.35">
      <c r="B28" s="4"/>
      <c r="C28" s="766" t="s">
        <v>18</v>
      </c>
      <c r="D28" s="766"/>
      <c r="E28" s="766"/>
      <c r="F28" s="766"/>
      <c r="G28" s="766"/>
      <c r="H28" s="389"/>
      <c r="I28" s="379" t="s">
        <v>19</v>
      </c>
      <c r="J28" s="379"/>
      <c r="K28" s="379"/>
      <c r="L28" s="397"/>
      <c r="M28" s="397"/>
      <c r="N28" s="6"/>
    </row>
    <row r="29" spans="2:14" ht="23.25" customHeight="1" x14ac:dyDescent="0.35">
      <c r="B29" s="4"/>
      <c r="C29" s="766"/>
      <c r="D29" s="766"/>
      <c r="E29" s="766"/>
      <c r="F29" s="766"/>
      <c r="G29" s="766"/>
      <c r="H29" s="389">
        <v>8</v>
      </c>
      <c r="I29" s="389" t="s">
        <v>20</v>
      </c>
      <c r="J29" s="389"/>
      <c r="K29" s="389"/>
      <c r="L29" s="5"/>
      <c r="M29" s="5"/>
      <c r="N29" s="6"/>
    </row>
    <row r="30" spans="2:14" ht="21" customHeight="1" x14ac:dyDescent="0.35">
      <c r="B30" s="4"/>
      <c r="C30" s="766"/>
      <c r="D30" s="766"/>
      <c r="E30" s="766"/>
      <c r="F30" s="766"/>
      <c r="G30" s="766"/>
      <c r="H30" s="379"/>
      <c r="I30" s="796" t="s">
        <v>21</v>
      </c>
      <c r="J30" s="796"/>
      <c r="K30" s="796"/>
      <c r="L30" s="796"/>
      <c r="M30" s="5"/>
      <c r="N30" s="6"/>
    </row>
    <row r="31" spans="2:14" ht="37.5" customHeight="1" x14ac:dyDescent="0.35">
      <c r="B31" s="400">
        <v>2</v>
      </c>
      <c r="C31" s="792" t="s">
        <v>22</v>
      </c>
      <c r="D31" s="792"/>
      <c r="E31" s="792"/>
      <c r="F31" s="792"/>
      <c r="G31" s="627"/>
      <c r="H31" s="379"/>
      <c r="I31" s="796"/>
      <c r="J31" s="796"/>
      <c r="K31" s="796"/>
      <c r="L31" s="796"/>
      <c r="M31" s="5"/>
      <c r="N31" s="6"/>
    </row>
    <row r="32" spans="2:14" ht="25.5" customHeight="1" x14ac:dyDescent="0.35">
      <c r="B32" s="401"/>
      <c r="C32" s="766" t="s">
        <v>23</v>
      </c>
      <c r="D32" s="766"/>
      <c r="E32" s="766"/>
      <c r="F32" s="766"/>
      <c r="G32" s="766"/>
      <c r="H32" s="629">
        <v>9</v>
      </c>
      <c r="I32" s="628" t="s">
        <v>24</v>
      </c>
      <c r="J32" s="379"/>
      <c r="K32" s="675"/>
      <c r="L32" s="5"/>
      <c r="M32" s="5"/>
      <c r="N32" s="6"/>
    </row>
    <row r="33" spans="2:14" ht="28.5" customHeight="1" x14ac:dyDescent="0.35">
      <c r="B33" s="4"/>
      <c r="C33" s="766"/>
      <c r="D33" s="766"/>
      <c r="E33" s="766"/>
      <c r="F33" s="766"/>
      <c r="G33" s="766"/>
      <c r="H33" s="5"/>
      <c r="I33" s="794" t="s">
        <v>25</v>
      </c>
      <c r="J33" s="794"/>
      <c r="K33" s="794"/>
      <c r="L33" s="390"/>
      <c r="M33" s="390"/>
      <c r="N33" s="6"/>
    </row>
    <row r="34" spans="2:14" ht="30.75" customHeight="1" x14ac:dyDescent="0.35">
      <c r="B34" s="7">
        <v>3</v>
      </c>
      <c r="C34" s="793" t="s">
        <v>26</v>
      </c>
      <c r="D34" s="793"/>
      <c r="E34" s="793"/>
      <c r="F34" s="793"/>
      <c r="G34" s="793"/>
      <c r="H34" s="389">
        <v>10</v>
      </c>
      <c r="I34" s="389" t="s">
        <v>27</v>
      </c>
      <c r="J34" s="389"/>
      <c r="K34" s="396"/>
      <c r="L34" s="396"/>
      <c r="M34" s="396"/>
      <c r="N34" s="6"/>
    </row>
    <row r="35" spans="2:14" ht="33.75" customHeight="1" x14ac:dyDescent="0.35">
      <c r="B35" s="4"/>
      <c r="C35" s="766" t="s">
        <v>28</v>
      </c>
      <c r="D35" s="766"/>
      <c r="E35" s="766"/>
      <c r="F35" s="766"/>
      <c r="G35" s="391"/>
      <c r="H35" s="389"/>
      <c r="I35" s="796" t="s">
        <v>29</v>
      </c>
      <c r="J35" s="796"/>
      <c r="K35" s="796"/>
      <c r="L35" s="796"/>
      <c r="M35" s="396"/>
      <c r="N35" s="6"/>
    </row>
    <row r="36" spans="2:14" ht="19.5" customHeight="1" x14ac:dyDescent="0.35">
      <c r="B36" s="4"/>
      <c r="C36" s="766"/>
      <c r="D36" s="766"/>
      <c r="E36" s="766"/>
      <c r="F36" s="766"/>
      <c r="G36" s="391"/>
      <c r="H36" s="389">
        <v>11</v>
      </c>
      <c r="I36" s="389" t="s">
        <v>30</v>
      </c>
      <c r="J36" s="389"/>
      <c r="K36" s="393"/>
      <c r="L36" s="392"/>
      <c r="M36" s="392"/>
      <c r="N36" s="6"/>
    </row>
    <row r="37" spans="2:14" ht="27" customHeight="1" x14ac:dyDescent="0.35">
      <c r="B37" s="7">
        <v>4</v>
      </c>
      <c r="C37" s="793" t="s">
        <v>31</v>
      </c>
      <c r="D37" s="793"/>
      <c r="E37" s="793"/>
      <c r="F37" s="793"/>
      <c r="G37" s="793"/>
      <c r="H37" s="379"/>
      <c r="I37" s="797" t="s">
        <v>32</v>
      </c>
      <c r="J37" s="797"/>
      <c r="K37" s="797"/>
      <c r="L37" s="797"/>
      <c r="M37" s="797"/>
      <c r="N37" s="6"/>
    </row>
    <row r="38" spans="2:14" ht="28.5" customHeight="1" x14ac:dyDescent="0.35">
      <c r="B38" s="4"/>
      <c r="C38" s="795" t="s">
        <v>33</v>
      </c>
      <c r="D38" s="795"/>
      <c r="E38" s="795"/>
      <c r="F38" s="795"/>
      <c r="G38" s="795"/>
      <c r="H38" s="389">
        <v>12</v>
      </c>
      <c r="I38" s="389" t="s">
        <v>34</v>
      </c>
      <c r="J38" s="396"/>
      <c r="K38" s="398"/>
      <c r="L38" s="396"/>
      <c r="M38" s="396"/>
      <c r="N38" s="6"/>
    </row>
    <row r="39" spans="2:14" ht="27.75" customHeight="1" x14ac:dyDescent="0.35">
      <c r="B39" s="7">
        <v>5</v>
      </c>
      <c r="C39" s="389" t="s">
        <v>35</v>
      </c>
      <c r="D39" s="389"/>
      <c r="E39" s="389"/>
      <c r="F39" s="5"/>
      <c r="G39" s="5"/>
      <c r="H39" s="5"/>
      <c r="I39" s="794" t="s">
        <v>36</v>
      </c>
      <c r="J39" s="794"/>
      <c r="K39" s="794"/>
      <c r="L39" s="396"/>
      <c r="M39" s="396"/>
      <c r="N39" s="6"/>
    </row>
    <row r="40" spans="2:14" ht="23.25" customHeight="1" x14ac:dyDescent="0.35">
      <c r="B40" s="4"/>
      <c r="C40" s="795" t="s">
        <v>37</v>
      </c>
      <c r="D40" s="795"/>
      <c r="E40" s="795"/>
      <c r="F40" s="795"/>
      <c r="G40" s="795"/>
      <c r="H40" s="5"/>
      <c r="I40" s="396"/>
      <c r="J40" s="396"/>
      <c r="K40" s="396"/>
      <c r="L40" s="396"/>
      <c r="M40" s="396"/>
      <c r="N40" s="395"/>
    </row>
    <row r="41" spans="2:14" ht="27" customHeight="1" x14ac:dyDescent="0.35">
      <c r="B41" s="7">
        <v>6</v>
      </c>
      <c r="C41" s="389" t="s">
        <v>38</v>
      </c>
      <c r="D41" s="389"/>
      <c r="E41" s="389"/>
      <c r="F41" s="389"/>
      <c r="G41" s="5"/>
      <c r="H41" s="389">
        <v>13</v>
      </c>
      <c r="I41" s="389" t="s">
        <v>39</v>
      </c>
      <c r="J41" s="396"/>
      <c r="K41" s="398"/>
      <c r="L41" s="396"/>
      <c r="M41" s="396"/>
      <c r="N41" s="6"/>
    </row>
    <row r="42" spans="2:14" ht="26.25" customHeight="1" x14ac:dyDescent="0.35">
      <c r="B42" s="4"/>
      <c r="C42" s="795" t="s">
        <v>40</v>
      </c>
      <c r="D42" s="795"/>
      <c r="E42" s="795"/>
      <c r="F42" s="795"/>
      <c r="G42" s="795"/>
      <c r="H42" s="5"/>
      <c r="I42" s="794" t="s">
        <v>41</v>
      </c>
      <c r="J42" s="794"/>
      <c r="K42" s="794"/>
      <c r="L42" s="399"/>
      <c r="M42" s="399"/>
      <c r="N42" s="6"/>
    </row>
    <row r="43" spans="2:14" x14ac:dyDescent="0.35">
      <c r="B43" s="401"/>
      <c r="C43" s="379"/>
      <c r="D43" s="379"/>
      <c r="E43" s="389"/>
      <c r="F43" s="389"/>
      <c r="G43" s="5"/>
      <c r="H43" s="5"/>
      <c r="I43" s="399"/>
      <c r="J43" s="399"/>
      <c r="K43" s="399"/>
      <c r="L43" s="399"/>
      <c r="M43" s="399"/>
      <c r="N43" s="6"/>
    </row>
    <row r="44" spans="2:14" x14ac:dyDescent="0.35">
      <c r="B44" s="4"/>
      <c r="C44" s="5"/>
      <c r="D44" s="5"/>
      <c r="E44" s="5"/>
      <c r="F44" s="5"/>
      <c r="G44" s="5"/>
      <c r="H44" s="5"/>
      <c r="I44" s="399"/>
      <c r="J44" s="399"/>
      <c r="K44" s="399"/>
      <c r="L44" s="399"/>
      <c r="M44" s="399"/>
      <c r="N44" s="6"/>
    </row>
    <row r="45" spans="2:14" x14ac:dyDescent="0.35">
      <c r="B45" s="4"/>
      <c r="C45" s="5"/>
      <c r="D45" s="5"/>
      <c r="E45" s="5"/>
      <c r="F45" s="5"/>
      <c r="G45" s="5"/>
      <c r="H45" s="5"/>
      <c r="I45" s="399"/>
      <c r="J45" s="399"/>
      <c r="K45" s="399"/>
      <c r="L45" s="399"/>
      <c r="M45" s="399"/>
      <c r="N45" s="6"/>
    </row>
    <row r="46" spans="2:14" x14ac:dyDescent="0.35">
      <c r="B46" s="7"/>
      <c r="C46" s="389"/>
      <c r="D46" s="5"/>
      <c r="E46" s="5"/>
      <c r="F46" s="5"/>
      <c r="G46" s="5"/>
      <c r="H46" s="5"/>
      <c r="I46" s="399"/>
      <c r="J46" s="399"/>
      <c r="K46" s="382"/>
      <c r="L46" s="5"/>
      <c r="M46" s="5"/>
      <c r="N46" s="6"/>
    </row>
    <row r="47" spans="2:14" ht="15" thickBot="1" x14ac:dyDescent="0.4">
      <c r="B47" s="8"/>
      <c r="C47" s="9"/>
      <c r="D47" s="9"/>
      <c r="E47" s="9"/>
      <c r="F47" s="9"/>
      <c r="G47" s="9"/>
      <c r="H47" s="9"/>
      <c r="I47" s="9"/>
      <c r="J47" s="9"/>
      <c r="K47" s="307"/>
      <c r="L47" s="9"/>
      <c r="M47" s="9"/>
      <c r="N47" s="10"/>
    </row>
  </sheetData>
  <sheetProtection algorithmName="SHA-512" hashValue="OOQ17o3d9mhFErmwUMuBE4NHKLoluC734K1iaHkuRshhUBU9Sh33RRUFkot5UyrJ126SOqhySkX9DSoNCaHRBg==" saltValue="0g8bvPFP68J8GdfJtqvhHg=="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8" priority="1" operator="equal">
      <formula>"No"</formula>
    </cfRule>
    <cfRule type="cellIs" dxfId="47"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Picklists!$B$8:$B$9</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topLeftCell="A7" workbookViewId="0">
      <selection activeCell="O11" sqref="O11"/>
    </sheetView>
  </sheetViews>
  <sheetFormatPr defaultRowHeight="14.5" x14ac:dyDescent="0.35"/>
  <cols>
    <col min="4" max="4" width="40.1796875" customWidth="1"/>
    <col min="5" max="5" width="38.1796875" customWidth="1"/>
    <col min="6" max="6" width="21.453125" style="11" customWidth="1"/>
  </cols>
  <sheetData>
    <row r="1" spans="2:12" ht="15" thickBot="1" x14ac:dyDescent="0.4"/>
    <row r="2" spans="2:12" ht="16" thickBot="1" x14ac:dyDescent="0.4">
      <c r="B2" s="801" t="s">
        <v>42</v>
      </c>
      <c r="C2" s="802"/>
      <c r="D2" s="802"/>
      <c r="E2" s="802"/>
      <c r="F2" s="802"/>
      <c r="G2" s="802"/>
      <c r="H2" s="802"/>
      <c r="I2" s="802"/>
      <c r="J2" s="802"/>
      <c r="K2" s="802"/>
      <c r="L2" s="314"/>
    </row>
    <row r="3" spans="2:12" x14ac:dyDescent="0.35">
      <c r="B3" s="1"/>
      <c r="C3" s="2"/>
      <c r="D3" s="2"/>
      <c r="E3" s="2"/>
      <c r="F3" s="32"/>
      <c r="G3" s="2"/>
      <c r="H3" s="2"/>
      <c r="I3" s="2"/>
      <c r="J3" s="2"/>
      <c r="K3" s="2"/>
      <c r="L3" s="3"/>
    </row>
    <row r="4" spans="2:12" x14ac:dyDescent="0.35">
      <c r="B4" s="4"/>
      <c r="C4" s="379"/>
      <c r="D4" s="12" t="s">
        <v>43</v>
      </c>
      <c r="E4" s="31" t="str">
        <f>+Introduction!E10</f>
        <v>Tradebe Healthcare National Limited</v>
      </c>
      <c r="F4" s="13"/>
      <c r="G4" s="5"/>
      <c r="H4" s="5"/>
      <c r="I4" s="5"/>
      <c r="J4" s="5"/>
      <c r="K4" s="5"/>
      <c r="L4" s="6"/>
    </row>
    <row r="5" spans="2:12" x14ac:dyDescent="0.35">
      <c r="B5" s="4"/>
      <c r="C5" s="379"/>
      <c r="D5" s="12" t="s">
        <v>44</v>
      </c>
      <c r="E5" s="31" t="str">
        <f>+Introduction!K10</f>
        <v>EPR/WP3636ZG</v>
      </c>
      <c r="F5" s="22"/>
      <c r="G5" s="5"/>
      <c r="H5" s="5"/>
      <c r="I5" s="5"/>
      <c r="J5" s="5"/>
      <c r="K5" s="5"/>
      <c r="L5" s="6"/>
    </row>
    <row r="6" spans="2:12" x14ac:dyDescent="0.35">
      <c r="B6" s="4"/>
      <c r="C6" s="5"/>
      <c r="D6" s="5"/>
      <c r="E6" s="5"/>
      <c r="F6" s="5"/>
      <c r="G6" s="5"/>
      <c r="H6" s="5"/>
      <c r="I6" s="5"/>
      <c r="J6" s="5"/>
      <c r="K6" s="5"/>
      <c r="L6" s="6"/>
    </row>
    <row r="7" spans="2:12" ht="49.5" x14ac:dyDescent="0.35">
      <c r="B7" s="4"/>
      <c r="C7" s="14" t="s">
        <v>45</v>
      </c>
      <c r="D7" s="15" t="s">
        <v>46</v>
      </c>
      <c r="E7" s="15" t="s">
        <v>47</v>
      </c>
      <c r="F7" s="15" t="s">
        <v>48</v>
      </c>
      <c r="G7" s="5"/>
      <c r="H7" s="5"/>
      <c r="I7" s="5"/>
      <c r="J7" s="803" t="s">
        <v>49</v>
      </c>
      <c r="K7" s="804"/>
      <c r="L7" s="6"/>
    </row>
    <row r="8" spans="2:12" ht="20.149999999999999" customHeight="1" x14ac:dyDescent="0.35">
      <c r="B8" s="16"/>
      <c r="C8" s="313">
        <v>1</v>
      </c>
      <c r="D8" s="674" t="s">
        <v>804</v>
      </c>
      <c r="E8" s="630" t="s">
        <v>753</v>
      </c>
      <c r="F8" s="57" t="str">
        <f>IFERROR(VLOOKUP(E8,Picklists!$D$8:$E$144,2,FALSE),"")</f>
        <v>B</v>
      </c>
      <c r="G8" s="5"/>
      <c r="H8" s="5"/>
      <c r="I8" s="17"/>
      <c r="J8" s="18" t="s">
        <v>50</v>
      </c>
      <c r="K8" s="30">
        <f>COUNTIF($F$8:$F$32,J8)</f>
        <v>0</v>
      </c>
      <c r="L8" s="6"/>
    </row>
    <row r="9" spans="2:12" ht="20.149999999999999" customHeight="1" x14ac:dyDescent="0.35">
      <c r="B9" s="16"/>
      <c r="C9" s="313">
        <v>2</v>
      </c>
      <c r="D9" s="674" t="s">
        <v>805</v>
      </c>
      <c r="E9" s="630" t="s">
        <v>753</v>
      </c>
      <c r="F9" s="57" t="str">
        <f>IFERROR(VLOOKUP(E9,Picklists!$D$8:$E$144,2,FALSE),"")</f>
        <v>B</v>
      </c>
      <c r="G9" s="5"/>
      <c r="H9" s="5"/>
      <c r="I9" s="17"/>
      <c r="J9" s="18" t="s">
        <v>51</v>
      </c>
      <c r="K9" s="30">
        <f>COUNTIF($F$8:$F$32,J9)</f>
        <v>2</v>
      </c>
      <c r="L9" s="6"/>
    </row>
    <row r="10" spans="2:12" ht="20.149999999999999" customHeight="1" x14ac:dyDescent="0.35">
      <c r="B10" s="16"/>
      <c r="C10" s="313">
        <v>3</v>
      </c>
      <c r="D10" s="674"/>
      <c r="E10" s="630"/>
      <c r="F10" s="57" t="str">
        <f>IFERROR(VLOOKUP(E10,Picklists!$D$8:$E$144,2,FALSE),"")</f>
        <v/>
      </c>
      <c r="G10" s="5"/>
      <c r="H10" s="5"/>
      <c r="I10" s="17"/>
      <c r="J10" s="18" t="s">
        <v>52</v>
      </c>
      <c r="K10" s="30">
        <f>COUNTIF($F$8:$F$32,J10)</f>
        <v>0</v>
      </c>
      <c r="L10" s="6"/>
    </row>
    <row r="11" spans="2:12" ht="20.149999999999999" customHeight="1" x14ac:dyDescent="0.35">
      <c r="B11" s="16"/>
      <c r="C11" s="313">
        <v>4</v>
      </c>
      <c r="D11" s="674"/>
      <c r="E11" s="630"/>
      <c r="F11" s="57" t="str">
        <f>IFERROR(VLOOKUP(E11,Picklists!$D$8:$E$144,2,FALSE),"")</f>
        <v/>
      </c>
      <c r="G11" s="5"/>
      <c r="H11" s="5"/>
      <c r="I11" s="17"/>
      <c r="J11" s="18" t="s">
        <v>53</v>
      </c>
      <c r="K11" s="30">
        <f>COUNTIF($F$8:$F$32,J11)</f>
        <v>0</v>
      </c>
      <c r="L11" s="6"/>
    </row>
    <row r="12" spans="2:12" ht="20.149999999999999" customHeight="1" x14ac:dyDescent="0.35">
      <c r="B12" s="16"/>
      <c r="C12" s="313">
        <v>5</v>
      </c>
      <c r="D12" s="674"/>
      <c r="E12" s="630"/>
      <c r="F12" s="57" t="str">
        <f>IFERROR(VLOOKUP(E12,Picklists!$D$8:$E$144,2,FALSE),"")</f>
        <v/>
      </c>
      <c r="G12" s="5"/>
      <c r="H12" s="5"/>
      <c r="I12" s="17"/>
      <c r="J12" s="19" t="s">
        <v>54</v>
      </c>
      <c r="K12" s="30">
        <f>COUNTIF($F$8:$F$32,J12)</f>
        <v>0</v>
      </c>
      <c r="L12" s="6"/>
    </row>
    <row r="13" spans="2:12" ht="20.149999999999999" customHeight="1" x14ac:dyDescent="0.35">
      <c r="B13" s="16"/>
      <c r="C13" s="313">
        <v>6</v>
      </c>
      <c r="D13" s="674"/>
      <c r="E13" s="630"/>
      <c r="F13" s="57" t="str">
        <f>IFERROR(VLOOKUP(E13,Picklists!$D$8:$E$144,2,FALSE),"")</f>
        <v/>
      </c>
      <c r="G13" s="5"/>
      <c r="H13" s="5"/>
      <c r="I13" s="17"/>
      <c r="J13" s="20"/>
      <c r="K13" s="21"/>
      <c r="L13" s="6"/>
    </row>
    <row r="14" spans="2:12" ht="20.149999999999999" customHeight="1" x14ac:dyDescent="0.35">
      <c r="B14" s="16"/>
      <c r="C14" s="313">
        <v>7</v>
      </c>
      <c r="D14" s="674"/>
      <c r="E14" s="630"/>
      <c r="F14" s="57" t="str">
        <f>IFERROR(VLOOKUP(E14,Picklists!$D$8:$E$144,2,FALSE),"")</f>
        <v/>
      </c>
      <c r="G14" s="5"/>
      <c r="H14" s="5"/>
      <c r="I14" s="17"/>
      <c r="J14" s="5"/>
      <c r="K14" s="22"/>
      <c r="L14" s="6"/>
    </row>
    <row r="15" spans="2:12" ht="20.149999999999999" customHeight="1" x14ac:dyDescent="0.35">
      <c r="B15" s="16"/>
      <c r="C15" s="313">
        <v>8</v>
      </c>
      <c r="D15" s="674"/>
      <c r="E15" s="630"/>
      <c r="F15" s="57" t="str">
        <f>IFERROR(VLOOKUP(E15,Picklists!$D$8:$E$144,2,FALSE),"")</f>
        <v/>
      </c>
      <c r="G15" s="5"/>
      <c r="H15" s="5"/>
      <c r="I15" s="17"/>
      <c r="J15" s="5"/>
      <c r="K15" s="5"/>
      <c r="L15" s="6"/>
    </row>
    <row r="16" spans="2:12" ht="20.149999999999999" customHeight="1" x14ac:dyDescent="0.35">
      <c r="B16" s="16"/>
      <c r="C16" s="313">
        <v>9</v>
      </c>
      <c r="D16" s="674"/>
      <c r="E16" s="630"/>
      <c r="F16" s="57" t="str">
        <f>IFERROR(VLOOKUP(E16,Picklists!$D$8:$E$144,2,FALSE),"")</f>
        <v/>
      </c>
      <c r="G16" s="5"/>
      <c r="H16" s="5"/>
      <c r="I16" s="17"/>
      <c r="J16" s="805"/>
      <c r="K16" s="805"/>
      <c r="L16" s="6"/>
    </row>
    <row r="17" spans="2:12" ht="20.149999999999999" customHeight="1" x14ac:dyDescent="0.35">
      <c r="B17" s="16"/>
      <c r="C17" s="313">
        <v>10</v>
      </c>
      <c r="D17" s="674"/>
      <c r="E17" s="630"/>
      <c r="F17" s="57" t="str">
        <f>IFERROR(VLOOKUP(E17,Picklists!$D$8:$E$144,2,FALSE),"")</f>
        <v/>
      </c>
      <c r="G17" s="5"/>
      <c r="H17" s="5"/>
      <c r="I17" s="17"/>
      <c r="J17" s="805"/>
      <c r="K17" s="805"/>
      <c r="L17" s="6"/>
    </row>
    <row r="18" spans="2:12" ht="20.149999999999999" customHeight="1" x14ac:dyDescent="0.35">
      <c r="B18" s="16"/>
      <c r="C18" s="313">
        <v>11</v>
      </c>
      <c r="D18" s="674"/>
      <c r="E18" s="630"/>
      <c r="F18" s="57" t="str">
        <f>IFERROR(VLOOKUP(E18,Picklists!$D$8:$E$144,2,FALSE),"")</f>
        <v/>
      </c>
      <c r="G18" s="5"/>
      <c r="H18" s="5"/>
      <c r="I18" s="17"/>
      <c r="J18" s="805"/>
      <c r="K18" s="805"/>
      <c r="L18" s="6"/>
    </row>
    <row r="19" spans="2:12" ht="20.149999999999999" customHeight="1" x14ac:dyDescent="0.35">
      <c r="B19" s="16"/>
      <c r="C19" s="313">
        <v>12</v>
      </c>
      <c r="D19" s="674"/>
      <c r="E19" s="630"/>
      <c r="F19" s="57" t="str">
        <f>IFERROR(VLOOKUP(E19,Picklists!$D$8:$E$144,2,FALSE),"")</f>
        <v/>
      </c>
      <c r="G19" s="5"/>
      <c r="H19" s="5"/>
      <c r="I19" s="17"/>
      <c r="J19" s="805"/>
      <c r="K19" s="805"/>
      <c r="L19" s="6"/>
    </row>
    <row r="20" spans="2:12" ht="20.149999999999999" customHeight="1" x14ac:dyDescent="0.35">
      <c r="B20" s="16"/>
      <c r="C20" s="313">
        <v>13</v>
      </c>
      <c r="D20" s="674"/>
      <c r="E20" s="630"/>
      <c r="F20" s="57" t="str">
        <f>IFERROR(VLOOKUP(E20,Picklists!$D$8:$E$144,2,FALSE),"")</f>
        <v/>
      </c>
      <c r="G20" s="5"/>
      <c r="H20" s="5"/>
      <c r="I20" s="17"/>
      <c r="J20" s="805"/>
      <c r="K20" s="805"/>
      <c r="L20" s="6"/>
    </row>
    <row r="21" spans="2:12" ht="20.149999999999999" customHeight="1" x14ac:dyDescent="0.35">
      <c r="B21" s="16"/>
      <c r="C21" s="313">
        <v>14</v>
      </c>
      <c r="D21" s="674"/>
      <c r="E21" s="630"/>
      <c r="F21" s="57" t="str">
        <f>IFERROR(VLOOKUP(E21,Picklists!$D$8:$E$144,2,FALSE),"")</f>
        <v/>
      </c>
      <c r="G21" s="5"/>
      <c r="H21" s="5"/>
      <c r="I21" s="17"/>
      <c r="J21" s="23"/>
      <c r="K21" s="23"/>
      <c r="L21" s="6"/>
    </row>
    <row r="22" spans="2:12" ht="20.149999999999999" customHeight="1" x14ac:dyDescent="0.35">
      <c r="B22" s="16"/>
      <c r="C22" s="313">
        <v>15</v>
      </c>
      <c r="D22" s="674"/>
      <c r="E22" s="630"/>
      <c r="F22" s="57" t="str">
        <f>IFERROR(VLOOKUP(E22,Picklists!$D$8:$E$144,2,FALSE),"")</f>
        <v/>
      </c>
      <c r="G22" s="5"/>
      <c r="H22" s="5"/>
      <c r="I22" s="17"/>
      <c r="J22" s="24"/>
      <c r="K22" s="24"/>
      <c r="L22" s="6"/>
    </row>
    <row r="23" spans="2:12" ht="20.149999999999999" customHeight="1" x14ac:dyDescent="0.35">
      <c r="B23" s="16"/>
      <c r="C23" s="313">
        <v>16</v>
      </c>
      <c r="D23" s="674"/>
      <c r="E23" s="630"/>
      <c r="F23" s="57" t="str">
        <f>IFERROR(VLOOKUP(E23,Picklists!$D$8:$E$144,2,FALSE),"")</f>
        <v/>
      </c>
      <c r="G23" s="5"/>
      <c r="H23" s="5"/>
      <c r="I23" s="17"/>
      <c r="J23" s="24"/>
      <c r="K23" s="24"/>
      <c r="L23" s="6"/>
    </row>
    <row r="24" spans="2:12" ht="20.149999999999999" customHeight="1" x14ac:dyDescent="0.35">
      <c r="B24" s="16"/>
      <c r="C24" s="313">
        <v>17</v>
      </c>
      <c r="D24" s="674"/>
      <c r="E24" s="630"/>
      <c r="F24" s="57" t="str">
        <f>IFERROR(VLOOKUP(E24,Picklists!$D$8:$E$144,2,FALSE),"")</f>
        <v/>
      </c>
      <c r="G24" s="5"/>
      <c r="H24" s="5"/>
      <c r="I24" s="17"/>
      <c r="J24" s="24"/>
      <c r="K24" s="24"/>
      <c r="L24" s="6"/>
    </row>
    <row r="25" spans="2:12" ht="20.149999999999999" customHeight="1" x14ac:dyDescent="0.35">
      <c r="B25" s="16"/>
      <c r="C25" s="313">
        <v>18</v>
      </c>
      <c r="D25" s="674"/>
      <c r="E25" s="630"/>
      <c r="F25" s="57" t="str">
        <f>IFERROR(VLOOKUP(E25,Picklists!$D$8:$E$144,2,FALSE),"")</f>
        <v/>
      </c>
      <c r="G25" s="5"/>
      <c r="H25" s="5"/>
      <c r="I25" s="17"/>
      <c r="J25" s="806"/>
      <c r="K25" s="806"/>
      <c r="L25" s="6"/>
    </row>
    <row r="26" spans="2:12" ht="20.149999999999999" customHeight="1" x14ac:dyDescent="0.35">
      <c r="B26" s="16"/>
      <c r="C26" s="313">
        <v>19</v>
      </c>
      <c r="D26" s="674"/>
      <c r="E26" s="630"/>
      <c r="F26" s="57" t="str">
        <f>IFERROR(VLOOKUP(E26,Picklists!$D$8:$E$144,2,FALSE),"")</f>
        <v/>
      </c>
      <c r="G26" s="5"/>
      <c r="H26" s="5" t="str">
        <f t="shared" ref="H26:H32" si="0">IF(F26="E",5,(IF(F26="D",4,(IF(F26="C",3,(IF(F26="B",2,(IF(F26="A",1,"")))))))))</f>
        <v/>
      </c>
      <c r="I26" s="17"/>
      <c r="J26" s="806"/>
      <c r="K26" s="806"/>
      <c r="L26" s="6"/>
    </row>
    <row r="27" spans="2:12" ht="20.149999999999999" customHeight="1" x14ac:dyDescent="0.35">
      <c r="B27" s="16"/>
      <c r="C27" s="313">
        <v>20</v>
      </c>
      <c r="D27" s="674"/>
      <c r="E27" s="630"/>
      <c r="F27" s="57" t="str">
        <f>IFERROR(VLOOKUP(E27,Picklists!$D$8:$E$144,2,FALSE),"")</f>
        <v/>
      </c>
      <c r="G27" s="5"/>
      <c r="H27" s="5" t="str">
        <f>IF(F27="E",5,(IF(F27="D",4,(IF(F27="C",3,(IF(F27="B",2,(IF(F27="A",1,"")))))))))</f>
        <v/>
      </c>
      <c r="I27" s="17"/>
      <c r="J27" s="806"/>
      <c r="K27" s="806"/>
      <c r="L27" s="6"/>
    </row>
    <row r="28" spans="2:12" ht="20.149999999999999" customHeight="1" x14ac:dyDescent="0.35">
      <c r="B28" s="16"/>
      <c r="C28" s="313">
        <v>21</v>
      </c>
      <c r="D28" s="674"/>
      <c r="E28" s="630"/>
      <c r="F28" s="57" t="str">
        <f>IFERROR(VLOOKUP(E28,Picklists!$D$8:$E$144,2,FALSE),"")</f>
        <v/>
      </c>
      <c r="G28" s="5"/>
      <c r="H28" s="5" t="str">
        <f t="shared" si="0"/>
        <v/>
      </c>
      <c r="I28" s="17"/>
      <c r="J28" s="5"/>
      <c r="K28" s="5"/>
      <c r="L28" s="6"/>
    </row>
    <row r="29" spans="2:12" ht="20.149999999999999" customHeight="1" x14ac:dyDescent="0.35">
      <c r="B29" s="16"/>
      <c r="C29" s="313">
        <v>22</v>
      </c>
      <c r="D29" s="674"/>
      <c r="E29" s="630"/>
      <c r="F29" s="57" t="str">
        <f>IFERROR(VLOOKUP(E29,Picklists!$D$8:$E$144,2,FALSE),"")</f>
        <v/>
      </c>
      <c r="G29" s="5"/>
      <c r="H29" s="5" t="str">
        <f t="shared" si="0"/>
        <v/>
      </c>
      <c r="I29" s="17"/>
      <c r="J29" s="5"/>
      <c r="K29" s="5"/>
      <c r="L29" s="6"/>
    </row>
    <row r="30" spans="2:12" ht="20.149999999999999" customHeight="1" x14ac:dyDescent="0.35">
      <c r="B30" s="16"/>
      <c r="C30" s="313">
        <v>23</v>
      </c>
      <c r="D30" s="674"/>
      <c r="E30" s="630"/>
      <c r="F30" s="57" t="str">
        <f>IFERROR(VLOOKUP(E30,Picklists!$D$8:$E$144,2,FALSE),"")</f>
        <v/>
      </c>
      <c r="G30" s="5"/>
      <c r="H30" s="5" t="str">
        <f t="shared" si="0"/>
        <v/>
      </c>
      <c r="I30" s="17"/>
      <c r="J30" s="5"/>
      <c r="K30" s="5"/>
      <c r="L30" s="6"/>
    </row>
    <row r="31" spans="2:12" ht="20.149999999999999" customHeight="1" x14ac:dyDescent="0.35">
      <c r="B31" s="16"/>
      <c r="C31" s="313">
        <v>24</v>
      </c>
      <c r="D31" s="674"/>
      <c r="E31" s="630"/>
      <c r="F31" s="57" t="str">
        <f>IFERROR(VLOOKUP(E31,Picklists!$D$8:$E$144,2,FALSE),"")</f>
        <v/>
      </c>
      <c r="G31" s="5"/>
      <c r="H31" s="5" t="str">
        <f t="shared" si="0"/>
        <v/>
      </c>
      <c r="I31" s="17"/>
      <c r="J31" s="5"/>
      <c r="K31" s="5"/>
      <c r="L31" s="6"/>
    </row>
    <row r="32" spans="2:12" ht="20.149999999999999" customHeight="1" x14ac:dyDescent="0.35">
      <c r="B32" s="16"/>
      <c r="C32" s="313">
        <v>25</v>
      </c>
      <c r="D32" s="674"/>
      <c r="E32" s="630"/>
      <c r="F32" s="57" t="str">
        <f>IFERROR(VLOOKUP(E32,Picklists!$D$8:$E$144,2,FALSE),"")</f>
        <v/>
      </c>
      <c r="G32" s="5"/>
      <c r="H32" s="673" t="str">
        <f t="shared" si="0"/>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807" t="s">
        <v>55</v>
      </c>
      <c r="E35" s="807"/>
      <c r="F35" s="807"/>
      <c r="G35" s="807"/>
      <c r="H35" s="807"/>
      <c r="I35" s="5"/>
      <c r="J35" s="5"/>
      <c r="K35" s="5"/>
      <c r="L35" s="6"/>
    </row>
    <row r="36" spans="2:12" ht="15.75" customHeight="1" x14ac:dyDescent="0.35">
      <c r="B36" s="4"/>
      <c r="C36" s="5"/>
      <c r="D36" s="808"/>
      <c r="E36" s="808"/>
      <c r="F36" s="808"/>
      <c r="G36" s="808"/>
      <c r="H36" s="808"/>
      <c r="I36" s="5"/>
      <c r="J36" s="5"/>
      <c r="K36" s="5"/>
      <c r="L36" s="6"/>
    </row>
    <row r="37" spans="2:12" ht="26.5" x14ac:dyDescent="0.35">
      <c r="B37" s="4"/>
      <c r="C37" s="319"/>
      <c r="D37" s="320" t="s">
        <v>56</v>
      </c>
      <c r="E37" s="321" t="s">
        <v>57</v>
      </c>
      <c r="F37" s="322" t="s">
        <v>58</v>
      </c>
      <c r="G37" s="809" t="s">
        <v>59</v>
      </c>
      <c r="H37" s="809"/>
      <c r="I37" s="5"/>
      <c r="J37" s="5"/>
      <c r="K37" s="5"/>
      <c r="L37" s="6"/>
    </row>
    <row r="38" spans="2:12" x14ac:dyDescent="0.35">
      <c r="B38" s="4"/>
      <c r="C38" s="622">
        <v>1</v>
      </c>
      <c r="D38" s="323"/>
      <c r="E38" s="324"/>
      <c r="F38" s="324"/>
      <c r="G38" s="798" t="str">
        <f>IFERROR(VLOOKUP(F38,Picklists!D38:E86,2),"")</f>
        <v/>
      </c>
      <c r="H38" s="798"/>
      <c r="I38" s="5"/>
      <c r="J38" s="5"/>
      <c r="K38" s="5"/>
      <c r="L38" s="6"/>
    </row>
    <row r="39" spans="2:12" x14ac:dyDescent="0.35">
      <c r="B39" s="4"/>
      <c r="C39" s="622">
        <v>2</v>
      </c>
      <c r="D39" s="323"/>
      <c r="E39" s="324"/>
      <c r="F39" s="324"/>
      <c r="G39" s="798" t="str">
        <f>IFERROR(VLOOKUP(F39,Picklists!D39:E87,2),"")</f>
        <v/>
      </c>
      <c r="H39" s="798"/>
      <c r="I39" s="5"/>
      <c r="J39" s="5"/>
      <c r="K39" s="5"/>
      <c r="L39" s="6"/>
    </row>
    <row r="40" spans="2:12" x14ac:dyDescent="0.35">
      <c r="B40" s="4"/>
      <c r="C40" s="623"/>
      <c r="D40" s="624"/>
      <c r="E40" s="379"/>
      <c r="F40" s="379"/>
      <c r="G40" s="383"/>
      <c r="H40" s="383"/>
      <c r="I40" s="5"/>
      <c r="J40" s="5"/>
      <c r="K40" s="5"/>
      <c r="L40" s="6"/>
    </row>
    <row r="41" spans="2:12" x14ac:dyDescent="0.35">
      <c r="B41" s="4"/>
      <c r="C41" s="25"/>
      <c r="D41" s="379"/>
      <c r="E41" s="625" t="s">
        <v>60</v>
      </c>
      <c r="F41" s="799" t="s">
        <v>61</v>
      </c>
      <c r="G41" s="800"/>
      <c r="H41" s="5"/>
      <c r="I41" s="5"/>
      <c r="J41" s="5"/>
      <c r="K41" s="5"/>
      <c r="L41" s="6"/>
    </row>
    <row r="42" spans="2:12" ht="15" thickBot="1" x14ac:dyDescent="0.4">
      <c r="B42" s="8"/>
      <c r="C42" s="9"/>
      <c r="D42" s="9"/>
      <c r="E42" s="9"/>
      <c r="F42" s="42"/>
      <c r="G42" s="9"/>
      <c r="H42" s="9"/>
      <c r="I42" s="9"/>
      <c r="J42" s="9"/>
      <c r="K42" s="9"/>
      <c r="L42" s="10"/>
    </row>
  </sheetData>
  <sheetProtection algorithmName="SHA-512" hashValue="ZVYgHWeDYaLDh43tFa73ztPvbn76LYqcX3z8XvnhbdRqcfCz7vcbykzHox9q25AFvarUOddaq56nicgVIXTpQA==" saltValue="h4ITzKqMtwvsRFHJ3ujdwA=="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Picklists!$D$8:$D$144</xm:f>
          </x14:formula1>
          <xm:sqref>E8:E32</xm:sqref>
        </x14:dataValidation>
        <x14:dataValidation type="list" allowBlank="1" showInputMessage="1" showErrorMessage="1" xr:uid="{8064FF46-9AB6-4B99-8FE9-82F1516E7064}">
          <x14:formula1>
            <xm:f>Picklists!$D$38:$D$86</xm:f>
          </x14:formula1>
          <xm:sqref>F38:F40</xm:sqref>
        </x14:dataValidation>
        <x14:dataValidation type="list" allowBlank="1" showInputMessage="1" showErrorMessage="1" xr:uid="{244B6BD1-DDF8-40D3-B9F4-7C20CF3EF191}">
          <x14:formula1>
            <xm:f>Picklists!$U$9:$U$14</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10" workbookViewId="0">
      <selection activeCell="C6" sqref="C6"/>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69"/>
      <c r="C2" s="818" t="s">
        <v>62</v>
      </c>
      <c r="D2" s="819"/>
      <c r="E2" s="819"/>
      <c r="F2" s="820"/>
      <c r="G2" s="669"/>
      <c r="H2" s="670"/>
    </row>
    <row r="3" spans="2:8" ht="16.5" customHeight="1" x14ac:dyDescent="0.35">
      <c r="B3" s="4"/>
      <c r="C3" s="25"/>
      <c r="D3" s="22"/>
      <c r="E3" s="814"/>
      <c r="F3" s="814"/>
      <c r="G3" s="5"/>
      <c r="H3" s="6"/>
    </row>
    <row r="4" spans="2:8" x14ac:dyDescent="0.35">
      <c r="B4" s="4"/>
      <c r="C4" s="815" t="s">
        <v>63</v>
      </c>
      <c r="D4" s="815"/>
      <c r="E4" s="816" t="str">
        <f>+Introduction!E10</f>
        <v>Tradebe Healthcare National Limited</v>
      </c>
      <c r="F4" s="816"/>
      <c r="G4" s="806"/>
      <c r="H4" s="6"/>
    </row>
    <row r="5" spans="2:8" x14ac:dyDescent="0.35">
      <c r="B5" s="4"/>
      <c r="C5" s="815" t="s">
        <v>44</v>
      </c>
      <c r="D5" s="815"/>
      <c r="E5" s="816" t="str">
        <f>+Introduction!K10</f>
        <v>EPR/WP3636ZG</v>
      </c>
      <c r="F5" s="816"/>
      <c r="G5" s="806"/>
      <c r="H5" s="6"/>
    </row>
    <row r="6" spans="2:8" x14ac:dyDescent="0.35">
      <c r="B6" s="4"/>
      <c r="C6" s="25"/>
      <c r="D6" s="25"/>
      <c r="E6" s="33"/>
      <c r="F6" s="5"/>
      <c r="G6" s="806"/>
      <c r="H6" s="6"/>
    </row>
    <row r="7" spans="2:8" ht="51" customHeight="1" x14ac:dyDescent="0.35">
      <c r="B7" s="4"/>
      <c r="C7" s="817" t="s">
        <v>64</v>
      </c>
      <c r="D7" s="817"/>
      <c r="E7" s="817"/>
      <c r="F7" s="817"/>
      <c r="G7" s="626"/>
      <c r="H7" s="6"/>
    </row>
    <row r="8" spans="2:8" ht="36.75" customHeight="1" x14ac:dyDescent="0.35">
      <c r="B8" s="4"/>
      <c r="C8" s="312"/>
      <c r="D8" s="25"/>
      <c r="E8" s="312"/>
      <c r="F8" s="37"/>
      <c r="G8" s="312"/>
      <c r="H8" s="6"/>
    </row>
    <row r="9" spans="2:8" ht="35.25" customHeight="1" x14ac:dyDescent="0.35">
      <c r="B9" s="4"/>
      <c r="C9" s="810" t="s">
        <v>65</v>
      </c>
      <c r="D9" s="811"/>
      <c r="E9" s="811"/>
      <c r="F9" s="812"/>
      <c r="G9" s="38"/>
      <c r="H9" s="6"/>
    </row>
    <row r="10" spans="2:8" ht="39" x14ac:dyDescent="0.35">
      <c r="B10" s="4"/>
      <c r="C10" s="316"/>
      <c r="D10" s="45" t="s">
        <v>66</v>
      </c>
      <c r="E10" s="45" t="s">
        <v>67</v>
      </c>
      <c r="F10" s="15" t="s">
        <v>68</v>
      </c>
      <c r="G10" s="311"/>
      <c r="H10" s="6"/>
    </row>
    <row r="11" spans="2:8" ht="18" customHeight="1" x14ac:dyDescent="0.35">
      <c r="B11" s="4"/>
      <c r="C11" s="316">
        <v>1</v>
      </c>
      <c r="D11" s="731"/>
      <c r="E11" s="518"/>
      <c r="F11" s="318"/>
      <c r="G11" s="5"/>
      <c r="H11" s="36"/>
    </row>
    <row r="12" spans="2:8" ht="18" customHeight="1" x14ac:dyDescent="0.35">
      <c r="B12" s="4"/>
      <c r="C12" s="316">
        <v>2</v>
      </c>
      <c r="D12" s="731"/>
      <c r="E12" s="518"/>
      <c r="F12" s="318"/>
      <c r="G12" s="5"/>
      <c r="H12" s="36"/>
    </row>
    <row r="13" spans="2:8" ht="18" customHeight="1" x14ac:dyDescent="0.35">
      <c r="B13" s="4"/>
      <c r="C13" s="316">
        <v>3</v>
      </c>
      <c r="D13" s="731"/>
      <c r="E13" s="518"/>
      <c r="F13" s="318"/>
      <c r="G13" s="5"/>
      <c r="H13" s="36"/>
    </row>
    <row r="14" spans="2:8" ht="18" customHeight="1" x14ac:dyDescent="0.35">
      <c r="B14" s="4"/>
      <c r="C14" s="316">
        <v>4</v>
      </c>
      <c r="D14" s="731"/>
      <c r="E14" s="518"/>
      <c r="F14" s="318"/>
      <c r="G14" s="5"/>
      <c r="H14" s="36"/>
    </row>
    <row r="15" spans="2:8" ht="18" customHeight="1" x14ac:dyDescent="0.35">
      <c r="B15" s="4"/>
      <c r="C15" s="316">
        <v>5</v>
      </c>
      <c r="D15" s="731"/>
      <c r="E15" s="518"/>
      <c r="F15" s="318"/>
      <c r="G15" s="5"/>
      <c r="H15" s="36"/>
    </row>
    <row r="16" spans="2:8" ht="18" customHeight="1" x14ac:dyDescent="0.35">
      <c r="B16" s="4"/>
      <c r="C16" s="316">
        <v>6</v>
      </c>
      <c r="D16" s="317"/>
      <c r="E16" s="518"/>
      <c r="F16" s="318"/>
      <c r="G16" s="5"/>
      <c r="H16" s="36"/>
    </row>
    <row r="17" spans="2:8" ht="18" customHeight="1" x14ac:dyDescent="0.35">
      <c r="B17" s="4"/>
      <c r="C17" s="316">
        <v>7</v>
      </c>
      <c r="D17" s="317"/>
      <c r="E17" s="518"/>
      <c r="F17" s="318"/>
      <c r="G17" s="5"/>
      <c r="H17" s="36"/>
    </row>
    <row r="18" spans="2:8" ht="18" customHeight="1" x14ac:dyDescent="0.35">
      <c r="B18" s="4"/>
      <c r="C18" s="316">
        <v>8</v>
      </c>
      <c r="D18" s="317"/>
      <c r="E18" s="518"/>
      <c r="F18" s="318"/>
      <c r="G18" s="5"/>
      <c r="H18" s="36"/>
    </row>
    <row r="19" spans="2:8" ht="18" customHeight="1" x14ac:dyDescent="0.35">
      <c r="B19" s="4"/>
      <c r="C19" s="316">
        <v>9</v>
      </c>
      <c r="D19" s="317"/>
      <c r="E19" s="518"/>
      <c r="F19" s="318"/>
      <c r="G19" s="5"/>
      <c r="H19" s="36"/>
    </row>
    <row r="20" spans="2:8" ht="18" customHeight="1" x14ac:dyDescent="0.35">
      <c r="B20" s="4"/>
      <c r="C20" s="316">
        <v>10</v>
      </c>
      <c r="D20" s="317"/>
      <c r="E20" s="518"/>
      <c r="F20" s="318"/>
      <c r="G20" s="5"/>
      <c r="H20" s="36"/>
    </row>
    <row r="21" spans="2:8" ht="18" customHeight="1" x14ac:dyDescent="0.35">
      <c r="B21" s="4"/>
      <c r="C21" s="316">
        <v>11</v>
      </c>
      <c r="D21" s="317"/>
      <c r="E21" s="518"/>
      <c r="F21" s="318"/>
      <c r="G21" s="5"/>
      <c r="H21" s="36"/>
    </row>
    <row r="22" spans="2:8" ht="18" customHeight="1" x14ac:dyDescent="0.35">
      <c r="B22" s="4"/>
      <c r="C22" s="316">
        <v>12</v>
      </c>
      <c r="D22" s="317"/>
      <c r="E22" s="518"/>
      <c r="F22" s="318"/>
      <c r="G22" s="5"/>
      <c r="H22" s="36"/>
    </row>
    <row r="23" spans="2:8" ht="18" customHeight="1" x14ac:dyDescent="0.35">
      <c r="B23" s="4"/>
      <c r="C23" s="316">
        <v>13</v>
      </c>
      <c r="D23" s="317"/>
      <c r="E23" s="518"/>
      <c r="F23" s="318"/>
      <c r="G23" s="5"/>
      <c r="H23" s="36"/>
    </row>
    <row r="24" spans="2:8" ht="18" customHeight="1" x14ac:dyDescent="0.35">
      <c r="B24" s="4"/>
      <c r="C24" s="316">
        <v>14</v>
      </c>
      <c r="D24" s="317"/>
      <c r="E24" s="518"/>
      <c r="F24" s="318"/>
      <c r="G24" s="5"/>
      <c r="H24" s="36"/>
    </row>
    <row r="25" spans="2:8" ht="18" customHeight="1" x14ac:dyDescent="0.35">
      <c r="B25" s="4"/>
      <c r="C25" s="316">
        <v>15</v>
      </c>
      <c r="D25" s="317"/>
      <c r="E25" s="518"/>
      <c r="F25" s="318"/>
      <c r="G25" s="5"/>
      <c r="H25" s="36"/>
    </row>
    <row r="26" spans="2:8" ht="18" customHeight="1" x14ac:dyDescent="0.35">
      <c r="B26" s="4"/>
      <c r="C26" s="316">
        <v>16</v>
      </c>
      <c r="D26" s="317"/>
      <c r="E26" s="518"/>
      <c r="F26" s="318"/>
      <c r="G26" s="5"/>
      <c r="H26" s="36"/>
    </row>
    <row r="27" spans="2:8" ht="18" customHeight="1" x14ac:dyDescent="0.35">
      <c r="B27" s="4"/>
      <c r="C27" s="316">
        <v>17</v>
      </c>
      <c r="D27" s="317"/>
      <c r="E27" s="518"/>
      <c r="F27" s="318"/>
      <c r="G27" s="5"/>
      <c r="H27" s="36"/>
    </row>
    <row r="28" spans="2:8" ht="18" customHeight="1" x14ac:dyDescent="0.35">
      <c r="B28" s="4"/>
      <c r="C28" s="316">
        <v>18</v>
      </c>
      <c r="D28" s="317"/>
      <c r="E28" s="518"/>
      <c r="F28" s="318"/>
      <c r="G28" s="5"/>
      <c r="H28" s="36"/>
    </row>
    <row r="29" spans="2:8" ht="18" customHeight="1" x14ac:dyDescent="0.35">
      <c r="B29" s="4"/>
      <c r="C29" s="316">
        <v>19</v>
      </c>
      <c r="D29" s="317"/>
      <c r="E29" s="518"/>
      <c r="F29" s="318"/>
      <c r="G29" s="5"/>
      <c r="H29" s="36"/>
    </row>
    <row r="30" spans="2:8" ht="18" customHeight="1" x14ac:dyDescent="0.35">
      <c r="B30" s="4"/>
      <c r="C30" s="316">
        <v>20</v>
      </c>
      <c r="D30" s="43"/>
      <c r="E30" s="518"/>
      <c r="F30" s="318"/>
      <c r="G30" s="5"/>
      <c r="H30" s="36"/>
    </row>
    <row r="31" spans="2:8" x14ac:dyDescent="0.35">
      <c r="B31" s="4"/>
      <c r="C31" s="25"/>
      <c r="D31" s="40"/>
      <c r="E31" s="40"/>
      <c r="F31" s="5"/>
      <c r="G31" s="39"/>
      <c r="H31" s="36"/>
    </row>
    <row r="32" spans="2:8" x14ac:dyDescent="0.35">
      <c r="B32" s="4"/>
      <c r="C32" s="25"/>
      <c r="D32" s="813"/>
      <c r="E32" s="813"/>
      <c r="F32" s="5"/>
      <c r="G32" s="39"/>
      <c r="H32" s="36"/>
    </row>
    <row r="33" spans="2:8" ht="15" thickBot="1" x14ac:dyDescent="0.4">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link="1"/>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X58"/>
  <sheetViews>
    <sheetView topLeftCell="A5" zoomScale="90" zoomScaleNormal="90" workbookViewId="0">
      <selection activeCell="P6" sqref="P6"/>
    </sheetView>
  </sheetViews>
  <sheetFormatPr defaultRowHeight="14.5" x14ac:dyDescent="0.35"/>
  <cols>
    <col min="1" max="1" width="5.1796875" customWidth="1"/>
    <col min="2" max="2" width="9.81640625" customWidth="1"/>
    <col min="3" max="3" width="16.1796875" customWidth="1"/>
    <col min="4" max="4" width="21" customWidth="1"/>
    <col min="5" max="5" width="14.1796875" customWidth="1"/>
    <col min="6" max="6" width="9.1796875" style="290"/>
    <col min="7" max="7" width="20.1796875" customWidth="1"/>
    <col min="8" max="8" width="18.1796875" customWidth="1"/>
    <col min="9" max="9" width="14.1796875" customWidth="1"/>
    <col min="10" max="10" width="11.81640625" style="290" customWidth="1"/>
    <col min="11" max="11" width="3.453125" style="290" customWidth="1"/>
    <col min="12" max="12" width="24.81640625" customWidth="1"/>
    <col min="13" max="13" width="17.81640625" style="11" customWidth="1"/>
    <col min="14" max="14" width="14.1796875" customWidth="1"/>
    <col min="15" max="15" width="10.81640625" customWidth="1"/>
    <col min="16" max="16" width="33.54296875" style="11" customWidth="1"/>
    <col min="17" max="17" width="23.81640625" style="11" customWidth="1"/>
    <col min="18" max="18" width="12.7265625" customWidth="1"/>
    <col min="19" max="23" width="8.7265625" style="579" customWidth="1"/>
  </cols>
  <sheetData>
    <row r="1" spans="1:24" ht="15" thickBot="1" x14ac:dyDescent="0.4"/>
    <row r="2" spans="1:24" ht="30.75" customHeight="1" thickBot="1" x14ac:dyDescent="0.4">
      <c r="A2" s="663"/>
      <c r="B2" s="664"/>
      <c r="C2" s="663"/>
      <c r="D2" s="664"/>
      <c r="E2" s="665"/>
      <c r="F2" s="665"/>
      <c r="G2" s="667" t="s">
        <v>69</v>
      </c>
      <c r="H2" s="665"/>
      <c r="I2" s="664"/>
      <c r="J2" s="664"/>
      <c r="K2" s="664"/>
      <c r="L2" s="664"/>
      <c r="M2" s="664"/>
      <c r="N2" s="664"/>
      <c r="O2" s="664"/>
      <c r="P2" s="664"/>
      <c r="Q2" s="664"/>
      <c r="R2" s="720"/>
      <c r="S2" s="724"/>
    </row>
    <row r="3" spans="1:24" ht="27.75" customHeight="1" x14ac:dyDescent="0.35">
      <c r="A3" s="401"/>
      <c r="B3" s="498"/>
      <c r="C3" s="498"/>
      <c r="D3" s="379"/>
      <c r="E3" s="498"/>
      <c r="F3" s="498"/>
      <c r="G3" s="498"/>
      <c r="H3" s="498"/>
      <c r="I3" s="498"/>
      <c r="J3" s="498"/>
      <c r="K3" s="402"/>
      <c r="L3" s="379"/>
      <c r="M3" s="383"/>
      <c r="N3" s="379"/>
      <c r="O3" s="379"/>
      <c r="P3" s="666" t="s">
        <v>70</v>
      </c>
      <c r="Q3" s="666" t="s">
        <v>71</v>
      </c>
      <c r="R3" s="721"/>
      <c r="S3" s="725"/>
    </row>
    <row r="4" spans="1:24" ht="135" customHeight="1" x14ac:dyDescent="0.35">
      <c r="A4" s="4"/>
      <c r="B4" s="5"/>
      <c r="C4" s="5"/>
      <c r="D4" s="59"/>
      <c r="E4" s="5"/>
      <c r="F4" s="404"/>
      <c r="G4" s="5"/>
      <c r="H4" s="5"/>
      <c r="I4" s="5"/>
      <c r="J4" s="404"/>
      <c r="K4" s="405"/>
      <c r="L4" s="379"/>
      <c r="M4" s="379"/>
      <c r="N4" s="379"/>
      <c r="O4" s="379"/>
      <c r="P4" s="631" t="s">
        <v>72</v>
      </c>
      <c r="Q4" s="631" t="s">
        <v>73</v>
      </c>
      <c r="R4" s="721"/>
      <c r="S4" s="725"/>
    </row>
    <row r="5" spans="1:24" ht="48.75" customHeight="1" thickBot="1" x14ac:dyDescent="0.4">
      <c r="A5" s="4"/>
      <c r="B5" s="821" t="s">
        <v>74</v>
      </c>
      <c r="C5" s="822"/>
      <c r="D5" s="823" t="str">
        <f>+Introduction!E10</f>
        <v>Tradebe Healthcare National Limited</v>
      </c>
      <c r="E5" s="824"/>
      <c r="F5" s="632"/>
      <c r="G5" s="825" t="s">
        <v>75</v>
      </c>
      <c r="H5" s="826"/>
      <c r="I5" s="826"/>
      <c r="J5" s="633"/>
      <c r="K5" s="634"/>
      <c r="L5" s="379"/>
      <c r="M5" s="383"/>
      <c r="N5" s="379"/>
      <c r="O5" s="383"/>
      <c r="P5" s="635" t="s">
        <v>76</v>
      </c>
      <c r="Q5" s="636"/>
      <c r="R5" s="721"/>
      <c r="S5" s="725"/>
    </row>
    <row r="6" spans="1:24" ht="31.5" customHeight="1" thickBot="1" x14ac:dyDescent="0.4">
      <c r="A6" s="4"/>
      <c r="B6" s="821" t="s">
        <v>77</v>
      </c>
      <c r="C6" s="822"/>
      <c r="D6" s="823" t="str">
        <f>+Introduction!K10</f>
        <v>EPR/WP3636ZG</v>
      </c>
      <c r="E6" s="824"/>
      <c r="F6" s="632"/>
      <c r="G6" s="5"/>
      <c r="H6" s="5"/>
      <c r="I6" s="5"/>
      <c r="J6" s="637"/>
      <c r="K6" s="634"/>
      <c r="L6" s="379"/>
      <c r="M6" s="383"/>
      <c r="N6" s="379"/>
      <c r="O6" s="379"/>
      <c r="P6" s="668" t="s">
        <v>96</v>
      </c>
      <c r="Q6" s="383"/>
      <c r="R6" s="721"/>
      <c r="S6" s="725"/>
    </row>
    <row r="7" spans="1:24" ht="93.65" customHeight="1" x14ac:dyDescent="0.35">
      <c r="A7" s="4"/>
      <c r="B7" s="5"/>
      <c r="C7" s="638" t="s">
        <v>78</v>
      </c>
      <c r="D7" s="638"/>
      <c r="E7" s="638"/>
      <c r="F7" s="404"/>
      <c r="G7" s="638" t="s">
        <v>79</v>
      </c>
      <c r="H7" s="638"/>
      <c r="I7" s="638"/>
      <c r="J7" s="638"/>
      <c r="K7" s="405"/>
      <c r="L7" s="638" t="s">
        <v>80</v>
      </c>
      <c r="M7" s="639"/>
      <c r="N7" s="638"/>
      <c r="O7" s="638"/>
      <c r="P7" s="719"/>
      <c r="Q7" s="639"/>
      <c r="R7" s="721"/>
      <c r="S7" s="725"/>
    </row>
    <row r="8" spans="1:24" ht="47" x14ac:dyDescent="0.35">
      <c r="A8" s="4"/>
      <c r="B8" s="14" t="s">
        <v>81</v>
      </c>
      <c r="C8" s="48" t="s">
        <v>82</v>
      </c>
      <c r="D8" s="48" t="s">
        <v>83</v>
      </c>
      <c r="E8" s="48" t="s">
        <v>59</v>
      </c>
      <c r="F8" s="49"/>
      <c r="G8" s="15" t="s">
        <v>82</v>
      </c>
      <c r="H8" s="15" t="s">
        <v>83</v>
      </c>
      <c r="I8" s="15" t="s">
        <v>59</v>
      </c>
      <c r="J8" s="15" t="s">
        <v>84</v>
      </c>
      <c r="K8" s="403"/>
      <c r="L8" s="15" t="s">
        <v>82</v>
      </c>
      <c r="M8" s="15" t="s">
        <v>83</v>
      </c>
      <c r="N8" s="15" t="s">
        <v>59</v>
      </c>
      <c r="O8" s="15" t="s">
        <v>85</v>
      </c>
      <c r="P8" s="15" t="s">
        <v>70</v>
      </c>
      <c r="Q8" s="15" t="s">
        <v>71</v>
      </c>
      <c r="R8" s="721"/>
      <c r="S8" s="726" t="s">
        <v>86</v>
      </c>
      <c r="T8" s="727" t="s">
        <v>87</v>
      </c>
      <c r="U8" s="727" t="s">
        <v>88</v>
      </c>
      <c r="V8" s="727" t="s">
        <v>89</v>
      </c>
      <c r="W8" s="727" t="s">
        <v>90</v>
      </c>
      <c r="X8" s="306"/>
    </row>
    <row r="9" spans="1:24" ht="14.5" customHeight="1" x14ac:dyDescent="0.35">
      <c r="A9" s="4"/>
      <c r="B9" s="15">
        <v>1</v>
      </c>
      <c r="C9" s="662" t="str">
        <f>+'1 Listed activity'!D8</f>
        <v>PHYSIO-CHEMICAL TREATMENT OF HAZARDOUS AND NON HAZARDOUS HEALTHCARE WASTE &gt;20T / DAY</v>
      </c>
      <c r="D9" s="662" t="str">
        <f>+'1 Listed activity'!E8</f>
        <v>5.3 Part A (1) a) (ii)</v>
      </c>
      <c r="E9" s="658" t="str">
        <f>+'1 Listed activity'!F8</f>
        <v>B</v>
      </c>
      <c r="F9" s="572">
        <f t="shared" ref="F9:F38" si="0">+B9</f>
        <v>1</v>
      </c>
      <c r="G9" s="661" t="str" cm="1">
        <f t="array" ref="G9:I38">_xlfn.SORTBY(C9:E38,D9:D38,-1)</f>
        <v>PHYSIO-CHEMICAL TREATMENT OF HAZARDOUS AND NON HAZARDOUS HEALTHCARE WASTE &gt;20T / DAY</v>
      </c>
      <c r="H9" s="661" t="str">
        <v>5.3 Part A (1) a) (ii)</v>
      </c>
      <c r="I9" s="377" t="str">
        <v>B</v>
      </c>
      <c r="J9" s="377" t="str">
        <f>IF(H9=0,"",IF(COUNTIF($H$9:H9,H9)&gt;3,"*Capped",I9))</f>
        <v>B</v>
      </c>
      <c r="K9" s="572"/>
      <c r="L9" s="661" t="str" cm="1">
        <f t="array" ref="L9:O38">_xlfn.SORTBY(G9:J38,J9:J38,-1)</f>
        <v>PHYSIO-CHEMICAL TREATMENT OF HAZARDOUS AND NON HAZARDOUS HEALTHCARE WASTE &gt;20T / DAY</v>
      </c>
      <c r="M9" s="661" t="str">
        <v>5.3 Part A (1) a) (ii)</v>
      </c>
      <c r="N9" s="659" t="str">
        <v>B</v>
      </c>
      <c r="O9" s="660" t="str">
        <v>B</v>
      </c>
      <c r="P9" s="660" t="str">
        <f>IF(O9="E","E",IF(AND(T9=1,$P$6="yes",O9="D"),"E",IF(AND(U9=1,$P$6="yes",O9="C"),"D",IF(AND(V9=1,$P$6="yes",O9="b"),"c",IF(AND(W9=1,$P$6="yes",O9="a"),"b",IF($P$6="no",O9,O9))))))</f>
        <v>B</v>
      </c>
      <c r="Q9" s="377" t="str">
        <f t="shared" ref="Q9:Q38" si="1">IF(P9=0,"",IF(AND(F9&gt;6,P9="E"),"D",IF(AND(F9&gt;6,P9="D"),"C",IF(AND(F9&gt;6,P9="C"),"B",IF(AND(F9&gt;6,P9="B"),"A",P9)))))</f>
        <v>B</v>
      </c>
      <c r="R9" s="721"/>
      <c r="S9" s="728">
        <f>COUNTIF($O$9:O9,$S$8)</f>
        <v>0</v>
      </c>
      <c r="T9" s="729">
        <f>COUNTIF($O$9:O9,$T$8)</f>
        <v>0</v>
      </c>
      <c r="U9" s="729">
        <f>IF(T9=0,COUNTIF($O$9:O9,$U$8),0)</f>
        <v>0</v>
      </c>
      <c r="V9" s="729">
        <f>IF(SUM(T9:U9)=0,COUNTIF($O$9:O9,$V$8),0)</f>
        <v>1</v>
      </c>
      <c r="W9" s="729">
        <f>IF(SUM(T9:V9)=0,COUNTIF($O$9:O9,$W$8),0)</f>
        <v>0</v>
      </c>
      <c r="X9" s="306"/>
    </row>
    <row r="10" spans="1:24" x14ac:dyDescent="0.35">
      <c r="A10" s="4"/>
      <c r="B10" s="15">
        <v>2</v>
      </c>
      <c r="C10" s="662" t="str">
        <f>+'1 Listed activity'!D9</f>
        <v>STORAGE OF HAZARDOUS AND NON HAZARDOUS HEALTHCARE WASTE PRIOR TO TREATMENT / DISPOSAL OFFSITE &gt;10T / DAY</v>
      </c>
      <c r="D10" s="662" t="str">
        <f>+'1 Listed activity'!E9</f>
        <v>5.3 Part A (1) a) (ii)</v>
      </c>
      <c r="E10" s="658" t="str">
        <f>+'1 Listed activity'!F9</f>
        <v>B</v>
      </c>
      <c r="F10" s="572">
        <f t="shared" si="0"/>
        <v>2</v>
      </c>
      <c r="G10" s="661" t="str">
        <v>STORAGE OF HAZARDOUS AND NON HAZARDOUS HEALTHCARE WASTE PRIOR TO TREATMENT / DISPOSAL OFFSITE &gt;10T / DAY</v>
      </c>
      <c r="H10" s="661" t="str">
        <v>5.3 Part A (1) a) (ii)</v>
      </c>
      <c r="I10" s="377" t="str">
        <v>B</v>
      </c>
      <c r="J10" s="377" t="str">
        <f>IF(H10=0,"",IF(COUNTIF($H$9:H10,H10)&gt;3,"*Capped",I10))</f>
        <v>B</v>
      </c>
      <c r="K10" s="572"/>
      <c r="L10" s="661" t="str">
        <v>STORAGE OF HAZARDOUS AND NON HAZARDOUS HEALTHCARE WASTE PRIOR TO TREATMENT / DISPOSAL OFFSITE &gt;10T / DAY</v>
      </c>
      <c r="M10" s="661" t="str">
        <v>5.3 Part A (1) a) (ii)</v>
      </c>
      <c r="N10" s="659" t="str">
        <v>B</v>
      </c>
      <c r="O10" s="660" t="str">
        <v>B</v>
      </c>
      <c r="P10" s="660" t="str">
        <f>IF(O10="E","E",IF(AND(T10=1,$P$6="yes",O10="D"),"E",IF(AND(U10=1,$P$6="yes",O10="C"),"D",IF(AND(V10=1,$P$6="yes",O10="B"),"c",IF(AND(W10=1,$P$6="yes",O10="A"),"b",IF($P$6="no",O10,O10))))))</f>
        <v>B</v>
      </c>
      <c r="Q10" s="377" t="str">
        <f t="shared" si="1"/>
        <v>B</v>
      </c>
      <c r="R10" s="721"/>
      <c r="S10" s="728">
        <f>COUNTIF($O$9:O10,$S$8)</f>
        <v>0</v>
      </c>
      <c r="T10" s="729">
        <f>COUNTIF($O$9:O10,$T$8)</f>
        <v>0</v>
      </c>
      <c r="U10" s="729">
        <f>IF(T10=0,COUNTIF($O$9:O10,$U$8),0)</f>
        <v>0</v>
      </c>
      <c r="V10" s="729">
        <f>IF(SUM(T10:U10)=0,COUNTIF($O$9:O10,$V$8),0)</f>
        <v>2</v>
      </c>
      <c r="W10" s="729">
        <f>IF(SUM(T10:V10)=0,COUNTIF($O$9:O10,$W$8),0)</f>
        <v>0</v>
      </c>
      <c r="X10" s="306"/>
    </row>
    <row r="11" spans="1:24" x14ac:dyDescent="0.35">
      <c r="A11" s="4"/>
      <c r="B11" s="15">
        <v>3</v>
      </c>
      <c r="C11" s="662">
        <f>+'1 Listed activity'!D10</f>
        <v>0</v>
      </c>
      <c r="D11" s="662">
        <f>+'1 Listed activity'!E10</f>
        <v>0</v>
      </c>
      <c r="E11" s="658" t="str">
        <f>+'1 Listed activity'!F10</f>
        <v/>
      </c>
      <c r="F11" s="572">
        <f t="shared" si="0"/>
        <v>3</v>
      </c>
      <c r="G11" s="661">
        <v>0</v>
      </c>
      <c r="H11" s="661">
        <v>0</v>
      </c>
      <c r="I11" s="377" t="str">
        <v/>
      </c>
      <c r="J11" s="377" t="str">
        <f>IF(H11=0,"",IF(COUNTIF($H$9:H11,H11)&gt;3,"*Capped",I11))</f>
        <v/>
      </c>
      <c r="K11" s="572"/>
      <c r="L11" s="661">
        <v>0</v>
      </c>
      <c r="M11" s="661">
        <v>0</v>
      </c>
      <c r="N11" s="659" t="str">
        <v/>
      </c>
      <c r="O11" s="660" t="str">
        <v/>
      </c>
      <c r="P11" s="660" t="str">
        <f t="shared" ref="P11:P17" si="2">IF(O11="E","E",IF(AND(T11=1,$P$6="yes",O11="D"),"E",IF(AND(U11=1,$P$6="yes",O11="C"),"D",IF(AND(V11=1,$P$6="yes",O11="b"),"C",IF(AND(W11=1,$P$6="yes",O11="a"),"B",IF($P$6="no",O11,O11))))))</f>
        <v/>
      </c>
      <c r="Q11" s="377" t="str">
        <f t="shared" si="1"/>
        <v/>
      </c>
      <c r="R11" s="721"/>
      <c r="S11" s="728">
        <f>COUNTIF($O$9:O11,$S$8)</f>
        <v>0</v>
      </c>
      <c r="T11" s="729">
        <f>COUNTIF($O$9:O11,$T$8)</f>
        <v>0</v>
      </c>
      <c r="U11" s="729">
        <f>IF(T11=0,COUNTIF($O$9:O11,$U$8),0)</f>
        <v>0</v>
      </c>
      <c r="V11" s="729">
        <f>IF(SUM(T11:U11)=0,COUNTIF($O$9:O11,$V$8),0)</f>
        <v>2</v>
      </c>
      <c r="W11" s="729">
        <f>IF(SUM(T11:V11)=0,COUNTIF($O$9:O11,$W$8),0)</f>
        <v>0</v>
      </c>
      <c r="X11" s="306"/>
    </row>
    <row r="12" spans="1:24" x14ac:dyDescent="0.35">
      <c r="A12" s="4"/>
      <c r="B12" s="15">
        <v>4</v>
      </c>
      <c r="C12" s="662">
        <f>+'1 Listed activity'!D11</f>
        <v>0</v>
      </c>
      <c r="D12" s="662">
        <f>+'1 Listed activity'!E11</f>
        <v>0</v>
      </c>
      <c r="E12" s="658" t="str">
        <f>+'1 Listed activity'!F11</f>
        <v/>
      </c>
      <c r="F12" s="572">
        <f t="shared" si="0"/>
        <v>4</v>
      </c>
      <c r="G12" s="661">
        <v>0</v>
      </c>
      <c r="H12" s="661">
        <v>0</v>
      </c>
      <c r="I12" s="377" t="str">
        <v/>
      </c>
      <c r="J12" s="377" t="str">
        <f>IF(H12=0,"",IF(COUNTIF($H$9:H12,H12)&gt;3,"*Capped",I12))</f>
        <v/>
      </c>
      <c r="K12" s="572"/>
      <c r="L12" s="661">
        <v>0</v>
      </c>
      <c r="M12" s="661">
        <v>0</v>
      </c>
      <c r="N12" s="659" t="str">
        <v/>
      </c>
      <c r="O12" s="660" t="str">
        <v/>
      </c>
      <c r="P12" s="660" t="str">
        <f t="shared" si="2"/>
        <v/>
      </c>
      <c r="Q12" s="377" t="str">
        <f t="shared" si="1"/>
        <v/>
      </c>
      <c r="R12" s="721"/>
      <c r="S12" s="728">
        <f>COUNTIF($O$9:O12,$S$8)</f>
        <v>0</v>
      </c>
      <c r="T12" s="729">
        <f>COUNTIF($O$9:O12,$T$8)</f>
        <v>0</v>
      </c>
      <c r="U12" s="729">
        <f>IF(T12=0,COUNTIF($O$9:O12,$U$8),0)</f>
        <v>0</v>
      </c>
      <c r="V12" s="729">
        <f>IF(SUM(T12:U12)=0,COUNTIF($O$9:O12,$V$8),0)</f>
        <v>2</v>
      </c>
      <c r="W12" s="729">
        <f>IF(SUM(T12:V12)=0,COUNTIF($O$9:O12,$W$8),0)</f>
        <v>0</v>
      </c>
      <c r="X12" s="306"/>
    </row>
    <row r="13" spans="1:24" x14ac:dyDescent="0.35">
      <c r="A13" s="4"/>
      <c r="B13" s="15">
        <v>5</v>
      </c>
      <c r="C13" s="662">
        <f>+'1 Listed activity'!D12</f>
        <v>0</v>
      </c>
      <c r="D13" s="662">
        <f>+'1 Listed activity'!E12</f>
        <v>0</v>
      </c>
      <c r="E13" s="658" t="str">
        <f>+'1 Listed activity'!F12</f>
        <v/>
      </c>
      <c r="F13" s="572">
        <f t="shared" si="0"/>
        <v>5</v>
      </c>
      <c r="G13" s="661">
        <v>0</v>
      </c>
      <c r="H13" s="661">
        <v>0</v>
      </c>
      <c r="I13" s="377" t="str">
        <v/>
      </c>
      <c r="J13" s="377" t="str">
        <f>IF(H13=0,"",IF(COUNTIF($H$9:H13,H13)&gt;3,"*Capped",I13))</f>
        <v/>
      </c>
      <c r="K13" s="572"/>
      <c r="L13" s="661">
        <v>0</v>
      </c>
      <c r="M13" s="661">
        <v>0</v>
      </c>
      <c r="N13" s="659" t="str">
        <v/>
      </c>
      <c r="O13" s="660" t="str">
        <v/>
      </c>
      <c r="P13" s="660" t="str">
        <f t="shared" si="2"/>
        <v/>
      </c>
      <c r="Q13" s="377" t="str">
        <f t="shared" si="1"/>
        <v/>
      </c>
      <c r="R13" s="721"/>
      <c r="S13" s="728">
        <f>COUNTIF($O$9:O13,$S$8)</f>
        <v>0</v>
      </c>
      <c r="T13" s="729">
        <f>COUNTIF($O$9:O13,$T$8)</f>
        <v>0</v>
      </c>
      <c r="U13" s="729">
        <f>IF(T13=0,COUNTIF($O$9:O13,$U$8),0)</f>
        <v>0</v>
      </c>
      <c r="V13" s="729">
        <f>IF(SUM(T13:U13)=0,COUNTIF($O$9:O13,$V$8),0)</f>
        <v>2</v>
      </c>
      <c r="W13" s="729">
        <f>IF(SUM(T13:V13)=0,COUNTIF($O$9:O13,$W$8),0)</f>
        <v>0</v>
      </c>
      <c r="X13" s="306"/>
    </row>
    <row r="14" spans="1:24" ht="15" thickBot="1" x14ac:dyDescent="0.4">
      <c r="A14" s="4"/>
      <c r="B14" s="15">
        <v>6</v>
      </c>
      <c r="C14" s="662">
        <f>+'1 Listed activity'!D13</f>
        <v>0</v>
      </c>
      <c r="D14" s="662">
        <f>+'1 Listed activity'!E13</f>
        <v>0</v>
      </c>
      <c r="E14" s="658" t="str">
        <f>+'1 Listed activity'!F13</f>
        <v/>
      </c>
      <c r="F14" s="572">
        <f t="shared" si="0"/>
        <v>6</v>
      </c>
      <c r="G14" s="661">
        <v>0</v>
      </c>
      <c r="H14" s="661">
        <v>0</v>
      </c>
      <c r="I14" s="377" t="str">
        <v/>
      </c>
      <c r="J14" s="377" t="str">
        <f>IF(H14=0,"",IF(COUNTIF($H$9:H14,H14)&gt;3,"*Capped",I14))</f>
        <v/>
      </c>
      <c r="K14" s="572"/>
      <c r="L14" s="661">
        <v>0</v>
      </c>
      <c r="M14" s="661">
        <v>0</v>
      </c>
      <c r="N14" s="659" t="str">
        <v/>
      </c>
      <c r="O14" s="660" t="str">
        <v/>
      </c>
      <c r="P14" s="660" t="str">
        <f t="shared" si="2"/>
        <v/>
      </c>
      <c r="Q14" s="657" t="str">
        <f t="shared" si="1"/>
        <v/>
      </c>
      <c r="R14" s="722"/>
      <c r="S14" s="728">
        <f>COUNTIF($O$9:O14,$S$8)</f>
        <v>0</v>
      </c>
      <c r="T14" s="729">
        <f>COUNTIF($O$9:O14,$T$8)</f>
        <v>0</v>
      </c>
      <c r="U14" s="729">
        <f>IF(T14=0,COUNTIF($O$9:O14,$U$8),0)</f>
        <v>0</v>
      </c>
      <c r="V14" s="729">
        <f>IF(SUM(T14:U14)=0,COUNTIF($O$9:O14,$V$8),0)</f>
        <v>2</v>
      </c>
      <c r="W14" s="729">
        <f>IF(SUM(T14:V14)=0,COUNTIF($O$9:O14,$W$8),0)</f>
        <v>0</v>
      </c>
      <c r="X14" s="306"/>
    </row>
    <row r="15" spans="1:24" x14ac:dyDescent="0.35">
      <c r="A15" s="4"/>
      <c r="B15" s="15">
        <v>7</v>
      </c>
      <c r="C15" s="662">
        <f>+'1 Listed activity'!D14</f>
        <v>0</v>
      </c>
      <c r="D15" s="662">
        <f>+'1 Listed activity'!E14</f>
        <v>0</v>
      </c>
      <c r="E15" s="658" t="str">
        <f>+'1 Listed activity'!F14</f>
        <v/>
      </c>
      <c r="F15" s="572">
        <f t="shared" si="0"/>
        <v>7</v>
      </c>
      <c r="G15" s="661">
        <v>0</v>
      </c>
      <c r="H15" s="661">
        <v>0</v>
      </c>
      <c r="I15" s="377" t="str">
        <v/>
      </c>
      <c r="J15" s="377" t="str">
        <f>IF(H15=0,"",IF(COUNTIF($H$9:H15,H15)&gt;3,"*Capped",I15))</f>
        <v/>
      </c>
      <c r="K15" s="572"/>
      <c r="L15" s="661">
        <v>0</v>
      </c>
      <c r="M15" s="661">
        <v>0</v>
      </c>
      <c r="N15" s="659" t="str">
        <v/>
      </c>
      <c r="O15" s="660" t="str">
        <v/>
      </c>
      <c r="P15" s="660" t="str">
        <f t="shared" si="2"/>
        <v/>
      </c>
      <c r="Q15" s="656" t="str">
        <f t="shared" si="1"/>
        <v/>
      </c>
      <c r="R15" s="722"/>
      <c r="S15" s="728">
        <f>COUNTIF($O$9:O15,$S$8)</f>
        <v>0</v>
      </c>
      <c r="T15" s="729">
        <f>COUNTIF($O$9:O15,$T$8)</f>
        <v>0</v>
      </c>
      <c r="U15" s="729">
        <f>IF(T15=0,COUNTIF($O$9:O15,$U$8),0)</f>
        <v>0</v>
      </c>
      <c r="V15" s="729">
        <f>IF(SUM(T15:U15)=0,COUNTIF($O$9:O15,$V$8),0)</f>
        <v>2</v>
      </c>
      <c r="W15" s="729">
        <f>IF(SUM(T15:V15)=0,COUNTIF($O$9:O15,$W$8),0)</f>
        <v>0</v>
      </c>
      <c r="X15" s="306"/>
    </row>
    <row r="16" spans="1:24" x14ac:dyDescent="0.35">
      <c r="A16" s="4"/>
      <c r="B16" s="15">
        <v>8</v>
      </c>
      <c r="C16" s="662">
        <f>+'1 Listed activity'!D15</f>
        <v>0</v>
      </c>
      <c r="D16" s="662">
        <f>+'1 Listed activity'!E15</f>
        <v>0</v>
      </c>
      <c r="E16" s="658" t="str">
        <f>+'1 Listed activity'!F15</f>
        <v/>
      </c>
      <c r="F16" s="572">
        <f t="shared" si="0"/>
        <v>8</v>
      </c>
      <c r="G16" s="661">
        <v>0</v>
      </c>
      <c r="H16" s="661">
        <v>0</v>
      </c>
      <c r="I16" s="377" t="str">
        <v/>
      </c>
      <c r="J16" s="377" t="str">
        <f>IF(H16=0,"",IF(COUNTIF($H$9:H16,H16)&gt;3,"*Capped",I16))</f>
        <v/>
      </c>
      <c r="K16" s="572"/>
      <c r="L16" s="661">
        <v>0</v>
      </c>
      <c r="M16" s="661">
        <v>0</v>
      </c>
      <c r="N16" s="659" t="str">
        <v/>
      </c>
      <c r="O16" s="660" t="str">
        <v/>
      </c>
      <c r="P16" s="660" t="str">
        <f t="shared" si="2"/>
        <v/>
      </c>
      <c r="Q16" s="377" t="str">
        <f t="shared" si="1"/>
        <v/>
      </c>
      <c r="R16" s="721"/>
      <c r="S16" s="728">
        <f>COUNTIF($O$9:O16,$S$8)</f>
        <v>0</v>
      </c>
      <c r="T16" s="729">
        <f>COUNTIF($O$9:O16,$T$8)</f>
        <v>0</v>
      </c>
      <c r="U16" s="729">
        <f>IF(T16=0,COUNTIF($O$9:O16,$U$8),0)</f>
        <v>0</v>
      </c>
      <c r="V16" s="729">
        <f>IF(SUM(T16:U16)=0,COUNTIF($O$9:O16,$V$8),0)</f>
        <v>2</v>
      </c>
      <c r="W16" s="729">
        <f>IF(SUM(T16:V16)=0,COUNTIF($O$9:O16,$W$8),0)</f>
        <v>0</v>
      </c>
      <c r="X16" s="306"/>
    </row>
    <row r="17" spans="1:24" x14ac:dyDescent="0.35">
      <c r="A17" s="4"/>
      <c r="B17" s="15">
        <v>9</v>
      </c>
      <c r="C17" s="662">
        <f>+'1 Listed activity'!D16</f>
        <v>0</v>
      </c>
      <c r="D17" s="662">
        <f>+'1 Listed activity'!E16</f>
        <v>0</v>
      </c>
      <c r="E17" s="658" t="str">
        <f>+'1 Listed activity'!F16</f>
        <v/>
      </c>
      <c r="F17" s="572">
        <f t="shared" si="0"/>
        <v>9</v>
      </c>
      <c r="G17" s="661">
        <v>0</v>
      </c>
      <c r="H17" s="661">
        <v>0</v>
      </c>
      <c r="I17" s="377" t="str">
        <v/>
      </c>
      <c r="J17" s="377" t="str">
        <f>IF(H17=0,"",IF(COUNTIF($H$9:H17,H17)&gt;3,"*Capped",I17))</f>
        <v/>
      </c>
      <c r="K17" s="572"/>
      <c r="L17" s="661">
        <v>0</v>
      </c>
      <c r="M17" s="661">
        <v>0</v>
      </c>
      <c r="N17" s="659" t="str">
        <v/>
      </c>
      <c r="O17" s="660" t="str">
        <v/>
      </c>
      <c r="P17" s="660" t="str">
        <f t="shared" si="2"/>
        <v/>
      </c>
      <c r="Q17" s="377" t="str">
        <f t="shared" si="1"/>
        <v/>
      </c>
      <c r="R17" s="721"/>
      <c r="S17" s="728">
        <f>COUNTIF($O$9:O17,$S$8)</f>
        <v>0</v>
      </c>
      <c r="T17" s="729">
        <f>COUNTIF($O$9:O17,$T$8)</f>
        <v>0</v>
      </c>
      <c r="U17" s="729">
        <f>IF(T17=0,COUNTIF($O$9:O17,$U$8),0)</f>
        <v>0</v>
      </c>
      <c r="V17" s="729">
        <f>IF(SUM(T17:U17)=0,COUNTIF($O$9:O17,$V$8),0)</f>
        <v>2</v>
      </c>
      <c r="W17" s="729">
        <f>IF(SUM(T17:V17)=0,COUNTIF($O$9:O17,$W$8),0)</f>
        <v>0</v>
      </c>
      <c r="X17" s="306"/>
    </row>
    <row r="18" spans="1:24" x14ac:dyDescent="0.35">
      <c r="A18" s="4"/>
      <c r="B18" s="15">
        <v>10</v>
      </c>
      <c r="C18" s="662">
        <f>+'1 Listed activity'!D17</f>
        <v>0</v>
      </c>
      <c r="D18" s="662">
        <f>+'1 Listed activity'!E17</f>
        <v>0</v>
      </c>
      <c r="E18" s="658" t="str">
        <f>+'1 Listed activity'!F17</f>
        <v/>
      </c>
      <c r="F18" s="572">
        <f t="shared" si="0"/>
        <v>10</v>
      </c>
      <c r="G18" s="661">
        <v>0</v>
      </c>
      <c r="H18" s="661">
        <v>0</v>
      </c>
      <c r="I18" s="377" t="str">
        <v/>
      </c>
      <c r="J18" s="377" t="str">
        <f>IF(H18=0,"",IF(COUNTIF($H$9:H18,H18)&gt;3,"*Capped",I18))</f>
        <v/>
      </c>
      <c r="K18" s="572"/>
      <c r="L18" s="661">
        <v>0</v>
      </c>
      <c r="M18" s="661">
        <v>0</v>
      </c>
      <c r="N18" s="659" t="str">
        <v/>
      </c>
      <c r="O18" s="660" t="str">
        <v/>
      </c>
      <c r="P18" s="660" t="str">
        <f>IF(O18="E","E",IF(AND(T18=1,$P$6="yes",O18="D"),"E",IF(AND(U18=1,$P$6="yes",O18="C"),"D",IF(AND(V18=1,$P$6="yes",O18="b"),"c",IF(AND(W18=1,$P$6="yes",O18="a"),"b",IF($P$6="no",O18,O18))))))</f>
        <v/>
      </c>
      <c r="Q18" s="377" t="str">
        <f t="shared" si="1"/>
        <v/>
      </c>
      <c r="R18" s="721"/>
      <c r="S18" s="728">
        <f>COUNTIF($O$9:O18,$S$8)</f>
        <v>0</v>
      </c>
      <c r="T18" s="729">
        <f>COUNTIF($O$9:O18,$T$8)</f>
        <v>0</v>
      </c>
      <c r="U18" s="729">
        <f>IF(T18=0,COUNTIF($O$9:O18,$U$8),0)</f>
        <v>0</v>
      </c>
      <c r="V18" s="729">
        <f>IF(SUM(T18:U18)=0,COUNTIF($O$9:O18,$V$8),0)</f>
        <v>2</v>
      </c>
      <c r="W18" s="729">
        <f>IF(SUM(T18:V18)=0,COUNTIF($O$9:O18,$W$8),0)</f>
        <v>0</v>
      </c>
      <c r="X18" s="306"/>
    </row>
    <row r="19" spans="1:24" x14ac:dyDescent="0.35">
      <c r="A19" s="4"/>
      <c r="B19" s="15">
        <v>11</v>
      </c>
      <c r="C19" s="662">
        <f>+'1 Listed activity'!D18</f>
        <v>0</v>
      </c>
      <c r="D19" s="662">
        <f>+'1 Listed activity'!E18</f>
        <v>0</v>
      </c>
      <c r="E19" s="658" t="str">
        <f>+'1 Listed activity'!F18</f>
        <v/>
      </c>
      <c r="F19" s="572">
        <f t="shared" si="0"/>
        <v>11</v>
      </c>
      <c r="G19" s="661">
        <v>0</v>
      </c>
      <c r="H19" s="661">
        <v>0</v>
      </c>
      <c r="I19" s="377" t="str">
        <v/>
      </c>
      <c r="J19" s="377" t="str">
        <f>IF(H19=0,"",IF(COUNTIF($H$9:H19,H19)&gt;3,"*Capped",I19))</f>
        <v/>
      </c>
      <c r="K19" s="572"/>
      <c r="L19" s="661">
        <v>0</v>
      </c>
      <c r="M19" s="661">
        <v>0</v>
      </c>
      <c r="N19" s="659" t="str">
        <v/>
      </c>
      <c r="O19" s="660" t="str">
        <v/>
      </c>
      <c r="P19" s="660" t="str">
        <f>IF(O19="E","E",IF(AND(T19=1,$P$6="yes",O19="D"),"E",IF(AND(U19=1,$P$6="yes",O19="C"),"D",IF(AND(V19=1,$P$6="yes",O19="b"),"c",IF(AND(W19=1,$P$6="yes",O19="a"),"b",IF($P$6="no",O19,O19))))))</f>
        <v/>
      </c>
      <c r="Q19" s="377" t="str">
        <f t="shared" si="1"/>
        <v/>
      </c>
      <c r="R19" s="721"/>
      <c r="S19" s="728">
        <f>COUNTIF($O$9:O19,$S$8)</f>
        <v>0</v>
      </c>
      <c r="T19" s="729">
        <f>COUNTIF($O$9:O19,$T$8)</f>
        <v>0</v>
      </c>
      <c r="U19" s="729">
        <f>IF(T19=0,COUNTIF($O$9:O19,$U$8),0)</f>
        <v>0</v>
      </c>
      <c r="V19" s="729">
        <f>IF(SUM(T19:U19)=0,COUNTIF($O$9:O19,$V$8),0)</f>
        <v>2</v>
      </c>
      <c r="W19" s="729">
        <f>IF(SUM(T19:V19)=0,COUNTIF($O$9:O19,$W$8),0)</f>
        <v>0</v>
      </c>
      <c r="X19" s="306"/>
    </row>
    <row r="20" spans="1:24" x14ac:dyDescent="0.35">
      <c r="A20" s="4"/>
      <c r="B20" s="15">
        <v>12</v>
      </c>
      <c r="C20" s="662">
        <f>+'1 Listed activity'!D19</f>
        <v>0</v>
      </c>
      <c r="D20" s="662">
        <f>+'1 Listed activity'!E19</f>
        <v>0</v>
      </c>
      <c r="E20" s="658" t="str">
        <f>+'1 Listed activity'!F19</f>
        <v/>
      </c>
      <c r="F20" s="572">
        <f t="shared" si="0"/>
        <v>12</v>
      </c>
      <c r="G20" s="661">
        <v>0</v>
      </c>
      <c r="H20" s="661">
        <v>0</v>
      </c>
      <c r="I20" s="377" t="str">
        <v/>
      </c>
      <c r="J20" s="377" t="str">
        <f>IF(H20=0,"",IF(COUNTIF($H$9:H20,H20)&gt;3,"*Capped",I20))</f>
        <v/>
      </c>
      <c r="K20" s="572"/>
      <c r="L20" s="661">
        <v>0</v>
      </c>
      <c r="M20" s="661">
        <v>0</v>
      </c>
      <c r="N20" s="659" t="str">
        <v/>
      </c>
      <c r="O20" s="660" t="str">
        <v/>
      </c>
      <c r="P20" s="660" t="str">
        <f t="shared" ref="P20:P38" si="3">IF(O20="E","E",IF(AND(T20=1,$P$6="yes",O20="D"),"E",IF(AND(U20=1,$P$6="yes",O20="C"),"D",IF(AND(V20=1,$P$6="yes",O20="b"),"c",IF(AND(W20=1,$P$6="yes",O20="a"),"b",IF($P$6="no",O20,O20))))))</f>
        <v/>
      </c>
      <c r="Q20" s="377" t="str">
        <f t="shared" si="1"/>
        <v/>
      </c>
      <c r="R20" s="721"/>
      <c r="S20" s="728">
        <f>COUNTIF($O$9:O20,$S$8)</f>
        <v>0</v>
      </c>
      <c r="T20" s="729">
        <f>COUNTIF($O$9:O20,$T$8)</f>
        <v>0</v>
      </c>
      <c r="U20" s="729">
        <f>IF(T20=0,COUNTIF($O$9:O20,$U$8),0)</f>
        <v>0</v>
      </c>
      <c r="V20" s="729">
        <f>IF(SUM(T20:U20)=0,COUNTIF($O$9:O20,$V$8),0)</f>
        <v>2</v>
      </c>
      <c r="W20" s="729">
        <f>IF(SUM(T20:V20)=0,COUNTIF($O$9:O20,$W$8),0)</f>
        <v>0</v>
      </c>
      <c r="X20" s="306"/>
    </row>
    <row r="21" spans="1:24" x14ac:dyDescent="0.35">
      <c r="A21" s="4"/>
      <c r="B21" s="15">
        <v>13</v>
      </c>
      <c r="C21" s="662">
        <f>+'1 Listed activity'!D20</f>
        <v>0</v>
      </c>
      <c r="D21" s="662">
        <f>+'1 Listed activity'!E20</f>
        <v>0</v>
      </c>
      <c r="E21" s="658" t="str">
        <f>+'1 Listed activity'!F20</f>
        <v/>
      </c>
      <c r="F21" s="572">
        <f t="shared" si="0"/>
        <v>13</v>
      </c>
      <c r="G21" s="661">
        <v>0</v>
      </c>
      <c r="H21" s="661">
        <v>0</v>
      </c>
      <c r="I21" s="377" t="str">
        <v/>
      </c>
      <c r="J21" s="377" t="str">
        <f>IF(H21=0,"",IF(COUNTIF($H$9:H21,H21)&gt;3,"*Capped",I21))</f>
        <v/>
      </c>
      <c r="K21" s="572"/>
      <c r="L21" s="661">
        <v>0</v>
      </c>
      <c r="M21" s="661">
        <v>0</v>
      </c>
      <c r="N21" s="659" t="str">
        <v/>
      </c>
      <c r="O21" s="660" t="str">
        <v/>
      </c>
      <c r="P21" s="660" t="str">
        <f t="shared" si="3"/>
        <v/>
      </c>
      <c r="Q21" s="377" t="str">
        <f t="shared" si="1"/>
        <v/>
      </c>
      <c r="R21" s="721"/>
      <c r="S21" s="728">
        <f>COUNTIF($O$9:O21,$S$8)</f>
        <v>0</v>
      </c>
      <c r="T21" s="729">
        <f>COUNTIF($O$9:O21,$T$8)</f>
        <v>0</v>
      </c>
      <c r="U21" s="729">
        <f>IF(T21=0,COUNTIF($O$9:O21,$U$8),0)</f>
        <v>0</v>
      </c>
      <c r="V21" s="729">
        <f>IF(SUM(T21:U21)=0,COUNTIF($O$9:O21,$V$8),0)</f>
        <v>2</v>
      </c>
      <c r="W21" s="729">
        <f>IF(SUM(T21:V21)=0,COUNTIF($O$9:O21,$W$8),0)</f>
        <v>0</v>
      </c>
      <c r="X21" s="306"/>
    </row>
    <row r="22" spans="1:24" x14ac:dyDescent="0.35">
      <c r="A22" s="4"/>
      <c r="B22" s="15">
        <v>14</v>
      </c>
      <c r="C22" s="662">
        <f>+'1 Listed activity'!D21</f>
        <v>0</v>
      </c>
      <c r="D22" s="662">
        <f>+'1 Listed activity'!E21</f>
        <v>0</v>
      </c>
      <c r="E22" s="658" t="str">
        <f>+'1 Listed activity'!F21</f>
        <v/>
      </c>
      <c r="F22" s="572">
        <f t="shared" si="0"/>
        <v>14</v>
      </c>
      <c r="G22" s="661">
        <v>0</v>
      </c>
      <c r="H22" s="661">
        <v>0</v>
      </c>
      <c r="I22" s="377" t="str">
        <v/>
      </c>
      <c r="J22" s="377" t="str">
        <f>IF(H22=0,"",IF(COUNTIF($H$9:H22,H22)&gt;3,"*Capped",I22))</f>
        <v/>
      </c>
      <c r="K22" s="572"/>
      <c r="L22" s="661">
        <v>0</v>
      </c>
      <c r="M22" s="661">
        <v>0</v>
      </c>
      <c r="N22" s="659" t="str">
        <v/>
      </c>
      <c r="O22" s="660" t="str">
        <v/>
      </c>
      <c r="P22" s="660" t="str">
        <f t="shared" si="3"/>
        <v/>
      </c>
      <c r="Q22" s="377" t="str">
        <f t="shared" si="1"/>
        <v/>
      </c>
      <c r="R22" s="721"/>
      <c r="S22" s="728">
        <f>COUNTIF($O$9:O22,$S$8)</f>
        <v>0</v>
      </c>
      <c r="T22" s="729">
        <f>COUNTIF($O$9:O22,$T$8)</f>
        <v>0</v>
      </c>
      <c r="U22" s="729">
        <f>IF(T22=0,COUNTIF($O$9:O22,$U$8),0)</f>
        <v>0</v>
      </c>
      <c r="V22" s="729">
        <f>IF(SUM(T22:U22)=0,COUNTIF($O$9:O22,$V$8),0)</f>
        <v>2</v>
      </c>
      <c r="W22" s="729">
        <f>IF(SUM(T22:V22)=0,COUNTIF($O$9:O22,$W$8),0)</f>
        <v>0</v>
      </c>
      <c r="X22" s="306"/>
    </row>
    <row r="23" spans="1:24" x14ac:dyDescent="0.35">
      <c r="A23" s="4"/>
      <c r="B23" s="15">
        <v>15</v>
      </c>
      <c r="C23" s="662">
        <f>+'1 Listed activity'!D22</f>
        <v>0</v>
      </c>
      <c r="D23" s="662">
        <f>+'1 Listed activity'!E22</f>
        <v>0</v>
      </c>
      <c r="E23" s="658" t="str">
        <f>+'1 Listed activity'!F22</f>
        <v/>
      </c>
      <c r="F23" s="572">
        <f t="shared" si="0"/>
        <v>15</v>
      </c>
      <c r="G23" s="661">
        <v>0</v>
      </c>
      <c r="H23" s="661">
        <v>0</v>
      </c>
      <c r="I23" s="377" t="str">
        <v/>
      </c>
      <c r="J23" s="377" t="str">
        <f>IF(H23=0,"",IF(COUNTIF($H$9:H23,H23)&gt;3,"*Capped",I23))</f>
        <v/>
      </c>
      <c r="K23" s="572"/>
      <c r="L23" s="661">
        <v>0</v>
      </c>
      <c r="M23" s="661">
        <v>0</v>
      </c>
      <c r="N23" s="659" t="str">
        <v/>
      </c>
      <c r="O23" s="660" t="str">
        <v/>
      </c>
      <c r="P23" s="660" t="str">
        <f t="shared" si="3"/>
        <v/>
      </c>
      <c r="Q23" s="377" t="str">
        <f t="shared" si="1"/>
        <v/>
      </c>
      <c r="R23" s="721"/>
      <c r="S23" s="728">
        <f>COUNTIF($O$9:O23,$S$8)</f>
        <v>0</v>
      </c>
      <c r="T23" s="729">
        <f>COUNTIF($O$9:O23,$T$8)</f>
        <v>0</v>
      </c>
      <c r="U23" s="729">
        <f>IF(T23=0,COUNTIF($O$9:O23,$U$8),0)</f>
        <v>0</v>
      </c>
      <c r="V23" s="729">
        <f>IF(SUM(T23:U23)=0,COUNTIF($O$9:O23,$V$8),0)</f>
        <v>2</v>
      </c>
      <c r="W23" s="729">
        <f>IF(SUM(T23:V23)=0,COUNTIF($O$9:O23,$W$8),0)</f>
        <v>0</v>
      </c>
      <c r="X23" s="306"/>
    </row>
    <row r="24" spans="1:24" x14ac:dyDescent="0.35">
      <c r="A24" s="4"/>
      <c r="B24" s="15">
        <v>16</v>
      </c>
      <c r="C24" s="662">
        <f>+'1 Listed activity'!D23</f>
        <v>0</v>
      </c>
      <c r="D24" s="662">
        <f>+'1 Listed activity'!E23</f>
        <v>0</v>
      </c>
      <c r="E24" s="658" t="str">
        <f>+'1 Listed activity'!F23</f>
        <v/>
      </c>
      <c r="F24" s="572">
        <f t="shared" si="0"/>
        <v>16</v>
      </c>
      <c r="G24" s="661">
        <v>0</v>
      </c>
      <c r="H24" s="661">
        <v>0</v>
      </c>
      <c r="I24" s="377" t="str">
        <v/>
      </c>
      <c r="J24" s="377" t="str">
        <f>IF(H24=0,"",IF(COUNTIF($H$9:H24,H24)&gt;3,"*Capped",I24))</f>
        <v/>
      </c>
      <c r="K24" s="572"/>
      <c r="L24" s="661">
        <v>0</v>
      </c>
      <c r="M24" s="661">
        <v>0</v>
      </c>
      <c r="N24" s="659" t="str">
        <v/>
      </c>
      <c r="O24" s="660" t="str">
        <v/>
      </c>
      <c r="P24" s="660" t="str">
        <f t="shared" si="3"/>
        <v/>
      </c>
      <c r="Q24" s="377" t="str">
        <f t="shared" si="1"/>
        <v/>
      </c>
      <c r="R24" s="721"/>
      <c r="S24" s="728">
        <f>COUNTIF($O$9:O24,$S$8)</f>
        <v>0</v>
      </c>
      <c r="T24" s="729">
        <f>COUNTIF($O$9:O24,$T$8)</f>
        <v>0</v>
      </c>
      <c r="U24" s="729">
        <f>IF(T24=0,COUNTIF($O$9:O24,$U$8),0)</f>
        <v>0</v>
      </c>
      <c r="V24" s="729">
        <f>IF(SUM(T24:U24)=0,COUNTIF($O$9:O24,$V$8),0)</f>
        <v>2</v>
      </c>
      <c r="W24" s="729">
        <f>IF(SUM(T24:V24)=0,COUNTIF($O$9:O24,$W$8),0)</f>
        <v>0</v>
      </c>
      <c r="X24" s="306"/>
    </row>
    <row r="25" spans="1:24" x14ac:dyDescent="0.35">
      <c r="A25" s="4"/>
      <c r="B25" s="15">
        <v>17</v>
      </c>
      <c r="C25" s="662">
        <f>+'1 Listed activity'!D24</f>
        <v>0</v>
      </c>
      <c r="D25" s="662">
        <f>+'1 Listed activity'!E24</f>
        <v>0</v>
      </c>
      <c r="E25" s="658" t="str">
        <f>+'1 Listed activity'!F24</f>
        <v/>
      </c>
      <c r="F25" s="572">
        <f t="shared" si="0"/>
        <v>17</v>
      </c>
      <c r="G25" s="661">
        <v>0</v>
      </c>
      <c r="H25" s="661">
        <v>0</v>
      </c>
      <c r="I25" s="377" t="str">
        <v/>
      </c>
      <c r="J25" s="377" t="str">
        <f>IF(H25=0,"",IF(COUNTIF($H$9:H25,H25)&gt;3,"*Capped",I25))</f>
        <v/>
      </c>
      <c r="K25" s="572"/>
      <c r="L25" s="661">
        <v>0</v>
      </c>
      <c r="M25" s="661">
        <v>0</v>
      </c>
      <c r="N25" s="659" t="str">
        <v/>
      </c>
      <c r="O25" s="660" t="str">
        <v/>
      </c>
      <c r="P25" s="660" t="str">
        <f t="shared" si="3"/>
        <v/>
      </c>
      <c r="Q25" s="377" t="str">
        <f t="shared" si="1"/>
        <v/>
      </c>
      <c r="R25" s="721"/>
      <c r="S25" s="728">
        <f>COUNTIF($O$9:O25,$S$8)</f>
        <v>0</v>
      </c>
      <c r="T25" s="729">
        <f>COUNTIF($O$9:O25,$T$8)</f>
        <v>0</v>
      </c>
      <c r="U25" s="729">
        <f>IF(T25=0,COUNTIF($O$9:O25,$U$8),0)</f>
        <v>0</v>
      </c>
      <c r="V25" s="729">
        <f>IF(SUM(T25:U25)=0,COUNTIF($O$9:O25,$V$8),0)</f>
        <v>2</v>
      </c>
      <c r="W25" s="729">
        <f>IF(SUM(T25:V25)=0,COUNTIF($O$9:O25,$W$8),0)</f>
        <v>0</v>
      </c>
      <c r="X25" s="306"/>
    </row>
    <row r="26" spans="1:24" x14ac:dyDescent="0.35">
      <c r="A26" s="4"/>
      <c r="B26" s="15">
        <v>18</v>
      </c>
      <c r="C26" s="662">
        <f>+'1 Listed activity'!D25</f>
        <v>0</v>
      </c>
      <c r="D26" s="662">
        <f>+'1 Listed activity'!E25</f>
        <v>0</v>
      </c>
      <c r="E26" s="658" t="str">
        <f>+'1 Listed activity'!F25</f>
        <v/>
      </c>
      <c r="F26" s="572">
        <f t="shared" si="0"/>
        <v>18</v>
      </c>
      <c r="G26" s="661">
        <v>0</v>
      </c>
      <c r="H26" s="661">
        <v>0</v>
      </c>
      <c r="I26" s="377" t="str">
        <v/>
      </c>
      <c r="J26" s="377" t="str">
        <f>IF(H26=0,"",IF(COUNTIF($H$9:H26,H26)&gt;3,"*Capped",I26))</f>
        <v/>
      </c>
      <c r="K26" s="572"/>
      <c r="L26" s="661">
        <v>0</v>
      </c>
      <c r="M26" s="661">
        <v>0</v>
      </c>
      <c r="N26" s="659" t="str">
        <v/>
      </c>
      <c r="O26" s="660" t="str">
        <v/>
      </c>
      <c r="P26" s="660" t="str">
        <f t="shared" si="3"/>
        <v/>
      </c>
      <c r="Q26" s="377" t="str">
        <f t="shared" si="1"/>
        <v/>
      </c>
      <c r="R26" s="721"/>
      <c r="S26" s="728">
        <f>COUNTIF($O$9:O26,$S$8)</f>
        <v>0</v>
      </c>
      <c r="T26" s="729">
        <f>COUNTIF($O$9:O26,$T$8)</f>
        <v>0</v>
      </c>
      <c r="U26" s="729">
        <f>IF(T26=0,COUNTIF($O$9:O26,$U$8),0)</f>
        <v>0</v>
      </c>
      <c r="V26" s="729">
        <f>IF(SUM(T26:U26)=0,COUNTIF($O$9:O26,$V$8),0)</f>
        <v>2</v>
      </c>
      <c r="W26" s="729">
        <f>IF(SUM(T26:V26)=0,COUNTIF($O$9:O26,$W$8),0)</f>
        <v>0</v>
      </c>
      <c r="X26" s="306"/>
    </row>
    <row r="27" spans="1:24" x14ac:dyDescent="0.35">
      <c r="A27" s="4"/>
      <c r="B27" s="15">
        <v>19</v>
      </c>
      <c r="C27" s="662">
        <f>+'1 Listed activity'!D26</f>
        <v>0</v>
      </c>
      <c r="D27" s="662">
        <f>+'1 Listed activity'!E26</f>
        <v>0</v>
      </c>
      <c r="E27" s="658" t="str">
        <f>+'1 Listed activity'!F26</f>
        <v/>
      </c>
      <c r="F27" s="572">
        <f t="shared" si="0"/>
        <v>19</v>
      </c>
      <c r="G27" s="661">
        <v>0</v>
      </c>
      <c r="H27" s="661">
        <v>0</v>
      </c>
      <c r="I27" s="377" t="str">
        <v/>
      </c>
      <c r="J27" s="377" t="str">
        <f>IF(H27=0,"",IF(COUNTIF($H$9:H27,H27)&gt;3,"*Capped",I27))</f>
        <v/>
      </c>
      <c r="K27" s="572"/>
      <c r="L27" s="661">
        <v>0</v>
      </c>
      <c r="M27" s="661">
        <v>0</v>
      </c>
      <c r="N27" s="659" t="str">
        <v/>
      </c>
      <c r="O27" s="660" t="str">
        <v/>
      </c>
      <c r="P27" s="660" t="str">
        <f t="shared" si="3"/>
        <v/>
      </c>
      <c r="Q27" s="377" t="str">
        <f t="shared" si="1"/>
        <v/>
      </c>
      <c r="R27" s="721"/>
      <c r="S27" s="728">
        <f>COUNTIF($O$9:O27,$S$8)</f>
        <v>0</v>
      </c>
      <c r="T27" s="729">
        <f>COUNTIF($O$9:O27,$T$8)</f>
        <v>0</v>
      </c>
      <c r="U27" s="729">
        <f>IF(T27=0,COUNTIF($O$9:O27,$U$8),0)</f>
        <v>0</v>
      </c>
      <c r="V27" s="729">
        <f>IF(SUM(T27:U27)=0,COUNTIF($O$9:O27,$V$8),0)</f>
        <v>2</v>
      </c>
      <c r="W27" s="729">
        <f>IF(SUM(T27:V27)=0,COUNTIF($O$9:O27,$W$8),0)</f>
        <v>0</v>
      </c>
      <c r="X27" s="306"/>
    </row>
    <row r="28" spans="1:24" x14ac:dyDescent="0.35">
      <c r="A28" s="4"/>
      <c r="B28" s="15">
        <v>20</v>
      </c>
      <c r="C28" s="662">
        <f>+'1 Listed activity'!D27</f>
        <v>0</v>
      </c>
      <c r="D28" s="662">
        <f>+'1 Listed activity'!E27</f>
        <v>0</v>
      </c>
      <c r="E28" s="658" t="str">
        <f>+'1 Listed activity'!F27</f>
        <v/>
      </c>
      <c r="F28" s="572">
        <f t="shared" si="0"/>
        <v>20</v>
      </c>
      <c r="G28" s="661">
        <v>0</v>
      </c>
      <c r="H28" s="661">
        <v>0</v>
      </c>
      <c r="I28" s="377" t="str">
        <v/>
      </c>
      <c r="J28" s="377" t="str">
        <f>IF(H28=0,"",IF(COUNTIF($H$9:H28,H28)&gt;3,"*Capped",I28))</f>
        <v/>
      </c>
      <c r="K28" s="572"/>
      <c r="L28" s="661">
        <v>0</v>
      </c>
      <c r="M28" s="661">
        <v>0</v>
      </c>
      <c r="N28" s="659" t="str">
        <v/>
      </c>
      <c r="O28" s="660" t="str">
        <v/>
      </c>
      <c r="P28" s="660" t="str">
        <f t="shared" si="3"/>
        <v/>
      </c>
      <c r="Q28" s="377" t="str">
        <f t="shared" si="1"/>
        <v/>
      </c>
      <c r="R28" s="721"/>
      <c r="S28" s="728">
        <f>COUNTIF($O$9:O28,$S$8)</f>
        <v>0</v>
      </c>
      <c r="T28" s="729">
        <f>COUNTIF($O$9:O28,$T$8)</f>
        <v>0</v>
      </c>
      <c r="U28" s="729">
        <f>IF(T28=0,COUNTIF($O$9:O28,$U$8),0)</f>
        <v>0</v>
      </c>
      <c r="V28" s="729">
        <f>IF(SUM(T28:U28)=0,COUNTIF($O$9:O28,$V$8),0)</f>
        <v>2</v>
      </c>
      <c r="W28" s="729">
        <f>IF(SUM(T28:V28)=0,COUNTIF($O$9:O28,$W$8),0)</f>
        <v>0</v>
      </c>
      <c r="X28" s="306"/>
    </row>
    <row r="29" spans="1:24" x14ac:dyDescent="0.35">
      <c r="A29" s="4"/>
      <c r="B29" s="15">
        <v>21</v>
      </c>
      <c r="C29" s="662">
        <f>+'1 Listed activity'!D28</f>
        <v>0</v>
      </c>
      <c r="D29" s="662">
        <f>+'1 Listed activity'!E28</f>
        <v>0</v>
      </c>
      <c r="E29" s="658" t="str">
        <f>+'1 Listed activity'!F28</f>
        <v/>
      </c>
      <c r="F29" s="572">
        <f t="shared" si="0"/>
        <v>21</v>
      </c>
      <c r="G29" s="661">
        <v>0</v>
      </c>
      <c r="H29" s="661">
        <v>0</v>
      </c>
      <c r="I29" s="377" t="str">
        <v/>
      </c>
      <c r="J29" s="377" t="str">
        <f>IF(H29=0,"",IF(COUNTIF($H$9:H29,H29)&gt;3,"*Capped",I29))</f>
        <v/>
      </c>
      <c r="K29" s="572"/>
      <c r="L29" s="661">
        <v>0</v>
      </c>
      <c r="M29" s="661">
        <v>0</v>
      </c>
      <c r="N29" s="659" t="str">
        <v/>
      </c>
      <c r="O29" s="660" t="str">
        <v/>
      </c>
      <c r="P29" s="660" t="str">
        <f t="shared" si="3"/>
        <v/>
      </c>
      <c r="Q29" s="377" t="str">
        <f t="shared" si="1"/>
        <v/>
      </c>
      <c r="R29" s="721"/>
      <c r="S29" s="728">
        <f>COUNTIF($O$9:O29,$S$8)</f>
        <v>0</v>
      </c>
      <c r="T29" s="729">
        <f>COUNTIF($O$9:O29,$T$8)</f>
        <v>0</v>
      </c>
      <c r="U29" s="729">
        <f>IF(T29=0,COUNTIF($O$9:O29,$U$8),0)</f>
        <v>0</v>
      </c>
      <c r="V29" s="729">
        <f>IF(SUM(T29:U29)=0,COUNTIF($O$9:O29,$V$8),0)</f>
        <v>2</v>
      </c>
      <c r="W29" s="729">
        <f>IF(SUM(T29:V29)=0,COUNTIF($O$9:O29,$W$8),0)</f>
        <v>0</v>
      </c>
      <c r="X29" s="306"/>
    </row>
    <row r="30" spans="1:24" x14ac:dyDescent="0.35">
      <c r="A30" s="4"/>
      <c r="B30" s="15">
        <v>22</v>
      </c>
      <c r="C30" s="662">
        <f>+'1 Listed activity'!D29</f>
        <v>0</v>
      </c>
      <c r="D30" s="662">
        <f>+'1 Listed activity'!E29</f>
        <v>0</v>
      </c>
      <c r="E30" s="658" t="str">
        <f>+'1 Listed activity'!F29</f>
        <v/>
      </c>
      <c r="F30" s="572">
        <f t="shared" si="0"/>
        <v>22</v>
      </c>
      <c r="G30" s="661">
        <v>0</v>
      </c>
      <c r="H30" s="661">
        <v>0</v>
      </c>
      <c r="I30" s="377" t="str">
        <v/>
      </c>
      <c r="J30" s="377" t="str">
        <f>IF(H30=0,"",IF(COUNTIF($H$9:H30,H30)&gt;3,"*Capped",I30))</f>
        <v/>
      </c>
      <c r="K30" s="572"/>
      <c r="L30" s="661">
        <v>0</v>
      </c>
      <c r="M30" s="661">
        <v>0</v>
      </c>
      <c r="N30" s="659" t="str">
        <v/>
      </c>
      <c r="O30" s="660" t="str">
        <v/>
      </c>
      <c r="P30" s="660" t="str">
        <f t="shared" si="3"/>
        <v/>
      </c>
      <c r="Q30" s="377" t="str">
        <f t="shared" si="1"/>
        <v/>
      </c>
      <c r="R30" s="721"/>
      <c r="S30" s="728">
        <f>COUNTIF($O$9:O30,$S$8)</f>
        <v>0</v>
      </c>
      <c r="T30" s="729">
        <f>COUNTIF($O$9:O30,$T$8)</f>
        <v>0</v>
      </c>
      <c r="U30" s="729">
        <f>IF(T30=0,COUNTIF($O$9:O30,$U$8),0)</f>
        <v>0</v>
      </c>
      <c r="V30" s="729">
        <f>IF(SUM(T30:U30)=0,COUNTIF($O$9:O30,$V$8),0)</f>
        <v>2</v>
      </c>
      <c r="W30" s="729">
        <f>IF(SUM(T30:V30)=0,COUNTIF($O$9:O30,$W$8),0)</f>
        <v>0</v>
      </c>
      <c r="X30" s="306"/>
    </row>
    <row r="31" spans="1:24" x14ac:dyDescent="0.35">
      <c r="A31" s="4"/>
      <c r="B31" s="15">
        <v>23</v>
      </c>
      <c r="C31" s="662">
        <f>+'1 Listed activity'!D30</f>
        <v>0</v>
      </c>
      <c r="D31" s="662">
        <f>+'1 Listed activity'!E30</f>
        <v>0</v>
      </c>
      <c r="E31" s="658" t="str">
        <f>+'1 Listed activity'!F30</f>
        <v/>
      </c>
      <c r="F31" s="572">
        <f t="shared" si="0"/>
        <v>23</v>
      </c>
      <c r="G31" s="661">
        <v>0</v>
      </c>
      <c r="H31" s="661">
        <v>0</v>
      </c>
      <c r="I31" s="377" t="str">
        <v/>
      </c>
      <c r="J31" s="377" t="str">
        <f>IF(H31=0,"",IF(COUNTIF($H$9:H31,H31)&gt;3,"*Capped",I31))</f>
        <v/>
      </c>
      <c r="K31" s="572"/>
      <c r="L31" s="661">
        <v>0</v>
      </c>
      <c r="M31" s="661">
        <v>0</v>
      </c>
      <c r="N31" s="659" t="str">
        <v/>
      </c>
      <c r="O31" s="660" t="str">
        <v/>
      </c>
      <c r="P31" s="660" t="str">
        <f t="shared" si="3"/>
        <v/>
      </c>
      <c r="Q31" s="377" t="str">
        <f t="shared" si="1"/>
        <v/>
      </c>
      <c r="R31" s="721"/>
      <c r="S31" s="728">
        <f>COUNTIF($O$9:O31,$S$8)</f>
        <v>0</v>
      </c>
      <c r="T31" s="729">
        <f>COUNTIF($O$9:O31,$T$8)</f>
        <v>0</v>
      </c>
      <c r="U31" s="729">
        <f>IF(T31=0,COUNTIF($O$9:O31,$U$8),0)</f>
        <v>0</v>
      </c>
      <c r="V31" s="729">
        <f>IF(SUM(T31:U31)=0,COUNTIF($O$9:O31,$V$8),0)</f>
        <v>2</v>
      </c>
      <c r="W31" s="729">
        <f>IF(SUM(T31:V31)=0,COUNTIF($O$9:O31,$W$8),0)</f>
        <v>0</v>
      </c>
      <c r="X31" s="306"/>
    </row>
    <row r="32" spans="1:24" x14ac:dyDescent="0.35">
      <c r="A32" s="4"/>
      <c r="B32" s="15">
        <v>24</v>
      </c>
      <c r="C32" s="662">
        <f>+'1 Listed activity'!D31</f>
        <v>0</v>
      </c>
      <c r="D32" s="662">
        <f>+'1 Listed activity'!E31</f>
        <v>0</v>
      </c>
      <c r="E32" s="658" t="str">
        <f>+'1 Listed activity'!F31</f>
        <v/>
      </c>
      <c r="F32" s="572">
        <f t="shared" si="0"/>
        <v>24</v>
      </c>
      <c r="G32" s="661">
        <v>0</v>
      </c>
      <c r="H32" s="661">
        <v>0</v>
      </c>
      <c r="I32" s="377" t="str">
        <v/>
      </c>
      <c r="J32" s="377" t="str">
        <f>IF(H32=0,"",IF(COUNTIF($H$9:H32,H32)&gt;3,"*Capped",I32))</f>
        <v/>
      </c>
      <c r="K32" s="572"/>
      <c r="L32" s="661">
        <v>0</v>
      </c>
      <c r="M32" s="661">
        <v>0</v>
      </c>
      <c r="N32" s="659" t="str">
        <v/>
      </c>
      <c r="O32" s="660" t="str">
        <v/>
      </c>
      <c r="P32" s="660" t="str">
        <f t="shared" si="3"/>
        <v/>
      </c>
      <c r="Q32" s="377" t="str">
        <f t="shared" si="1"/>
        <v/>
      </c>
      <c r="R32" s="721"/>
      <c r="S32" s="728">
        <f>COUNTIF($O$9:O32,$S$8)</f>
        <v>0</v>
      </c>
      <c r="T32" s="729">
        <f>COUNTIF($O$9:O32,$T$8)</f>
        <v>0</v>
      </c>
      <c r="U32" s="729">
        <f>IF(T32=0,COUNTIF($O$9:O32,$U$8),0)</f>
        <v>0</v>
      </c>
      <c r="V32" s="729">
        <f>IF(SUM(T32:U32)=0,COUNTIF($O$9:O32,$V$8),0)</f>
        <v>2</v>
      </c>
      <c r="W32" s="729">
        <f>IF(SUM(T32:V32)=0,COUNTIF($O$9:O32,$W$8),0)</f>
        <v>0</v>
      </c>
      <c r="X32" s="306"/>
    </row>
    <row r="33" spans="1:24" x14ac:dyDescent="0.35">
      <c r="A33" s="4"/>
      <c r="B33" s="15">
        <v>25</v>
      </c>
      <c r="C33" s="662">
        <f>+'1 Listed activity'!D32</f>
        <v>0</v>
      </c>
      <c r="D33" s="662">
        <f>+'1 Listed activity'!E32</f>
        <v>0</v>
      </c>
      <c r="E33" s="658" t="str">
        <f>+'1 Listed activity'!F32</f>
        <v/>
      </c>
      <c r="F33" s="572">
        <f t="shared" si="0"/>
        <v>25</v>
      </c>
      <c r="G33" s="661">
        <v>0</v>
      </c>
      <c r="H33" s="661">
        <v>0</v>
      </c>
      <c r="I33" s="377" t="str">
        <v/>
      </c>
      <c r="J33" s="377" t="str">
        <f>IF(H33=0,"",IF(COUNTIF($H$9:H33,H33)&gt;3,"*Capped",I33))</f>
        <v/>
      </c>
      <c r="K33" s="572"/>
      <c r="L33" s="661">
        <v>0</v>
      </c>
      <c r="M33" s="661">
        <v>0</v>
      </c>
      <c r="N33" s="659" t="str">
        <v/>
      </c>
      <c r="O33" s="660" t="str">
        <v/>
      </c>
      <c r="P33" s="660" t="str">
        <f t="shared" si="3"/>
        <v/>
      </c>
      <c r="Q33" s="377" t="str">
        <f t="shared" si="1"/>
        <v/>
      </c>
      <c r="R33" s="721"/>
      <c r="S33" s="728">
        <f>COUNTIF($O$9:O33,$S$8)</f>
        <v>0</v>
      </c>
      <c r="T33" s="729">
        <f>COUNTIF($O$9:O33,$T$8)</f>
        <v>0</v>
      </c>
      <c r="U33" s="729">
        <f>IF(T33=0,COUNTIF($O$9:O33,$U$8),0)</f>
        <v>0</v>
      </c>
      <c r="V33" s="729">
        <f>IF(SUM(T33:U33)=0,COUNTIF($O$9:O33,$V$8),0)</f>
        <v>2</v>
      </c>
      <c r="W33" s="729">
        <f>IF(SUM(T33:V33)=0,COUNTIF($O$9:O33,$W$8),0)</f>
        <v>0</v>
      </c>
      <c r="X33" s="306"/>
    </row>
    <row r="34" spans="1:24" x14ac:dyDescent="0.35">
      <c r="A34" s="4"/>
      <c r="B34" s="15">
        <v>26</v>
      </c>
      <c r="C34" s="662"/>
      <c r="D34" s="662"/>
      <c r="E34" s="658"/>
      <c r="F34" s="572">
        <f t="shared" si="0"/>
        <v>26</v>
      </c>
      <c r="G34" s="661">
        <v>0</v>
      </c>
      <c r="H34" s="661">
        <v>0</v>
      </c>
      <c r="I34" s="377">
        <v>0</v>
      </c>
      <c r="J34" s="377" t="str">
        <f>IF(H34=0,"",IF(COUNTIF($H$9:H34,H34)&gt;3,"*Capped",I34))</f>
        <v/>
      </c>
      <c r="K34" s="572"/>
      <c r="L34" s="661">
        <v>0</v>
      </c>
      <c r="M34" s="661">
        <v>0</v>
      </c>
      <c r="N34" s="659">
        <v>0</v>
      </c>
      <c r="O34" s="660" t="str">
        <v/>
      </c>
      <c r="P34" s="660" t="str">
        <f t="shared" si="3"/>
        <v/>
      </c>
      <c r="Q34" s="377" t="str">
        <f t="shared" si="1"/>
        <v/>
      </c>
      <c r="R34" s="721"/>
      <c r="S34" s="728">
        <f>COUNTIF($O$9:O34,$S$8)</f>
        <v>0</v>
      </c>
      <c r="T34" s="729">
        <f>COUNTIF($O$9:O34,$T$8)</f>
        <v>0</v>
      </c>
      <c r="U34" s="729">
        <f>IF(T34=0,COUNTIF($O$9:O34,$U$8),0)</f>
        <v>0</v>
      </c>
      <c r="V34" s="729">
        <f>IF(SUM(T34:U34)=0,COUNTIF($O$9:O34,$V$8),0)</f>
        <v>2</v>
      </c>
      <c r="W34" s="729">
        <f>IF(SUM(T34:V34)=0,COUNTIF($O$9:O34,$W$8),0)</f>
        <v>0</v>
      </c>
      <c r="X34" s="306"/>
    </row>
    <row r="35" spans="1:24" x14ac:dyDescent="0.35">
      <c r="A35" s="4"/>
      <c r="B35" s="15">
        <v>27</v>
      </c>
      <c r="C35" s="662"/>
      <c r="D35" s="662"/>
      <c r="E35" s="658"/>
      <c r="F35" s="572">
        <f t="shared" si="0"/>
        <v>27</v>
      </c>
      <c r="G35" s="661">
        <v>0</v>
      </c>
      <c r="H35" s="661">
        <v>0</v>
      </c>
      <c r="I35" s="377">
        <v>0</v>
      </c>
      <c r="J35" s="377" t="str">
        <f>IF(H35=0,"",IF(COUNTIF($H$9:H35,H35)&gt;3,"*Capped",I35))</f>
        <v/>
      </c>
      <c r="K35" s="572"/>
      <c r="L35" s="661">
        <v>0</v>
      </c>
      <c r="M35" s="661">
        <v>0</v>
      </c>
      <c r="N35" s="659">
        <v>0</v>
      </c>
      <c r="O35" s="660" t="str">
        <v/>
      </c>
      <c r="P35" s="660" t="str">
        <f t="shared" si="3"/>
        <v/>
      </c>
      <c r="Q35" s="377" t="str">
        <f t="shared" si="1"/>
        <v/>
      </c>
      <c r="R35" s="721"/>
      <c r="S35" s="728">
        <f>COUNTIF($O$9:O35,$S$8)</f>
        <v>0</v>
      </c>
      <c r="T35" s="729">
        <f>COUNTIF($O$9:O35,$T$8)</f>
        <v>0</v>
      </c>
      <c r="U35" s="729">
        <f>IF(T35=0,COUNTIF($O$9:O35,$U$8),0)</f>
        <v>0</v>
      </c>
      <c r="V35" s="729">
        <f>IF(SUM(T35:U35)=0,COUNTIF($O$9:O35,$V$8),0)</f>
        <v>2</v>
      </c>
      <c r="W35" s="729">
        <f>IF(SUM(T35:V35)=0,COUNTIF($O$9:O35,$W$8),0)</f>
        <v>0</v>
      </c>
      <c r="X35" s="306"/>
    </row>
    <row r="36" spans="1:24" x14ac:dyDescent="0.35">
      <c r="A36" s="4"/>
      <c r="B36" s="15">
        <v>28</v>
      </c>
      <c r="C36" s="662"/>
      <c r="D36" s="662"/>
      <c r="E36" s="658"/>
      <c r="F36" s="572">
        <f t="shared" si="0"/>
        <v>28</v>
      </c>
      <c r="G36" s="661">
        <v>0</v>
      </c>
      <c r="H36" s="661">
        <v>0</v>
      </c>
      <c r="I36" s="377">
        <v>0</v>
      </c>
      <c r="J36" s="377" t="str">
        <f>IF(H36=0,"",IF(COUNTIF($H$9:H36,H36)&gt;3,"*Capped",I36))</f>
        <v/>
      </c>
      <c r="K36" s="572"/>
      <c r="L36" s="661">
        <v>0</v>
      </c>
      <c r="M36" s="661">
        <v>0</v>
      </c>
      <c r="N36" s="659">
        <v>0</v>
      </c>
      <c r="O36" s="660" t="str">
        <v/>
      </c>
      <c r="P36" s="660" t="str">
        <f t="shared" si="3"/>
        <v/>
      </c>
      <c r="Q36" s="377" t="str">
        <f t="shared" si="1"/>
        <v/>
      </c>
      <c r="R36" s="721"/>
      <c r="S36" s="728">
        <f>COUNTIF($O$9:O36,$S$8)</f>
        <v>0</v>
      </c>
      <c r="T36" s="729">
        <f>COUNTIF($O$9:O36,$T$8)</f>
        <v>0</v>
      </c>
      <c r="U36" s="729">
        <f>IF(T36=0,COUNTIF($O$9:O36,$U$8),0)</f>
        <v>0</v>
      </c>
      <c r="V36" s="729">
        <f>IF(SUM(T36:U36)=0,COUNTIF($O$9:O36,$V$8),0)</f>
        <v>2</v>
      </c>
      <c r="W36" s="729">
        <f>IF(SUM(T36:V36)=0,COUNTIF($O$9:O36,$W$8),0)</f>
        <v>0</v>
      </c>
      <c r="X36" s="306"/>
    </row>
    <row r="37" spans="1:24" x14ac:dyDescent="0.35">
      <c r="A37" s="4"/>
      <c r="B37" s="15">
        <v>29</v>
      </c>
      <c r="C37" s="662"/>
      <c r="D37" s="662"/>
      <c r="E37" s="658"/>
      <c r="F37" s="572">
        <f t="shared" si="0"/>
        <v>29</v>
      </c>
      <c r="G37" s="661">
        <v>0</v>
      </c>
      <c r="H37" s="661">
        <v>0</v>
      </c>
      <c r="I37" s="377">
        <v>0</v>
      </c>
      <c r="J37" s="377" t="str">
        <f>IF(H37=0,"",IF(COUNTIF($H$9:H37,H37)&gt;3,"*Capped",I37))</f>
        <v/>
      </c>
      <c r="K37" s="572"/>
      <c r="L37" s="661">
        <v>0</v>
      </c>
      <c r="M37" s="661">
        <v>0</v>
      </c>
      <c r="N37" s="659">
        <v>0</v>
      </c>
      <c r="O37" s="660" t="str">
        <v/>
      </c>
      <c r="P37" s="660" t="str">
        <f t="shared" si="3"/>
        <v/>
      </c>
      <c r="Q37" s="377" t="str">
        <f t="shared" si="1"/>
        <v/>
      </c>
      <c r="R37" s="721"/>
      <c r="S37" s="728">
        <f>COUNTIF($O$9:O37,$S$8)</f>
        <v>0</v>
      </c>
      <c r="T37" s="729">
        <f>COUNTIF($O$9:O37,$T$8)</f>
        <v>0</v>
      </c>
      <c r="U37" s="729">
        <f>IF(T37=0,COUNTIF($O$9:O37,$U$8),0)</f>
        <v>0</v>
      </c>
      <c r="V37" s="729">
        <f>IF(SUM(T37:U37)=0,COUNTIF($O$9:O37,$V$8),0)</f>
        <v>2</v>
      </c>
      <c r="W37" s="729">
        <f>IF(SUM(T37:V37)=0,COUNTIF($O$9:O37,$W$8),0)</f>
        <v>0</v>
      </c>
      <c r="X37" s="306"/>
    </row>
    <row r="38" spans="1:24" x14ac:dyDescent="0.35">
      <c r="A38" s="4"/>
      <c r="B38" s="15">
        <v>30</v>
      </c>
      <c r="C38" s="662"/>
      <c r="D38" s="662"/>
      <c r="E38" s="658"/>
      <c r="F38" s="572">
        <f t="shared" si="0"/>
        <v>30</v>
      </c>
      <c r="G38" s="661">
        <v>0</v>
      </c>
      <c r="H38" s="661">
        <v>0</v>
      </c>
      <c r="I38" s="377">
        <v>0</v>
      </c>
      <c r="J38" s="377" t="str">
        <f>IF(H38=0,"",IF(COUNTIF($H$9:H38,H38)&gt;3,"*Capped",I38))</f>
        <v/>
      </c>
      <c r="K38" s="572"/>
      <c r="L38" s="661">
        <v>0</v>
      </c>
      <c r="M38" s="661">
        <v>0</v>
      </c>
      <c r="N38" s="659">
        <v>0</v>
      </c>
      <c r="O38" s="660" t="str">
        <v/>
      </c>
      <c r="P38" s="660" t="str">
        <f t="shared" si="3"/>
        <v/>
      </c>
      <c r="Q38" s="377" t="str">
        <f t="shared" si="1"/>
        <v/>
      </c>
      <c r="R38" s="721"/>
      <c r="S38" s="728">
        <f>COUNTIF($O$9:O38,$S$8)</f>
        <v>0</v>
      </c>
      <c r="T38" s="729">
        <f>COUNTIF($O$9:O38,$T$8)</f>
        <v>0</v>
      </c>
      <c r="U38" s="729">
        <f>IF(T38=0,COUNTIF($O$9:O38,$U$8),0)</f>
        <v>0</v>
      </c>
      <c r="V38" s="729">
        <f>IF(SUM(T38:U38)=0,COUNTIF($O$9:O38,$V$8),0)</f>
        <v>2</v>
      </c>
      <c r="W38" s="729">
        <f>IF(SUM(T38:V38)=0,COUNTIF($O$9:O38,$W$8),0)</f>
        <v>0</v>
      </c>
      <c r="X38" s="306"/>
    </row>
    <row r="39" spans="1:24" x14ac:dyDescent="0.35">
      <c r="A39" s="4"/>
      <c r="B39" s="312"/>
      <c r="C39" s="25"/>
      <c r="D39" s="25"/>
      <c r="E39" s="640"/>
      <c r="F39" s="641"/>
      <c r="G39" s="640"/>
      <c r="H39" s="640"/>
      <c r="I39" s="640"/>
      <c r="J39" s="641"/>
      <c r="K39" s="642"/>
      <c r="L39" s="379"/>
      <c r="M39" s="383"/>
      <c r="N39" s="379"/>
      <c r="O39" s="379"/>
      <c r="P39" s="383"/>
      <c r="Q39" s="383"/>
      <c r="R39" s="721"/>
      <c r="S39" s="725"/>
    </row>
    <row r="40" spans="1:24" x14ac:dyDescent="0.35">
      <c r="A40" s="4"/>
      <c r="B40" s="25"/>
      <c r="C40" s="25"/>
      <c r="D40" s="25"/>
      <c r="E40" s="5"/>
      <c r="F40" s="404"/>
      <c r="G40" s="5"/>
      <c r="H40" s="5"/>
      <c r="I40" s="5"/>
      <c r="J40" s="404"/>
      <c r="K40" s="405"/>
      <c r="L40" s="379"/>
      <c r="M40" s="383"/>
      <c r="N40" s="379"/>
      <c r="O40" s="379"/>
      <c r="P40" s="383"/>
      <c r="Q40" s="383"/>
      <c r="R40" s="721"/>
      <c r="S40" s="725"/>
    </row>
    <row r="41" spans="1:24" x14ac:dyDescent="0.35">
      <c r="A41" s="4"/>
      <c r="B41" s="643"/>
      <c r="C41" s="25"/>
      <c r="D41" s="25"/>
      <c r="E41" s="5"/>
      <c r="F41" s="404"/>
      <c r="G41" s="5"/>
      <c r="H41" s="5"/>
      <c r="I41" s="5"/>
      <c r="J41" s="404"/>
      <c r="K41" s="405"/>
      <c r="L41" s="379"/>
      <c r="M41" s="383"/>
      <c r="N41" s="379"/>
      <c r="O41" s="379"/>
      <c r="P41" s="383"/>
      <c r="Q41" s="383"/>
      <c r="R41" s="721"/>
      <c r="S41" s="725"/>
    </row>
    <row r="42" spans="1:24" x14ac:dyDescent="0.35">
      <c r="A42" s="4"/>
      <c r="B42" s="25"/>
      <c r="C42" s="25"/>
      <c r="D42" s="25"/>
      <c r="E42" s="5"/>
      <c r="F42" s="404"/>
      <c r="G42" s="5"/>
      <c r="H42" s="5"/>
      <c r="I42" s="5"/>
      <c r="J42" s="404"/>
      <c r="K42" s="405"/>
      <c r="L42" s="379"/>
      <c r="M42" s="383"/>
      <c r="N42" s="379"/>
      <c r="O42" s="379"/>
      <c r="P42" s="383"/>
      <c r="Q42" s="383"/>
      <c r="R42" s="721"/>
      <c r="S42" s="725"/>
    </row>
    <row r="43" spans="1:24" x14ac:dyDescent="0.35">
      <c r="A43" s="4"/>
      <c r="B43" s="637"/>
      <c r="C43" s="828" t="s">
        <v>91</v>
      </c>
      <c r="D43" s="829"/>
      <c r="E43" s="5" t="s">
        <v>92</v>
      </c>
      <c r="F43" s="830" t="s">
        <v>93</v>
      </c>
      <c r="G43" s="830"/>
      <c r="H43" s="830"/>
      <c r="I43" s="830"/>
      <c r="J43" s="644"/>
      <c r="K43" s="645"/>
      <c r="L43" s="379"/>
      <c r="M43" s="383"/>
      <c r="N43" s="379"/>
      <c r="O43" s="379"/>
      <c r="P43" s="383"/>
      <c r="Q43" s="383"/>
      <c r="R43" s="721"/>
      <c r="S43" s="725"/>
    </row>
    <row r="44" spans="1:24" x14ac:dyDescent="0.35">
      <c r="A44" s="4"/>
      <c r="B44" s="646"/>
      <c r="C44" s="50" t="s">
        <v>94</v>
      </c>
      <c r="D44" s="283" t="str">
        <f>IF(COUNTIF(O9:O38,"*capped"),"Yes","no")</f>
        <v>no</v>
      </c>
      <c r="E44" s="5"/>
      <c r="F44" s="830"/>
      <c r="G44" s="830"/>
      <c r="H44" s="830"/>
      <c r="I44" s="830"/>
      <c r="J44" s="644"/>
      <c r="K44" s="645"/>
      <c r="L44" s="379"/>
      <c r="M44" s="383"/>
      <c r="N44" s="379"/>
      <c r="O44" s="379"/>
      <c r="P44" s="383"/>
      <c r="Q44" s="383"/>
      <c r="R44" s="721"/>
      <c r="S44" s="725"/>
    </row>
    <row r="45" spans="1:24" x14ac:dyDescent="0.35">
      <c r="A45" s="4"/>
      <c r="B45" s="646"/>
      <c r="C45" s="50" t="s">
        <v>95</v>
      </c>
      <c r="D45" s="282" t="s">
        <v>96</v>
      </c>
      <c r="E45" s="5"/>
      <c r="F45" s="830"/>
      <c r="G45" s="830"/>
      <c r="H45" s="830"/>
      <c r="I45" s="830"/>
      <c r="J45" s="644"/>
      <c r="K45" s="645"/>
      <c r="L45" s="379"/>
      <c r="M45" s="383"/>
      <c r="N45" s="379"/>
      <c r="O45" s="379"/>
      <c r="P45" s="383"/>
      <c r="Q45" s="383"/>
      <c r="R45" s="721"/>
      <c r="S45" s="725"/>
    </row>
    <row r="46" spans="1:24" x14ac:dyDescent="0.35">
      <c r="A46" s="4"/>
      <c r="B46" s="646"/>
      <c r="C46" s="50" t="s">
        <v>97</v>
      </c>
      <c r="D46" s="519" t="s">
        <v>98</v>
      </c>
      <c r="E46" s="5"/>
      <c r="F46" s="830"/>
      <c r="G46" s="830"/>
      <c r="H46" s="830"/>
      <c r="I46" s="830"/>
      <c r="J46" s="644"/>
      <c r="K46" s="645"/>
      <c r="L46" s="379"/>
      <c r="M46" s="383"/>
      <c r="N46" s="379"/>
      <c r="O46" s="379"/>
      <c r="P46" s="383"/>
      <c r="Q46" s="383"/>
      <c r="R46" s="721"/>
      <c r="S46" s="725"/>
    </row>
    <row r="47" spans="1:24" x14ac:dyDescent="0.35">
      <c r="A47" s="4"/>
      <c r="B47" s="646"/>
      <c r="C47" s="50" t="s">
        <v>70</v>
      </c>
      <c r="D47" s="284" t="str">
        <f>+P6</f>
        <v>No</v>
      </c>
      <c r="E47" s="647" t="str">
        <f>IF(P6=0,"Incomplete","Complete")</f>
        <v>Complete</v>
      </c>
      <c r="F47" s="404"/>
      <c r="G47" s="51"/>
      <c r="H47" s="644"/>
      <c r="I47" s="644"/>
      <c r="J47" s="644"/>
      <c r="K47" s="645"/>
      <c r="L47" s="379"/>
      <c r="M47" s="383"/>
      <c r="N47" s="379"/>
      <c r="O47" s="379"/>
      <c r="P47" s="383"/>
      <c r="Q47" s="383"/>
      <c r="R47" s="721"/>
      <c r="S47" s="725"/>
    </row>
    <row r="48" spans="1:24" ht="15.5" x14ac:dyDescent="0.35">
      <c r="A48" s="4"/>
      <c r="B48" s="648"/>
      <c r="C48" s="52" t="s">
        <v>71</v>
      </c>
      <c r="D48" s="285" t="str">
        <f>IF(AND(F15&gt;6,Q15="e"),"Yes",IF(AND(F15&gt;6,Q15="d"),"C",IF(AND(F15&gt;6,Q15="c"),"Yes",IF(AND(F15&gt;6,Q15,Q15="b"),"Yes",IF(AND(F15&gt;6,Q15,Q15="a"),"Yes","No")))))</f>
        <v>No</v>
      </c>
      <c r="E48" s="5"/>
      <c r="F48" s="404"/>
      <c r="G48" s="5"/>
      <c r="H48" s="644"/>
      <c r="I48" s="644"/>
      <c r="J48" s="644"/>
      <c r="K48" s="645"/>
      <c r="L48" s="379"/>
      <c r="M48" s="383"/>
      <c r="N48" s="379"/>
      <c r="O48" s="379"/>
      <c r="P48" s="383"/>
      <c r="Q48" s="383"/>
      <c r="R48" s="721"/>
      <c r="S48" s="725"/>
    </row>
    <row r="49" spans="1:19" ht="15.5" x14ac:dyDescent="0.35">
      <c r="A49" s="4"/>
      <c r="B49" s="648"/>
      <c r="C49" s="649"/>
      <c r="D49" s="648"/>
      <c r="E49" s="5"/>
      <c r="F49" s="404"/>
      <c r="G49" s="5"/>
      <c r="H49" s="644"/>
      <c r="I49" s="644"/>
      <c r="J49" s="644"/>
      <c r="K49" s="645"/>
      <c r="L49" s="379"/>
      <c r="M49" s="383"/>
      <c r="N49" s="379"/>
      <c r="O49" s="379"/>
      <c r="P49" s="383"/>
      <c r="Q49" s="383"/>
      <c r="R49" s="721"/>
      <c r="S49" s="725"/>
    </row>
    <row r="50" spans="1:19" ht="41.25" customHeight="1" x14ac:dyDescent="0.35">
      <c r="A50" s="4"/>
      <c r="B50" s="34"/>
      <c r="C50" s="831" t="s">
        <v>99</v>
      </c>
      <c r="D50" s="832"/>
      <c r="E50" s="833"/>
      <c r="F50" s="404"/>
      <c r="G50" s="834" t="s">
        <v>100</v>
      </c>
      <c r="H50" s="834"/>
      <c r="I50" s="22"/>
      <c r="J50" s="404"/>
      <c r="K50" s="405"/>
      <c r="L50" s="379"/>
      <c r="M50" s="383"/>
      <c r="N50" s="379"/>
      <c r="O50" s="379"/>
      <c r="P50" s="383"/>
      <c r="Q50" s="383"/>
      <c r="R50" s="721"/>
      <c r="S50" s="725"/>
    </row>
    <row r="51" spans="1:19" ht="26.5" x14ac:dyDescent="0.35">
      <c r="A51" s="4"/>
      <c r="B51" s="53" t="s">
        <v>59</v>
      </c>
      <c r="C51" s="54" t="s">
        <v>101</v>
      </c>
      <c r="D51" s="54" t="s">
        <v>102</v>
      </c>
      <c r="E51" s="55" t="s">
        <v>103</v>
      </c>
      <c r="F51" s="304"/>
      <c r="G51" s="834"/>
      <c r="H51" s="834"/>
      <c r="I51" s="5"/>
      <c r="J51" s="650"/>
      <c r="K51" s="651"/>
      <c r="L51" s="379"/>
      <c r="M51" s="383"/>
      <c r="N51" s="379"/>
      <c r="O51" s="379"/>
      <c r="P51" s="383"/>
      <c r="Q51" s="383"/>
      <c r="R51" s="721"/>
      <c r="S51" s="725"/>
    </row>
    <row r="52" spans="1:19" x14ac:dyDescent="0.35">
      <c r="A52" s="4"/>
      <c r="B52" s="55" t="s">
        <v>50</v>
      </c>
      <c r="C52" s="266">
        <f t="shared" ref="C52:C57" si="4">COUNTIF(Q$9:Q$14,B52)</f>
        <v>0</v>
      </c>
      <c r="D52" s="266">
        <f t="shared" ref="D52:D57" si="5">COUNTIF(Q$15:Q$38,B52)</f>
        <v>0</v>
      </c>
      <c r="E52" s="266">
        <f t="shared" ref="E52:E57" si="6">C52+D52</f>
        <v>0</v>
      </c>
      <c r="F52" s="304"/>
      <c r="G52" s="827">
        <f>COUNTIF(E$9:E$39,"A")</f>
        <v>0</v>
      </c>
      <c r="H52" s="827"/>
      <c r="I52" s="5"/>
      <c r="J52" s="650"/>
      <c r="K52" s="651"/>
      <c r="L52" s="379"/>
      <c r="M52" s="383"/>
      <c r="N52" s="379"/>
      <c r="O52" s="379"/>
      <c r="P52" s="383"/>
      <c r="Q52" s="383"/>
      <c r="R52" s="721"/>
      <c r="S52" s="725"/>
    </row>
    <row r="53" spans="1:19" x14ac:dyDescent="0.35">
      <c r="A53" s="4"/>
      <c r="B53" s="55" t="s">
        <v>51</v>
      </c>
      <c r="C53" s="266">
        <f t="shared" si="4"/>
        <v>2</v>
      </c>
      <c r="D53" s="266">
        <f t="shared" si="5"/>
        <v>0</v>
      </c>
      <c r="E53" s="266">
        <f t="shared" si="6"/>
        <v>2</v>
      </c>
      <c r="F53" s="304"/>
      <c r="G53" s="827">
        <f>COUNTIF(E$9:E$39,"B")</f>
        <v>2</v>
      </c>
      <c r="H53" s="827"/>
      <c r="I53" s="5"/>
      <c r="J53" s="650"/>
      <c r="K53" s="651"/>
      <c r="L53" s="379"/>
      <c r="M53" s="383"/>
      <c r="N53" s="379"/>
      <c r="O53" s="379"/>
      <c r="P53" s="383"/>
      <c r="Q53" s="383"/>
      <c r="R53" s="721"/>
      <c r="S53" s="725"/>
    </row>
    <row r="54" spans="1:19" x14ac:dyDescent="0.35">
      <c r="A54" s="4"/>
      <c r="B54" s="55" t="s">
        <v>52</v>
      </c>
      <c r="C54" s="266">
        <f t="shared" si="4"/>
        <v>0</v>
      </c>
      <c r="D54" s="266">
        <f t="shared" si="5"/>
        <v>0</v>
      </c>
      <c r="E54" s="266">
        <f t="shared" si="6"/>
        <v>0</v>
      </c>
      <c r="F54" s="304"/>
      <c r="G54" s="827">
        <f>COUNTIF(E$9:E$39,"C")</f>
        <v>0</v>
      </c>
      <c r="H54" s="827"/>
      <c r="I54" s="5"/>
      <c r="J54" s="650"/>
      <c r="K54" s="651"/>
      <c r="L54" s="379"/>
      <c r="M54" s="383"/>
      <c r="N54" s="379"/>
      <c r="O54" s="379"/>
      <c r="P54" s="383"/>
      <c r="Q54" s="383"/>
      <c r="R54" s="721"/>
      <c r="S54" s="725"/>
    </row>
    <row r="55" spans="1:19" x14ac:dyDescent="0.35">
      <c r="A55" s="4"/>
      <c r="B55" s="55" t="s">
        <v>53</v>
      </c>
      <c r="C55" s="266">
        <f t="shared" si="4"/>
        <v>0</v>
      </c>
      <c r="D55" s="266">
        <f t="shared" si="5"/>
        <v>0</v>
      </c>
      <c r="E55" s="266">
        <f t="shared" si="6"/>
        <v>0</v>
      </c>
      <c r="F55" s="304"/>
      <c r="G55" s="827">
        <f>COUNTIF(E$9:E$39,"D")</f>
        <v>0</v>
      </c>
      <c r="H55" s="827"/>
      <c r="I55" s="5"/>
      <c r="J55" s="650"/>
      <c r="K55" s="651"/>
      <c r="L55" s="379"/>
      <c r="M55" s="383"/>
      <c r="N55" s="379"/>
      <c r="O55" s="379"/>
      <c r="P55" s="383"/>
      <c r="Q55" s="383"/>
      <c r="R55" s="721"/>
      <c r="S55" s="725"/>
    </row>
    <row r="56" spans="1:19" x14ac:dyDescent="0.35">
      <c r="A56" s="4"/>
      <c r="B56" s="55" t="s">
        <v>54</v>
      </c>
      <c r="C56" s="266">
        <f t="shared" si="4"/>
        <v>0</v>
      </c>
      <c r="D56" s="266">
        <f t="shared" si="5"/>
        <v>0</v>
      </c>
      <c r="E56" s="266">
        <f t="shared" si="6"/>
        <v>0</v>
      </c>
      <c r="F56" s="304"/>
      <c r="G56" s="827">
        <f>COUNTIF(E$9:E$39,"E")</f>
        <v>0</v>
      </c>
      <c r="H56" s="827"/>
      <c r="I56" s="5"/>
      <c r="J56" s="650"/>
      <c r="K56" s="651"/>
      <c r="L56" s="379"/>
      <c r="M56" s="383"/>
      <c r="N56" s="379"/>
      <c r="O56" s="379"/>
      <c r="P56" s="383"/>
      <c r="Q56" s="383"/>
      <c r="R56" s="721"/>
      <c r="S56" s="725"/>
    </row>
    <row r="57" spans="1:19" x14ac:dyDescent="0.35">
      <c r="A57" s="4"/>
      <c r="B57" s="55" t="s">
        <v>104</v>
      </c>
      <c r="C57" s="266">
        <f t="shared" si="4"/>
        <v>0</v>
      </c>
      <c r="D57" s="266">
        <f t="shared" si="5"/>
        <v>0</v>
      </c>
      <c r="E57" s="266">
        <f t="shared" si="6"/>
        <v>0</v>
      </c>
      <c r="F57" s="304"/>
      <c r="G57" s="652"/>
      <c r="H57" s="652"/>
      <c r="I57" s="5"/>
      <c r="J57" s="650"/>
      <c r="K57" s="651"/>
      <c r="L57" s="379"/>
      <c r="M57" s="383"/>
      <c r="N57" s="379"/>
      <c r="O57" s="379"/>
      <c r="P57" s="383"/>
      <c r="Q57" s="383"/>
      <c r="R57" s="721"/>
      <c r="S57" s="725"/>
    </row>
    <row r="58" spans="1:19" ht="15" thickBot="1" x14ac:dyDescent="0.4">
      <c r="A58" s="8"/>
      <c r="B58" s="9"/>
      <c r="C58" s="9"/>
      <c r="D58" s="9"/>
      <c r="E58" s="9"/>
      <c r="F58" s="305"/>
      <c r="G58" s="9"/>
      <c r="H58" s="9"/>
      <c r="I58" s="9"/>
      <c r="J58" s="305"/>
      <c r="K58" s="653"/>
      <c r="L58" s="654"/>
      <c r="M58" s="655"/>
      <c r="N58" s="654"/>
      <c r="O58" s="654"/>
      <c r="P58" s="655"/>
      <c r="Q58" s="655"/>
      <c r="R58" s="723"/>
      <c r="S58" s="730"/>
    </row>
  </sheetData>
  <sheetProtection algorithmName="SHA-512" hashValue="hwjwzpL6Tu9PSQvI4UeeANFytx2FGnoDzxGcw3l7D1Qs4yZIaRG2X9Vfc7DLyUW2DtJyfFaj0NWsmTdKRWlaeg==" saltValue="4UYvaky+zv9CdmG/ca6j7g=="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6" priority="6" operator="equal">
      <formula>"Complete"</formula>
    </cfRule>
    <cfRule type="cellIs" dxfId="45" priority="7" operator="equal">
      <formula>"Incoomplete"</formula>
    </cfRule>
  </conditionalFormatting>
  <conditionalFormatting sqref="E47">
    <cfRule type="containsText" dxfId="44" priority="3" operator="containsText" text="incomplete">
      <formula>NOT(ISERROR(SEARCH("incomplete",E47)))</formula>
    </cfRule>
  </conditionalFormatting>
  <conditionalFormatting sqref="P6">
    <cfRule type="cellIs" dxfId="43" priority="4" operator="equal">
      <formula>"No"</formula>
    </cfRule>
    <cfRule type="cellIs" dxfId="42" priority="5" operator="equal">
      <formula>"Yes"</formula>
    </cfRule>
  </conditionalFormatting>
  <conditionalFormatting sqref="P7">
    <cfRule type="containsText" dxfId="41" priority="1" operator="containsText" text="Please manually">
      <formula>NOT(ISERROR(SEARCH("Please manually",P7)))</formula>
    </cfRule>
    <cfRule type="containsText" dxfId="40" priority="2" operator="containsText" text="Rule 6">
      <formula>NOT(ISERROR(SEARCH("Rule 6",P7)))</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Picklists!$W$7:$W$8</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L10" sqref="L10"/>
    </sheetView>
  </sheetViews>
  <sheetFormatPr defaultRowHeight="14.5" x14ac:dyDescent="0.35"/>
  <cols>
    <col min="3" max="3" width="26.81640625" customWidth="1"/>
    <col min="4" max="4" width="14.1796875" customWidth="1"/>
    <col min="5" max="5" width="11" customWidth="1"/>
    <col min="6" max="6" width="13.1796875" customWidth="1"/>
    <col min="8" max="8" width="18.81640625" customWidth="1"/>
  </cols>
  <sheetData>
    <row r="1" spans="2:9" ht="15" thickBot="1" x14ac:dyDescent="0.4"/>
    <row r="2" spans="2:9" ht="18.5" thickBot="1" x14ac:dyDescent="0.4">
      <c r="B2" s="58"/>
      <c r="C2" s="836" t="s">
        <v>105</v>
      </c>
      <c r="D2" s="836"/>
      <c r="E2" s="836"/>
      <c r="F2" s="836"/>
      <c r="G2" s="836"/>
      <c r="H2" s="836"/>
      <c r="I2" s="315"/>
    </row>
    <row r="3" spans="2:9" x14ac:dyDescent="0.35">
      <c r="B3" s="4"/>
      <c r="C3" s="5"/>
      <c r="D3" s="5"/>
      <c r="E3" s="59"/>
      <c r="F3" s="5"/>
      <c r="G3" s="5"/>
      <c r="H3" s="5"/>
      <c r="I3" s="60"/>
    </row>
    <row r="4" spans="2:9" x14ac:dyDescent="0.35">
      <c r="B4" s="4"/>
      <c r="C4" s="44" t="s">
        <v>63</v>
      </c>
      <c r="D4" s="837" t="str">
        <f>+Introduction!E10</f>
        <v>Tradebe Healthcare National Limited</v>
      </c>
      <c r="E4" s="837"/>
      <c r="F4" s="838"/>
      <c r="G4" s="61"/>
      <c r="H4" s="839" t="s">
        <v>106</v>
      </c>
      <c r="I4" s="60"/>
    </row>
    <row r="5" spans="2:9" x14ac:dyDescent="0.35">
      <c r="B5" s="4"/>
      <c r="C5" s="62" t="s">
        <v>44</v>
      </c>
      <c r="D5" s="837" t="str">
        <f>+Introduction!K10</f>
        <v>EPR/WP3636ZG</v>
      </c>
      <c r="E5" s="840"/>
      <c r="F5" s="838"/>
      <c r="G5" s="61"/>
      <c r="H5" s="839"/>
      <c r="I5" s="60"/>
    </row>
    <row r="6" spans="2:9" ht="38.25" customHeight="1" x14ac:dyDescent="0.35">
      <c r="B6" s="4"/>
      <c r="C6" s="835" t="s">
        <v>107</v>
      </c>
      <c r="D6" s="835"/>
      <c r="E6" s="835"/>
      <c r="F6" s="5"/>
      <c r="G6" s="5"/>
      <c r="H6" s="5"/>
      <c r="I6" s="60"/>
    </row>
    <row r="7" spans="2:9" ht="26" x14ac:dyDescent="0.35">
      <c r="B7" s="4"/>
      <c r="C7" s="64" t="s">
        <v>108</v>
      </c>
      <c r="D7" s="65" t="s">
        <v>109</v>
      </c>
      <c r="E7" s="66" t="s">
        <v>110</v>
      </c>
      <c r="F7" s="67" t="s">
        <v>111</v>
      </c>
      <c r="G7" s="68" t="s">
        <v>112</v>
      </c>
      <c r="H7" s="69" t="s">
        <v>113</v>
      </c>
      <c r="I7" s="70"/>
    </row>
    <row r="8" spans="2:9" ht="15" customHeight="1" x14ac:dyDescent="0.35">
      <c r="B8" s="4"/>
      <c r="C8" s="71" t="s">
        <v>114</v>
      </c>
      <c r="D8" s="72" t="s">
        <v>115</v>
      </c>
      <c r="E8" s="72">
        <v>10</v>
      </c>
      <c r="F8" s="73"/>
      <c r="G8" s="74">
        <f>IF(F8/E8&lt;1,0,(F8/E8))</f>
        <v>0</v>
      </c>
      <c r="H8" s="75"/>
      <c r="I8" s="60"/>
    </row>
    <row r="9" spans="2:9" ht="15" customHeight="1" x14ac:dyDescent="0.35">
      <c r="B9" s="4"/>
      <c r="C9" s="76" t="s">
        <v>116</v>
      </c>
      <c r="D9" s="77" t="s">
        <v>115</v>
      </c>
      <c r="E9" s="77">
        <v>10</v>
      </c>
      <c r="F9" s="73"/>
      <c r="G9" s="78">
        <f t="shared" ref="G9:G41" si="0">IF(F9/E9&lt;1,0,(F9/E9))</f>
        <v>0</v>
      </c>
      <c r="H9" s="75"/>
      <c r="I9" s="60"/>
    </row>
    <row r="10" spans="2:9" ht="15" customHeight="1" x14ac:dyDescent="0.35">
      <c r="B10" s="4"/>
      <c r="C10" s="76" t="s">
        <v>117</v>
      </c>
      <c r="D10" s="77" t="s">
        <v>115</v>
      </c>
      <c r="E10" s="77">
        <v>1000</v>
      </c>
      <c r="F10" s="73"/>
      <c r="G10" s="78">
        <f t="shared" si="0"/>
        <v>0</v>
      </c>
      <c r="H10" s="75"/>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118</v>
      </c>
      <c r="D13" s="77" t="s">
        <v>119</v>
      </c>
      <c r="E13" s="77">
        <v>1</v>
      </c>
      <c r="F13" s="73"/>
      <c r="G13" s="78">
        <f t="shared" si="0"/>
        <v>0</v>
      </c>
      <c r="H13" s="75"/>
      <c r="I13" s="60"/>
    </row>
    <row r="14" spans="2:9" ht="15" customHeight="1" x14ac:dyDescent="0.35">
      <c r="B14" s="4"/>
      <c r="C14" s="76" t="s">
        <v>120</v>
      </c>
      <c r="D14" s="77" t="s">
        <v>119</v>
      </c>
      <c r="E14" s="77">
        <v>1</v>
      </c>
      <c r="F14" s="73"/>
      <c r="G14" s="78">
        <f t="shared" si="0"/>
        <v>0</v>
      </c>
      <c r="H14" s="83"/>
      <c r="I14" s="60"/>
    </row>
    <row r="15" spans="2:9" ht="15" customHeight="1" x14ac:dyDescent="0.35">
      <c r="B15" s="4"/>
      <c r="C15" s="76" t="s">
        <v>121</v>
      </c>
      <c r="D15" s="77" t="s">
        <v>119</v>
      </c>
      <c r="E15" s="77">
        <v>1</v>
      </c>
      <c r="F15" s="73"/>
      <c r="G15" s="78">
        <f t="shared" si="0"/>
        <v>0</v>
      </c>
      <c r="H15" s="83"/>
      <c r="I15" s="60"/>
    </row>
    <row r="16" spans="2:9" ht="15" customHeight="1" x14ac:dyDescent="0.35">
      <c r="B16" s="4"/>
      <c r="C16" s="76" t="s">
        <v>122</v>
      </c>
      <c r="D16" s="77" t="s">
        <v>119</v>
      </c>
      <c r="E16" s="77">
        <v>1</v>
      </c>
      <c r="F16" s="73"/>
      <c r="G16" s="78">
        <f t="shared" si="0"/>
        <v>0</v>
      </c>
      <c r="H16" s="83"/>
      <c r="I16" s="60"/>
    </row>
    <row r="17" spans="2:9" ht="15" customHeight="1" x14ac:dyDescent="0.35">
      <c r="B17" s="4"/>
      <c r="C17" s="76"/>
      <c r="D17" s="77"/>
      <c r="E17" s="77"/>
      <c r="F17" s="77"/>
      <c r="G17" s="78"/>
      <c r="H17" s="84"/>
      <c r="I17" s="60"/>
    </row>
    <row r="18" spans="2:9" ht="15" customHeight="1" x14ac:dyDescent="0.35">
      <c r="B18" s="4"/>
      <c r="C18" s="76" t="s">
        <v>123</v>
      </c>
      <c r="D18" s="77" t="s">
        <v>119</v>
      </c>
      <c r="E18" s="77">
        <v>10</v>
      </c>
      <c r="F18" s="73"/>
      <c r="G18" s="78">
        <f t="shared" si="0"/>
        <v>0</v>
      </c>
      <c r="H18" s="83"/>
      <c r="I18" s="60"/>
    </row>
    <row r="19" spans="2:9" ht="15" customHeight="1" x14ac:dyDescent="0.35">
      <c r="B19" s="4"/>
      <c r="C19" s="76" t="s">
        <v>124</v>
      </c>
      <c r="D19" s="77" t="s">
        <v>119</v>
      </c>
      <c r="E19" s="77">
        <v>10</v>
      </c>
      <c r="F19" s="73"/>
      <c r="G19" s="78">
        <f t="shared" si="0"/>
        <v>0</v>
      </c>
      <c r="H19" s="83"/>
      <c r="I19" s="60"/>
    </row>
    <row r="20" spans="2:9" ht="15" customHeight="1" x14ac:dyDescent="0.35">
      <c r="B20" s="4"/>
      <c r="C20" s="76" t="s">
        <v>125</v>
      </c>
      <c r="D20" s="77" t="s">
        <v>119</v>
      </c>
      <c r="E20" s="77">
        <v>10</v>
      </c>
      <c r="F20" s="73"/>
      <c r="G20" s="78">
        <f t="shared" si="0"/>
        <v>0</v>
      </c>
      <c r="H20" s="83"/>
      <c r="I20" s="60"/>
    </row>
    <row r="21" spans="2:9" ht="15" customHeight="1" x14ac:dyDescent="0.35">
      <c r="B21" s="4"/>
      <c r="C21" s="76" t="s">
        <v>126</v>
      </c>
      <c r="D21" s="77" t="s">
        <v>119</v>
      </c>
      <c r="E21" s="77">
        <v>10</v>
      </c>
      <c r="F21" s="73"/>
      <c r="G21" s="78">
        <f t="shared" si="0"/>
        <v>0</v>
      </c>
      <c r="H21" s="83"/>
      <c r="I21" s="60"/>
    </row>
    <row r="22" spans="2:9" ht="15" customHeight="1" x14ac:dyDescent="0.35">
      <c r="B22" s="4"/>
      <c r="C22" s="76" t="s">
        <v>127</v>
      </c>
      <c r="D22" s="77" t="s">
        <v>119</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128</v>
      </c>
      <c r="D24" s="77"/>
      <c r="E24" s="77"/>
      <c r="F24" s="86"/>
      <c r="G24" s="78"/>
      <c r="H24" s="83"/>
      <c r="I24" s="60"/>
    </row>
    <row r="25" spans="2:9" ht="15" customHeight="1" x14ac:dyDescent="0.35">
      <c r="B25" s="4"/>
      <c r="C25" s="87"/>
      <c r="D25" s="77" t="s">
        <v>119</v>
      </c>
      <c r="E25" s="77">
        <v>100</v>
      </c>
      <c r="F25" s="73"/>
      <c r="G25" s="78">
        <f t="shared" si="0"/>
        <v>0</v>
      </c>
      <c r="H25" s="83"/>
      <c r="I25" s="60"/>
    </row>
    <row r="26" spans="2:9" ht="15" customHeight="1" x14ac:dyDescent="0.35">
      <c r="B26" s="4"/>
      <c r="C26" s="87"/>
      <c r="D26" s="77" t="s">
        <v>119</v>
      </c>
      <c r="E26" s="77">
        <v>100</v>
      </c>
      <c r="F26" s="73"/>
      <c r="G26" s="78">
        <f t="shared" si="0"/>
        <v>0</v>
      </c>
      <c r="H26" s="83"/>
      <c r="I26" s="60"/>
    </row>
    <row r="27" spans="2:9" ht="15" customHeight="1" x14ac:dyDescent="0.35">
      <c r="B27" s="4"/>
      <c r="C27" s="87"/>
      <c r="D27" s="77" t="s">
        <v>119</v>
      </c>
      <c r="E27" s="77">
        <v>100</v>
      </c>
      <c r="F27" s="73"/>
      <c r="G27" s="78">
        <f t="shared" si="0"/>
        <v>0</v>
      </c>
      <c r="H27" s="83"/>
      <c r="I27" s="60"/>
    </row>
    <row r="28" spans="2:9" ht="15" customHeight="1" x14ac:dyDescent="0.35">
      <c r="B28" s="4"/>
      <c r="C28" s="87"/>
      <c r="D28" s="77" t="s">
        <v>119</v>
      </c>
      <c r="E28" s="77">
        <v>100</v>
      </c>
      <c r="F28" s="73"/>
      <c r="G28" s="78">
        <f t="shared" si="0"/>
        <v>0</v>
      </c>
      <c r="H28" s="83"/>
      <c r="I28" s="60"/>
    </row>
    <row r="29" spans="2:9" ht="15" customHeight="1" x14ac:dyDescent="0.35">
      <c r="B29" s="4"/>
      <c r="C29" s="88"/>
      <c r="D29" s="77" t="s">
        <v>119</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129</v>
      </c>
      <c r="D31" s="77"/>
      <c r="E31" s="77"/>
      <c r="F31" s="73"/>
      <c r="G31" s="78"/>
      <c r="H31" s="83"/>
      <c r="I31" s="60"/>
    </row>
    <row r="32" spans="2:9" ht="15" customHeight="1" x14ac:dyDescent="0.35">
      <c r="B32" s="4"/>
      <c r="C32" s="76" t="s">
        <v>130</v>
      </c>
      <c r="D32" s="77" t="s">
        <v>131</v>
      </c>
      <c r="E32" s="77">
        <v>0.1</v>
      </c>
      <c r="F32" s="73"/>
      <c r="G32" s="78">
        <f t="shared" si="0"/>
        <v>0</v>
      </c>
      <c r="H32" s="83"/>
      <c r="I32" s="60"/>
    </row>
    <row r="33" spans="2:9" ht="15" customHeight="1" x14ac:dyDescent="0.35">
      <c r="B33" s="4"/>
      <c r="C33" s="76" t="s">
        <v>132</v>
      </c>
      <c r="D33" s="77" t="s">
        <v>133</v>
      </c>
      <c r="E33" s="77">
        <v>0.1</v>
      </c>
      <c r="F33" s="73"/>
      <c r="G33" s="78">
        <f t="shared" si="0"/>
        <v>0</v>
      </c>
      <c r="H33" s="83"/>
      <c r="I33" s="60"/>
    </row>
    <row r="34" spans="2:9" ht="15" customHeight="1" x14ac:dyDescent="0.35">
      <c r="B34" s="4"/>
      <c r="C34" s="76"/>
      <c r="D34" s="77"/>
      <c r="E34" s="77"/>
      <c r="F34" s="77"/>
      <c r="G34" s="78"/>
      <c r="H34" s="84"/>
      <c r="I34" s="60"/>
    </row>
    <row r="35" spans="2:9" ht="15" customHeight="1" x14ac:dyDescent="0.35">
      <c r="B35" s="4"/>
      <c r="C35" s="76" t="s">
        <v>134</v>
      </c>
      <c r="D35" s="77" t="s">
        <v>119</v>
      </c>
      <c r="E35" s="77">
        <v>1</v>
      </c>
      <c r="F35" s="73"/>
      <c r="G35" s="78">
        <f t="shared" si="0"/>
        <v>0</v>
      </c>
      <c r="H35" s="83"/>
      <c r="I35" s="60"/>
    </row>
    <row r="36" spans="2:9" ht="15" customHeight="1" x14ac:dyDescent="0.35">
      <c r="B36" s="4"/>
      <c r="C36" s="76" t="s">
        <v>135</v>
      </c>
      <c r="D36" s="77" t="s">
        <v>119</v>
      </c>
      <c r="E36" s="77">
        <v>1</v>
      </c>
      <c r="F36" s="73"/>
      <c r="G36" s="78">
        <f t="shared" si="0"/>
        <v>0</v>
      </c>
      <c r="H36" s="83"/>
      <c r="I36" s="60"/>
    </row>
    <row r="37" spans="2:9" ht="15" customHeight="1" x14ac:dyDescent="0.35">
      <c r="B37" s="4"/>
      <c r="C37" s="76" t="s">
        <v>136</v>
      </c>
      <c r="D37" s="77" t="s">
        <v>119</v>
      </c>
      <c r="E37" s="77">
        <v>1</v>
      </c>
      <c r="F37" s="73"/>
      <c r="G37" s="78">
        <f t="shared" si="0"/>
        <v>0</v>
      </c>
      <c r="H37" s="83"/>
      <c r="I37" s="60"/>
    </row>
    <row r="38" spans="2:9" ht="15" customHeight="1" x14ac:dyDescent="0.35">
      <c r="B38" s="4"/>
      <c r="C38" s="76" t="s">
        <v>137</v>
      </c>
      <c r="D38" s="77" t="s">
        <v>119</v>
      </c>
      <c r="E38" s="77">
        <v>1</v>
      </c>
      <c r="F38" s="73"/>
      <c r="G38" s="78">
        <f t="shared" si="0"/>
        <v>0</v>
      </c>
      <c r="H38" s="83"/>
      <c r="I38" s="60"/>
    </row>
    <row r="39" spans="2:9" ht="15" customHeight="1" x14ac:dyDescent="0.35">
      <c r="B39" s="4"/>
      <c r="C39" s="76" t="s">
        <v>138</v>
      </c>
      <c r="D39" s="77" t="s">
        <v>119</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139</v>
      </c>
      <c r="D41" s="77" t="s">
        <v>119</v>
      </c>
      <c r="E41" s="77">
        <v>10</v>
      </c>
      <c r="F41" s="73"/>
      <c r="G41" s="78">
        <f t="shared" si="0"/>
        <v>0</v>
      </c>
      <c r="H41" s="83"/>
      <c r="I41" s="60"/>
    </row>
    <row r="42" spans="2:9" ht="15" customHeight="1" x14ac:dyDescent="0.35">
      <c r="B42" s="4"/>
      <c r="C42" s="76" t="s">
        <v>140</v>
      </c>
      <c r="D42" s="77" t="s">
        <v>119</v>
      </c>
      <c r="E42" s="77">
        <v>10</v>
      </c>
      <c r="F42" s="73"/>
      <c r="G42" s="78">
        <f>IF(F42/E42&lt;1,0,(F42/E42))</f>
        <v>0</v>
      </c>
      <c r="H42" s="83"/>
      <c r="I42" s="60"/>
    </row>
    <row r="43" spans="2:9" ht="15" customHeight="1" x14ac:dyDescent="0.35">
      <c r="B43" s="4"/>
      <c r="C43" s="76" t="s">
        <v>141</v>
      </c>
      <c r="D43" s="77" t="s">
        <v>119</v>
      </c>
      <c r="E43" s="77">
        <v>10</v>
      </c>
      <c r="F43" s="73"/>
      <c r="G43" s="78">
        <f>IF(F43/E43&lt;1,0,(F43/E43))</f>
        <v>0</v>
      </c>
      <c r="H43" s="83"/>
      <c r="I43" s="60"/>
    </row>
    <row r="44" spans="2:9" ht="15" customHeight="1" x14ac:dyDescent="0.35">
      <c r="B44" s="4"/>
      <c r="C44" s="76" t="s">
        <v>142</v>
      </c>
      <c r="D44" s="77" t="s">
        <v>119</v>
      </c>
      <c r="E44" s="77">
        <v>10</v>
      </c>
      <c r="F44" s="73"/>
      <c r="G44" s="78">
        <f t="shared" ref="G44:G52" si="1">IF(F44/E44&lt;1,0,(F44/E44))</f>
        <v>0</v>
      </c>
      <c r="H44" s="83"/>
      <c r="I44" s="60"/>
    </row>
    <row r="45" spans="2:9" ht="15" customHeight="1" x14ac:dyDescent="0.35">
      <c r="B45" s="4"/>
      <c r="C45" s="76" t="s">
        <v>143</v>
      </c>
      <c r="D45" s="77" t="s">
        <v>119</v>
      </c>
      <c r="E45" s="77">
        <v>10</v>
      </c>
      <c r="F45" s="73"/>
      <c r="G45" s="78">
        <f t="shared" si="1"/>
        <v>0</v>
      </c>
      <c r="H45" s="83"/>
      <c r="I45" s="60"/>
    </row>
    <row r="46" spans="2:9" ht="15" customHeight="1" x14ac:dyDescent="0.35">
      <c r="B46" s="4"/>
      <c r="C46" s="76" t="s">
        <v>144</v>
      </c>
      <c r="D46" s="77" t="s">
        <v>119</v>
      </c>
      <c r="E46" s="77">
        <v>10</v>
      </c>
      <c r="F46" s="73"/>
      <c r="G46" s="78">
        <f t="shared" si="1"/>
        <v>0</v>
      </c>
      <c r="H46" s="83"/>
      <c r="I46" s="60"/>
    </row>
    <row r="47" spans="2:9" ht="15" customHeight="1" x14ac:dyDescent="0.35">
      <c r="B47" s="4"/>
      <c r="C47" s="76" t="s">
        <v>145</v>
      </c>
      <c r="D47" s="77" t="s">
        <v>119</v>
      </c>
      <c r="E47" s="77">
        <v>10</v>
      </c>
      <c r="F47" s="73"/>
      <c r="G47" s="78">
        <f t="shared" si="1"/>
        <v>0</v>
      </c>
      <c r="H47" s="83"/>
      <c r="I47" s="60"/>
    </row>
    <row r="48" spans="2:9" ht="15" customHeight="1" x14ac:dyDescent="0.35">
      <c r="B48" s="4"/>
      <c r="C48" s="76" t="s">
        <v>146</v>
      </c>
      <c r="D48" s="77" t="s">
        <v>119</v>
      </c>
      <c r="E48" s="77">
        <v>10</v>
      </c>
      <c r="F48" s="73"/>
      <c r="G48" s="78">
        <f t="shared" si="1"/>
        <v>0</v>
      </c>
      <c r="H48" s="83"/>
      <c r="I48" s="60"/>
    </row>
    <row r="49" spans="2:9" ht="15" customHeight="1" x14ac:dyDescent="0.35">
      <c r="B49" s="4"/>
      <c r="C49" s="76" t="s">
        <v>147</v>
      </c>
      <c r="D49" s="77" t="s">
        <v>119</v>
      </c>
      <c r="E49" s="77">
        <v>10</v>
      </c>
      <c r="F49" s="73"/>
      <c r="G49" s="78">
        <f t="shared" si="1"/>
        <v>0</v>
      </c>
      <c r="H49" s="83"/>
      <c r="I49" s="60"/>
    </row>
    <row r="50" spans="2:9" ht="15" customHeight="1" x14ac:dyDescent="0.35">
      <c r="B50" s="4"/>
      <c r="C50" s="76" t="s">
        <v>148</v>
      </c>
      <c r="D50" s="77" t="s">
        <v>119</v>
      </c>
      <c r="E50" s="77">
        <v>10</v>
      </c>
      <c r="F50" s="73"/>
      <c r="G50" s="78">
        <f t="shared" si="1"/>
        <v>0</v>
      </c>
      <c r="H50" s="83"/>
      <c r="I50" s="60"/>
    </row>
    <row r="51" spans="2:9" ht="15" customHeight="1" x14ac:dyDescent="0.35">
      <c r="B51" s="4"/>
      <c r="C51" s="76" t="s">
        <v>149</v>
      </c>
      <c r="D51" s="77" t="s">
        <v>119</v>
      </c>
      <c r="E51" s="77">
        <v>10</v>
      </c>
      <c r="F51" s="73"/>
      <c r="G51" s="78">
        <f t="shared" si="1"/>
        <v>0</v>
      </c>
      <c r="H51" s="83"/>
      <c r="I51" s="60"/>
    </row>
    <row r="52" spans="2:9" ht="15" customHeight="1" x14ac:dyDescent="0.35">
      <c r="B52" s="4"/>
      <c r="C52" s="76" t="s">
        <v>150</v>
      </c>
      <c r="D52" s="77" t="s">
        <v>119</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151</v>
      </c>
      <c r="D55" s="77" t="s">
        <v>119</v>
      </c>
      <c r="E55" s="77">
        <v>100</v>
      </c>
      <c r="F55" s="73"/>
      <c r="G55" s="78">
        <f>IF(F55/E55&lt;1,0,(F55/E55))</f>
        <v>0</v>
      </c>
      <c r="H55" s="83"/>
      <c r="I55" s="60"/>
    </row>
    <row r="56" spans="2:9" ht="15" customHeight="1" x14ac:dyDescent="0.35">
      <c r="B56" s="4"/>
      <c r="C56" s="76" t="s">
        <v>152</v>
      </c>
      <c r="D56" s="77" t="s">
        <v>119</v>
      </c>
      <c r="E56" s="77">
        <v>100</v>
      </c>
      <c r="F56" s="73"/>
      <c r="G56" s="78">
        <f t="shared" ref="G56:G73" si="2">IF(F56/E56&lt;1,0,(F56/E56))</f>
        <v>0</v>
      </c>
      <c r="H56" s="83"/>
      <c r="I56" s="60"/>
    </row>
    <row r="57" spans="2:9" ht="15" customHeight="1" x14ac:dyDescent="0.35">
      <c r="B57" s="4"/>
      <c r="C57" s="76" t="s">
        <v>153</v>
      </c>
      <c r="D57" s="77" t="s">
        <v>119</v>
      </c>
      <c r="E57" s="77">
        <v>100</v>
      </c>
      <c r="F57" s="73"/>
      <c r="G57" s="78">
        <f t="shared" si="2"/>
        <v>0</v>
      </c>
      <c r="H57" s="83"/>
      <c r="I57" s="60"/>
    </row>
    <row r="58" spans="2:9" ht="15" customHeight="1" x14ac:dyDescent="0.35">
      <c r="B58" s="4"/>
      <c r="C58" s="76" t="s">
        <v>154</v>
      </c>
      <c r="D58" s="77" t="s">
        <v>119</v>
      </c>
      <c r="E58" s="77">
        <v>100</v>
      </c>
      <c r="F58" s="73"/>
      <c r="G58" s="78">
        <f t="shared" si="2"/>
        <v>0</v>
      </c>
      <c r="H58" s="83"/>
      <c r="I58" s="60"/>
    </row>
    <row r="59" spans="2:9" ht="15" customHeight="1" x14ac:dyDescent="0.35">
      <c r="B59" s="4"/>
      <c r="C59" s="76" t="s">
        <v>155</v>
      </c>
      <c r="D59" s="77" t="s">
        <v>119</v>
      </c>
      <c r="E59" s="77">
        <v>100</v>
      </c>
      <c r="F59" s="73"/>
      <c r="G59" s="78">
        <f t="shared" si="2"/>
        <v>0</v>
      </c>
      <c r="H59" s="83"/>
      <c r="I59" s="60"/>
    </row>
    <row r="60" spans="2:9" ht="15" customHeight="1" x14ac:dyDescent="0.35">
      <c r="B60" s="4"/>
      <c r="C60" s="76" t="s">
        <v>156</v>
      </c>
      <c r="D60" s="77" t="s">
        <v>119</v>
      </c>
      <c r="E60" s="77">
        <v>100</v>
      </c>
      <c r="F60" s="73"/>
      <c r="G60" s="78">
        <f t="shared" si="2"/>
        <v>0</v>
      </c>
      <c r="H60" s="83"/>
      <c r="I60" s="60"/>
    </row>
    <row r="61" spans="2:9" ht="15" customHeight="1" x14ac:dyDescent="0.35">
      <c r="B61" s="4"/>
      <c r="C61" s="76" t="s">
        <v>157</v>
      </c>
      <c r="D61" s="77" t="s">
        <v>119</v>
      </c>
      <c r="E61" s="77">
        <v>100</v>
      </c>
      <c r="F61" s="73"/>
      <c r="G61" s="78">
        <f t="shared" si="2"/>
        <v>0</v>
      </c>
      <c r="H61" s="83"/>
      <c r="I61" s="60"/>
    </row>
    <row r="62" spans="2:9" ht="15" customHeight="1" x14ac:dyDescent="0.35">
      <c r="B62" s="4"/>
      <c r="C62" s="76" t="s">
        <v>158</v>
      </c>
      <c r="D62" s="77" t="s">
        <v>119</v>
      </c>
      <c r="E62" s="77">
        <v>100</v>
      </c>
      <c r="F62" s="73"/>
      <c r="G62" s="78">
        <f t="shared" si="2"/>
        <v>0</v>
      </c>
      <c r="H62" s="83"/>
      <c r="I62" s="60"/>
    </row>
    <row r="63" spans="2:9" ht="15" customHeight="1" x14ac:dyDescent="0.35">
      <c r="B63" s="4"/>
      <c r="C63" s="76" t="s">
        <v>159</v>
      </c>
      <c r="D63" s="77" t="s">
        <v>119</v>
      </c>
      <c r="E63" s="77">
        <v>100</v>
      </c>
      <c r="F63" s="73"/>
      <c r="G63" s="78">
        <f t="shared" si="2"/>
        <v>0</v>
      </c>
      <c r="H63" s="83"/>
      <c r="I63" s="60"/>
    </row>
    <row r="64" spans="2:9" ht="15" customHeight="1" x14ac:dyDescent="0.35">
      <c r="B64" s="4"/>
      <c r="C64" s="76" t="s">
        <v>160</v>
      </c>
      <c r="D64" s="77" t="s">
        <v>119</v>
      </c>
      <c r="E64" s="77">
        <v>100</v>
      </c>
      <c r="F64" s="73"/>
      <c r="G64" s="78">
        <f t="shared" si="2"/>
        <v>0</v>
      </c>
      <c r="H64" s="83"/>
      <c r="I64" s="60"/>
    </row>
    <row r="65" spans="2:9" ht="15" customHeight="1" x14ac:dyDescent="0.35">
      <c r="B65" s="4"/>
      <c r="C65" s="76" t="s">
        <v>161</v>
      </c>
      <c r="D65" s="77" t="s">
        <v>119</v>
      </c>
      <c r="E65" s="77">
        <v>100</v>
      </c>
      <c r="F65" s="73"/>
      <c r="G65" s="78">
        <f t="shared" si="2"/>
        <v>0</v>
      </c>
      <c r="H65" s="83"/>
      <c r="I65" s="60"/>
    </row>
    <row r="66" spans="2:9" ht="15" customHeight="1" x14ac:dyDescent="0.35">
      <c r="B66" s="4"/>
      <c r="C66" s="76" t="s">
        <v>162</v>
      </c>
      <c r="D66" s="77" t="s">
        <v>119</v>
      </c>
      <c r="E66" s="77">
        <v>100</v>
      </c>
      <c r="F66" s="73"/>
      <c r="G66" s="78">
        <f t="shared" si="2"/>
        <v>0</v>
      </c>
      <c r="H66" s="83"/>
      <c r="I66" s="60"/>
    </row>
    <row r="67" spans="2:9" ht="15" customHeight="1" x14ac:dyDescent="0.35">
      <c r="B67" s="4"/>
      <c r="C67" s="76" t="s">
        <v>163</v>
      </c>
      <c r="D67" s="77" t="s">
        <v>119</v>
      </c>
      <c r="E67" s="77">
        <v>100</v>
      </c>
      <c r="F67" s="73"/>
      <c r="G67" s="78">
        <f t="shared" si="2"/>
        <v>0</v>
      </c>
      <c r="H67" s="83"/>
      <c r="I67" s="60"/>
    </row>
    <row r="68" spans="2:9" ht="15" customHeight="1" x14ac:dyDescent="0.35">
      <c r="B68" s="4"/>
      <c r="C68" s="76" t="s">
        <v>164</v>
      </c>
      <c r="D68" s="77" t="s">
        <v>119</v>
      </c>
      <c r="E68" s="77">
        <v>100</v>
      </c>
      <c r="F68" s="73"/>
      <c r="G68" s="78">
        <f t="shared" si="2"/>
        <v>0</v>
      </c>
      <c r="H68" s="83"/>
      <c r="I68" s="60"/>
    </row>
    <row r="69" spans="2:9" ht="15" customHeight="1" x14ac:dyDescent="0.35">
      <c r="B69" s="4"/>
      <c r="C69" s="76" t="s">
        <v>165</v>
      </c>
      <c r="D69" s="77" t="s">
        <v>119</v>
      </c>
      <c r="E69" s="77">
        <v>100</v>
      </c>
      <c r="F69" s="73"/>
      <c r="G69" s="78">
        <f t="shared" si="2"/>
        <v>0</v>
      </c>
      <c r="H69" s="83"/>
      <c r="I69" s="60"/>
    </row>
    <row r="70" spans="2:9" ht="15" customHeight="1" x14ac:dyDescent="0.35">
      <c r="B70" s="4"/>
      <c r="C70" s="76" t="s">
        <v>166</v>
      </c>
      <c r="D70" s="77" t="s">
        <v>119</v>
      </c>
      <c r="E70" s="77">
        <v>100</v>
      </c>
      <c r="F70" s="73"/>
      <c r="G70" s="78">
        <f t="shared" si="2"/>
        <v>0</v>
      </c>
      <c r="H70" s="83"/>
      <c r="I70" s="60"/>
    </row>
    <row r="71" spans="2:9" ht="15" customHeight="1" x14ac:dyDescent="0.35">
      <c r="B71" s="4"/>
      <c r="C71" s="76" t="s">
        <v>167</v>
      </c>
      <c r="D71" s="77" t="s">
        <v>119</v>
      </c>
      <c r="E71" s="77">
        <v>100</v>
      </c>
      <c r="F71" s="73"/>
      <c r="G71" s="78">
        <f t="shared" si="2"/>
        <v>0</v>
      </c>
      <c r="H71" s="83"/>
      <c r="I71" s="60"/>
    </row>
    <row r="72" spans="2:9" ht="15" customHeight="1" x14ac:dyDescent="0.35">
      <c r="B72" s="4"/>
      <c r="C72" s="76" t="s">
        <v>168</v>
      </c>
      <c r="D72" s="77" t="s">
        <v>119</v>
      </c>
      <c r="E72" s="77">
        <v>100</v>
      </c>
      <c r="F72" s="73"/>
      <c r="G72" s="78">
        <f t="shared" si="2"/>
        <v>0</v>
      </c>
      <c r="H72" s="83"/>
      <c r="I72" s="60"/>
    </row>
    <row r="73" spans="2:9" ht="15" customHeight="1" x14ac:dyDescent="0.35">
      <c r="B73" s="4"/>
      <c r="C73" s="76" t="s">
        <v>169</v>
      </c>
      <c r="D73" s="77" t="s">
        <v>119</v>
      </c>
      <c r="E73" s="77">
        <v>100</v>
      </c>
      <c r="F73" s="73"/>
      <c r="G73" s="78">
        <f t="shared" si="2"/>
        <v>0</v>
      </c>
      <c r="H73" s="83"/>
      <c r="I73" s="60"/>
    </row>
    <row r="74" spans="2:9" ht="15" customHeight="1" x14ac:dyDescent="0.35">
      <c r="B74" s="4"/>
      <c r="C74" s="76"/>
      <c r="D74" s="77" t="s">
        <v>119</v>
      </c>
      <c r="E74" s="77"/>
      <c r="F74" s="77"/>
      <c r="G74" s="78"/>
      <c r="H74" s="84"/>
      <c r="I74" s="60"/>
    </row>
    <row r="75" spans="2:9" ht="15" customHeight="1" x14ac:dyDescent="0.35">
      <c r="B75" s="4"/>
      <c r="C75" s="76" t="s">
        <v>170</v>
      </c>
      <c r="D75" s="77" t="s">
        <v>119</v>
      </c>
      <c r="E75" s="77">
        <v>500</v>
      </c>
      <c r="F75" s="73"/>
      <c r="G75" s="78">
        <f t="shared" ref="G75:G92" si="3">IF(F75/E75&lt;1,0,(F75/E75))</f>
        <v>0</v>
      </c>
      <c r="H75" s="83"/>
      <c r="I75" s="60"/>
    </row>
    <row r="76" spans="2:9" ht="15" customHeight="1" x14ac:dyDescent="0.35">
      <c r="B76" s="4"/>
      <c r="C76" s="76" t="s">
        <v>171</v>
      </c>
      <c r="D76" s="77" t="s">
        <v>119</v>
      </c>
      <c r="E76" s="77">
        <v>500</v>
      </c>
      <c r="F76" s="73"/>
      <c r="G76" s="78">
        <f t="shared" si="3"/>
        <v>0</v>
      </c>
      <c r="H76" s="83"/>
      <c r="I76" s="60"/>
    </row>
    <row r="77" spans="2:9" ht="15" customHeight="1" x14ac:dyDescent="0.35">
      <c r="B77" s="4"/>
      <c r="C77" s="76" t="s">
        <v>172</v>
      </c>
      <c r="D77" s="77" t="s">
        <v>119</v>
      </c>
      <c r="E77" s="77">
        <v>500</v>
      </c>
      <c r="F77" s="73"/>
      <c r="G77" s="78">
        <f t="shared" si="3"/>
        <v>0</v>
      </c>
      <c r="H77" s="83"/>
      <c r="I77" s="60"/>
    </row>
    <row r="78" spans="2:9" ht="15" customHeight="1" x14ac:dyDescent="0.35">
      <c r="B78" s="4"/>
      <c r="C78" s="76" t="s">
        <v>173</v>
      </c>
      <c r="D78" s="77" t="s">
        <v>119</v>
      </c>
      <c r="E78" s="77">
        <v>500</v>
      </c>
      <c r="F78" s="73"/>
      <c r="G78" s="78">
        <f t="shared" si="3"/>
        <v>0</v>
      </c>
      <c r="H78" s="83"/>
      <c r="I78" s="60"/>
    </row>
    <row r="79" spans="2:9" ht="15" customHeight="1" x14ac:dyDescent="0.35">
      <c r="B79" s="4"/>
      <c r="C79" s="76" t="s">
        <v>174</v>
      </c>
      <c r="D79" s="77" t="s">
        <v>119</v>
      </c>
      <c r="E79" s="77">
        <v>500</v>
      </c>
      <c r="F79" s="73"/>
      <c r="G79" s="78">
        <f t="shared" si="3"/>
        <v>0</v>
      </c>
      <c r="H79" s="83"/>
      <c r="I79" s="60"/>
    </row>
    <row r="80" spans="2:9" ht="15" customHeight="1" x14ac:dyDescent="0.35">
      <c r="B80" s="4"/>
      <c r="C80" s="76" t="s">
        <v>175</v>
      </c>
      <c r="D80" s="77" t="s">
        <v>119</v>
      </c>
      <c r="E80" s="77">
        <v>500</v>
      </c>
      <c r="F80" s="73"/>
      <c r="G80" s="78">
        <f t="shared" si="3"/>
        <v>0</v>
      </c>
      <c r="H80" s="83"/>
      <c r="I80" s="60"/>
    </row>
    <row r="81" spans="2:9" ht="15" customHeight="1" x14ac:dyDescent="0.35">
      <c r="B81" s="4"/>
      <c r="C81" s="76" t="s">
        <v>176</v>
      </c>
      <c r="D81" s="77" t="s">
        <v>119</v>
      </c>
      <c r="E81" s="77">
        <v>500</v>
      </c>
      <c r="F81" s="73"/>
      <c r="G81" s="78">
        <f t="shared" si="3"/>
        <v>0</v>
      </c>
      <c r="H81" s="83"/>
      <c r="I81" s="60"/>
    </row>
    <row r="82" spans="2:9" ht="15" customHeight="1" x14ac:dyDescent="0.35">
      <c r="B82" s="4"/>
      <c r="C82" s="76" t="s">
        <v>177</v>
      </c>
      <c r="D82" s="77" t="s">
        <v>119</v>
      </c>
      <c r="E82" s="77">
        <v>500</v>
      </c>
      <c r="F82" s="73"/>
      <c r="G82" s="78">
        <f t="shared" si="3"/>
        <v>0</v>
      </c>
      <c r="H82" s="83"/>
      <c r="I82" s="60"/>
    </row>
    <row r="83" spans="2:9" ht="15" customHeight="1" x14ac:dyDescent="0.35">
      <c r="B83" s="4"/>
      <c r="C83" s="76" t="s">
        <v>178</v>
      </c>
      <c r="D83" s="77" t="s">
        <v>119</v>
      </c>
      <c r="E83" s="77">
        <v>500</v>
      </c>
      <c r="F83" s="73"/>
      <c r="G83" s="78">
        <f t="shared" si="3"/>
        <v>0</v>
      </c>
      <c r="H83" s="83"/>
      <c r="I83" s="60"/>
    </row>
    <row r="84" spans="2:9" ht="15" customHeight="1" x14ac:dyDescent="0.35">
      <c r="B84" s="4"/>
      <c r="C84" s="76" t="s">
        <v>179</v>
      </c>
      <c r="D84" s="77" t="s">
        <v>119</v>
      </c>
      <c r="E84" s="77">
        <v>500</v>
      </c>
      <c r="F84" s="73"/>
      <c r="G84" s="78">
        <f t="shared" si="3"/>
        <v>0</v>
      </c>
      <c r="H84" s="83"/>
      <c r="I84" s="60"/>
    </row>
    <row r="85" spans="2:9" ht="15" customHeight="1" x14ac:dyDescent="0.35">
      <c r="B85" s="4"/>
      <c r="C85" s="76" t="s">
        <v>180</v>
      </c>
      <c r="D85" s="77" t="s">
        <v>119</v>
      </c>
      <c r="E85" s="77">
        <v>500</v>
      </c>
      <c r="F85" s="73"/>
      <c r="G85" s="78">
        <f t="shared" si="3"/>
        <v>0</v>
      </c>
      <c r="H85" s="83"/>
      <c r="I85" s="60"/>
    </row>
    <row r="86" spans="2:9" ht="15" customHeight="1" x14ac:dyDescent="0.35">
      <c r="B86" s="4"/>
      <c r="C86" s="76" t="s">
        <v>181</v>
      </c>
      <c r="D86" s="77" t="s">
        <v>119</v>
      </c>
      <c r="E86" s="77">
        <v>500</v>
      </c>
      <c r="F86" s="73"/>
      <c r="G86" s="78">
        <f t="shared" si="3"/>
        <v>0</v>
      </c>
      <c r="H86" s="83"/>
      <c r="I86" s="60"/>
    </row>
    <row r="87" spans="2:9" ht="15" customHeight="1" x14ac:dyDescent="0.35">
      <c r="B87" s="4"/>
      <c r="C87" s="76" t="s">
        <v>182</v>
      </c>
      <c r="D87" s="77" t="s">
        <v>119</v>
      </c>
      <c r="E87" s="77">
        <v>500</v>
      </c>
      <c r="F87" s="73"/>
      <c r="G87" s="78">
        <f t="shared" si="3"/>
        <v>0</v>
      </c>
      <c r="H87" s="83"/>
      <c r="I87" s="60"/>
    </row>
    <row r="88" spans="2:9" ht="15" customHeight="1" x14ac:dyDescent="0.35">
      <c r="B88" s="4"/>
      <c r="C88" s="76" t="s">
        <v>183</v>
      </c>
      <c r="D88" s="77" t="s">
        <v>119</v>
      </c>
      <c r="E88" s="77">
        <v>500</v>
      </c>
      <c r="F88" s="73"/>
      <c r="G88" s="78">
        <f t="shared" si="3"/>
        <v>0</v>
      </c>
      <c r="H88" s="83"/>
      <c r="I88" s="60"/>
    </row>
    <row r="89" spans="2:9" ht="15" customHeight="1" x14ac:dyDescent="0.35">
      <c r="B89" s="4"/>
      <c r="C89" s="76" t="s">
        <v>184</v>
      </c>
      <c r="D89" s="77" t="s">
        <v>119</v>
      </c>
      <c r="E89" s="77">
        <v>500</v>
      </c>
      <c r="F89" s="73"/>
      <c r="G89" s="78">
        <f t="shared" si="3"/>
        <v>0</v>
      </c>
      <c r="H89" s="83"/>
      <c r="I89" s="60"/>
    </row>
    <row r="90" spans="2:9" ht="15" customHeight="1" x14ac:dyDescent="0.35">
      <c r="B90" s="4"/>
      <c r="C90" s="76" t="s">
        <v>185</v>
      </c>
      <c r="D90" s="77" t="s">
        <v>119</v>
      </c>
      <c r="E90" s="77">
        <v>500</v>
      </c>
      <c r="F90" s="73"/>
      <c r="G90" s="78">
        <f t="shared" si="3"/>
        <v>0</v>
      </c>
      <c r="H90" s="83"/>
      <c r="I90" s="60"/>
    </row>
    <row r="91" spans="2:9" ht="15" customHeight="1" x14ac:dyDescent="0.35">
      <c r="B91" s="4"/>
      <c r="C91" s="76" t="s">
        <v>186</v>
      </c>
      <c r="D91" s="77" t="s">
        <v>119</v>
      </c>
      <c r="E91" s="77">
        <v>500</v>
      </c>
      <c r="F91" s="73"/>
      <c r="G91" s="78">
        <f t="shared" si="3"/>
        <v>0</v>
      </c>
      <c r="H91" s="83"/>
      <c r="I91" s="60"/>
    </row>
    <row r="92" spans="2:9" ht="15" customHeight="1" x14ac:dyDescent="0.35">
      <c r="B92" s="4"/>
      <c r="C92" s="76" t="s">
        <v>187</v>
      </c>
      <c r="D92" s="77" t="s">
        <v>119</v>
      </c>
      <c r="E92" s="77">
        <v>500</v>
      </c>
      <c r="F92" s="73"/>
      <c r="G92" s="78">
        <f t="shared" si="3"/>
        <v>0</v>
      </c>
      <c r="H92" s="83"/>
      <c r="I92" s="60"/>
    </row>
    <row r="93" spans="2:9" ht="15" customHeight="1" x14ac:dyDescent="0.35">
      <c r="B93" s="4"/>
      <c r="C93" s="76" t="s">
        <v>188</v>
      </c>
      <c r="D93" s="77" t="s">
        <v>119</v>
      </c>
      <c r="E93" s="77">
        <v>500</v>
      </c>
      <c r="F93" s="73"/>
      <c r="G93" s="78">
        <f>IF(F93/E93&lt;1,0,(F93/E93))</f>
        <v>0</v>
      </c>
      <c r="H93" s="83"/>
      <c r="I93" s="60"/>
    </row>
    <row r="94" spans="2:9" ht="15" customHeight="1" x14ac:dyDescent="0.35">
      <c r="B94" s="4"/>
      <c r="C94" s="76" t="s">
        <v>189</v>
      </c>
      <c r="D94" s="77" t="s">
        <v>119</v>
      </c>
      <c r="E94" s="77">
        <v>500</v>
      </c>
      <c r="F94" s="73"/>
      <c r="G94" s="78">
        <f>IF(F94/E94&lt;1,0,(F94/E94))</f>
        <v>0</v>
      </c>
      <c r="H94" s="83"/>
      <c r="I94" s="60"/>
    </row>
    <row r="95" spans="2:9" ht="15" customHeight="1" x14ac:dyDescent="0.35">
      <c r="B95" s="4"/>
      <c r="C95" s="76" t="s">
        <v>190</v>
      </c>
      <c r="D95" s="77" t="s">
        <v>119</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191</v>
      </c>
      <c r="D98" s="77"/>
      <c r="E98" s="77"/>
      <c r="F98" s="77"/>
      <c r="G98" s="78"/>
      <c r="H98" s="84"/>
      <c r="I98" s="60"/>
    </row>
    <row r="99" spans="2:9" ht="15" customHeight="1" x14ac:dyDescent="0.35">
      <c r="B99" s="4"/>
      <c r="C99" s="87"/>
      <c r="D99" s="77" t="s">
        <v>119</v>
      </c>
      <c r="E99" s="77">
        <v>1000</v>
      </c>
      <c r="F99" s="73"/>
      <c r="G99" s="78">
        <f t="shared" ref="G99:G114" si="4">IF(F99/E99&lt;1,0,(F99/E99))</f>
        <v>0</v>
      </c>
      <c r="H99" s="83"/>
      <c r="I99" s="60"/>
    </row>
    <row r="100" spans="2:9" ht="15" customHeight="1" x14ac:dyDescent="0.35">
      <c r="B100" s="4"/>
      <c r="C100" s="87"/>
      <c r="D100" s="77" t="s">
        <v>119</v>
      </c>
      <c r="E100" s="77">
        <v>1000</v>
      </c>
      <c r="F100" s="73"/>
      <c r="G100" s="78">
        <f t="shared" si="4"/>
        <v>0</v>
      </c>
      <c r="H100" s="83"/>
      <c r="I100" s="60"/>
    </row>
    <row r="101" spans="2:9" ht="15" customHeight="1" x14ac:dyDescent="0.35">
      <c r="B101" s="4"/>
      <c r="C101" s="88"/>
      <c r="D101" s="77" t="s">
        <v>119</v>
      </c>
      <c r="E101" s="77">
        <v>1000</v>
      </c>
      <c r="F101" s="73"/>
      <c r="G101" s="78">
        <f t="shared" si="4"/>
        <v>0</v>
      </c>
      <c r="H101" s="83"/>
      <c r="I101" s="60"/>
    </row>
    <row r="102" spans="2:9" ht="15" customHeight="1" x14ac:dyDescent="0.35">
      <c r="B102" s="4"/>
      <c r="C102" s="88"/>
      <c r="D102" s="77" t="s">
        <v>119</v>
      </c>
      <c r="E102" s="77">
        <v>1000</v>
      </c>
      <c r="F102" s="73"/>
      <c r="G102" s="78">
        <f t="shared" si="4"/>
        <v>0</v>
      </c>
      <c r="H102" s="83"/>
      <c r="I102" s="60"/>
    </row>
    <row r="103" spans="2:9" ht="15" customHeight="1" x14ac:dyDescent="0.35">
      <c r="B103" s="4"/>
      <c r="C103" s="88"/>
      <c r="D103" s="77" t="s">
        <v>119</v>
      </c>
      <c r="E103" s="77">
        <v>1000</v>
      </c>
      <c r="F103" s="73"/>
      <c r="G103" s="78">
        <f t="shared" si="4"/>
        <v>0</v>
      </c>
      <c r="H103" s="83"/>
      <c r="I103" s="60"/>
    </row>
    <row r="104" spans="2:9" ht="15" customHeight="1" x14ac:dyDescent="0.35">
      <c r="B104" s="4"/>
      <c r="C104" s="85" t="s">
        <v>192</v>
      </c>
      <c r="D104" s="77"/>
      <c r="E104" s="77"/>
      <c r="F104" s="77"/>
      <c r="G104" s="78"/>
      <c r="H104" s="84"/>
      <c r="I104" s="60"/>
    </row>
    <row r="105" spans="2:9" ht="15" customHeight="1" x14ac:dyDescent="0.35">
      <c r="B105" s="4"/>
      <c r="C105" s="76" t="s">
        <v>193</v>
      </c>
      <c r="D105" s="77" t="s">
        <v>119</v>
      </c>
      <c r="E105" s="77">
        <v>10</v>
      </c>
      <c r="F105" s="73"/>
      <c r="G105" s="78">
        <f t="shared" si="4"/>
        <v>0</v>
      </c>
      <c r="H105" s="83"/>
      <c r="I105" s="60"/>
    </row>
    <row r="106" spans="2:9" ht="15" customHeight="1" x14ac:dyDescent="0.35">
      <c r="B106" s="4"/>
      <c r="C106" s="76" t="s">
        <v>194</v>
      </c>
      <c r="D106" s="77" t="s">
        <v>119</v>
      </c>
      <c r="E106" s="77">
        <v>10</v>
      </c>
      <c r="F106" s="73"/>
      <c r="G106" s="78">
        <f t="shared" si="4"/>
        <v>0</v>
      </c>
      <c r="H106" s="83"/>
      <c r="I106" s="60"/>
    </row>
    <row r="107" spans="2:9" ht="15" customHeight="1" x14ac:dyDescent="0.35">
      <c r="B107" s="4"/>
      <c r="C107" s="76" t="s">
        <v>195</v>
      </c>
      <c r="D107" s="77" t="s">
        <v>119</v>
      </c>
      <c r="E107" s="77">
        <v>10</v>
      </c>
      <c r="F107" s="73"/>
      <c r="G107" s="78">
        <f t="shared" si="4"/>
        <v>0</v>
      </c>
      <c r="H107" s="83"/>
      <c r="I107" s="60"/>
    </row>
    <row r="108" spans="2:9" ht="15" customHeight="1" x14ac:dyDescent="0.35">
      <c r="B108" s="4"/>
      <c r="C108" s="76" t="s">
        <v>196</v>
      </c>
      <c r="D108" s="77" t="s">
        <v>119</v>
      </c>
      <c r="E108" s="77">
        <v>10</v>
      </c>
      <c r="F108" s="73"/>
      <c r="G108" s="78">
        <f t="shared" si="4"/>
        <v>0</v>
      </c>
      <c r="H108" s="83"/>
      <c r="I108" s="60"/>
    </row>
    <row r="109" spans="2:9" ht="15" customHeight="1" x14ac:dyDescent="0.35">
      <c r="B109" s="4"/>
      <c r="C109" s="76" t="s">
        <v>197</v>
      </c>
      <c r="D109" s="77" t="s">
        <v>119</v>
      </c>
      <c r="E109" s="77">
        <v>10</v>
      </c>
      <c r="F109" s="73"/>
      <c r="G109" s="78">
        <f t="shared" si="4"/>
        <v>0</v>
      </c>
      <c r="H109" s="83"/>
      <c r="I109" s="60"/>
    </row>
    <row r="110" spans="2:9" ht="15" customHeight="1" x14ac:dyDescent="0.35">
      <c r="B110" s="4"/>
      <c r="C110" s="76" t="s">
        <v>198</v>
      </c>
      <c r="D110" s="77" t="s">
        <v>119</v>
      </c>
      <c r="E110" s="77">
        <v>10</v>
      </c>
      <c r="F110" s="73"/>
      <c r="G110" s="78">
        <f t="shared" si="4"/>
        <v>0</v>
      </c>
      <c r="H110" s="83"/>
      <c r="I110" s="60"/>
    </row>
    <row r="111" spans="2:9" ht="15" customHeight="1" x14ac:dyDescent="0.35">
      <c r="B111" s="4"/>
      <c r="C111" s="76" t="s">
        <v>199</v>
      </c>
      <c r="D111" s="77" t="s">
        <v>119</v>
      </c>
      <c r="E111" s="77">
        <v>10</v>
      </c>
      <c r="F111" s="73"/>
      <c r="G111" s="78">
        <f t="shared" si="4"/>
        <v>0</v>
      </c>
      <c r="H111" s="83"/>
      <c r="I111" s="60"/>
    </row>
    <row r="112" spans="2:9" ht="15" customHeight="1" x14ac:dyDescent="0.35">
      <c r="B112" s="4"/>
      <c r="C112" s="76" t="s">
        <v>200</v>
      </c>
      <c r="D112" s="77" t="s">
        <v>119</v>
      </c>
      <c r="E112" s="77">
        <v>1000</v>
      </c>
      <c r="F112" s="73"/>
      <c r="G112" s="78">
        <f t="shared" si="4"/>
        <v>0</v>
      </c>
      <c r="H112" s="83"/>
      <c r="I112" s="60"/>
    </row>
    <row r="113" spans="2:9" ht="15" customHeight="1" x14ac:dyDescent="0.35">
      <c r="B113" s="4"/>
      <c r="C113" s="76" t="s">
        <v>201</v>
      </c>
      <c r="D113" s="77" t="s">
        <v>119</v>
      </c>
      <c r="E113" s="77">
        <v>10</v>
      </c>
      <c r="F113" s="73"/>
      <c r="G113" s="78">
        <f t="shared" si="4"/>
        <v>0</v>
      </c>
      <c r="H113" s="83"/>
      <c r="I113" s="60"/>
    </row>
    <row r="114" spans="2:9" ht="15" customHeight="1" x14ac:dyDescent="0.35">
      <c r="B114" s="4"/>
      <c r="C114" s="76" t="s">
        <v>202</v>
      </c>
      <c r="D114" s="77" t="s">
        <v>119</v>
      </c>
      <c r="E114" s="77">
        <v>100</v>
      </c>
      <c r="F114" s="73"/>
      <c r="G114" s="78">
        <f t="shared" si="4"/>
        <v>0</v>
      </c>
      <c r="H114" s="83"/>
      <c r="I114" s="60"/>
    </row>
    <row r="115" spans="2:9" ht="15" customHeight="1" x14ac:dyDescent="0.35">
      <c r="B115" s="4"/>
      <c r="C115" s="76" t="s">
        <v>203</v>
      </c>
      <c r="D115" s="77" t="s">
        <v>119</v>
      </c>
      <c r="E115" s="77">
        <v>100</v>
      </c>
      <c r="F115" s="73"/>
      <c r="G115" s="78">
        <f>IF(F115/E115&lt;1,0,(F115/E115))</f>
        <v>0</v>
      </c>
      <c r="H115" s="83"/>
      <c r="I115" s="60"/>
    </row>
    <row r="116" spans="2:9" ht="15" customHeight="1" x14ac:dyDescent="0.35">
      <c r="B116" s="4"/>
      <c r="C116" s="76" t="s">
        <v>204</v>
      </c>
      <c r="D116" s="77" t="s">
        <v>119</v>
      </c>
      <c r="E116" s="77">
        <v>100</v>
      </c>
      <c r="F116" s="73"/>
      <c r="G116" s="78">
        <f>IF(F116/E116&lt;1,0,(F116/E116))</f>
        <v>0</v>
      </c>
      <c r="H116" s="83"/>
      <c r="I116" s="60"/>
    </row>
    <row r="117" spans="2:9" ht="15" customHeight="1" x14ac:dyDescent="0.35">
      <c r="B117" s="4"/>
      <c r="C117" s="76"/>
      <c r="D117" s="77"/>
      <c r="E117" s="77"/>
      <c r="F117" s="77"/>
      <c r="G117" s="78"/>
      <c r="H117" s="84"/>
      <c r="I117" s="60"/>
    </row>
    <row r="118" spans="2:9" ht="15" customHeight="1" x14ac:dyDescent="0.35">
      <c r="B118" s="4"/>
      <c r="C118" s="85" t="s">
        <v>205</v>
      </c>
      <c r="D118" s="77"/>
      <c r="E118" s="77"/>
      <c r="F118" s="77"/>
      <c r="G118" s="78"/>
      <c r="H118" s="84"/>
      <c r="I118" s="60"/>
    </row>
    <row r="119" spans="2:9" ht="15" customHeight="1" x14ac:dyDescent="0.35">
      <c r="B119" s="4"/>
      <c r="C119" s="88" t="s">
        <v>206</v>
      </c>
      <c r="D119" s="77" t="s">
        <v>119</v>
      </c>
      <c r="E119" s="77">
        <v>0.1</v>
      </c>
      <c r="F119" s="86"/>
      <c r="G119" s="78">
        <f>IF(E119&gt;0,IF(F119/E119&lt;1,0,(F119/E119)),)</f>
        <v>0</v>
      </c>
      <c r="H119" s="83"/>
      <c r="I119" s="60"/>
    </row>
    <row r="120" spans="2:9" ht="15" customHeight="1" x14ac:dyDescent="0.35">
      <c r="B120" s="4"/>
      <c r="C120" s="88" t="s">
        <v>207</v>
      </c>
      <c r="D120" s="77" t="s">
        <v>119</v>
      </c>
      <c r="E120" s="77">
        <v>1</v>
      </c>
      <c r="F120" s="86"/>
      <c r="G120" s="78">
        <f>IF(E120&gt;0,IF(F120/E120&lt;1,0,(F120/E120)),)</f>
        <v>0</v>
      </c>
      <c r="H120" s="83"/>
      <c r="I120" s="60"/>
    </row>
    <row r="121" spans="2:9" ht="15" customHeight="1" x14ac:dyDescent="0.35">
      <c r="B121" s="4"/>
      <c r="C121" s="88" t="s">
        <v>208</v>
      </c>
      <c r="D121" s="77" t="s">
        <v>119</v>
      </c>
      <c r="E121" s="77">
        <v>10</v>
      </c>
      <c r="F121" s="86"/>
      <c r="G121" s="78">
        <f>IF(E121&gt;0,IF(F121/E121&lt;1,0,(F121/E121)),)</f>
        <v>0</v>
      </c>
      <c r="H121" s="83"/>
      <c r="I121" s="60"/>
    </row>
    <row r="122" spans="2:9" ht="15" customHeight="1" x14ac:dyDescent="0.35">
      <c r="B122" s="4"/>
      <c r="C122" s="88" t="s">
        <v>209</v>
      </c>
      <c r="D122" s="77" t="s">
        <v>119</v>
      </c>
      <c r="E122" s="77">
        <v>100</v>
      </c>
      <c r="F122" s="86"/>
      <c r="G122" s="78">
        <f>IF(E122&gt;0,IF(F122/E122&lt;1,0,(F122/E122)),)</f>
        <v>0</v>
      </c>
      <c r="H122" s="83"/>
      <c r="I122" s="60"/>
    </row>
    <row r="123" spans="2:9" ht="15" customHeight="1" x14ac:dyDescent="0.35">
      <c r="B123" s="4"/>
      <c r="C123" s="88" t="s">
        <v>210</v>
      </c>
      <c r="D123" s="77" t="s">
        <v>119</v>
      </c>
      <c r="E123" s="77">
        <v>1000</v>
      </c>
      <c r="F123" s="86"/>
      <c r="G123" s="78">
        <f>IF(E123&gt;0,IF(F123/E123&lt;1,0,(F123/E123)),)</f>
        <v>0</v>
      </c>
      <c r="H123" s="83"/>
      <c r="I123" s="60"/>
    </row>
    <row r="124" spans="2:9" ht="30.75" customHeight="1" x14ac:dyDescent="0.35">
      <c r="B124" s="4"/>
      <c r="C124" s="841" t="s">
        <v>211</v>
      </c>
      <c r="D124" s="842"/>
      <c r="E124" s="842"/>
      <c r="F124" s="842"/>
      <c r="G124" s="842"/>
      <c r="H124" s="843"/>
      <c r="I124" s="60"/>
    </row>
    <row r="125" spans="2:9" ht="15" customHeight="1" x14ac:dyDescent="0.35">
      <c r="B125" s="4"/>
      <c r="C125" s="89" t="s">
        <v>212</v>
      </c>
      <c r="D125" s="77" t="s">
        <v>212</v>
      </c>
      <c r="E125" s="90" t="s">
        <v>212</v>
      </c>
      <c r="F125" s="86"/>
      <c r="G125" s="78">
        <v>0</v>
      </c>
      <c r="H125" s="91"/>
      <c r="I125" s="60"/>
    </row>
    <row r="126" spans="2:9" ht="15" customHeight="1" x14ac:dyDescent="0.35">
      <c r="B126" s="4"/>
      <c r="C126" s="76" t="s">
        <v>212</v>
      </c>
      <c r="D126" s="77" t="s">
        <v>212</v>
      </c>
      <c r="E126" s="90" t="s">
        <v>212</v>
      </c>
      <c r="F126" s="86"/>
      <c r="G126" s="78">
        <v>0</v>
      </c>
      <c r="H126" s="91"/>
      <c r="I126" s="60"/>
    </row>
    <row r="127" spans="2:9" ht="15" customHeight="1" x14ac:dyDescent="0.35">
      <c r="B127" s="4"/>
      <c r="C127" s="76" t="s">
        <v>212</v>
      </c>
      <c r="D127" s="77" t="s">
        <v>212</v>
      </c>
      <c r="E127" s="90" t="s">
        <v>212</v>
      </c>
      <c r="F127" s="86"/>
      <c r="G127" s="78">
        <v>0</v>
      </c>
      <c r="H127" s="91"/>
      <c r="I127" s="60"/>
    </row>
    <row r="128" spans="2:9" ht="15" customHeight="1" x14ac:dyDescent="0.35">
      <c r="B128" s="4"/>
      <c r="C128" s="76" t="s">
        <v>212</v>
      </c>
      <c r="D128" s="77" t="s">
        <v>212</v>
      </c>
      <c r="E128" s="90" t="s">
        <v>212</v>
      </c>
      <c r="F128" s="86"/>
      <c r="G128" s="78">
        <v>0</v>
      </c>
      <c r="H128" s="91"/>
      <c r="I128" s="60"/>
    </row>
    <row r="129" spans="2:9" ht="15" customHeight="1" x14ac:dyDescent="0.35">
      <c r="B129" s="4"/>
      <c r="C129" s="92"/>
      <c r="D129" s="93"/>
      <c r="E129" s="93"/>
      <c r="F129" s="94" t="s">
        <v>103</v>
      </c>
      <c r="G129" s="95">
        <f>SUM(G8:G128)</f>
        <v>0</v>
      </c>
      <c r="H129" s="96"/>
      <c r="I129" s="60"/>
    </row>
    <row r="130" spans="2:9" x14ac:dyDescent="0.35">
      <c r="B130" s="4"/>
      <c r="C130" s="5"/>
      <c r="D130" s="5"/>
      <c r="E130" s="5"/>
      <c r="F130" s="5"/>
      <c r="G130" s="5"/>
      <c r="H130" s="5"/>
      <c r="I130" s="60"/>
    </row>
    <row r="131" spans="2:9" x14ac:dyDescent="0.35">
      <c r="B131" s="4"/>
      <c r="C131" s="792"/>
      <c r="D131" s="792"/>
      <c r="E131" s="792"/>
      <c r="F131" s="792"/>
      <c r="G131" s="792"/>
      <c r="H131" s="792"/>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298450</xdr:colOff>
                    <xdr:row>5</xdr:row>
                    <xdr:rowOff>374650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B7" sqref="B7:D7"/>
    </sheetView>
  </sheetViews>
  <sheetFormatPr defaultRowHeight="14.5" x14ac:dyDescent="0.35"/>
  <cols>
    <col min="2" max="2" width="29" customWidth="1"/>
    <col min="4" max="4" width="11.81640625" customWidth="1"/>
    <col min="5" max="5" width="10.54296875" customWidth="1"/>
    <col min="7" max="7" width="24.81640625" customWidth="1"/>
  </cols>
  <sheetData>
    <row r="2" spans="2:7" ht="15" thickBot="1" x14ac:dyDescent="0.4"/>
    <row r="3" spans="2:7" ht="18.5" thickBot="1" x14ac:dyDescent="0.4">
      <c r="B3" s="848" t="s">
        <v>213</v>
      </c>
      <c r="C3" s="836"/>
      <c r="D3" s="836"/>
      <c r="E3" s="836"/>
      <c r="F3" s="836"/>
      <c r="G3" s="849"/>
    </row>
    <row r="4" spans="2:7" x14ac:dyDescent="0.35">
      <c r="B4" s="4"/>
      <c r="C4" s="5"/>
      <c r="D4" s="59"/>
      <c r="E4" s="5"/>
      <c r="F4" s="5"/>
      <c r="G4" s="6"/>
    </row>
    <row r="5" spans="2:7" x14ac:dyDescent="0.35">
      <c r="B5" s="520" t="s">
        <v>63</v>
      </c>
      <c r="C5" s="816" t="str">
        <f>+Introduction!E10</f>
        <v>Tradebe Healthcare National Limited</v>
      </c>
      <c r="D5" s="816"/>
      <c r="E5" s="850" t="s">
        <v>106</v>
      </c>
      <c r="F5" s="851"/>
      <c r="G5" s="852"/>
    </row>
    <row r="6" spans="2:7" x14ac:dyDescent="0.35">
      <c r="B6" s="520" t="s">
        <v>44</v>
      </c>
      <c r="C6" s="816" t="str">
        <f>+Introduction!K10</f>
        <v>EPR/WP3636ZG</v>
      </c>
      <c r="D6" s="816"/>
      <c r="E6" s="853"/>
      <c r="F6" s="854"/>
      <c r="G6" s="855"/>
    </row>
    <row r="7" spans="2:7" ht="33.75" customHeight="1" thickBot="1" x14ac:dyDescent="0.4">
      <c r="B7" s="846" t="s">
        <v>107</v>
      </c>
      <c r="C7" s="847"/>
      <c r="D7" s="847"/>
      <c r="E7" s="9"/>
      <c r="F7" s="9"/>
      <c r="G7" s="10"/>
    </row>
    <row r="8" spans="2:7" ht="29" x14ac:dyDescent="0.35">
      <c r="B8" s="521" t="s">
        <v>108</v>
      </c>
      <c r="C8" s="522" t="s">
        <v>109</v>
      </c>
      <c r="D8" s="523" t="s">
        <v>110</v>
      </c>
      <c r="E8" s="523" t="s">
        <v>111</v>
      </c>
      <c r="F8" s="523" t="s">
        <v>112</v>
      </c>
      <c r="G8" s="524" t="s">
        <v>113</v>
      </c>
    </row>
    <row r="9" spans="2:7" x14ac:dyDescent="0.35">
      <c r="B9" s="525" t="s">
        <v>214</v>
      </c>
      <c r="C9" s="98" t="s">
        <v>119</v>
      </c>
      <c r="D9" s="98">
        <v>1E-3</v>
      </c>
      <c r="E9" s="99"/>
      <c r="F9" s="100">
        <f>IF(E9/D9&lt;1,0,(E9/D9))</f>
        <v>0</v>
      </c>
      <c r="G9" s="526"/>
    </row>
    <row r="10" spans="2:7" x14ac:dyDescent="0.35">
      <c r="B10" s="527" t="s">
        <v>215</v>
      </c>
      <c r="C10" s="103" t="s">
        <v>119</v>
      </c>
      <c r="D10" s="103">
        <v>1E-3</v>
      </c>
      <c r="E10" s="104"/>
      <c r="F10" s="105">
        <f>IF(E10/D10&lt;1,0,(E10/D10))</f>
        <v>0</v>
      </c>
      <c r="G10" s="528"/>
    </row>
    <row r="11" spans="2:7" x14ac:dyDescent="0.35">
      <c r="B11" s="527" t="s">
        <v>216</v>
      </c>
      <c r="C11" s="103" t="s">
        <v>119</v>
      </c>
      <c r="D11" s="103">
        <v>1E-3</v>
      </c>
      <c r="E11" s="104"/>
      <c r="F11" s="105">
        <f t="shared" ref="F11:F74" si="0">IF(E11/D11&lt;1,0,(E11/D11))</f>
        <v>0</v>
      </c>
      <c r="G11" s="528"/>
    </row>
    <row r="12" spans="2:7" x14ac:dyDescent="0.35">
      <c r="B12" s="527" t="s">
        <v>217</v>
      </c>
      <c r="C12" s="103" t="s">
        <v>119</v>
      </c>
      <c r="D12" s="103">
        <v>1E-3</v>
      </c>
      <c r="E12" s="104"/>
      <c r="F12" s="105">
        <f t="shared" si="0"/>
        <v>0</v>
      </c>
      <c r="G12" s="528"/>
    </row>
    <row r="13" spans="2:7" x14ac:dyDescent="0.35">
      <c r="B13" s="527" t="s">
        <v>218</v>
      </c>
      <c r="C13" s="103" t="s">
        <v>119</v>
      </c>
      <c r="D13" s="103">
        <v>1E-3</v>
      </c>
      <c r="E13" s="104"/>
      <c r="F13" s="105">
        <f t="shared" si="0"/>
        <v>0</v>
      </c>
      <c r="G13" s="528"/>
    </row>
    <row r="14" spans="2:7" x14ac:dyDescent="0.35">
      <c r="B14" s="527" t="s">
        <v>219</v>
      </c>
      <c r="C14" s="103" t="s">
        <v>119</v>
      </c>
      <c r="D14" s="103">
        <v>1E-3</v>
      </c>
      <c r="E14" s="104"/>
      <c r="F14" s="105">
        <f t="shared" si="0"/>
        <v>0</v>
      </c>
      <c r="G14" s="528"/>
    </row>
    <row r="15" spans="2:7" x14ac:dyDescent="0.35">
      <c r="B15" s="527" t="s">
        <v>220</v>
      </c>
      <c r="C15" s="103" t="s">
        <v>119</v>
      </c>
      <c r="D15" s="103">
        <v>1E-3</v>
      </c>
      <c r="E15" s="104"/>
      <c r="F15" s="105">
        <f t="shared" si="0"/>
        <v>0</v>
      </c>
      <c r="G15" s="528"/>
    </row>
    <row r="16" spans="2:7" x14ac:dyDescent="0.35">
      <c r="B16" s="527" t="s">
        <v>221</v>
      </c>
      <c r="C16" s="103" t="s">
        <v>119</v>
      </c>
      <c r="D16" s="103">
        <v>1E-3</v>
      </c>
      <c r="E16" s="104"/>
      <c r="F16" s="105">
        <f t="shared" si="0"/>
        <v>0</v>
      </c>
      <c r="G16" s="528"/>
    </row>
    <row r="17" spans="2:7" x14ac:dyDescent="0.35">
      <c r="B17" s="527" t="s">
        <v>222</v>
      </c>
      <c r="C17" s="103" t="s">
        <v>119</v>
      </c>
      <c r="D17" s="103">
        <v>1E-3</v>
      </c>
      <c r="E17" s="104"/>
      <c r="F17" s="105">
        <f t="shared" si="0"/>
        <v>0</v>
      </c>
      <c r="G17" s="528"/>
    </row>
    <row r="18" spans="2:7" x14ac:dyDescent="0.35">
      <c r="B18" s="527" t="s">
        <v>223</v>
      </c>
      <c r="C18" s="103" t="s">
        <v>119</v>
      </c>
      <c r="D18" s="103">
        <v>1E-3</v>
      </c>
      <c r="E18" s="104"/>
      <c r="F18" s="105">
        <f t="shared" si="0"/>
        <v>0</v>
      </c>
      <c r="G18" s="528"/>
    </row>
    <row r="19" spans="2:7" x14ac:dyDescent="0.35">
      <c r="B19" s="527"/>
      <c r="C19" s="103"/>
      <c r="D19" s="103"/>
      <c r="E19" s="103"/>
      <c r="F19" s="105"/>
      <c r="G19" s="529"/>
    </row>
    <row r="20" spans="2:7" x14ac:dyDescent="0.35">
      <c r="B20" s="527" t="s">
        <v>224</v>
      </c>
      <c r="C20" s="103" t="s">
        <v>119</v>
      </c>
      <c r="D20" s="103">
        <v>0.01</v>
      </c>
      <c r="E20" s="104"/>
      <c r="F20" s="105">
        <f t="shared" si="0"/>
        <v>0</v>
      </c>
      <c r="G20" s="528"/>
    </row>
    <row r="21" spans="2:7" x14ac:dyDescent="0.35">
      <c r="B21" s="527" t="s">
        <v>225</v>
      </c>
      <c r="C21" s="103" t="s">
        <v>119</v>
      </c>
      <c r="D21" s="103">
        <v>0.01</v>
      </c>
      <c r="E21" s="104"/>
      <c r="F21" s="105">
        <f t="shared" si="0"/>
        <v>0</v>
      </c>
      <c r="G21" s="528"/>
    </row>
    <row r="22" spans="2:7" x14ac:dyDescent="0.35">
      <c r="B22" s="527" t="s">
        <v>226</v>
      </c>
      <c r="C22" s="103" t="s">
        <v>119</v>
      </c>
      <c r="D22" s="103">
        <v>0.01</v>
      </c>
      <c r="E22" s="104"/>
      <c r="F22" s="105">
        <f t="shared" si="0"/>
        <v>0</v>
      </c>
      <c r="G22" s="528"/>
    </row>
    <row r="23" spans="2:7" x14ac:dyDescent="0.35">
      <c r="B23" s="527" t="s">
        <v>227</v>
      </c>
      <c r="C23" s="103" t="s">
        <v>119</v>
      </c>
      <c r="D23" s="103">
        <v>0.01</v>
      </c>
      <c r="E23" s="104"/>
      <c r="F23" s="105">
        <f t="shared" si="0"/>
        <v>0</v>
      </c>
      <c r="G23" s="528"/>
    </row>
    <row r="24" spans="2:7" x14ac:dyDescent="0.35">
      <c r="B24" s="527" t="s">
        <v>228</v>
      </c>
      <c r="C24" s="103" t="s">
        <v>119</v>
      </c>
      <c r="D24" s="103">
        <v>0.01</v>
      </c>
      <c r="E24" s="104"/>
      <c r="F24" s="105">
        <f t="shared" si="0"/>
        <v>0</v>
      </c>
      <c r="G24" s="528"/>
    </row>
    <row r="25" spans="2:7" x14ac:dyDescent="0.35">
      <c r="B25" s="527" t="s">
        <v>229</v>
      </c>
      <c r="C25" s="103" t="s">
        <v>119</v>
      </c>
      <c r="D25" s="103">
        <v>0.01</v>
      </c>
      <c r="E25" s="104"/>
      <c r="F25" s="105">
        <f t="shared" si="0"/>
        <v>0</v>
      </c>
      <c r="G25" s="528"/>
    </row>
    <row r="26" spans="2:7" x14ac:dyDescent="0.35">
      <c r="B26" s="527" t="s">
        <v>230</v>
      </c>
      <c r="C26" s="103" t="s">
        <v>119</v>
      </c>
      <c r="D26" s="103">
        <v>0.01</v>
      </c>
      <c r="E26" s="104"/>
      <c r="F26" s="105">
        <f t="shared" si="0"/>
        <v>0</v>
      </c>
      <c r="G26" s="528"/>
    </row>
    <row r="27" spans="2:7" x14ac:dyDescent="0.35">
      <c r="B27" s="527" t="s">
        <v>231</v>
      </c>
      <c r="C27" s="103" t="s">
        <v>119</v>
      </c>
      <c r="D27" s="103">
        <v>0.01</v>
      </c>
      <c r="E27" s="104"/>
      <c r="F27" s="105">
        <f t="shared" si="0"/>
        <v>0</v>
      </c>
      <c r="G27" s="528"/>
    </row>
    <row r="28" spans="2:7" x14ac:dyDescent="0.35">
      <c r="B28" s="527" t="s">
        <v>232</v>
      </c>
      <c r="C28" s="103" t="s">
        <v>119</v>
      </c>
      <c r="D28" s="103">
        <v>0.01</v>
      </c>
      <c r="E28" s="104"/>
      <c r="F28" s="105">
        <f t="shared" si="0"/>
        <v>0</v>
      </c>
      <c r="G28" s="528"/>
    </row>
    <row r="29" spans="2:7" x14ac:dyDescent="0.35">
      <c r="B29" s="527" t="s">
        <v>233</v>
      </c>
      <c r="C29" s="103" t="s">
        <v>119</v>
      </c>
      <c r="D29" s="103">
        <v>0.01</v>
      </c>
      <c r="E29" s="104"/>
      <c r="F29" s="105">
        <f t="shared" si="0"/>
        <v>0</v>
      </c>
      <c r="G29" s="528"/>
    </row>
    <row r="30" spans="2:7" x14ac:dyDescent="0.35">
      <c r="B30" s="527" t="s">
        <v>234</v>
      </c>
      <c r="C30" s="103" t="s">
        <v>119</v>
      </c>
      <c r="D30" s="103">
        <v>0.01</v>
      </c>
      <c r="E30" s="104"/>
      <c r="F30" s="105">
        <f t="shared" si="0"/>
        <v>0</v>
      </c>
      <c r="G30" s="528"/>
    </row>
    <row r="31" spans="2:7" x14ac:dyDescent="0.35">
      <c r="B31" s="527" t="s">
        <v>235</v>
      </c>
      <c r="C31" s="103" t="s">
        <v>119</v>
      </c>
      <c r="D31" s="103">
        <v>0.01</v>
      </c>
      <c r="E31" s="104"/>
      <c r="F31" s="105">
        <f t="shared" si="0"/>
        <v>0</v>
      </c>
      <c r="G31" s="528"/>
    </row>
    <row r="32" spans="2:7" x14ac:dyDescent="0.35">
      <c r="B32" s="527" t="s">
        <v>236</v>
      </c>
      <c r="C32" s="103" t="s">
        <v>119</v>
      </c>
      <c r="D32" s="103">
        <v>0.01</v>
      </c>
      <c r="E32" s="104"/>
      <c r="F32" s="105">
        <f t="shared" si="0"/>
        <v>0</v>
      </c>
      <c r="G32" s="528"/>
    </row>
    <row r="33" spans="2:7" x14ac:dyDescent="0.35">
      <c r="B33" s="527" t="s">
        <v>237</v>
      </c>
      <c r="C33" s="103" t="s">
        <v>119</v>
      </c>
      <c r="D33" s="103">
        <v>0.01</v>
      </c>
      <c r="E33" s="104"/>
      <c r="F33" s="105">
        <f t="shared" si="0"/>
        <v>0</v>
      </c>
      <c r="G33" s="528"/>
    </row>
    <row r="34" spans="2:7" x14ac:dyDescent="0.35">
      <c r="B34" s="527" t="s">
        <v>238</v>
      </c>
      <c r="C34" s="103" t="s">
        <v>119</v>
      </c>
      <c r="D34" s="103">
        <v>0.01</v>
      </c>
      <c r="E34" s="104"/>
      <c r="F34" s="105">
        <f t="shared" si="0"/>
        <v>0</v>
      </c>
      <c r="G34" s="528"/>
    </row>
    <row r="35" spans="2:7" x14ac:dyDescent="0.35">
      <c r="B35" s="527" t="s">
        <v>239</v>
      </c>
      <c r="C35" s="103" t="s">
        <v>119</v>
      </c>
      <c r="D35" s="103">
        <v>0.01</v>
      </c>
      <c r="E35" s="104"/>
      <c r="F35" s="105">
        <f t="shared" si="0"/>
        <v>0</v>
      </c>
      <c r="G35" s="528"/>
    </row>
    <row r="36" spans="2:7" x14ac:dyDescent="0.35">
      <c r="B36" s="527"/>
      <c r="C36" s="103"/>
      <c r="D36" s="103"/>
      <c r="E36" s="103"/>
      <c r="F36" s="105"/>
      <c r="G36" s="529"/>
    </row>
    <row r="37" spans="2:7" x14ac:dyDescent="0.35">
      <c r="B37" s="527" t="s">
        <v>240</v>
      </c>
      <c r="C37" s="103" t="s">
        <v>119</v>
      </c>
      <c r="D37" s="103">
        <v>0.1</v>
      </c>
      <c r="E37" s="104"/>
      <c r="F37" s="105">
        <f t="shared" si="0"/>
        <v>0</v>
      </c>
      <c r="G37" s="528"/>
    </row>
    <row r="38" spans="2:7" ht="29" x14ac:dyDescent="0.35">
      <c r="B38" s="530" t="s">
        <v>241</v>
      </c>
      <c r="C38" s="103" t="s">
        <v>119</v>
      </c>
      <c r="D38" s="103">
        <v>0.1</v>
      </c>
      <c r="E38" s="104"/>
      <c r="F38" s="105">
        <f t="shared" si="0"/>
        <v>0</v>
      </c>
      <c r="G38" s="528"/>
    </row>
    <row r="39" spans="2:7" x14ac:dyDescent="0.35">
      <c r="B39" s="530" t="s">
        <v>242</v>
      </c>
      <c r="C39" s="103" t="s">
        <v>119</v>
      </c>
      <c r="D39" s="103">
        <v>0.1</v>
      </c>
      <c r="E39" s="104"/>
      <c r="F39" s="105">
        <f t="shared" si="0"/>
        <v>0</v>
      </c>
      <c r="G39" s="528"/>
    </row>
    <row r="40" spans="2:7" x14ac:dyDescent="0.35">
      <c r="B40" s="530" t="s">
        <v>243</v>
      </c>
      <c r="C40" s="103" t="s">
        <v>119</v>
      </c>
      <c r="D40" s="103">
        <v>0.1</v>
      </c>
      <c r="E40" s="104"/>
      <c r="F40" s="105">
        <f t="shared" si="0"/>
        <v>0</v>
      </c>
      <c r="G40" s="528"/>
    </row>
    <row r="41" spans="2:7" x14ac:dyDescent="0.35">
      <c r="B41" s="527"/>
      <c r="C41" s="103" t="s">
        <v>119</v>
      </c>
      <c r="D41" s="103"/>
      <c r="E41" s="103"/>
      <c r="F41" s="105"/>
      <c r="G41" s="529"/>
    </row>
    <row r="42" spans="2:7" x14ac:dyDescent="0.35">
      <c r="B42" s="527" t="s">
        <v>141</v>
      </c>
      <c r="C42" s="103" t="s">
        <v>119</v>
      </c>
      <c r="D42" s="103">
        <v>1</v>
      </c>
      <c r="E42" s="104"/>
      <c r="F42" s="105">
        <f t="shared" si="0"/>
        <v>0</v>
      </c>
      <c r="G42" s="528"/>
    </row>
    <row r="43" spans="2:7" x14ac:dyDescent="0.35">
      <c r="B43" s="527" t="s">
        <v>244</v>
      </c>
      <c r="C43" s="103" t="s">
        <v>119</v>
      </c>
      <c r="D43" s="103">
        <v>1</v>
      </c>
      <c r="E43" s="104"/>
      <c r="F43" s="105">
        <f t="shared" si="0"/>
        <v>0</v>
      </c>
      <c r="G43" s="528"/>
    </row>
    <row r="44" spans="2:7" x14ac:dyDescent="0.35">
      <c r="B44" s="527" t="s">
        <v>245</v>
      </c>
      <c r="C44" s="103" t="s">
        <v>119</v>
      </c>
      <c r="D44" s="103">
        <v>1</v>
      </c>
      <c r="E44" s="104"/>
      <c r="F44" s="105">
        <f t="shared" si="0"/>
        <v>0</v>
      </c>
      <c r="G44" s="528"/>
    </row>
    <row r="45" spans="2:7" x14ac:dyDescent="0.35">
      <c r="B45" s="527" t="s">
        <v>246</v>
      </c>
      <c r="C45" s="103" t="s">
        <v>119</v>
      </c>
      <c r="D45" s="103">
        <v>1</v>
      </c>
      <c r="E45" s="104"/>
      <c r="F45" s="105">
        <f t="shared" si="0"/>
        <v>0</v>
      </c>
      <c r="G45" s="528"/>
    </row>
    <row r="46" spans="2:7" x14ac:dyDescent="0.35">
      <c r="B46" s="527" t="s">
        <v>144</v>
      </c>
      <c r="C46" s="103" t="s">
        <v>119</v>
      </c>
      <c r="D46" s="103">
        <v>1</v>
      </c>
      <c r="E46" s="104"/>
      <c r="F46" s="105">
        <f t="shared" si="0"/>
        <v>0</v>
      </c>
      <c r="G46" s="528"/>
    </row>
    <row r="47" spans="2:7" x14ac:dyDescent="0.35">
      <c r="B47" s="527" t="s">
        <v>247</v>
      </c>
      <c r="C47" s="103" t="s">
        <v>119</v>
      </c>
      <c r="D47" s="103">
        <v>1</v>
      </c>
      <c r="E47" s="104"/>
      <c r="F47" s="105">
        <f t="shared" si="0"/>
        <v>0</v>
      </c>
      <c r="G47" s="528"/>
    </row>
    <row r="48" spans="2:7" x14ac:dyDescent="0.35">
      <c r="B48" s="527" t="s">
        <v>248</v>
      </c>
      <c r="C48" s="103" t="s">
        <v>119</v>
      </c>
      <c r="D48" s="103">
        <v>1</v>
      </c>
      <c r="E48" s="104"/>
      <c r="F48" s="105">
        <f t="shared" si="0"/>
        <v>0</v>
      </c>
      <c r="G48" s="528"/>
    </row>
    <row r="49" spans="2:7" x14ac:dyDescent="0.35">
      <c r="B49" s="527" t="s">
        <v>249</v>
      </c>
      <c r="C49" s="103" t="s">
        <v>119</v>
      </c>
      <c r="D49" s="103">
        <v>1</v>
      </c>
      <c r="E49" s="104"/>
      <c r="F49" s="105">
        <f t="shared" si="0"/>
        <v>0</v>
      </c>
      <c r="G49" s="528"/>
    </row>
    <row r="50" spans="2:7" x14ac:dyDescent="0.35">
      <c r="B50" s="527" t="s">
        <v>250</v>
      </c>
      <c r="C50" s="103" t="s">
        <v>119</v>
      </c>
      <c r="D50" s="103">
        <v>1</v>
      </c>
      <c r="E50" s="104"/>
      <c r="F50" s="105">
        <f t="shared" si="0"/>
        <v>0</v>
      </c>
      <c r="G50" s="528"/>
    </row>
    <row r="51" spans="2:7" x14ac:dyDescent="0.35">
      <c r="B51" s="527" t="s">
        <v>251</v>
      </c>
      <c r="C51" s="103" t="s">
        <v>119</v>
      </c>
      <c r="D51" s="103">
        <v>1</v>
      </c>
      <c r="E51" s="104"/>
      <c r="F51" s="105">
        <f t="shared" si="0"/>
        <v>0</v>
      </c>
      <c r="G51" s="528"/>
    </row>
    <row r="52" spans="2:7" x14ac:dyDescent="0.35">
      <c r="B52" s="527" t="s">
        <v>252</v>
      </c>
      <c r="C52" s="103" t="s">
        <v>119</v>
      </c>
      <c r="D52" s="103">
        <v>1</v>
      </c>
      <c r="E52" s="104"/>
      <c r="F52" s="105">
        <f t="shared" si="0"/>
        <v>0</v>
      </c>
      <c r="G52" s="528"/>
    </row>
    <row r="53" spans="2:7" x14ac:dyDescent="0.35">
      <c r="B53" s="527" t="s">
        <v>253</v>
      </c>
      <c r="C53" s="103" t="s">
        <v>119</v>
      </c>
      <c r="D53" s="103">
        <v>1</v>
      </c>
      <c r="E53" s="104"/>
      <c r="F53" s="105">
        <f t="shared" si="0"/>
        <v>0</v>
      </c>
      <c r="G53" s="528"/>
    </row>
    <row r="54" spans="2:7" x14ac:dyDescent="0.35">
      <c r="B54" s="527" t="s">
        <v>254</v>
      </c>
      <c r="C54" s="103" t="s">
        <v>119</v>
      </c>
      <c r="D54" s="103">
        <v>1</v>
      </c>
      <c r="E54" s="104"/>
      <c r="F54" s="105">
        <f t="shared" si="0"/>
        <v>0</v>
      </c>
      <c r="G54" s="528"/>
    </row>
    <row r="55" spans="2:7" x14ac:dyDescent="0.35">
      <c r="B55" s="527" t="s">
        <v>255</v>
      </c>
      <c r="C55" s="103" t="s">
        <v>119</v>
      </c>
      <c r="D55" s="103">
        <v>1</v>
      </c>
      <c r="E55" s="104"/>
      <c r="F55" s="105">
        <f t="shared" si="0"/>
        <v>0</v>
      </c>
      <c r="G55" s="528"/>
    </row>
    <row r="56" spans="2:7" x14ac:dyDescent="0.35">
      <c r="B56" s="527" t="s">
        <v>256</v>
      </c>
      <c r="C56" s="103" t="s">
        <v>119</v>
      </c>
      <c r="D56" s="103">
        <v>1</v>
      </c>
      <c r="E56" s="104"/>
      <c r="F56" s="105">
        <f t="shared" si="0"/>
        <v>0</v>
      </c>
      <c r="G56" s="528"/>
    </row>
    <row r="57" spans="2:7" x14ac:dyDescent="0.35">
      <c r="B57" s="527" t="s">
        <v>257</v>
      </c>
      <c r="C57" s="103" t="s">
        <v>119</v>
      </c>
      <c r="D57" s="103">
        <v>1</v>
      </c>
      <c r="E57" s="104"/>
      <c r="F57" s="105">
        <f t="shared" si="0"/>
        <v>0</v>
      </c>
      <c r="G57" s="528"/>
    </row>
    <row r="58" spans="2:7" x14ac:dyDescent="0.35">
      <c r="B58" s="527" t="s">
        <v>258</v>
      </c>
      <c r="C58" s="103" t="s">
        <v>119</v>
      </c>
      <c r="D58" s="103">
        <v>1</v>
      </c>
      <c r="E58" s="104"/>
      <c r="F58" s="105">
        <f t="shared" si="0"/>
        <v>0</v>
      </c>
      <c r="G58" s="528"/>
    </row>
    <row r="59" spans="2:7" x14ac:dyDescent="0.35">
      <c r="B59" s="527" t="s">
        <v>259</v>
      </c>
      <c r="C59" s="103" t="s">
        <v>119</v>
      </c>
      <c r="D59" s="103">
        <v>1</v>
      </c>
      <c r="E59" s="104"/>
      <c r="F59" s="105">
        <f t="shared" si="0"/>
        <v>0</v>
      </c>
      <c r="G59" s="528"/>
    </row>
    <row r="60" spans="2:7" x14ac:dyDescent="0.35">
      <c r="B60" s="527" t="s">
        <v>260</v>
      </c>
      <c r="C60" s="103" t="s">
        <v>119</v>
      </c>
      <c r="D60" s="103">
        <v>1</v>
      </c>
      <c r="E60" s="104"/>
      <c r="F60" s="105">
        <f t="shared" si="0"/>
        <v>0</v>
      </c>
      <c r="G60" s="528"/>
    </row>
    <row r="61" spans="2:7" x14ac:dyDescent="0.35">
      <c r="B61" s="527" t="s">
        <v>120</v>
      </c>
      <c r="C61" s="103" t="s">
        <v>119</v>
      </c>
      <c r="D61" s="103">
        <v>1</v>
      </c>
      <c r="E61" s="104"/>
      <c r="F61" s="105">
        <f t="shared" si="0"/>
        <v>0</v>
      </c>
      <c r="G61" s="531"/>
    </row>
    <row r="62" spans="2:7" x14ac:dyDescent="0.35">
      <c r="B62" s="527" t="s">
        <v>122</v>
      </c>
      <c r="C62" s="103" t="s">
        <v>119</v>
      </c>
      <c r="D62" s="103">
        <v>1</v>
      </c>
      <c r="E62" s="104"/>
      <c r="F62" s="105">
        <f t="shared" si="0"/>
        <v>0</v>
      </c>
      <c r="G62" s="531"/>
    </row>
    <row r="63" spans="2:7" x14ac:dyDescent="0.35">
      <c r="B63" s="527"/>
      <c r="C63" s="103"/>
      <c r="D63" s="103"/>
      <c r="E63" s="103"/>
      <c r="F63" s="105"/>
      <c r="G63" s="529"/>
    </row>
    <row r="64" spans="2:7" x14ac:dyDescent="0.35">
      <c r="B64" s="527" t="s">
        <v>261</v>
      </c>
      <c r="C64" s="103" t="s">
        <v>119</v>
      </c>
      <c r="D64" s="103">
        <v>20</v>
      </c>
      <c r="E64" s="104"/>
      <c r="F64" s="105">
        <f t="shared" si="0"/>
        <v>0</v>
      </c>
      <c r="G64" s="528"/>
    </row>
    <row r="65" spans="2:7" x14ac:dyDescent="0.35">
      <c r="B65" s="527" t="s">
        <v>262</v>
      </c>
      <c r="C65" s="103" t="s">
        <v>119</v>
      </c>
      <c r="D65" s="103">
        <v>20</v>
      </c>
      <c r="E65" s="104"/>
      <c r="F65" s="105">
        <f t="shared" si="0"/>
        <v>0</v>
      </c>
      <c r="G65" s="528"/>
    </row>
    <row r="66" spans="2:7" x14ac:dyDescent="0.35">
      <c r="B66" s="527" t="s">
        <v>263</v>
      </c>
      <c r="C66" s="103" t="s">
        <v>119</v>
      </c>
      <c r="D66" s="103">
        <v>20</v>
      </c>
      <c r="E66" s="104"/>
      <c r="F66" s="105">
        <f t="shared" si="0"/>
        <v>0</v>
      </c>
      <c r="G66" s="528"/>
    </row>
    <row r="67" spans="2:7" x14ac:dyDescent="0.35">
      <c r="B67" s="527" t="s">
        <v>264</v>
      </c>
      <c r="C67" s="103" t="s">
        <v>119</v>
      </c>
      <c r="D67" s="103">
        <v>20</v>
      </c>
      <c r="E67" s="104"/>
      <c r="F67" s="105">
        <f t="shared" si="0"/>
        <v>0</v>
      </c>
      <c r="G67" s="528"/>
    </row>
    <row r="68" spans="2:7" x14ac:dyDescent="0.35">
      <c r="B68" s="527" t="s">
        <v>187</v>
      </c>
      <c r="C68" s="103" t="s">
        <v>119</v>
      </c>
      <c r="D68" s="103">
        <v>20</v>
      </c>
      <c r="E68" s="104"/>
      <c r="F68" s="105">
        <f t="shared" si="0"/>
        <v>0</v>
      </c>
      <c r="G68" s="528"/>
    </row>
    <row r="69" spans="2:7" x14ac:dyDescent="0.35">
      <c r="B69" s="527" t="s">
        <v>265</v>
      </c>
      <c r="C69" s="103" t="s">
        <v>119</v>
      </c>
      <c r="D69" s="103">
        <v>20</v>
      </c>
      <c r="E69" s="104"/>
      <c r="F69" s="105">
        <f t="shared" si="0"/>
        <v>0</v>
      </c>
      <c r="G69" s="528"/>
    </row>
    <row r="70" spans="2:7" x14ac:dyDescent="0.35">
      <c r="B70" s="527" t="s">
        <v>124</v>
      </c>
      <c r="C70" s="103" t="s">
        <v>119</v>
      </c>
      <c r="D70" s="103">
        <v>20</v>
      </c>
      <c r="E70" s="104"/>
      <c r="F70" s="105">
        <f t="shared" si="0"/>
        <v>0</v>
      </c>
      <c r="G70" s="531"/>
    </row>
    <row r="71" spans="2:7" x14ac:dyDescent="0.35">
      <c r="B71" s="527" t="s">
        <v>125</v>
      </c>
      <c r="C71" s="103" t="s">
        <v>119</v>
      </c>
      <c r="D71" s="103">
        <v>20</v>
      </c>
      <c r="E71" s="104"/>
      <c r="F71" s="105">
        <f t="shared" si="0"/>
        <v>0</v>
      </c>
      <c r="G71" s="531"/>
    </row>
    <row r="72" spans="2:7" x14ac:dyDescent="0.35">
      <c r="B72" s="527" t="s">
        <v>266</v>
      </c>
      <c r="C72" s="103" t="s">
        <v>119</v>
      </c>
      <c r="D72" s="103">
        <v>20</v>
      </c>
      <c r="E72" s="104"/>
      <c r="F72" s="105">
        <f t="shared" si="0"/>
        <v>0</v>
      </c>
      <c r="G72" s="531"/>
    </row>
    <row r="73" spans="2:7" x14ac:dyDescent="0.35">
      <c r="B73" s="527" t="s">
        <v>121</v>
      </c>
      <c r="C73" s="103" t="s">
        <v>119</v>
      </c>
      <c r="D73" s="103">
        <v>20</v>
      </c>
      <c r="E73" s="104"/>
      <c r="F73" s="105">
        <f t="shared" si="0"/>
        <v>0</v>
      </c>
      <c r="G73" s="531"/>
    </row>
    <row r="74" spans="2:7" x14ac:dyDescent="0.35">
      <c r="B74" s="527" t="s">
        <v>126</v>
      </c>
      <c r="C74" s="103" t="s">
        <v>119</v>
      </c>
      <c r="D74" s="103">
        <v>20</v>
      </c>
      <c r="E74" s="104"/>
      <c r="F74" s="105">
        <f t="shared" si="0"/>
        <v>0</v>
      </c>
      <c r="G74" s="531"/>
    </row>
    <row r="75" spans="2:7" x14ac:dyDescent="0.35">
      <c r="B75" s="527" t="s">
        <v>267</v>
      </c>
      <c r="C75" s="103" t="s">
        <v>119</v>
      </c>
      <c r="D75" s="103">
        <v>20</v>
      </c>
      <c r="E75" s="104"/>
      <c r="F75" s="105">
        <f>IF(E75/D75&lt;1,0,(E75/D75))</f>
        <v>0</v>
      </c>
      <c r="G75" s="531"/>
    </row>
    <row r="76" spans="2:7" x14ac:dyDescent="0.35">
      <c r="B76" s="527"/>
      <c r="C76" s="103"/>
      <c r="D76" s="103"/>
      <c r="E76" s="104"/>
      <c r="F76" s="105"/>
      <c r="G76" s="528"/>
    </row>
    <row r="77" spans="2:7" x14ac:dyDescent="0.35">
      <c r="B77" s="856" t="s">
        <v>268</v>
      </c>
      <c r="C77" s="857"/>
      <c r="D77" s="109"/>
      <c r="E77" s="109"/>
      <c r="F77" s="110"/>
      <c r="G77" s="532"/>
    </row>
    <row r="78" spans="2:7" x14ac:dyDescent="0.35">
      <c r="B78" s="533" t="s">
        <v>269</v>
      </c>
      <c r="C78" s="103" t="s">
        <v>119</v>
      </c>
      <c r="D78" s="103">
        <v>0.01</v>
      </c>
      <c r="E78" s="104"/>
      <c r="F78" s="105">
        <f>IF(D78&gt;0,IF(E78/D78&lt;1,0,(E78/D78)),)</f>
        <v>0</v>
      </c>
      <c r="G78" s="528"/>
    </row>
    <row r="79" spans="2:7" x14ac:dyDescent="0.35">
      <c r="B79" s="533" t="s">
        <v>270</v>
      </c>
      <c r="C79" s="103" t="s">
        <v>119</v>
      </c>
      <c r="D79" s="103">
        <v>0.1</v>
      </c>
      <c r="E79" s="104"/>
      <c r="F79" s="105">
        <f t="shared" ref="F79:F85" si="1">IF(D79&gt;0,IF(E79/D79&lt;1,0,(E79/D79)),)</f>
        <v>0</v>
      </c>
      <c r="G79" s="528"/>
    </row>
    <row r="80" spans="2:7" x14ac:dyDescent="0.35">
      <c r="B80" s="533" t="s">
        <v>271</v>
      </c>
      <c r="C80" s="103" t="s">
        <v>119</v>
      </c>
      <c r="D80" s="103">
        <v>1</v>
      </c>
      <c r="E80" s="104"/>
      <c r="F80" s="105">
        <f t="shared" si="1"/>
        <v>0</v>
      </c>
      <c r="G80" s="528"/>
    </row>
    <row r="81" spans="2:7" x14ac:dyDescent="0.35">
      <c r="B81" s="533" t="s">
        <v>272</v>
      </c>
      <c r="C81" s="103" t="s">
        <v>119</v>
      </c>
      <c r="D81" s="103">
        <v>20</v>
      </c>
      <c r="E81" s="104"/>
      <c r="F81" s="105">
        <f t="shared" si="1"/>
        <v>0</v>
      </c>
      <c r="G81" s="528"/>
    </row>
    <row r="82" spans="2:7" x14ac:dyDescent="0.35">
      <c r="B82" s="533" t="s">
        <v>273</v>
      </c>
      <c r="C82" s="103" t="s">
        <v>119</v>
      </c>
      <c r="D82" s="103">
        <v>100</v>
      </c>
      <c r="E82" s="104"/>
      <c r="F82" s="105">
        <f t="shared" si="1"/>
        <v>0</v>
      </c>
      <c r="G82" s="528"/>
    </row>
    <row r="83" spans="2:7" x14ac:dyDescent="0.35">
      <c r="B83" s="533"/>
      <c r="C83" s="103" t="s">
        <v>119</v>
      </c>
      <c r="D83" s="103"/>
      <c r="E83" s="104"/>
      <c r="F83" s="105">
        <f t="shared" si="1"/>
        <v>0</v>
      </c>
      <c r="G83" s="528"/>
    </row>
    <row r="84" spans="2:7" x14ac:dyDescent="0.35">
      <c r="B84" s="533"/>
      <c r="C84" s="103" t="s">
        <v>119</v>
      </c>
      <c r="D84" s="103"/>
      <c r="E84" s="104"/>
      <c r="F84" s="105">
        <f t="shared" si="1"/>
        <v>0</v>
      </c>
      <c r="G84" s="528"/>
    </row>
    <row r="85" spans="2:7" x14ac:dyDescent="0.35">
      <c r="B85" s="533"/>
      <c r="C85" s="103" t="s">
        <v>119</v>
      </c>
      <c r="D85" s="103"/>
      <c r="E85" s="104"/>
      <c r="F85" s="105">
        <f t="shared" si="1"/>
        <v>0</v>
      </c>
      <c r="G85" s="528"/>
    </row>
    <row r="86" spans="2:7" ht="30.75" customHeight="1" x14ac:dyDescent="0.35">
      <c r="B86" s="844" t="s">
        <v>211</v>
      </c>
      <c r="C86" s="842"/>
      <c r="D86" s="842"/>
      <c r="E86" s="842"/>
      <c r="F86" s="842"/>
      <c r="G86" s="845"/>
    </row>
    <row r="87" spans="2:7" x14ac:dyDescent="0.35">
      <c r="B87" s="527" t="s">
        <v>212</v>
      </c>
      <c r="C87" s="103" t="s">
        <v>212</v>
      </c>
      <c r="D87" s="112" t="s">
        <v>212</v>
      </c>
      <c r="E87" s="104"/>
      <c r="F87" s="105">
        <v>0</v>
      </c>
      <c r="G87" s="528"/>
    </row>
    <row r="88" spans="2:7" x14ac:dyDescent="0.35">
      <c r="B88" s="527" t="s">
        <v>212</v>
      </c>
      <c r="C88" s="103" t="s">
        <v>212</v>
      </c>
      <c r="D88" s="112" t="s">
        <v>212</v>
      </c>
      <c r="E88" s="104"/>
      <c r="F88" s="105">
        <v>0</v>
      </c>
      <c r="G88" s="528"/>
    </row>
    <row r="89" spans="2:7" x14ac:dyDescent="0.35">
      <c r="B89" s="527" t="s">
        <v>212</v>
      </c>
      <c r="C89" s="103" t="s">
        <v>212</v>
      </c>
      <c r="D89" s="112" t="s">
        <v>212</v>
      </c>
      <c r="E89" s="104"/>
      <c r="F89" s="105">
        <v>0</v>
      </c>
      <c r="G89" s="528"/>
    </row>
    <row r="90" spans="2:7" x14ac:dyDescent="0.35">
      <c r="B90" s="527" t="s">
        <v>212</v>
      </c>
      <c r="C90" s="103" t="s">
        <v>212</v>
      </c>
      <c r="D90" s="112" t="s">
        <v>212</v>
      </c>
      <c r="E90" s="104"/>
      <c r="F90" s="105">
        <v>0</v>
      </c>
      <c r="G90" s="528"/>
    </row>
    <row r="91" spans="2:7" x14ac:dyDescent="0.35">
      <c r="B91" s="527"/>
      <c r="C91" s="103"/>
      <c r="D91" s="112"/>
      <c r="E91" s="113" t="s">
        <v>103</v>
      </c>
      <c r="F91" s="114">
        <f>SUM(F9:F90)</f>
        <v>0</v>
      </c>
      <c r="G91" s="534"/>
    </row>
    <row r="92" spans="2:7" ht="15" thickBot="1" x14ac:dyDescent="0.4">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298450</xdr:colOff>
                    <xdr:row>6</xdr:row>
                    <xdr:rowOff>374650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F9" sqref="F9"/>
    </sheetView>
  </sheetViews>
  <sheetFormatPr defaultRowHeight="14.5" x14ac:dyDescent="0.35"/>
  <cols>
    <col min="3" max="3" width="19.1796875" customWidth="1"/>
    <col min="5" max="5" width="12.453125" customWidth="1"/>
    <col min="6" max="6" width="10.453125" customWidth="1"/>
    <col min="8" max="8" width="27.81640625" customWidth="1"/>
  </cols>
  <sheetData>
    <row r="2" spans="2:9" ht="15" thickBot="1" x14ac:dyDescent="0.4"/>
    <row r="3" spans="2:9" ht="18.5" thickBot="1" x14ac:dyDescent="0.45">
      <c r="B3" s="858" t="s">
        <v>274</v>
      </c>
      <c r="C3" s="859"/>
      <c r="D3" s="859"/>
      <c r="E3" s="859"/>
      <c r="F3" s="859"/>
      <c r="G3" s="859"/>
      <c r="H3" s="859"/>
      <c r="I3" s="860"/>
    </row>
    <row r="4" spans="2:9" x14ac:dyDescent="0.35">
      <c r="B4" s="1"/>
      <c r="C4" s="2"/>
      <c r="D4" s="2"/>
      <c r="E4" s="47"/>
      <c r="F4" s="2"/>
      <c r="G4" s="2"/>
      <c r="H4" s="406"/>
      <c r="I4" s="3"/>
    </row>
    <row r="5" spans="2:9" x14ac:dyDescent="0.35">
      <c r="B5" s="4"/>
      <c r="C5" s="12" t="s">
        <v>63</v>
      </c>
      <c r="D5" s="863" t="str">
        <f>+Introduction!E10</f>
        <v>Tradebe Healthcare National Limited</v>
      </c>
      <c r="E5" s="864"/>
      <c r="F5" s="850" t="s">
        <v>106</v>
      </c>
      <c r="G5" s="851"/>
      <c r="H5" s="861"/>
      <c r="I5" s="6"/>
    </row>
    <row r="6" spans="2:9" x14ac:dyDescent="0.35">
      <c r="B6" s="4"/>
      <c r="C6" s="12" t="s">
        <v>44</v>
      </c>
      <c r="D6" s="865" t="str">
        <f>+Introduction!K10</f>
        <v>EPR/WP3636ZG</v>
      </c>
      <c r="E6" s="866"/>
      <c r="F6" s="853"/>
      <c r="G6" s="854"/>
      <c r="H6" s="862"/>
      <c r="I6" s="6"/>
    </row>
    <row r="7" spans="2:9" ht="42.75" customHeight="1" x14ac:dyDescent="0.35">
      <c r="B7" s="4"/>
      <c r="C7" s="835" t="s">
        <v>107</v>
      </c>
      <c r="D7" s="835"/>
      <c r="E7" s="835"/>
      <c r="F7" s="5"/>
      <c r="G7" s="5"/>
      <c r="H7" s="5"/>
      <c r="I7" s="6"/>
    </row>
    <row r="8" spans="2:9" ht="26.5" x14ac:dyDescent="0.35">
      <c r="B8" s="4"/>
      <c r="C8" s="116" t="s">
        <v>275</v>
      </c>
      <c r="D8" s="117" t="s">
        <v>109</v>
      </c>
      <c r="E8" s="118" t="s">
        <v>110</v>
      </c>
      <c r="F8" s="118" t="s">
        <v>111</v>
      </c>
      <c r="G8" s="118" t="s">
        <v>112</v>
      </c>
      <c r="H8" s="119" t="s">
        <v>113</v>
      </c>
      <c r="I8" s="6"/>
    </row>
    <row r="9" spans="2:9" x14ac:dyDescent="0.35">
      <c r="B9" s="4"/>
      <c r="C9" s="120" t="s">
        <v>276</v>
      </c>
      <c r="D9" s="121" t="s">
        <v>277</v>
      </c>
      <c r="E9" s="121">
        <v>1000</v>
      </c>
      <c r="F9" s="122"/>
      <c r="G9" s="123">
        <f>IF(F9/E9&lt;1,0,(F9/E9))</f>
        <v>0</v>
      </c>
      <c r="H9" s="124"/>
      <c r="I9" s="6"/>
    </row>
    <row r="10" spans="2:9" ht="29" x14ac:dyDescent="0.35">
      <c r="B10" s="4"/>
      <c r="C10" s="108" t="s">
        <v>278</v>
      </c>
      <c r="D10" s="103" t="s">
        <v>277</v>
      </c>
      <c r="E10" s="103">
        <v>350</v>
      </c>
      <c r="F10" s="104"/>
      <c r="G10" s="105">
        <f>IF(F10/E10&lt;1,0,(F10/E10))</f>
        <v>0</v>
      </c>
      <c r="H10" s="125"/>
      <c r="I10" s="6"/>
    </row>
    <row r="11" spans="2:9" x14ac:dyDescent="0.35">
      <c r="B11" s="4"/>
      <c r="C11" s="102" t="s">
        <v>279</v>
      </c>
      <c r="D11" s="103" t="s">
        <v>277</v>
      </c>
      <c r="E11" s="103">
        <v>100</v>
      </c>
      <c r="F11" s="104"/>
      <c r="G11" s="105">
        <f>IF(F11/E11&lt;1,0,(F11/E11))</f>
        <v>0</v>
      </c>
      <c r="H11" s="125"/>
      <c r="I11" s="6"/>
    </row>
    <row r="12" spans="2:9" ht="29" x14ac:dyDescent="0.35">
      <c r="B12" s="4"/>
      <c r="C12" s="108" t="s">
        <v>280</v>
      </c>
      <c r="D12" s="103" t="s">
        <v>277</v>
      </c>
      <c r="E12" s="103">
        <v>100</v>
      </c>
      <c r="F12" s="104"/>
      <c r="G12" s="105">
        <f>IF(F12/E12&lt;1,0,(F12/E12))</f>
        <v>0</v>
      </c>
      <c r="H12" s="125"/>
      <c r="I12" s="6"/>
    </row>
    <row r="13" spans="2:9" x14ac:dyDescent="0.35">
      <c r="B13" s="4"/>
      <c r="C13" s="108"/>
      <c r="D13" s="103"/>
      <c r="E13" s="103"/>
      <c r="F13" s="103"/>
      <c r="G13" s="105"/>
      <c r="H13" s="126"/>
      <c r="I13" s="6"/>
    </row>
    <row r="14" spans="2:9" ht="15" thickBot="1" x14ac:dyDescent="0.4">
      <c r="B14" s="8"/>
      <c r="C14" s="407"/>
      <c r="D14" s="408"/>
      <c r="E14" s="408"/>
      <c r="F14" s="409" t="s">
        <v>103</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298450</xdr:colOff>
                    <xdr:row>6</xdr:row>
                    <xdr:rowOff>374650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C6" sqref="C6:E6"/>
    </sheetView>
  </sheetViews>
  <sheetFormatPr defaultRowHeight="14.5" x14ac:dyDescent="0.35"/>
  <cols>
    <col min="3" max="3" width="27.1796875" customWidth="1"/>
    <col min="5" max="5" width="11.81640625" customWidth="1"/>
    <col min="6" max="6" width="11.1796875" customWidth="1"/>
    <col min="8" max="8" width="17.81640625" customWidth="1"/>
  </cols>
  <sheetData>
    <row r="1" spans="2:9" ht="15" thickBot="1" x14ac:dyDescent="0.4"/>
    <row r="2" spans="2:9" ht="18.5" thickBot="1" x14ac:dyDescent="0.45">
      <c r="B2" s="858" t="s">
        <v>281</v>
      </c>
      <c r="C2" s="859"/>
      <c r="D2" s="859"/>
      <c r="E2" s="859"/>
      <c r="F2" s="859"/>
      <c r="G2" s="859"/>
      <c r="H2" s="859"/>
      <c r="I2" s="860"/>
    </row>
    <row r="3" spans="2:9" x14ac:dyDescent="0.35">
      <c r="B3" s="4"/>
      <c r="C3" s="5"/>
      <c r="D3" s="5"/>
      <c r="E3" s="59"/>
      <c r="F3" s="5"/>
      <c r="G3" s="5"/>
      <c r="H3" s="5"/>
      <c r="I3" s="60"/>
    </row>
    <row r="4" spans="2:9" ht="21" customHeight="1" x14ac:dyDescent="0.35">
      <c r="B4" s="4"/>
      <c r="C4" s="12" t="s">
        <v>63</v>
      </c>
      <c r="D4" s="816" t="str">
        <f>+Introduction!E10</f>
        <v>Tradebe Healthcare National Limited</v>
      </c>
      <c r="E4" s="816"/>
      <c r="F4" s="850" t="s">
        <v>282</v>
      </c>
      <c r="G4" s="851"/>
      <c r="H4" s="861"/>
      <c r="I4" s="60"/>
    </row>
    <row r="5" spans="2:9" ht="22.5" customHeight="1" x14ac:dyDescent="0.35">
      <c r="B5" s="4"/>
      <c r="C5" s="12" t="s">
        <v>283</v>
      </c>
      <c r="D5" s="816" t="str">
        <f>+Introduction!K10</f>
        <v>EPR/WP3636ZG</v>
      </c>
      <c r="E5" s="816"/>
      <c r="F5" s="853"/>
      <c r="G5" s="854"/>
      <c r="H5" s="862"/>
      <c r="I5" s="60"/>
    </row>
    <row r="6" spans="2:9" ht="42.75" customHeight="1" x14ac:dyDescent="0.35">
      <c r="B6" s="4"/>
      <c r="C6" s="835" t="s">
        <v>107</v>
      </c>
      <c r="D6" s="835"/>
      <c r="E6" s="835"/>
      <c r="F6" s="5"/>
      <c r="G6" s="5"/>
      <c r="H6" s="5"/>
      <c r="I6" s="6"/>
    </row>
    <row r="7" spans="2:9" ht="26.5" x14ac:dyDescent="0.35">
      <c r="B7" s="4"/>
      <c r="C7" s="12" t="s">
        <v>108</v>
      </c>
      <c r="D7" s="12" t="s">
        <v>109</v>
      </c>
      <c r="E7" s="127" t="s">
        <v>110</v>
      </c>
      <c r="F7" s="127" t="s">
        <v>284</v>
      </c>
      <c r="G7" s="127" t="s">
        <v>112</v>
      </c>
      <c r="H7" s="127" t="s">
        <v>113</v>
      </c>
      <c r="I7" s="60"/>
    </row>
    <row r="8" spans="2:9" x14ac:dyDescent="0.35">
      <c r="B8" s="4"/>
      <c r="C8" s="97" t="s">
        <v>214</v>
      </c>
      <c r="D8" s="98" t="s">
        <v>119</v>
      </c>
      <c r="E8" s="98">
        <v>1E-3</v>
      </c>
      <c r="F8" s="99"/>
      <c r="G8" s="100">
        <f t="shared" ref="G8:G17" si="0">IF(F8/E8&lt;1,0,(F8/E8))</f>
        <v>0</v>
      </c>
      <c r="H8" s="101"/>
      <c r="I8" s="60"/>
    </row>
    <row r="9" spans="2:9" x14ac:dyDescent="0.35">
      <c r="B9" s="4"/>
      <c r="C9" s="102" t="s">
        <v>215</v>
      </c>
      <c r="D9" s="103" t="s">
        <v>119</v>
      </c>
      <c r="E9" s="103">
        <v>1E-3</v>
      </c>
      <c r="F9" s="104"/>
      <c r="G9" s="105">
        <f t="shared" si="0"/>
        <v>0</v>
      </c>
      <c r="H9" s="106"/>
      <c r="I9" s="60"/>
    </row>
    <row r="10" spans="2:9" x14ac:dyDescent="0.35">
      <c r="B10" s="4"/>
      <c r="C10" s="102" t="s">
        <v>216</v>
      </c>
      <c r="D10" s="103" t="s">
        <v>119</v>
      </c>
      <c r="E10" s="103">
        <v>1E-3</v>
      </c>
      <c r="F10" s="104"/>
      <c r="G10" s="105">
        <f t="shared" si="0"/>
        <v>0</v>
      </c>
      <c r="H10" s="106"/>
      <c r="I10" s="60"/>
    </row>
    <row r="11" spans="2:9" x14ac:dyDescent="0.35">
      <c r="B11" s="4"/>
      <c r="C11" s="102" t="s">
        <v>217</v>
      </c>
      <c r="D11" s="103" t="s">
        <v>119</v>
      </c>
      <c r="E11" s="103">
        <v>1E-3</v>
      </c>
      <c r="F11" s="104"/>
      <c r="G11" s="105">
        <f t="shared" si="0"/>
        <v>0</v>
      </c>
      <c r="H11" s="106"/>
      <c r="I11" s="60"/>
    </row>
    <row r="12" spans="2:9" x14ac:dyDescent="0.35">
      <c r="B12" s="4"/>
      <c r="C12" s="102" t="s">
        <v>218</v>
      </c>
      <c r="D12" s="103" t="s">
        <v>119</v>
      </c>
      <c r="E12" s="103">
        <v>1E-3</v>
      </c>
      <c r="F12" s="104"/>
      <c r="G12" s="105">
        <f t="shared" si="0"/>
        <v>0</v>
      </c>
      <c r="H12" s="106"/>
      <c r="I12" s="60"/>
    </row>
    <row r="13" spans="2:9" x14ac:dyDescent="0.35">
      <c r="B13" s="4"/>
      <c r="C13" s="102" t="s">
        <v>219</v>
      </c>
      <c r="D13" s="103" t="s">
        <v>119</v>
      </c>
      <c r="E13" s="103">
        <v>1E-3</v>
      </c>
      <c r="F13" s="104"/>
      <c r="G13" s="105">
        <f t="shared" si="0"/>
        <v>0</v>
      </c>
      <c r="H13" s="106"/>
      <c r="I13" s="60"/>
    </row>
    <row r="14" spans="2:9" x14ac:dyDescent="0.35">
      <c r="B14" s="4"/>
      <c r="C14" s="102" t="s">
        <v>220</v>
      </c>
      <c r="D14" s="103" t="s">
        <v>119</v>
      </c>
      <c r="E14" s="103">
        <v>1E-3</v>
      </c>
      <c r="F14" s="104"/>
      <c r="G14" s="105">
        <f t="shared" si="0"/>
        <v>0</v>
      </c>
      <c r="H14" s="106"/>
      <c r="I14" s="60"/>
    </row>
    <row r="15" spans="2:9" x14ac:dyDescent="0.35">
      <c r="B15" s="4"/>
      <c r="C15" s="102" t="s">
        <v>221</v>
      </c>
      <c r="D15" s="103" t="s">
        <v>119</v>
      </c>
      <c r="E15" s="103">
        <v>1E-3</v>
      </c>
      <c r="F15" s="104"/>
      <c r="G15" s="105">
        <f t="shared" si="0"/>
        <v>0</v>
      </c>
      <c r="H15" s="106"/>
      <c r="I15" s="60"/>
    </row>
    <row r="16" spans="2:9" x14ac:dyDescent="0.35">
      <c r="B16" s="4"/>
      <c r="C16" s="102" t="s">
        <v>222</v>
      </c>
      <c r="D16" s="103" t="s">
        <v>119</v>
      </c>
      <c r="E16" s="103">
        <v>1E-3</v>
      </c>
      <c r="F16" s="104"/>
      <c r="G16" s="105">
        <f t="shared" si="0"/>
        <v>0</v>
      </c>
      <c r="H16" s="106"/>
      <c r="I16" s="60"/>
    </row>
    <row r="17" spans="2:9" x14ac:dyDescent="0.35">
      <c r="B17" s="4"/>
      <c r="C17" s="102" t="s">
        <v>223</v>
      </c>
      <c r="D17" s="103" t="s">
        <v>119</v>
      </c>
      <c r="E17" s="103">
        <v>1E-3</v>
      </c>
      <c r="F17" s="104"/>
      <c r="G17" s="105">
        <f t="shared" si="0"/>
        <v>0</v>
      </c>
      <c r="H17" s="106"/>
      <c r="I17" s="60"/>
    </row>
    <row r="18" spans="2:9" x14ac:dyDescent="0.35">
      <c r="B18" s="4"/>
      <c r="C18" s="102"/>
      <c r="D18" s="103" t="s">
        <v>119</v>
      </c>
      <c r="E18" s="103"/>
      <c r="F18" s="103"/>
      <c r="G18" s="105"/>
      <c r="H18" s="107"/>
      <c r="I18" s="60"/>
    </row>
    <row r="19" spans="2:9" x14ac:dyDescent="0.35">
      <c r="B19" s="4"/>
      <c r="C19" s="102" t="s">
        <v>224</v>
      </c>
      <c r="D19" s="103" t="s">
        <v>119</v>
      </c>
      <c r="E19" s="103">
        <v>0.01</v>
      </c>
      <c r="F19" s="104"/>
      <c r="G19" s="105">
        <f t="shared" ref="G19:G34" si="1">IF(F19/E19&lt;1,0,(F19/E19))</f>
        <v>0</v>
      </c>
      <c r="H19" s="106"/>
      <c r="I19" s="60"/>
    </row>
    <row r="20" spans="2:9" x14ac:dyDescent="0.35">
      <c r="B20" s="4"/>
      <c r="C20" s="102" t="s">
        <v>285</v>
      </c>
      <c r="D20" s="103" t="s">
        <v>119</v>
      </c>
      <c r="E20" s="103">
        <v>0.01</v>
      </c>
      <c r="F20" s="104"/>
      <c r="G20" s="105">
        <f t="shared" si="1"/>
        <v>0</v>
      </c>
      <c r="H20" s="106"/>
      <c r="I20" s="60"/>
    </row>
    <row r="21" spans="2:9" x14ac:dyDescent="0.35">
      <c r="B21" s="4"/>
      <c r="C21" s="102" t="s">
        <v>226</v>
      </c>
      <c r="D21" s="103" t="s">
        <v>119</v>
      </c>
      <c r="E21" s="103">
        <v>0.01</v>
      </c>
      <c r="F21" s="104"/>
      <c r="G21" s="105">
        <f t="shared" si="1"/>
        <v>0</v>
      </c>
      <c r="H21" s="106"/>
      <c r="I21" s="60"/>
    </row>
    <row r="22" spans="2:9" x14ac:dyDescent="0.35">
      <c r="B22" s="4"/>
      <c r="C22" s="102" t="s">
        <v>227</v>
      </c>
      <c r="D22" s="103" t="s">
        <v>119</v>
      </c>
      <c r="E22" s="103">
        <v>0.01</v>
      </c>
      <c r="F22" s="104"/>
      <c r="G22" s="105">
        <f t="shared" si="1"/>
        <v>0</v>
      </c>
      <c r="H22" s="106"/>
      <c r="I22" s="60"/>
    </row>
    <row r="23" spans="2:9" x14ac:dyDescent="0.35">
      <c r="B23" s="4"/>
      <c r="C23" s="102" t="s">
        <v>228</v>
      </c>
      <c r="D23" s="103" t="s">
        <v>119</v>
      </c>
      <c r="E23" s="103">
        <v>0.01</v>
      </c>
      <c r="F23" s="104"/>
      <c r="G23" s="105">
        <f t="shared" si="1"/>
        <v>0</v>
      </c>
      <c r="H23" s="106"/>
      <c r="I23" s="60"/>
    </row>
    <row r="24" spans="2:9" x14ac:dyDescent="0.35">
      <c r="B24" s="4"/>
      <c r="C24" s="102" t="s">
        <v>229</v>
      </c>
      <c r="D24" s="103" t="s">
        <v>119</v>
      </c>
      <c r="E24" s="103">
        <v>0.01</v>
      </c>
      <c r="F24" s="104"/>
      <c r="G24" s="105">
        <f t="shared" si="1"/>
        <v>0</v>
      </c>
      <c r="H24" s="106"/>
      <c r="I24" s="60"/>
    </row>
    <row r="25" spans="2:9" x14ac:dyDescent="0.35">
      <c r="B25" s="4"/>
      <c r="C25" s="102" t="s">
        <v>230</v>
      </c>
      <c r="D25" s="103" t="s">
        <v>119</v>
      </c>
      <c r="E25" s="103">
        <v>0.01</v>
      </c>
      <c r="F25" s="104"/>
      <c r="G25" s="105">
        <f t="shared" si="1"/>
        <v>0</v>
      </c>
      <c r="H25" s="106"/>
      <c r="I25" s="60"/>
    </row>
    <row r="26" spans="2:9" x14ac:dyDescent="0.35">
      <c r="B26" s="4"/>
      <c r="C26" s="102" t="s">
        <v>231</v>
      </c>
      <c r="D26" s="103" t="s">
        <v>119</v>
      </c>
      <c r="E26" s="103">
        <v>0.01</v>
      </c>
      <c r="F26" s="104"/>
      <c r="G26" s="105">
        <f t="shared" si="1"/>
        <v>0</v>
      </c>
      <c r="H26" s="106"/>
      <c r="I26" s="60"/>
    </row>
    <row r="27" spans="2:9" x14ac:dyDescent="0.35">
      <c r="B27" s="4"/>
      <c r="C27" s="102" t="s">
        <v>232</v>
      </c>
      <c r="D27" s="103" t="s">
        <v>119</v>
      </c>
      <c r="E27" s="103">
        <v>0.01</v>
      </c>
      <c r="F27" s="104"/>
      <c r="G27" s="105">
        <f t="shared" si="1"/>
        <v>0</v>
      </c>
      <c r="H27" s="106"/>
      <c r="I27" s="60"/>
    </row>
    <row r="28" spans="2:9" x14ac:dyDescent="0.35">
      <c r="B28" s="4"/>
      <c r="C28" s="102" t="s">
        <v>233</v>
      </c>
      <c r="D28" s="103" t="s">
        <v>119</v>
      </c>
      <c r="E28" s="103">
        <v>0.01</v>
      </c>
      <c r="F28" s="104"/>
      <c r="G28" s="105">
        <f t="shared" si="1"/>
        <v>0</v>
      </c>
      <c r="H28" s="106"/>
      <c r="I28" s="60"/>
    </row>
    <row r="29" spans="2:9" x14ac:dyDescent="0.35">
      <c r="B29" s="4"/>
      <c r="C29" s="102" t="s">
        <v>234</v>
      </c>
      <c r="D29" s="103" t="s">
        <v>119</v>
      </c>
      <c r="E29" s="103">
        <v>0.01</v>
      </c>
      <c r="F29" s="104"/>
      <c r="G29" s="105">
        <f t="shared" si="1"/>
        <v>0</v>
      </c>
      <c r="H29" s="106"/>
      <c r="I29" s="60"/>
    </row>
    <row r="30" spans="2:9" x14ac:dyDescent="0.35">
      <c r="B30" s="4"/>
      <c r="C30" s="102" t="s">
        <v>235</v>
      </c>
      <c r="D30" s="103" t="s">
        <v>119</v>
      </c>
      <c r="E30" s="103">
        <v>0.01</v>
      </c>
      <c r="F30" s="104"/>
      <c r="G30" s="105">
        <f t="shared" si="1"/>
        <v>0</v>
      </c>
      <c r="H30" s="106"/>
      <c r="I30" s="60"/>
    </row>
    <row r="31" spans="2:9" x14ac:dyDescent="0.35">
      <c r="B31" s="4"/>
      <c r="C31" s="102" t="s">
        <v>236</v>
      </c>
      <c r="D31" s="103" t="s">
        <v>119</v>
      </c>
      <c r="E31" s="103">
        <v>0.01</v>
      </c>
      <c r="F31" s="104"/>
      <c r="G31" s="105">
        <f t="shared" si="1"/>
        <v>0</v>
      </c>
      <c r="H31" s="106"/>
      <c r="I31" s="60"/>
    </row>
    <row r="32" spans="2:9" x14ac:dyDescent="0.35">
      <c r="B32" s="4"/>
      <c r="C32" s="102" t="s">
        <v>237</v>
      </c>
      <c r="D32" s="103" t="s">
        <v>119</v>
      </c>
      <c r="E32" s="103">
        <v>0.01</v>
      </c>
      <c r="F32" s="104"/>
      <c r="G32" s="105">
        <f t="shared" si="1"/>
        <v>0</v>
      </c>
      <c r="H32" s="106"/>
      <c r="I32" s="60"/>
    </row>
    <row r="33" spans="2:9" x14ac:dyDescent="0.35">
      <c r="B33" s="4"/>
      <c r="C33" s="102" t="s">
        <v>238</v>
      </c>
      <c r="D33" s="103" t="s">
        <v>119</v>
      </c>
      <c r="E33" s="103">
        <v>0.01</v>
      </c>
      <c r="F33" s="104"/>
      <c r="G33" s="105">
        <f t="shared" si="1"/>
        <v>0</v>
      </c>
      <c r="H33" s="106"/>
      <c r="I33" s="60"/>
    </row>
    <row r="34" spans="2:9" x14ac:dyDescent="0.35">
      <c r="B34" s="4"/>
      <c r="C34" s="102" t="s">
        <v>239</v>
      </c>
      <c r="D34" s="103" t="s">
        <v>119</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240</v>
      </c>
      <c r="D36" s="103" t="s">
        <v>119</v>
      </c>
      <c r="E36" s="103">
        <v>0.1</v>
      </c>
      <c r="F36" s="104"/>
      <c r="G36" s="105">
        <f>IF(F36/E36&lt;1,0,(F36/E36))</f>
        <v>0</v>
      </c>
      <c r="H36" s="106"/>
      <c r="I36" s="60"/>
    </row>
    <row r="37" spans="2:9" ht="29" x14ac:dyDescent="0.35">
      <c r="B37" s="4"/>
      <c r="C37" s="108" t="s">
        <v>241</v>
      </c>
      <c r="D37" s="103" t="s">
        <v>119</v>
      </c>
      <c r="E37" s="103">
        <v>0.1</v>
      </c>
      <c r="F37" s="104"/>
      <c r="G37" s="105">
        <f>IF(F37/E37&lt;1,0,(F37/E37))</f>
        <v>0</v>
      </c>
      <c r="H37" s="106"/>
      <c r="I37" s="60"/>
    </row>
    <row r="38" spans="2:9" x14ac:dyDescent="0.35">
      <c r="B38" s="4"/>
      <c r="C38" s="108" t="s">
        <v>242</v>
      </c>
      <c r="D38" s="103" t="s">
        <v>119</v>
      </c>
      <c r="E38" s="103">
        <v>0.1</v>
      </c>
      <c r="F38" s="104"/>
      <c r="G38" s="105">
        <f>IF(F38/E38&lt;1,0,(F38/E38))</f>
        <v>0</v>
      </c>
      <c r="H38" s="106"/>
      <c r="I38" s="60"/>
    </row>
    <row r="39" spans="2:9" x14ac:dyDescent="0.35">
      <c r="B39" s="4"/>
      <c r="C39" s="108" t="s">
        <v>243</v>
      </c>
      <c r="D39" s="103" t="s">
        <v>119</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141</v>
      </c>
      <c r="D41" s="103" t="s">
        <v>119</v>
      </c>
      <c r="E41" s="103">
        <v>1</v>
      </c>
      <c r="F41" s="104"/>
      <c r="G41" s="105">
        <f t="shared" ref="G41:G61" si="2">IF(F41/E41&lt;1,0,(F41/E41))</f>
        <v>0</v>
      </c>
      <c r="H41" s="106"/>
      <c r="I41" s="60"/>
    </row>
    <row r="42" spans="2:9" x14ac:dyDescent="0.35">
      <c r="B42" s="4"/>
      <c r="C42" s="102" t="s">
        <v>244</v>
      </c>
      <c r="D42" s="103" t="s">
        <v>119</v>
      </c>
      <c r="E42" s="103">
        <v>1</v>
      </c>
      <c r="F42" s="104"/>
      <c r="G42" s="105">
        <f t="shared" si="2"/>
        <v>0</v>
      </c>
      <c r="H42" s="106"/>
      <c r="I42" s="60"/>
    </row>
    <row r="43" spans="2:9" x14ac:dyDescent="0.35">
      <c r="B43" s="4"/>
      <c r="C43" s="102" t="s">
        <v>245</v>
      </c>
      <c r="D43" s="103" t="s">
        <v>119</v>
      </c>
      <c r="E43" s="103">
        <v>1</v>
      </c>
      <c r="F43" s="104"/>
      <c r="G43" s="105">
        <f t="shared" si="2"/>
        <v>0</v>
      </c>
      <c r="H43" s="106"/>
      <c r="I43" s="60"/>
    </row>
    <row r="44" spans="2:9" x14ac:dyDescent="0.35">
      <c r="B44" s="4"/>
      <c r="C44" s="102" t="s">
        <v>246</v>
      </c>
      <c r="D44" s="103" t="s">
        <v>119</v>
      </c>
      <c r="E44" s="103">
        <v>1</v>
      </c>
      <c r="F44" s="104"/>
      <c r="G44" s="105">
        <f t="shared" si="2"/>
        <v>0</v>
      </c>
      <c r="H44" s="106"/>
      <c r="I44" s="60"/>
    </row>
    <row r="45" spans="2:9" x14ac:dyDescent="0.35">
      <c r="B45" s="4"/>
      <c r="C45" s="102" t="s">
        <v>144</v>
      </c>
      <c r="D45" s="103" t="s">
        <v>119</v>
      </c>
      <c r="E45" s="103">
        <v>1</v>
      </c>
      <c r="F45" s="104"/>
      <c r="G45" s="105">
        <f t="shared" si="2"/>
        <v>0</v>
      </c>
      <c r="H45" s="106"/>
      <c r="I45" s="60"/>
    </row>
    <row r="46" spans="2:9" x14ac:dyDescent="0.35">
      <c r="B46" s="4"/>
      <c r="C46" s="102" t="s">
        <v>247</v>
      </c>
      <c r="D46" s="103" t="s">
        <v>119</v>
      </c>
      <c r="E46" s="103">
        <v>1</v>
      </c>
      <c r="F46" s="104"/>
      <c r="G46" s="105">
        <f t="shared" si="2"/>
        <v>0</v>
      </c>
      <c r="H46" s="106"/>
      <c r="I46" s="60"/>
    </row>
    <row r="47" spans="2:9" x14ac:dyDescent="0.35">
      <c r="B47" s="4"/>
      <c r="C47" s="102" t="s">
        <v>248</v>
      </c>
      <c r="D47" s="103" t="s">
        <v>119</v>
      </c>
      <c r="E47" s="103">
        <v>1</v>
      </c>
      <c r="F47" s="104"/>
      <c r="G47" s="105">
        <f t="shared" si="2"/>
        <v>0</v>
      </c>
      <c r="H47" s="106"/>
      <c r="I47" s="60"/>
    </row>
    <row r="48" spans="2:9" x14ac:dyDescent="0.35">
      <c r="B48" s="4"/>
      <c r="C48" s="102" t="s">
        <v>249</v>
      </c>
      <c r="D48" s="103" t="s">
        <v>119</v>
      </c>
      <c r="E48" s="103">
        <v>1</v>
      </c>
      <c r="F48" s="104"/>
      <c r="G48" s="105">
        <f t="shared" si="2"/>
        <v>0</v>
      </c>
      <c r="H48" s="106"/>
      <c r="I48" s="60"/>
    </row>
    <row r="49" spans="2:9" x14ac:dyDescent="0.35">
      <c r="B49" s="4"/>
      <c r="C49" s="102" t="s">
        <v>250</v>
      </c>
      <c r="D49" s="103" t="s">
        <v>119</v>
      </c>
      <c r="E49" s="103">
        <v>1</v>
      </c>
      <c r="F49" s="104"/>
      <c r="G49" s="105">
        <f t="shared" si="2"/>
        <v>0</v>
      </c>
      <c r="H49" s="106"/>
      <c r="I49" s="60"/>
    </row>
    <row r="50" spans="2:9" x14ac:dyDescent="0.35">
      <c r="B50" s="4"/>
      <c r="C50" s="102" t="s">
        <v>251</v>
      </c>
      <c r="D50" s="103" t="s">
        <v>119</v>
      </c>
      <c r="E50" s="103">
        <v>1</v>
      </c>
      <c r="F50" s="104"/>
      <c r="G50" s="105">
        <f t="shared" si="2"/>
        <v>0</v>
      </c>
      <c r="H50" s="106"/>
      <c r="I50" s="60"/>
    </row>
    <row r="51" spans="2:9" x14ac:dyDescent="0.35">
      <c r="B51" s="4"/>
      <c r="C51" s="102" t="s">
        <v>252</v>
      </c>
      <c r="D51" s="103" t="s">
        <v>119</v>
      </c>
      <c r="E51" s="103">
        <v>1</v>
      </c>
      <c r="F51" s="104"/>
      <c r="G51" s="105">
        <f t="shared" si="2"/>
        <v>0</v>
      </c>
      <c r="H51" s="106"/>
      <c r="I51" s="60"/>
    </row>
    <row r="52" spans="2:9" x14ac:dyDescent="0.35">
      <c r="B52" s="4"/>
      <c r="C52" s="102" t="s">
        <v>253</v>
      </c>
      <c r="D52" s="103" t="s">
        <v>119</v>
      </c>
      <c r="E52" s="103">
        <v>1</v>
      </c>
      <c r="F52" s="104"/>
      <c r="G52" s="105">
        <f t="shared" si="2"/>
        <v>0</v>
      </c>
      <c r="H52" s="106"/>
      <c r="I52" s="60"/>
    </row>
    <row r="53" spans="2:9" x14ac:dyDescent="0.35">
      <c r="B53" s="4"/>
      <c r="C53" s="102" t="s">
        <v>254</v>
      </c>
      <c r="D53" s="103" t="s">
        <v>119</v>
      </c>
      <c r="E53" s="103">
        <v>1</v>
      </c>
      <c r="F53" s="104"/>
      <c r="G53" s="105">
        <f t="shared" si="2"/>
        <v>0</v>
      </c>
      <c r="H53" s="106"/>
      <c r="I53" s="60"/>
    </row>
    <row r="54" spans="2:9" x14ac:dyDescent="0.35">
      <c r="B54" s="4"/>
      <c r="C54" s="102" t="s">
        <v>255</v>
      </c>
      <c r="D54" s="103" t="s">
        <v>119</v>
      </c>
      <c r="E54" s="103">
        <v>1</v>
      </c>
      <c r="F54" s="104"/>
      <c r="G54" s="105">
        <f t="shared" si="2"/>
        <v>0</v>
      </c>
      <c r="H54" s="106"/>
      <c r="I54" s="60"/>
    </row>
    <row r="55" spans="2:9" x14ac:dyDescent="0.35">
      <c r="B55" s="4"/>
      <c r="C55" s="102" t="s">
        <v>256</v>
      </c>
      <c r="D55" s="103" t="s">
        <v>119</v>
      </c>
      <c r="E55" s="103">
        <v>1</v>
      </c>
      <c r="F55" s="104"/>
      <c r="G55" s="105">
        <f t="shared" si="2"/>
        <v>0</v>
      </c>
      <c r="H55" s="106"/>
      <c r="I55" s="60"/>
    </row>
    <row r="56" spans="2:9" x14ac:dyDescent="0.35">
      <c r="B56" s="4"/>
      <c r="C56" s="102" t="s">
        <v>257</v>
      </c>
      <c r="D56" s="103" t="s">
        <v>119</v>
      </c>
      <c r="E56" s="103">
        <v>1</v>
      </c>
      <c r="F56" s="104"/>
      <c r="G56" s="105">
        <f t="shared" si="2"/>
        <v>0</v>
      </c>
      <c r="H56" s="106"/>
      <c r="I56" s="60"/>
    </row>
    <row r="57" spans="2:9" x14ac:dyDescent="0.35">
      <c r="B57" s="4"/>
      <c r="C57" s="102" t="s">
        <v>258</v>
      </c>
      <c r="D57" s="103" t="s">
        <v>119</v>
      </c>
      <c r="E57" s="103">
        <v>1</v>
      </c>
      <c r="F57" s="104"/>
      <c r="G57" s="105">
        <f t="shared" si="2"/>
        <v>0</v>
      </c>
      <c r="H57" s="106"/>
      <c r="I57" s="60"/>
    </row>
    <row r="58" spans="2:9" x14ac:dyDescent="0.35">
      <c r="B58" s="4"/>
      <c r="C58" s="102" t="s">
        <v>259</v>
      </c>
      <c r="D58" s="103" t="s">
        <v>119</v>
      </c>
      <c r="E58" s="103">
        <v>1</v>
      </c>
      <c r="F58" s="104"/>
      <c r="G58" s="105">
        <f t="shared" si="2"/>
        <v>0</v>
      </c>
      <c r="H58" s="106"/>
      <c r="I58" s="60"/>
    </row>
    <row r="59" spans="2:9" x14ac:dyDescent="0.35">
      <c r="B59" s="4"/>
      <c r="C59" s="102" t="s">
        <v>260</v>
      </c>
      <c r="D59" s="103" t="s">
        <v>119</v>
      </c>
      <c r="E59" s="103">
        <v>1</v>
      </c>
      <c r="F59" s="104"/>
      <c r="G59" s="105">
        <f t="shared" si="2"/>
        <v>0</v>
      </c>
      <c r="H59" s="106"/>
      <c r="I59" s="60"/>
    </row>
    <row r="60" spans="2:9" x14ac:dyDescent="0.35">
      <c r="B60" s="4"/>
      <c r="C60" s="102" t="s">
        <v>120</v>
      </c>
      <c r="D60" s="103" t="s">
        <v>119</v>
      </c>
      <c r="E60" s="103">
        <v>1</v>
      </c>
      <c r="F60" s="104"/>
      <c r="G60" s="105">
        <f t="shared" si="2"/>
        <v>0</v>
      </c>
      <c r="H60" s="106"/>
      <c r="I60" s="60"/>
    </row>
    <row r="61" spans="2:9" x14ac:dyDescent="0.35">
      <c r="B61" s="4"/>
      <c r="C61" s="102" t="s">
        <v>122</v>
      </c>
      <c r="D61" s="103" t="s">
        <v>119</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261</v>
      </c>
      <c r="D63" s="103" t="s">
        <v>119</v>
      </c>
      <c r="E63" s="103">
        <v>20</v>
      </c>
      <c r="F63" s="104"/>
      <c r="G63" s="105">
        <f t="shared" ref="G63:G74" si="3">IF(F63/E63&lt;1,0,(F63/E63))</f>
        <v>0</v>
      </c>
      <c r="H63" s="106"/>
      <c r="I63" s="60"/>
    </row>
    <row r="64" spans="2:9" x14ac:dyDescent="0.35">
      <c r="B64" s="4"/>
      <c r="C64" s="102" t="s">
        <v>262</v>
      </c>
      <c r="D64" s="103" t="s">
        <v>119</v>
      </c>
      <c r="E64" s="103">
        <v>20</v>
      </c>
      <c r="F64" s="104"/>
      <c r="G64" s="105">
        <f t="shared" si="3"/>
        <v>0</v>
      </c>
      <c r="H64" s="106"/>
      <c r="I64" s="60"/>
    </row>
    <row r="65" spans="2:9" x14ac:dyDescent="0.35">
      <c r="B65" s="4"/>
      <c r="C65" s="102" t="s">
        <v>263</v>
      </c>
      <c r="D65" s="103" t="s">
        <v>119</v>
      </c>
      <c r="E65" s="103">
        <v>20</v>
      </c>
      <c r="F65" s="104"/>
      <c r="G65" s="105">
        <f t="shared" si="3"/>
        <v>0</v>
      </c>
      <c r="H65" s="106"/>
      <c r="I65" s="60"/>
    </row>
    <row r="66" spans="2:9" x14ac:dyDescent="0.35">
      <c r="B66" s="4"/>
      <c r="C66" s="102" t="s">
        <v>264</v>
      </c>
      <c r="D66" s="103" t="s">
        <v>119</v>
      </c>
      <c r="E66" s="103">
        <v>20</v>
      </c>
      <c r="F66" s="104"/>
      <c r="G66" s="105">
        <f t="shared" si="3"/>
        <v>0</v>
      </c>
      <c r="H66" s="106"/>
      <c r="I66" s="60"/>
    </row>
    <row r="67" spans="2:9" x14ac:dyDescent="0.35">
      <c r="B67" s="4"/>
      <c r="C67" s="102" t="s">
        <v>187</v>
      </c>
      <c r="D67" s="103" t="s">
        <v>119</v>
      </c>
      <c r="E67" s="103">
        <v>20</v>
      </c>
      <c r="F67" s="104"/>
      <c r="G67" s="105">
        <f t="shared" si="3"/>
        <v>0</v>
      </c>
      <c r="H67" s="106"/>
      <c r="I67" s="60"/>
    </row>
    <row r="68" spans="2:9" x14ac:dyDescent="0.35">
      <c r="B68" s="4"/>
      <c r="C68" s="102" t="s">
        <v>265</v>
      </c>
      <c r="D68" s="103" t="s">
        <v>119</v>
      </c>
      <c r="E68" s="103">
        <v>20</v>
      </c>
      <c r="F68" s="104"/>
      <c r="G68" s="105">
        <f t="shared" si="3"/>
        <v>0</v>
      </c>
      <c r="H68" s="106"/>
      <c r="I68" s="60"/>
    </row>
    <row r="69" spans="2:9" x14ac:dyDescent="0.35">
      <c r="B69" s="4"/>
      <c r="C69" s="102" t="s">
        <v>124</v>
      </c>
      <c r="D69" s="103" t="s">
        <v>119</v>
      </c>
      <c r="E69" s="103">
        <v>20</v>
      </c>
      <c r="F69" s="104"/>
      <c r="G69" s="105">
        <f t="shared" si="3"/>
        <v>0</v>
      </c>
      <c r="H69" s="106"/>
      <c r="I69" s="60"/>
    </row>
    <row r="70" spans="2:9" x14ac:dyDescent="0.35">
      <c r="B70" s="4"/>
      <c r="C70" s="102" t="s">
        <v>125</v>
      </c>
      <c r="D70" s="103" t="s">
        <v>119</v>
      </c>
      <c r="E70" s="103">
        <v>20</v>
      </c>
      <c r="F70" s="104"/>
      <c r="G70" s="105">
        <f t="shared" si="3"/>
        <v>0</v>
      </c>
      <c r="H70" s="106"/>
      <c r="I70" s="60"/>
    </row>
    <row r="71" spans="2:9" x14ac:dyDescent="0.35">
      <c r="B71" s="4"/>
      <c r="C71" s="102" t="s">
        <v>266</v>
      </c>
      <c r="D71" s="103" t="s">
        <v>119</v>
      </c>
      <c r="E71" s="103">
        <v>20</v>
      </c>
      <c r="F71" s="104"/>
      <c r="G71" s="105">
        <f t="shared" si="3"/>
        <v>0</v>
      </c>
      <c r="H71" s="106"/>
      <c r="I71" s="60"/>
    </row>
    <row r="72" spans="2:9" x14ac:dyDescent="0.35">
      <c r="B72" s="4"/>
      <c r="C72" s="102" t="s">
        <v>121</v>
      </c>
      <c r="D72" s="103" t="s">
        <v>119</v>
      </c>
      <c r="E72" s="103">
        <v>20</v>
      </c>
      <c r="F72" s="104"/>
      <c r="G72" s="105">
        <f t="shared" si="3"/>
        <v>0</v>
      </c>
      <c r="H72" s="106"/>
      <c r="I72" s="60"/>
    </row>
    <row r="73" spans="2:9" x14ac:dyDescent="0.35">
      <c r="B73" s="4"/>
      <c r="C73" s="102" t="s">
        <v>126</v>
      </c>
      <c r="D73" s="103" t="s">
        <v>119</v>
      </c>
      <c r="E73" s="103">
        <v>20</v>
      </c>
      <c r="F73" s="104"/>
      <c r="G73" s="105">
        <f t="shared" si="3"/>
        <v>0</v>
      </c>
      <c r="H73" s="106"/>
      <c r="I73" s="60"/>
    </row>
    <row r="74" spans="2:9" x14ac:dyDescent="0.35">
      <c r="B74" s="4"/>
      <c r="C74" s="102" t="s">
        <v>267</v>
      </c>
      <c r="D74" s="103" t="s">
        <v>119</v>
      </c>
      <c r="E74" s="103">
        <v>20</v>
      </c>
      <c r="F74" s="104"/>
      <c r="G74" s="105">
        <f t="shared" si="3"/>
        <v>0</v>
      </c>
      <c r="H74" s="106"/>
      <c r="I74" s="60"/>
    </row>
    <row r="75" spans="2:9" x14ac:dyDescent="0.35">
      <c r="B75" s="4"/>
      <c r="C75" s="102"/>
      <c r="D75" s="103"/>
      <c r="E75" s="103"/>
      <c r="F75" s="103"/>
      <c r="G75" s="105"/>
      <c r="H75" s="107"/>
      <c r="I75" s="60"/>
    </row>
    <row r="76" spans="2:9" x14ac:dyDescent="0.35">
      <c r="B76" s="4"/>
      <c r="C76" s="871" t="s">
        <v>268</v>
      </c>
      <c r="D76" s="872"/>
      <c r="E76" s="872"/>
      <c r="F76" s="873"/>
      <c r="G76" s="105"/>
      <c r="H76" s="107"/>
      <c r="I76" s="60"/>
    </row>
    <row r="77" spans="2:9" x14ac:dyDescent="0.35">
      <c r="B77" s="4"/>
      <c r="C77" s="102" t="s">
        <v>286</v>
      </c>
      <c r="D77" s="103" t="s">
        <v>119</v>
      </c>
      <c r="E77" s="103">
        <v>10000</v>
      </c>
      <c r="F77" s="104"/>
      <c r="G77" s="105">
        <f>IF(F77/E77&lt;1,0,(F77/E77))</f>
        <v>0</v>
      </c>
      <c r="H77" s="106"/>
      <c r="I77" s="60"/>
    </row>
    <row r="78" spans="2:9" x14ac:dyDescent="0.35">
      <c r="B78" s="4"/>
      <c r="C78" s="102" t="s">
        <v>287</v>
      </c>
      <c r="D78" s="103" t="s">
        <v>119</v>
      </c>
      <c r="E78" s="103">
        <v>10000</v>
      </c>
      <c r="F78" s="104"/>
      <c r="G78" s="105">
        <f>IF(F78/E78&lt;1,0,(F78/E78))</f>
        <v>0</v>
      </c>
      <c r="H78" s="106"/>
      <c r="I78" s="60"/>
    </row>
    <row r="79" spans="2:9" x14ac:dyDescent="0.35">
      <c r="B79" s="4"/>
      <c r="C79" s="111" t="s">
        <v>288</v>
      </c>
      <c r="D79" s="103" t="s">
        <v>119</v>
      </c>
      <c r="E79" s="103">
        <v>0.01</v>
      </c>
      <c r="F79" s="104"/>
      <c r="G79" s="105">
        <f t="shared" ref="G79:G84" si="4">IF(E79&gt;0,IF(F79/E79&lt;1,0,(F79/E79)),)</f>
        <v>0</v>
      </c>
      <c r="H79" s="106"/>
      <c r="I79" s="60"/>
    </row>
    <row r="80" spans="2:9" x14ac:dyDescent="0.35">
      <c r="B80" s="4"/>
      <c r="C80" s="111" t="s">
        <v>289</v>
      </c>
      <c r="D80" s="103" t="s">
        <v>119</v>
      </c>
      <c r="E80" s="103">
        <v>0.1</v>
      </c>
      <c r="F80" s="104"/>
      <c r="G80" s="105">
        <f t="shared" si="4"/>
        <v>0</v>
      </c>
      <c r="H80" s="106"/>
      <c r="I80" s="60"/>
    </row>
    <row r="81" spans="2:9" x14ac:dyDescent="0.35">
      <c r="B81" s="4"/>
      <c r="C81" s="111" t="s">
        <v>290</v>
      </c>
      <c r="D81" s="103" t="s">
        <v>119</v>
      </c>
      <c r="E81" s="103">
        <v>1</v>
      </c>
      <c r="F81" s="104"/>
      <c r="G81" s="105">
        <f t="shared" si="4"/>
        <v>0</v>
      </c>
      <c r="H81" s="106"/>
      <c r="I81" s="60"/>
    </row>
    <row r="82" spans="2:9" x14ac:dyDescent="0.35">
      <c r="B82" s="4"/>
      <c r="C82" s="111" t="s">
        <v>291</v>
      </c>
      <c r="D82" s="103" t="s">
        <v>119</v>
      </c>
      <c r="E82" s="103">
        <v>20</v>
      </c>
      <c r="F82" s="104"/>
      <c r="G82" s="105">
        <f t="shared" si="4"/>
        <v>0</v>
      </c>
      <c r="H82" s="106"/>
      <c r="I82" s="60"/>
    </row>
    <row r="83" spans="2:9" x14ac:dyDescent="0.35">
      <c r="B83" s="4"/>
      <c r="C83" s="111" t="s">
        <v>292</v>
      </c>
      <c r="D83" s="103" t="s">
        <v>119</v>
      </c>
      <c r="E83" s="103">
        <v>100</v>
      </c>
      <c r="F83" s="104"/>
      <c r="G83" s="105">
        <f t="shared" si="4"/>
        <v>0</v>
      </c>
      <c r="H83" s="106"/>
      <c r="I83" s="60"/>
    </row>
    <row r="84" spans="2:9" x14ac:dyDescent="0.35">
      <c r="B84" s="4"/>
      <c r="C84" s="111"/>
      <c r="D84" s="103" t="s">
        <v>119</v>
      </c>
      <c r="E84" s="103"/>
      <c r="F84" s="104"/>
      <c r="G84" s="105">
        <f t="shared" si="4"/>
        <v>0</v>
      </c>
      <c r="H84" s="106"/>
      <c r="I84" s="60"/>
    </row>
    <row r="85" spans="2:9" ht="35.25" customHeight="1" x14ac:dyDescent="0.35">
      <c r="B85" s="4"/>
      <c r="C85" s="874" t="s">
        <v>293</v>
      </c>
      <c r="D85" s="875"/>
      <c r="E85" s="875"/>
      <c r="F85" s="875"/>
      <c r="G85" s="875"/>
      <c r="H85" s="876"/>
      <c r="I85" s="60"/>
    </row>
    <row r="86" spans="2:9" x14ac:dyDescent="0.35">
      <c r="B86" s="4"/>
      <c r="C86" s="102" t="s">
        <v>212</v>
      </c>
      <c r="D86" s="103" t="s">
        <v>212</v>
      </c>
      <c r="E86" s="112" t="s">
        <v>212</v>
      </c>
      <c r="F86" s="104"/>
      <c r="G86" s="105">
        <v>0</v>
      </c>
      <c r="H86" s="106"/>
      <c r="I86" s="60"/>
    </row>
    <row r="87" spans="2:9" x14ac:dyDescent="0.35">
      <c r="B87" s="4"/>
      <c r="C87" s="102" t="s">
        <v>212</v>
      </c>
      <c r="D87" s="103" t="s">
        <v>212</v>
      </c>
      <c r="E87" s="112" t="s">
        <v>212</v>
      </c>
      <c r="F87" s="104"/>
      <c r="G87" s="105">
        <v>0</v>
      </c>
      <c r="H87" s="106"/>
      <c r="I87" s="60"/>
    </row>
    <row r="88" spans="2:9" x14ac:dyDescent="0.35">
      <c r="B88" s="4"/>
      <c r="C88" s="102" t="s">
        <v>212</v>
      </c>
      <c r="D88" s="103" t="s">
        <v>212</v>
      </c>
      <c r="E88" s="112" t="s">
        <v>212</v>
      </c>
      <c r="F88" s="104"/>
      <c r="G88" s="105">
        <v>0</v>
      </c>
      <c r="H88" s="106"/>
      <c r="I88" s="60"/>
    </row>
    <row r="89" spans="2:9" x14ac:dyDescent="0.35">
      <c r="B89" s="4"/>
      <c r="C89" s="102" t="s">
        <v>212</v>
      </c>
      <c r="D89" s="103" t="s">
        <v>212</v>
      </c>
      <c r="E89" s="112" t="s">
        <v>212</v>
      </c>
      <c r="F89" s="104"/>
      <c r="G89" s="105">
        <v>0</v>
      </c>
      <c r="H89" s="106"/>
      <c r="I89" s="60"/>
    </row>
    <row r="90" spans="2:9" x14ac:dyDescent="0.35">
      <c r="B90" s="4"/>
      <c r="C90" s="128"/>
      <c r="D90" s="129"/>
      <c r="E90" s="867" t="s">
        <v>103</v>
      </c>
      <c r="F90" s="868"/>
      <c r="G90" s="105">
        <f>SUM(G8:G89)</f>
        <v>0</v>
      </c>
      <c r="H90" s="130"/>
      <c r="I90" s="60"/>
    </row>
    <row r="91" spans="2:9" x14ac:dyDescent="0.35">
      <c r="B91" s="4"/>
      <c r="C91" s="56"/>
      <c r="D91" s="131"/>
      <c r="E91" s="132" t="s">
        <v>294</v>
      </c>
      <c r="F91" s="132"/>
      <c r="G91" s="133">
        <v>0.33</v>
      </c>
      <c r="H91" s="134" t="s">
        <v>295</v>
      </c>
      <c r="I91" s="60"/>
    </row>
    <row r="92" spans="2:9" x14ac:dyDescent="0.35">
      <c r="B92" s="412"/>
      <c r="C92" s="413"/>
      <c r="D92" s="142"/>
      <c r="E92" s="869" t="s">
        <v>296</v>
      </c>
      <c r="F92" s="870"/>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184150</xdr:rowOff>
                  </from>
                  <to>
                    <xdr:col>6</xdr:col>
                    <xdr:colOff>184150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29" workbookViewId="0">
      <selection activeCell="K48" sqref="K48"/>
    </sheetView>
  </sheetViews>
  <sheetFormatPr defaultRowHeight="14.5" x14ac:dyDescent="0.35"/>
  <cols>
    <col min="3" max="3" width="19.453125" customWidth="1"/>
    <col min="4" max="4" width="19.54296875" customWidth="1"/>
    <col min="5" max="5" width="11.453125" customWidth="1"/>
    <col min="6" max="6" width="10.81640625" customWidth="1"/>
    <col min="8" max="8" width="24.1796875" customWidth="1"/>
  </cols>
  <sheetData>
    <row r="2" spans="2:9" ht="15" thickBot="1" x14ac:dyDescent="0.4"/>
    <row r="3" spans="2:9" ht="18.5" thickBot="1" x14ac:dyDescent="0.4">
      <c r="B3" s="135"/>
      <c r="C3" s="880" t="s">
        <v>297</v>
      </c>
      <c r="D3" s="880"/>
      <c r="E3" s="880"/>
      <c r="F3" s="880"/>
      <c r="G3" s="880"/>
      <c r="H3" s="880"/>
      <c r="I3" s="136"/>
    </row>
    <row r="4" spans="2:9" x14ac:dyDescent="0.35">
      <c r="B4" s="4"/>
      <c r="C4" s="5"/>
      <c r="D4" s="5"/>
      <c r="E4" s="5"/>
      <c r="F4" s="5"/>
      <c r="G4" s="5"/>
      <c r="H4" s="51"/>
      <c r="I4" s="6"/>
    </row>
    <row r="5" spans="2:9" x14ac:dyDescent="0.35">
      <c r="B5" s="4"/>
      <c r="C5" s="12" t="s">
        <v>63</v>
      </c>
      <c r="D5" s="31" t="str">
        <f>+Introduction!E10</f>
        <v>Tradebe Healthcare National Limited</v>
      </c>
      <c r="E5" s="5"/>
      <c r="F5" s="850" t="s">
        <v>106</v>
      </c>
      <c r="G5" s="851"/>
      <c r="H5" s="861"/>
      <c r="I5" s="6"/>
    </row>
    <row r="6" spans="2:9" x14ac:dyDescent="0.35">
      <c r="B6" s="4"/>
      <c r="C6" s="12" t="s">
        <v>44</v>
      </c>
      <c r="D6" s="31" t="str">
        <f>+Introduction!K10</f>
        <v>EPR/WP3636ZG</v>
      </c>
      <c r="E6" s="5"/>
      <c r="F6" s="853"/>
      <c r="G6" s="854"/>
      <c r="H6" s="862"/>
      <c r="I6" s="6"/>
    </row>
    <row r="7" spans="2:9" x14ac:dyDescent="0.35">
      <c r="B7" s="4"/>
      <c r="C7" s="5"/>
      <c r="D7" s="5"/>
      <c r="E7" s="5"/>
      <c r="F7" s="5"/>
      <c r="G7" s="5"/>
      <c r="H7" s="51"/>
      <c r="I7" s="6"/>
    </row>
    <row r="8" spans="2:9" ht="26.5" x14ac:dyDescent="0.35">
      <c r="B8" s="4"/>
      <c r="C8" s="12" t="s">
        <v>108</v>
      </c>
      <c r="D8" s="12" t="s">
        <v>109</v>
      </c>
      <c r="E8" s="127" t="s">
        <v>110</v>
      </c>
      <c r="F8" s="127" t="s">
        <v>111</v>
      </c>
      <c r="G8" s="127" t="s">
        <v>112</v>
      </c>
      <c r="H8" s="127" t="s">
        <v>113</v>
      </c>
      <c r="I8" s="6"/>
    </row>
    <row r="9" spans="2:9" x14ac:dyDescent="0.35">
      <c r="B9" s="4"/>
      <c r="C9" s="97" t="s">
        <v>276</v>
      </c>
      <c r="D9" s="98" t="s">
        <v>277</v>
      </c>
      <c r="E9" s="98">
        <v>1000</v>
      </c>
      <c r="F9" s="104"/>
      <c r="G9" s="100">
        <f>IF(F9/E9&lt;1,0,(F9/E9))</f>
        <v>0</v>
      </c>
      <c r="H9" s="137"/>
      <c r="I9" s="6"/>
    </row>
    <row r="10" spans="2:9" ht="29" x14ac:dyDescent="0.35">
      <c r="B10" s="4"/>
      <c r="C10" s="108" t="s">
        <v>278</v>
      </c>
      <c r="D10" s="103" t="s">
        <v>277</v>
      </c>
      <c r="E10" s="103">
        <v>350</v>
      </c>
      <c r="F10" s="104">
        <v>1396.79</v>
      </c>
      <c r="G10" s="105">
        <f>IF(F10/E10&lt;1,0,(F10/E10))</f>
        <v>3.9908285714285712</v>
      </c>
      <c r="H10" s="125" t="s">
        <v>806</v>
      </c>
      <c r="I10" s="6"/>
    </row>
    <row r="11" spans="2:9" x14ac:dyDescent="0.35">
      <c r="B11" s="4"/>
      <c r="C11" s="102" t="s">
        <v>279</v>
      </c>
      <c r="D11" s="103" t="s">
        <v>277</v>
      </c>
      <c r="E11" s="103">
        <v>100</v>
      </c>
      <c r="F11" s="104"/>
      <c r="G11" s="105">
        <f>IF(F11/E11&lt;1,0,(F11/E11))</f>
        <v>0</v>
      </c>
      <c r="H11" s="125"/>
      <c r="I11" s="6"/>
    </row>
    <row r="12" spans="2:9" ht="29" x14ac:dyDescent="0.35">
      <c r="B12" s="4"/>
      <c r="C12" s="108" t="s">
        <v>280</v>
      </c>
      <c r="D12" s="103" t="s">
        <v>277</v>
      </c>
      <c r="E12" s="103">
        <v>100</v>
      </c>
      <c r="F12" s="104"/>
      <c r="G12" s="105">
        <f>IF(F12/E12&lt;1,0,(F12/E12))</f>
        <v>0</v>
      </c>
      <c r="H12" s="125"/>
      <c r="I12" s="6"/>
    </row>
    <row r="13" spans="2:9" x14ac:dyDescent="0.35">
      <c r="B13" s="4"/>
      <c r="C13" s="128"/>
      <c r="D13" s="129"/>
      <c r="E13" s="881" t="s">
        <v>103</v>
      </c>
      <c r="F13" s="882"/>
      <c r="G13" s="105">
        <f>SUM(G9:G12)</f>
        <v>3.9908285714285712</v>
      </c>
      <c r="H13" s="139"/>
      <c r="I13" s="6"/>
    </row>
    <row r="14" spans="2:9" x14ac:dyDescent="0.35">
      <c r="B14" s="4"/>
      <c r="C14" s="56"/>
      <c r="D14" s="131"/>
      <c r="E14" s="881" t="s">
        <v>294</v>
      </c>
      <c r="F14" s="882"/>
      <c r="G14" s="133">
        <v>0.33</v>
      </c>
      <c r="H14" s="140" t="s">
        <v>295</v>
      </c>
      <c r="I14" s="6"/>
    </row>
    <row r="15" spans="2:9" x14ac:dyDescent="0.35">
      <c r="B15" s="4"/>
      <c r="C15" s="141"/>
      <c r="D15" s="142"/>
      <c r="E15" s="883" t="s">
        <v>296</v>
      </c>
      <c r="F15" s="884"/>
      <c r="G15" s="115">
        <f>G13*G14</f>
        <v>1.3169734285714285</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77"/>
      <c r="C20" s="878"/>
      <c r="D20" s="878"/>
      <c r="E20" s="878"/>
      <c r="F20" s="878"/>
      <c r="G20" s="878"/>
      <c r="H20" s="878"/>
      <c r="I20" s="879"/>
    </row>
    <row r="21" spans="2:9" ht="15" thickBot="1" x14ac:dyDescent="0.4">
      <c r="H21" s="145"/>
    </row>
    <row r="22" spans="2:9" ht="18.5" thickBot="1" x14ac:dyDescent="0.4">
      <c r="B22" s="135"/>
      <c r="C22" s="880" t="s">
        <v>298</v>
      </c>
      <c r="D22" s="880"/>
      <c r="E22" s="880"/>
      <c r="F22" s="880"/>
      <c r="G22" s="880"/>
      <c r="H22" s="880"/>
      <c r="I22" s="136"/>
    </row>
    <row r="23" spans="2:9" x14ac:dyDescent="0.35">
      <c r="B23" s="4"/>
      <c r="C23" s="5"/>
      <c r="D23" s="5"/>
      <c r="E23" s="5"/>
      <c r="F23" s="5"/>
      <c r="G23" s="5"/>
      <c r="H23" s="51"/>
      <c r="I23" s="6"/>
    </row>
    <row r="24" spans="2:9" x14ac:dyDescent="0.35">
      <c r="B24" s="4"/>
      <c r="C24" s="12" t="s">
        <v>299</v>
      </c>
      <c r="D24" s="31" t="str">
        <f>D5</f>
        <v>Tradebe Healthcare National Limited</v>
      </c>
      <c r="E24" s="5"/>
      <c r="F24" s="850" t="s">
        <v>106</v>
      </c>
      <c r="G24" s="851"/>
      <c r="H24" s="861"/>
      <c r="I24" s="6"/>
    </row>
    <row r="25" spans="2:9" x14ac:dyDescent="0.35">
      <c r="B25" s="4"/>
      <c r="C25" s="12" t="s">
        <v>44</v>
      </c>
      <c r="D25" s="31" t="str">
        <f>D6</f>
        <v>EPR/WP3636ZG</v>
      </c>
      <c r="E25" s="5"/>
      <c r="F25" s="853"/>
      <c r="G25" s="854"/>
      <c r="H25" s="862"/>
      <c r="I25" s="6"/>
    </row>
    <row r="26" spans="2:9" x14ac:dyDescent="0.35">
      <c r="B26" s="4"/>
      <c r="C26" s="5"/>
      <c r="D26" s="5"/>
      <c r="E26" s="5"/>
      <c r="F26" s="5"/>
      <c r="G26" s="5"/>
      <c r="H26" s="51"/>
      <c r="I26" s="6"/>
    </row>
    <row r="27" spans="2:9" ht="26.5" x14ac:dyDescent="0.35">
      <c r="B27" s="4"/>
      <c r="C27" s="12" t="s">
        <v>108</v>
      </c>
      <c r="D27" s="12" t="s">
        <v>109</v>
      </c>
      <c r="E27" s="127" t="s">
        <v>110</v>
      </c>
      <c r="F27" s="127" t="s">
        <v>111</v>
      </c>
      <c r="G27" s="127" t="s">
        <v>112</v>
      </c>
      <c r="H27" s="127" t="s">
        <v>113</v>
      </c>
      <c r="I27" s="6"/>
    </row>
    <row r="28" spans="2:9" x14ac:dyDescent="0.35">
      <c r="B28" s="4"/>
      <c r="C28" s="97" t="s">
        <v>276</v>
      </c>
      <c r="D28" s="98" t="s">
        <v>277</v>
      </c>
      <c r="E28" s="98">
        <v>1000</v>
      </c>
      <c r="F28" s="99"/>
      <c r="G28" s="100">
        <f>IF(F28/E28&lt;1,0,(F28/E28))</f>
        <v>0</v>
      </c>
      <c r="H28" s="146"/>
      <c r="I28" s="6"/>
    </row>
    <row r="29" spans="2:9" ht="29" x14ac:dyDescent="0.35">
      <c r="B29" s="4"/>
      <c r="C29" s="108" t="s">
        <v>278</v>
      </c>
      <c r="D29" s="103" t="s">
        <v>277</v>
      </c>
      <c r="E29" s="103">
        <v>350</v>
      </c>
      <c r="F29" s="104"/>
      <c r="G29" s="105">
        <f>IF(F29/E29&lt;1,0,(F29/E29))</f>
        <v>0</v>
      </c>
      <c r="H29" s="138"/>
      <c r="I29" s="6"/>
    </row>
    <row r="30" spans="2:9" x14ac:dyDescent="0.35">
      <c r="B30" s="4"/>
      <c r="C30" s="102" t="s">
        <v>279</v>
      </c>
      <c r="D30" s="103" t="s">
        <v>277</v>
      </c>
      <c r="E30" s="103">
        <v>100</v>
      </c>
      <c r="F30" s="104"/>
      <c r="G30" s="105">
        <f>IF(F30/E30&lt;1,0,(F30/E30))</f>
        <v>0</v>
      </c>
      <c r="H30" s="138"/>
      <c r="I30" s="6"/>
    </row>
    <row r="31" spans="2:9" ht="29" x14ac:dyDescent="0.35">
      <c r="B31" s="4"/>
      <c r="C31" s="108" t="s">
        <v>280</v>
      </c>
      <c r="D31" s="103" t="s">
        <v>277</v>
      </c>
      <c r="E31" s="103">
        <v>100</v>
      </c>
      <c r="F31" s="104"/>
      <c r="G31" s="105">
        <f>IF(F31/E31&lt;1,0,(F31/E31))</f>
        <v>0</v>
      </c>
      <c r="H31" s="138"/>
      <c r="I31" s="6"/>
    </row>
    <row r="32" spans="2:9" x14ac:dyDescent="0.35">
      <c r="B32" s="4"/>
      <c r="C32" s="147"/>
      <c r="D32" s="129"/>
      <c r="E32" s="148"/>
      <c r="F32" s="109"/>
      <c r="G32" s="149"/>
      <c r="H32" s="139"/>
      <c r="I32" s="6"/>
    </row>
    <row r="33" spans="2:9" x14ac:dyDescent="0.35">
      <c r="B33" s="4"/>
      <c r="C33" s="56"/>
      <c r="D33" s="131"/>
      <c r="E33" s="881" t="s">
        <v>103</v>
      </c>
      <c r="F33" s="882"/>
      <c r="G33" s="105">
        <f>SUM(G28:G31)</f>
        <v>0</v>
      </c>
      <c r="H33" s="140"/>
      <c r="I33" s="6"/>
    </row>
    <row r="34" spans="2:9" x14ac:dyDescent="0.35">
      <c r="B34" s="4"/>
      <c r="C34" s="56"/>
      <c r="D34" s="131"/>
      <c r="E34" s="881" t="s">
        <v>294</v>
      </c>
      <c r="F34" s="882"/>
      <c r="G34" s="150">
        <v>0.1</v>
      </c>
      <c r="H34" s="140" t="s">
        <v>300</v>
      </c>
      <c r="I34" s="6"/>
    </row>
    <row r="35" spans="2:9" x14ac:dyDescent="0.35">
      <c r="B35" s="4"/>
      <c r="C35" s="141"/>
      <c r="D35" s="142"/>
      <c r="E35" s="883" t="s">
        <v>296</v>
      </c>
      <c r="F35" s="884"/>
      <c r="G35" s="115">
        <f>G33*G34</f>
        <v>0</v>
      </c>
      <c r="H35" s="143"/>
      <c r="I35" s="6"/>
    </row>
    <row r="36" spans="2:9" x14ac:dyDescent="0.35">
      <c r="B36" s="4"/>
      <c r="C36" s="151"/>
      <c r="D36" s="63"/>
      <c r="E36" s="152" t="s">
        <v>301</v>
      </c>
      <c r="F36" s="152"/>
      <c r="G36" s="153">
        <f>G15+G35</f>
        <v>1.3169734285714285</v>
      </c>
      <c r="H36" s="154"/>
      <c r="I36" s="6"/>
    </row>
    <row r="37" spans="2:9" ht="15" thickBot="1" x14ac:dyDescent="0.4">
      <c r="B37" s="8"/>
      <c r="C37" s="9"/>
      <c r="D37" s="9"/>
      <c r="E37" s="9"/>
      <c r="F37" s="9"/>
      <c r="G37" s="9"/>
      <c r="H37" s="144"/>
      <c r="I37" s="10"/>
    </row>
    <row r="38" spans="2:9" x14ac:dyDescent="0.35">
      <c r="H38" s="145"/>
    </row>
    <row r="39" spans="2:9" ht="27.75" customHeight="1" x14ac:dyDescent="0.35">
      <c r="B39" s="885" t="s">
        <v>302</v>
      </c>
      <c r="C39" s="886"/>
      <c r="D39" s="886"/>
      <c r="E39" s="886"/>
      <c r="F39" s="886"/>
      <c r="G39" s="886"/>
      <c r="H39" s="886"/>
      <c r="I39" s="887"/>
    </row>
    <row r="40" spans="2:9" ht="15" thickBot="1" x14ac:dyDescent="0.4">
      <c r="H40" s="145"/>
    </row>
    <row r="41" spans="2:9" ht="18.5" thickBot="1" x14ac:dyDescent="0.4">
      <c r="B41" s="135"/>
      <c r="C41" s="880" t="s">
        <v>303</v>
      </c>
      <c r="D41" s="880"/>
      <c r="E41" s="880"/>
      <c r="F41" s="880"/>
      <c r="G41" s="880"/>
      <c r="H41" s="880"/>
      <c r="I41" s="136"/>
    </row>
    <row r="42" spans="2:9" x14ac:dyDescent="0.35">
      <c r="B42" s="4"/>
      <c r="C42" s="5"/>
      <c r="D42" s="5"/>
      <c r="E42" s="5"/>
      <c r="F42" s="5"/>
      <c r="G42" s="5"/>
      <c r="H42" s="51"/>
      <c r="I42" s="6"/>
    </row>
    <row r="43" spans="2:9" x14ac:dyDescent="0.35">
      <c r="B43" s="4"/>
      <c r="C43" s="12" t="s">
        <v>299</v>
      </c>
      <c r="D43" s="31" t="str">
        <f>D24</f>
        <v>Tradebe Healthcare National Limited</v>
      </c>
      <c r="E43" s="5"/>
      <c r="F43" s="850" t="s">
        <v>106</v>
      </c>
      <c r="G43" s="851"/>
      <c r="H43" s="861"/>
      <c r="I43" s="6"/>
    </row>
    <row r="44" spans="2:9" x14ac:dyDescent="0.35">
      <c r="B44" s="4"/>
      <c r="C44" s="12" t="s">
        <v>44</v>
      </c>
      <c r="D44" s="31" t="str">
        <f>D25</f>
        <v>EPR/WP3636ZG</v>
      </c>
      <c r="E44" s="5"/>
      <c r="F44" s="853"/>
      <c r="G44" s="854"/>
      <c r="H44" s="862"/>
      <c r="I44" s="6"/>
    </row>
    <row r="45" spans="2:9" x14ac:dyDescent="0.35">
      <c r="B45" s="4"/>
      <c r="C45" s="5"/>
      <c r="D45" s="5"/>
      <c r="E45" s="5"/>
      <c r="F45" s="5"/>
      <c r="G45" s="5"/>
      <c r="H45" s="51"/>
      <c r="I45" s="6"/>
    </row>
    <row r="46" spans="2:9" ht="26.5" x14ac:dyDescent="0.35">
      <c r="B46" s="4"/>
      <c r="C46" s="12" t="s">
        <v>108</v>
      </c>
      <c r="D46" s="12" t="s">
        <v>109</v>
      </c>
      <c r="E46" s="127" t="s">
        <v>110</v>
      </c>
      <c r="F46" s="127" t="s">
        <v>111</v>
      </c>
      <c r="G46" s="127" t="s">
        <v>112</v>
      </c>
      <c r="H46" s="127" t="s">
        <v>113</v>
      </c>
      <c r="I46" s="6"/>
    </row>
    <row r="47" spans="2:9" x14ac:dyDescent="0.35">
      <c r="B47" s="4"/>
      <c r="C47" s="97" t="s">
        <v>276</v>
      </c>
      <c r="D47" s="98" t="s">
        <v>277</v>
      </c>
      <c r="E47" s="98">
        <v>1000</v>
      </c>
      <c r="F47" s="99"/>
      <c r="G47" s="100">
        <f>IF(F47/E47&lt;1,0,(F47/E47))</f>
        <v>0</v>
      </c>
      <c r="H47" s="146"/>
      <c r="I47" s="6"/>
    </row>
    <row r="48" spans="2:9" ht="29" x14ac:dyDescent="0.35">
      <c r="B48" s="4"/>
      <c r="C48" s="108" t="s">
        <v>278</v>
      </c>
      <c r="D48" s="103" t="s">
        <v>277</v>
      </c>
      <c r="E48" s="103">
        <v>750</v>
      </c>
      <c r="F48" s="104">
        <v>996</v>
      </c>
      <c r="G48" s="105">
        <f>IF(F48/E48&lt;1,0,(F48/E48))</f>
        <v>1.3280000000000001</v>
      </c>
      <c r="H48" s="125"/>
      <c r="I48" s="6"/>
    </row>
    <row r="49" spans="2:9" x14ac:dyDescent="0.35">
      <c r="B49" s="4"/>
      <c r="C49" s="102" t="s">
        <v>279</v>
      </c>
      <c r="D49" s="103" t="s">
        <v>277</v>
      </c>
      <c r="E49" s="103">
        <v>250</v>
      </c>
      <c r="F49" s="104">
        <v>417.8</v>
      </c>
      <c r="G49" s="105">
        <f>IF(F49/E49&lt;1,0,(F49/E49))</f>
        <v>1.6712</v>
      </c>
      <c r="H49" s="138"/>
      <c r="I49" s="6"/>
    </row>
    <row r="50" spans="2:9" ht="29" x14ac:dyDescent="0.35">
      <c r="B50" s="4"/>
      <c r="C50" s="108" t="s">
        <v>280</v>
      </c>
      <c r="D50" s="103" t="s">
        <v>277</v>
      </c>
      <c r="E50" s="103">
        <v>500</v>
      </c>
      <c r="F50" s="104"/>
      <c r="G50" s="105">
        <f>IF(F50/E50&lt;1,0,(F50/E50))</f>
        <v>0</v>
      </c>
      <c r="H50" s="138"/>
      <c r="I50" s="6"/>
    </row>
    <row r="51" spans="2:9" x14ac:dyDescent="0.35">
      <c r="B51" s="4"/>
      <c r="C51" s="147"/>
      <c r="D51" s="129"/>
      <c r="E51" s="148"/>
      <c r="F51" s="109"/>
      <c r="G51" s="149"/>
      <c r="H51" s="139"/>
      <c r="I51" s="6"/>
    </row>
    <row r="52" spans="2:9" x14ac:dyDescent="0.35">
      <c r="B52" s="4"/>
      <c r="C52" s="151"/>
      <c r="D52" s="63"/>
      <c r="E52" s="26" t="s">
        <v>304</v>
      </c>
      <c r="F52" s="152"/>
      <c r="G52" s="153">
        <f>SUM(G47:G50)</f>
        <v>2.9992000000000001</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K0zy/+Uf8Mp5bsLi8DHdtpv4e9dm/srWtXkXo3KJS0cdOqzfqrTArNhY8vMBpyQyLxOsDO6cNbay5gydmYrXNg==" saltValue="ll/cwtDSCq+Qzt/6kpxexQ=="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4.5" x14ac:dyDescent="0.35"/>
  <cols>
    <col min="3" max="3" width="19" customWidth="1"/>
    <col min="4" max="4" width="17.1796875" customWidth="1"/>
  </cols>
  <sheetData>
    <row r="3" spans="2:13" ht="15" thickBot="1" x14ac:dyDescent="0.4"/>
    <row r="4" spans="2:13" ht="18.5" thickBot="1" x14ac:dyDescent="0.4">
      <c r="B4" s="848" t="s">
        <v>305</v>
      </c>
      <c r="C4" s="836"/>
      <c r="D4" s="836"/>
      <c r="E4" s="836"/>
      <c r="F4" s="836"/>
      <c r="G4" s="836"/>
      <c r="H4" s="836"/>
      <c r="I4" s="836"/>
      <c r="J4" s="836"/>
      <c r="K4" s="836"/>
      <c r="L4" s="836"/>
      <c r="M4" s="849"/>
    </row>
    <row r="5" spans="2:13" x14ac:dyDescent="0.35">
      <c r="B5" s="4"/>
      <c r="C5" s="5"/>
      <c r="D5" s="5"/>
      <c r="E5" s="5"/>
      <c r="F5" s="5"/>
      <c r="G5" s="5"/>
      <c r="H5" s="5"/>
      <c r="I5" s="5"/>
      <c r="J5" s="5"/>
      <c r="K5" s="5"/>
      <c r="L5" s="5"/>
      <c r="M5" s="6"/>
    </row>
    <row r="6" spans="2:13" x14ac:dyDescent="0.35">
      <c r="B6" s="4"/>
      <c r="C6" s="12" t="s">
        <v>74</v>
      </c>
      <c r="D6" s="816" t="str">
        <f>+Introduction!E10</f>
        <v>Tradebe Healthcare National Limited</v>
      </c>
      <c r="E6" s="816"/>
      <c r="F6" s="5"/>
      <c r="G6" s="5"/>
      <c r="H6" s="5"/>
      <c r="I6" s="5"/>
      <c r="J6" s="5"/>
      <c r="K6" s="5"/>
      <c r="L6" s="5"/>
      <c r="M6" s="6"/>
    </row>
    <row r="7" spans="2:13" x14ac:dyDescent="0.35">
      <c r="B7" s="4"/>
      <c r="C7" s="12" t="s">
        <v>44</v>
      </c>
      <c r="D7" s="816" t="str">
        <f>+Introduction!K10</f>
        <v>EPR/WP3636ZG</v>
      </c>
      <c r="E7" s="816"/>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306</v>
      </c>
      <c r="D9" s="15" t="s">
        <v>307</v>
      </c>
      <c r="E9" s="5"/>
      <c r="F9" s="5"/>
      <c r="G9" s="5"/>
      <c r="H9" s="5"/>
      <c r="I9" s="5"/>
      <c r="J9" s="5"/>
      <c r="K9" s="5"/>
      <c r="L9" s="5"/>
      <c r="M9" s="6"/>
    </row>
    <row r="10" spans="2:13" x14ac:dyDescent="0.35">
      <c r="B10" s="4"/>
      <c r="C10" s="34" t="s">
        <v>308</v>
      </c>
      <c r="D10" s="161">
        <f>ROUND('4 Air'!G129,0)</f>
        <v>0</v>
      </c>
      <c r="E10" s="157"/>
      <c r="F10" s="5"/>
      <c r="G10" s="5"/>
      <c r="H10" s="5"/>
      <c r="I10" s="5"/>
      <c r="J10" s="5"/>
      <c r="K10" s="5"/>
      <c r="L10" s="5"/>
      <c r="M10" s="6"/>
    </row>
    <row r="11" spans="2:13" x14ac:dyDescent="0.35">
      <c r="B11" s="4"/>
      <c r="C11" s="34" t="s">
        <v>309</v>
      </c>
      <c r="D11" s="161">
        <f>ROUND('5 Water'!F91,0)</f>
        <v>0</v>
      </c>
      <c r="E11" s="5"/>
      <c r="F11" s="5"/>
      <c r="G11" s="5"/>
      <c r="H11" s="5"/>
      <c r="I11" s="5"/>
      <c r="J11" s="5"/>
      <c r="K11" s="5"/>
      <c r="L11" s="5"/>
      <c r="M11" s="6"/>
    </row>
    <row r="12" spans="2:13" x14ac:dyDescent="0.35">
      <c r="B12" s="4"/>
      <c r="C12" s="34" t="s">
        <v>310</v>
      </c>
      <c r="D12" s="161">
        <f>ROUND('6 Land'!G14,0)</f>
        <v>0</v>
      </c>
      <c r="E12" s="5"/>
      <c r="F12" s="5"/>
      <c r="G12" s="5"/>
      <c r="H12" s="5"/>
      <c r="I12" s="5"/>
      <c r="J12" s="5"/>
      <c r="K12" s="5"/>
      <c r="L12" s="5"/>
      <c r="M12" s="6"/>
    </row>
    <row r="13" spans="2:13" x14ac:dyDescent="0.35">
      <c r="B13" s="4"/>
      <c r="C13" s="34" t="s">
        <v>311</v>
      </c>
      <c r="D13" s="161">
        <f>ROUND('7 Sewer'!G92,0)</f>
        <v>0</v>
      </c>
      <c r="E13" s="5"/>
      <c r="F13" s="5"/>
      <c r="G13" s="5"/>
      <c r="H13" s="5"/>
      <c r="I13" s="5"/>
      <c r="J13" s="5"/>
      <c r="K13" s="5"/>
      <c r="L13" s="5"/>
      <c r="M13" s="6"/>
    </row>
    <row r="14" spans="2:13" x14ac:dyDescent="0.35">
      <c r="B14" s="4"/>
      <c r="C14" s="34" t="s">
        <v>312</v>
      </c>
      <c r="D14" s="161">
        <f>ROUND('8 Waste'!G36,0)</f>
        <v>1</v>
      </c>
      <c r="E14" s="5"/>
      <c r="F14" s="5"/>
      <c r="G14" s="5"/>
      <c r="H14" s="5"/>
      <c r="I14" s="5"/>
      <c r="J14" s="5"/>
      <c r="K14" s="5"/>
      <c r="L14" s="5"/>
      <c r="M14" s="6"/>
    </row>
    <row r="15" spans="2:13" x14ac:dyDescent="0.35">
      <c r="B15" s="4"/>
      <c r="C15" s="34" t="s">
        <v>313</v>
      </c>
      <c r="D15" s="161">
        <f>ROUND('8 Waste'!G52,0)</f>
        <v>3</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314</v>
      </c>
      <c r="D23" s="888" t="s">
        <v>315</v>
      </c>
      <c r="E23" s="888"/>
      <c r="F23" s="5"/>
      <c r="G23" s="5"/>
      <c r="H23" s="5"/>
      <c r="I23" s="5"/>
      <c r="J23" s="5"/>
      <c r="K23" s="5"/>
      <c r="L23" s="5"/>
      <c r="M23" s="6"/>
    </row>
    <row r="24" spans="2:13" x14ac:dyDescent="0.35">
      <c r="B24" s="4"/>
      <c r="C24" s="34" t="s">
        <v>308</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35">
      <c r="B25" s="4"/>
      <c r="C25" s="34" t="s">
        <v>309</v>
      </c>
      <c r="D25" s="46">
        <f t="shared" si="0"/>
        <v>0</v>
      </c>
      <c r="E25" s="35" t="str">
        <f t="shared" si="1"/>
        <v>-</v>
      </c>
      <c r="F25" s="5"/>
      <c r="G25" s="5"/>
      <c r="H25" s="5"/>
      <c r="I25" s="5"/>
      <c r="J25" s="5"/>
      <c r="K25" s="5"/>
      <c r="L25" s="5"/>
      <c r="M25" s="6"/>
    </row>
    <row r="26" spans="2:13" x14ac:dyDescent="0.35">
      <c r="B26" s="4"/>
      <c r="C26" s="34" t="s">
        <v>310</v>
      </c>
      <c r="D26" s="46">
        <f t="shared" si="0"/>
        <v>0</v>
      </c>
      <c r="E26" s="35" t="str">
        <f t="shared" si="1"/>
        <v>-</v>
      </c>
      <c r="F26" s="5"/>
      <c r="G26" s="5"/>
      <c r="H26" s="5"/>
      <c r="I26" s="5"/>
      <c r="J26" s="5"/>
      <c r="K26" s="5"/>
      <c r="L26" s="5"/>
      <c r="M26" s="6"/>
    </row>
    <row r="27" spans="2:13" x14ac:dyDescent="0.35">
      <c r="B27" s="4"/>
      <c r="C27" s="34" t="s">
        <v>311</v>
      </c>
      <c r="D27" s="46">
        <f t="shared" si="0"/>
        <v>0</v>
      </c>
      <c r="E27" s="35" t="str">
        <f t="shared" si="1"/>
        <v>-</v>
      </c>
      <c r="F27" s="5"/>
      <c r="G27" s="5"/>
      <c r="H27" s="5"/>
      <c r="I27" s="5"/>
      <c r="J27" s="5"/>
      <c r="K27" s="5"/>
      <c r="L27" s="5"/>
      <c r="M27" s="6"/>
    </row>
    <row r="28" spans="2:13" x14ac:dyDescent="0.35">
      <c r="B28" s="4"/>
      <c r="C28" s="34" t="s">
        <v>312</v>
      </c>
      <c r="D28" s="46">
        <f t="shared" si="0"/>
        <v>1</v>
      </c>
      <c r="E28" s="35" t="str">
        <f t="shared" si="1"/>
        <v>A</v>
      </c>
      <c r="F28" s="5"/>
      <c r="G28" s="5"/>
      <c r="H28" s="5"/>
      <c r="I28" s="5"/>
      <c r="J28" s="5"/>
      <c r="K28" s="5"/>
      <c r="L28" s="5"/>
      <c r="M28" s="6"/>
    </row>
    <row r="29" spans="2:13" x14ac:dyDescent="0.35">
      <c r="B29" s="4"/>
      <c r="C29" s="34" t="s">
        <v>313</v>
      </c>
      <c r="D29" s="46">
        <f t="shared" si="0"/>
        <v>1</v>
      </c>
      <c r="E29" s="35" t="str">
        <f t="shared" si="1"/>
        <v>A</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33" workbookViewId="0">
      <selection activeCell="D40" sqref="D40"/>
    </sheetView>
  </sheetViews>
  <sheetFormatPr defaultColWidth="9.1796875" defaultRowHeight="14.5" x14ac:dyDescent="0.35"/>
  <cols>
    <col min="1" max="2" width="9.1796875" style="326"/>
    <col min="3" max="3" width="68.54296875" style="326" customWidth="1"/>
    <col min="4" max="4" width="10.81640625" style="326" customWidth="1"/>
    <col min="5" max="6" width="9.1796875" style="326"/>
    <col min="7" max="7" width="14" style="326" customWidth="1"/>
    <col min="8" max="16384" width="9.1796875" style="326"/>
  </cols>
  <sheetData>
    <row r="2" spans="2:7" ht="15" thickBot="1" x14ac:dyDescent="0.4"/>
    <row r="3" spans="2:7" ht="18.5" thickBot="1" x14ac:dyDescent="0.45">
      <c r="B3" s="895" t="s">
        <v>316</v>
      </c>
      <c r="C3" s="896"/>
      <c r="D3" s="896"/>
      <c r="E3" s="896"/>
      <c r="F3" s="896"/>
      <c r="G3" s="897"/>
    </row>
    <row r="4" spans="2:7" x14ac:dyDescent="0.35">
      <c r="B4" s="267"/>
      <c r="C4" s="538"/>
      <c r="D4" s="268"/>
      <c r="E4" s="268"/>
      <c r="F4" s="268"/>
      <c r="G4" s="472"/>
    </row>
    <row r="5" spans="2:7" x14ac:dyDescent="0.35">
      <c r="B5" s="270"/>
      <c r="C5" s="327" t="s">
        <v>63</v>
      </c>
      <c r="D5" s="898" t="str">
        <f>+Introduction!E10</f>
        <v>Tradebe Healthcare National Limited</v>
      </c>
      <c r="E5" s="898"/>
      <c r="F5" s="898"/>
      <c r="G5" s="36"/>
    </row>
    <row r="6" spans="2:7" x14ac:dyDescent="0.35">
      <c r="B6" s="270"/>
      <c r="C6" s="327" t="s">
        <v>44</v>
      </c>
      <c r="D6" s="898" t="str">
        <f>+Introduction!K10</f>
        <v>EPR/WP3636ZG</v>
      </c>
      <c r="E6" s="898"/>
      <c r="F6" s="898"/>
      <c r="G6" s="36"/>
    </row>
    <row r="7" spans="2:7" x14ac:dyDescent="0.35">
      <c r="B7" s="270"/>
      <c r="C7" s="17"/>
      <c r="D7" s="17"/>
      <c r="E7" s="17"/>
      <c r="F7" s="17"/>
      <c r="G7" s="36"/>
    </row>
    <row r="8" spans="2:7" x14ac:dyDescent="0.35">
      <c r="B8" s="270"/>
      <c r="C8" s="327" t="s">
        <v>317</v>
      </c>
      <c r="D8" s="327" t="s">
        <v>318</v>
      </c>
      <c r="E8" s="327" t="s">
        <v>319</v>
      </c>
      <c r="F8" s="327" t="s">
        <v>320</v>
      </c>
      <c r="G8" s="36"/>
    </row>
    <row r="9" spans="2:7" x14ac:dyDescent="0.35">
      <c r="B9" s="270"/>
      <c r="C9" s="328" t="s">
        <v>321</v>
      </c>
      <c r="D9" s="329"/>
      <c r="E9" s="330"/>
      <c r="F9" s="899">
        <f>IF(D10="Yes",5,(IF(D12="yes",3,(IF(D14="Yes",1,0)))))</f>
        <v>5</v>
      </c>
      <c r="G9" s="36"/>
    </row>
    <row r="10" spans="2:7" x14ac:dyDescent="0.35">
      <c r="B10" s="270"/>
      <c r="C10" s="331" t="s">
        <v>322</v>
      </c>
      <c r="D10" s="480" t="s">
        <v>420</v>
      </c>
      <c r="E10" s="332">
        <v>5</v>
      </c>
      <c r="F10" s="900"/>
      <c r="G10" s="36"/>
    </row>
    <row r="11" spans="2:7" x14ac:dyDescent="0.35">
      <c r="B11" s="270"/>
      <c r="C11" s="333" t="s">
        <v>323</v>
      </c>
      <c r="D11" s="539"/>
      <c r="E11" s="334"/>
      <c r="F11" s="900"/>
      <c r="G11" s="36"/>
    </row>
    <row r="12" spans="2:7" x14ac:dyDescent="0.35">
      <c r="B12" s="270"/>
      <c r="C12" s="331" t="s">
        <v>324</v>
      </c>
      <c r="D12" s="480" t="s">
        <v>96</v>
      </c>
      <c r="E12" s="334">
        <v>3</v>
      </c>
      <c r="F12" s="900"/>
      <c r="G12" s="36"/>
    </row>
    <row r="13" spans="2:7" x14ac:dyDescent="0.35">
      <c r="B13" s="270"/>
      <c r="C13" s="333" t="s">
        <v>325</v>
      </c>
      <c r="D13" s="335"/>
      <c r="E13" s="334"/>
      <c r="F13" s="900"/>
      <c r="G13" s="36"/>
    </row>
    <row r="14" spans="2:7" x14ac:dyDescent="0.35">
      <c r="B14" s="270"/>
      <c r="C14" s="336" t="s">
        <v>326</v>
      </c>
      <c r="D14" s="480" t="s">
        <v>96</v>
      </c>
      <c r="E14" s="337">
        <v>1</v>
      </c>
      <c r="F14" s="901"/>
      <c r="G14" s="36"/>
    </row>
    <row r="15" spans="2:7" ht="63.75" customHeight="1" x14ac:dyDescent="0.35">
      <c r="B15" s="270"/>
      <c r="C15" s="500" t="s">
        <v>327</v>
      </c>
      <c r="D15" s="338"/>
      <c r="E15" s="330"/>
      <c r="F15" s="899">
        <f>IF(D16="yes",3,(IF(D18="Yes",2,0)))</f>
        <v>0</v>
      </c>
      <c r="G15" s="36"/>
    </row>
    <row r="16" spans="2:7" x14ac:dyDescent="0.35">
      <c r="B16" s="270"/>
      <c r="C16" s="339" t="s">
        <v>328</v>
      </c>
      <c r="D16" s="480" t="s">
        <v>96</v>
      </c>
      <c r="E16" s="332">
        <v>3</v>
      </c>
      <c r="F16" s="900"/>
      <c r="G16" s="36"/>
    </row>
    <row r="17" spans="2:8" x14ac:dyDescent="0.35">
      <c r="B17" s="270"/>
      <c r="C17" s="333" t="s">
        <v>329</v>
      </c>
      <c r="D17" s="539"/>
      <c r="E17" s="334"/>
      <c r="F17" s="900"/>
      <c r="G17" s="36"/>
    </row>
    <row r="18" spans="2:8" x14ac:dyDescent="0.35">
      <c r="B18" s="270"/>
      <c r="C18" s="340" t="s">
        <v>330</v>
      </c>
      <c r="D18" s="481" t="s">
        <v>96</v>
      </c>
      <c r="E18" s="341">
        <v>2</v>
      </c>
      <c r="F18" s="901"/>
      <c r="G18" s="36"/>
    </row>
    <row r="19" spans="2:8" x14ac:dyDescent="0.35">
      <c r="B19" s="270"/>
      <c r="C19" s="342" t="s">
        <v>331</v>
      </c>
      <c r="D19" s="483" t="s">
        <v>96</v>
      </c>
      <c r="E19" s="343">
        <v>2</v>
      </c>
      <c r="F19" s="899">
        <f>IF(D19="yes",2,(IF(D21="Yes",1,0)))</f>
        <v>1</v>
      </c>
      <c r="G19" s="36"/>
    </row>
    <row r="20" spans="2:8" x14ac:dyDescent="0.35">
      <c r="B20" s="270"/>
      <c r="C20" s="333" t="s">
        <v>329</v>
      </c>
      <c r="D20" s="335"/>
      <c r="E20" s="539"/>
      <c r="F20" s="900"/>
      <c r="G20" s="36"/>
    </row>
    <row r="21" spans="2:8" x14ac:dyDescent="0.35">
      <c r="B21" s="270"/>
      <c r="C21" s="344" t="s">
        <v>332</v>
      </c>
      <c r="D21" s="480" t="s">
        <v>420</v>
      </c>
      <c r="E21" s="539">
        <v>1</v>
      </c>
      <c r="F21" s="900"/>
      <c r="G21" s="36"/>
    </row>
    <row r="22" spans="2:8" x14ac:dyDescent="0.35">
      <c r="B22" s="270"/>
      <c r="C22" s="345"/>
      <c r="D22" s="341"/>
      <c r="E22" s="341"/>
      <c r="F22" s="499"/>
      <c r="G22" s="36"/>
    </row>
    <row r="23" spans="2:8" ht="48.75" customHeight="1" x14ac:dyDescent="0.35">
      <c r="B23" s="270"/>
      <c r="C23" s="346" t="s">
        <v>333</v>
      </c>
      <c r="D23" s="904" t="s">
        <v>801</v>
      </c>
      <c r="E23" s="905"/>
      <c r="F23" s="899">
        <f>IF(D26="Yes",3,(IF(D25="yes",2,(IF(D24="Yes",1,0)))))</f>
        <v>2</v>
      </c>
      <c r="G23" s="36"/>
    </row>
    <row r="24" spans="2:8" x14ac:dyDescent="0.35">
      <c r="B24" s="270"/>
      <c r="C24" s="339" t="s">
        <v>334</v>
      </c>
      <c r="D24" s="480" t="s">
        <v>96</v>
      </c>
      <c r="E24" s="539">
        <v>1</v>
      </c>
      <c r="F24" s="900"/>
      <c r="G24" s="36"/>
      <c r="H24" s="537"/>
    </row>
    <row r="25" spans="2:8" x14ac:dyDescent="0.35">
      <c r="B25" s="270"/>
      <c r="C25" s="339" t="s">
        <v>335</v>
      </c>
      <c r="D25" s="480" t="s">
        <v>420</v>
      </c>
      <c r="E25" s="539">
        <v>2</v>
      </c>
      <c r="F25" s="900"/>
      <c r="G25" s="36"/>
      <c r="H25" s="537"/>
    </row>
    <row r="26" spans="2:8" x14ac:dyDescent="0.35">
      <c r="B26" s="270"/>
      <c r="C26" s="339" t="s">
        <v>336</v>
      </c>
      <c r="D26" s="480" t="s">
        <v>96</v>
      </c>
      <c r="E26" s="337">
        <v>3</v>
      </c>
      <c r="F26" s="901"/>
      <c r="G26" s="36"/>
      <c r="H26" s="537"/>
    </row>
    <row r="27" spans="2:8" x14ac:dyDescent="0.35">
      <c r="B27" s="270"/>
      <c r="C27" s="902" t="s">
        <v>337</v>
      </c>
      <c r="D27" s="329"/>
      <c r="E27" s="334"/>
      <c r="F27" s="899">
        <f>IF(D28="yes",2,(IF(D30="Yes",1,0)))</f>
        <v>1</v>
      </c>
      <c r="G27" s="36"/>
      <c r="H27" s="537"/>
    </row>
    <row r="28" spans="2:8" x14ac:dyDescent="0.35">
      <c r="B28" s="270"/>
      <c r="C28" s="903"/>
      <c r="D28" s="480" t="s">
        <v>96</v>
      </c>
      <c r="E28" s="332">
        <v>2</v>
      </c>
      <c r="F28" s="900"/>
      <c r="G28" s="36"/>
      <c r="H28" s="537"/>
    </row>
    <row r="29" spans="2:8" x14ac:dyDescent="0.35">
      <c r="B29" s="270"/>
      <c r="C29" s="333" t="s">
        <v>329</v>
      </c>
      <c r="D29" s="335"/>
      <c r="E29" s="334"/>
      <c r="F29" s="900"/>
      <c r="G29" s="36"/>
    </row>
    <row r="30" spans="2:8" x14ac:dyDescent="0.35">
      <c r="B30" s="270"/>
      <c r="C30" s="347" t="s">
        <v>338</v>
      </c>
      <c r="D30" s="481" t="s">
        <v>420</v>
      </c>
      <c r="E30" s="337">
        <v>1</v>
      </c>
      <c r="F30" s="900"/>
      <c r="G30" s="36"/>
    </row>
    <row r="31" spans="2:8" x14ac:dyDescent="0.35">
      <c r="B31" s="270"/>
      <c r="C31" s="344"/>
      <c r="D31" s="348"/>
      <c r="E31" s="349"/>
      <c r="F31" s="325"/>
      <c r="G31" s="36"/>
    </row>
    <row r="32" spans="2:8" ht="14.25" customHeight="1" x14ac:dyDescent="0.35">
      <c r="B32" s="270"/>
      <c r="C32" s="350" t="s">
        <v>339</v>
      </c>
      <c r="D32" s="351"/>
      <c r="E32" s="334"/>
      <c r="F32" s="900">
        <f>IF(D33="Yes",3,(IF(D36="yes",2,(IF(D38="Yes",1,0)))))</f>
        <v>0</v>
      </c>
      <c r="G32" s="36"/>
    </row>
    <row r="33" spans="2:7" x14ac:dyDescent="0.35">
      <c r="B33" s="270"/>
      <c r="C33" s="352" t="s">
        <v>340</v>
      </c>
      <c r="D33" s="480" t="s">
        <v>96</v>
      </c>
      <c r="E33" s="332">
        <v>3</v>
      </c>
      <c r="F33" s="900"/>
      <c r="G33" s="36"/>
    </row>
    <row r="34" spans="2:7" x14ac:dyDescent="0.35">
      <c r="B34" s="270"/>
      <c r="C34" s="333" t="s">
        <v>329</v>
      </c>
      <c r="D34" s="353"/>
      <c r="E34" s="334"/>
      <c r="F34" s="900"/>
      <c r="G34" s="36"/>
    </row>
    <row r="35" spans="2:7" x14ac:dyDescent="0.35">
      <c r="B35" s="270"/>
      <c r="C35" s="354" t="s">
        <v>341</v>
      </c>
      <c r="D35" s="351"/>
      <c r="E35" s="334"/>
      <c r="F35" s="900"/>
      <c r="G35" s="36"/>
    </row>
    <row r="36" spans="2:7" x14ac:dyDescent="0.35">
      <c r="B36" s="270"/>
      <c r="C36" s="352" t="s">
        <v>340</v>
      </c>
      <c r="D36" s="480" t="s">
        <v>96</v>
      </c>
      <c r="E36" s="332">
        <v>2</v>
      </c>
      <c r="F36" s="900">
        <v>0</v>
      </c>
      <c r="G36" s="36"/>
    </row>
    <row r="37" spans="2:7" x14ac:dyDescent="0.35">
      <c r="B37" s="270"/>
      <c r="C37" s="333" t="s">
        <v>329</v>
      </c>
      <c r="D37" s="335"/>
      <c r="E37" s="334"/>
      <c r="F37" s="900"/>
      <c r="G37" s="36"/>
    </row>
    <row r="38" spans="2:7" ht="17.25" customHeight="1" x14ac:dyDescent="0.35">
      <c r="B38" s="270"/>
      <c r="C38" s="355" t="s">
        <v>342</v>
      </c>
      <c r="D38" s="480" t="s">
        <v>96</v>
      </c>
      <c r="E38" s="332">
        <v>1</v>
      </c>
      <c r="F38" s="900"/>
      <c r="G38" s="36"/>
    </row>
    <row r="39" spans="2:7" x14ac:dyDescent="0.35">
      <c r="B39" s="270"/>
      <c r="C39" s="352" t="s">
        <v>343</v>
      </c>
      <c r="D39" s="353"/>
      <c r="E39" s="334"/>
      <c r="F39" s="901"/>
      <c r="G39" s="36"/>
    </row>
    <row r="40" spans="2:7" x14ac:dyDescent="0.35">
      <c r="B40" s="270"/>
      <c r="C40" s="356" t="s">
        <v>344</v>
      </c>
      <c r="D40" s="482" t="s">
        <v>96</v>
      </c>
      <c r="E40" s="357">
        <v>2</v>
      </c>
      <c r="F40" s="162">
        <f>IF(D40="Yes",2,0)</f>
        <v>0</v>
      </c>
      <c r="G40" s="36"/>
    </row>
    <row r="41" spans="2:7" x14ac:dyDescent="0.35">
      <c r="B41" s="270"/>
      <c r="C41" s="889" t="s">
        <v>345</v>
      </c>
      <c r="D41" s="891" t="s">
        <v>103</v>
      </c>
      <c r="E41" s="892"/>
      <c r="F41" s="163">
        <f>SUM(F9:F40)</f>
        <v>9</v>
      </c>
      <c r="G41" s="36"/>
    </row>
    <row r="42" spans="2:7" x14ac:dyDescent="0.35">
      <c r="B42" s="270"/>
      <c r="C42" s="890"/>
      <c r="D42" s="893" t="s">
        <v>315</v>
      </c>
      <c r="E42" s="894"/>
      <c r="F42" s="164" t="str">
        <f>IF(F41&gt;17,"E",(IF(F41&gt;12,"D",(IF(F41&gt;8,"C",(IF(F41&gt;4,"B","A")))))))</f>
        <v>C</v>
      </c>
      <c r="G42" s="36"/>
    </row>
    <row r="43" spans="2:7" x14ac:dyDescent="0.35">
      <c r="B43" s="270"/>
      <c r="C43" s="17"/>
      <c r="D43" s="17"/>
      <c r="E43" s="17"/>
      <c r="F43" s="17"/>
      <c r="G43" s="36"/>
    </row>
    <row r="44" spans="2:7" x14ac:dyDescent="0.35">
      <c r="B44" s="270"/>
      <c r="C44" s="358" t="s">
        <v>346</v>
      </c>
      <c r="D44" s="358" t="s">
        <v>92</v>
      </c>
      <c r="E44" s="17"/>
      <c r="F44" s="17"/>
      <c r="G44" s="36"/>
    </row>
    <row r="45" spans="2:7" x14ac:dyDescent="0.35">
      <c r="B45" s="270"/>
      <c r="C45" s="359" t="s">
        <v>347</v>
      </c>
      <c r="D45" s="359" t="str">
        <f>IF(AND(D10=0,D12=0,D14=0),"Incomplete","Complete")</f>
        <v>Complete</v>
      </c>
      <c r="E45" s="17"/>
      <c r="F45" s="17"/>
      <c r="G45" s="36"/>
    </row>
    <row r="46" spans="2:7" x14ac:dyDescent="0.35">
      <c r="B46" s="270"/>
      <c r="C46" s="359" t="s">
        <v>348</v>
      </c>
      <c r="D46" s="359" t="str">
        <f>IF(AND(D16=0,D18=0),"Incomplete","Complete")</f>
        <v>Complete</v>
      </c>
      <c r="E46" s="17"/>
      <c r="F46" s="17"/>
      <c r="G46" s="36"/>
    </row>
    <row r="47" spans="2:7" x14ac:dyDescent="0.35">
      <c r="B47" s="270"/>
      <c r="C47" s="359" t="s">
        <v>349</v>
      </c>
      <c r="D47" s="359" t="str">
        <f>IF(AND(D19=0,D21=0),"Incomplete","Complete")</f>
        <v>Complete</v>
      </c>
      <c r="E47" s="17"/>
      <c r="F47" s="17"/>
      <c r="G47" s="36"/>
    </row>
    <row r="48" spans="2:7" x14ac:dyDescent="0.35">
      <c r="B48" s="270"/>
      <c r="C48" s="359" t="s">
        <v>350</v>
      </c>
      <c r="D48" s="359" t="str">
        <f>IF(AND(D24=0,D25=0,D26=0),"Incomplete","Complete")</f>
        <v>Complete</v>
      </c>
      <c r="E48" s="17"/>
      <c r="F48" s="17"/>
      <c r="G48" s="36"/>
    </row>
    <row r="49" spans="2:7" x14ac:dyDescent="0.35">
      <c r="B49" s="270"/>
      <c r="C49" s="359" t="s">
        <v>351</v>
      </c>
      <c r="D49" s="359" t="str">
        <f>IF(AND(D28=0,D30=0),"Incomplete","Complete")</f>
        <v>Complete</v>
      </c>
      <c r="E49" s="17"/>
      <c r="F49" s="17"/>
      <c r="G49" s="36"/>
    </row>
    <row r="50" spans="2:7" x14ac:dyDescent="0.35">
      <c r="B50" s="270"/>
      <c r="C50" s="359" t="s">
        <v>352</v>
      </c>
      <c r="D50" s="359" t="str">
        <f>IF(AND(D33=0,D36=0,D38=0),"Incomplete","Complete")</f>
        <v>Complete</v>
      </c>
      <c r="E50" s="17"/>
      <c r="F50" s="17"/>
      <c r="G50" s="36"/>
    </row>
    <row r="51" spans="2:7" x14ac:dyDescent="0.35">
      <c r="B51" s="270"/>
      <c r="C51" s="359" t="s">
        <v>353</v>
      </c>
      <c r="D51" s="359"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0" t="s">
        <v>354</v>
      </c>
      <c r="D56" s="361" t="s">
        <v>320</v>
      </c>
      <c r="E56" s="17"/>
      <c r="F56" s="17"/>
      <c r="G56" s="36"/>
    </row>
    <row r="57" spans="2:7" x14ac:dyDescent="0.35">
      <c r="B57" s="270"/>
      <c r="C57" s="362" t="s">
        <v>355</v>
      </c>
      <c r="D57" s="363">
        <f>+F9</f>
        <v>5</v>
      </c>
      <c r="E57" s="17"/>
      <c r="F57" s="17"/>
      <c r="G57" s="36"/>
    </row>
    <row r="58" spans="2:7" x14ac:dyDescent="0.35">
      <c r="B58" s="270"/>
      <c r="C58" s="364" t="s">
        <v>348</v>
      </c>
      <c r="D58" s="363">
        <f>+F15</f>
        <v>0</v>
      </c>
      <c r="E58" s="17"/>
      <c r="F58" s="17"/>
      <c r="G58" s="36"/>
    </row>
    <row r="59" spans="2:7" x14ac:dyDescent="0.35">
      <c r="B59" s="270"/>
      <c r="C59" s="364" t="s">
        <v>349</v>
      </c>
      <c r="D59" s="363">
        <f>F19</f>
        <v>1</v>
      </c>
      <c r="E59" s="17"/>
      <c r="F59" s="17"/>
      <c r="G59" s="36"/>
    </row>
    <row r="60" spans="2:7" x14ac:dyDescent="0.35">
      <c r="B60" s="270"/>
      <c r="C60" s="364" t="s">
        <v>356</v>
      </c>
      <c r="D60" s="363">
        <f>+F23</f>
        <v>2</v>
      </c>
      <c r="E60" s="17"/>
      <c r="F60" s="17"/>
      <c r="G60" s="36"/>
    </row>
    <row r="61" spans="2:7" x14ac:dyDescent="0.35">
      <c r="B61" s="270"/>
      <c r="C61" s="364" t="s">
        <v>357</v>
      </c>
      <c r="D61" s="363">
        <f>F27</f>
        <v>1</v>
      </c>
      <c r="E61" s="17"/>
      <c r="F61" s="17"/>
      <c r="G61" s="36"/>
    </row>
    <row r="62" spans="2:7" x14ac:dyDescent="0.35">
      <c r="B62" s="270"/>
      <c r="C62" s="364" t="s">
        <v>352</v>
      </c>
      <c r="D62" s="365">
        <f>+F32</f>
        <v>0</v>
      </c>
      <c r="E62" s="17"/>
      <c r="F62" s="17"/>
      <c r="G62" s="36"/>
    </row>
    <row r="63" spans="2:7" x14ac:dyDescent="0.35">
      <c r="B63" s="270"/>
      <c r="C63" s="366" t="s">
        <v>358</v>
      </c>
      <c r="D63" s="367">
        <f>F40</f>
        <v>0</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4"/>
      <c r="C68" s="276"/>
      <c r="D68" s="276"/>
      <c r="E68" s="276"/>
      <c r="F68" s="276"/>
      <c r="G68" s="368"/>
    </row>
  </sheetData>
  <sheetProtection algorithmName="SHA-512" hashValue="djc3oJqEFbF+9DqyxfvZPNN0EaErpvCqoTBYnXMYGUSudfsh/vJmfuIf3JgdRaKBAuXO+jmxCmlNqN92JxbOHA==" saltValue="35I+CdiDATdgd6WvK3YZFg=="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 ref="D23:E23" r:id="rId2" display="see Natural Resources Wales / River basin management plans 2015-2021" xr:uid="{500C5B55-93EB-440E-8998-ABF9A27B0CB4}"/>
  </hyperlinks>
  <pageMargins left="0.7" right="0.7" top="0.75" bottom="0.75" header="0.3" footer="0.3"/>
  <pageSetup paperSize="256" orientation="portrait" horizontalDpi="203" verticalDpi="203" r:id="rId3"/>
  <drawing r:id="rId4"/>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Picklists!$W$7:$W$8</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151" zoomScaleNormal="100" workbookViewId="0">
      <selection activeCell="D96" sqref="D96:D101"/>
    </sheetView>
  </sheetViews>
  <sheetFormatPr defaultRowHeight="14.5" x14ac:dyDescent="0.35"/>
  <cols>
    <col min="3" max="3" width="48.81640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63</v>
      </c>
      <c r="D1" s="816" t="str">
        <f>+Introduction!E10</f>
        <v>Tradebe Healthcare National Limited</v>
      </c>
      <c r="E1" s="816"/>
      <c r="F1" s="816"/>
    </row>
    <row r="2" spans="2:10" x14ac:dyDescent="0.35">
      <c r="C2" s="12" t="s">
        <v>44</v>
      </c>
      <c r="D2" s="816" t="str">
        <f>+Introduction!K10</f>
        <v>EPR/WP3636ZG</v>
      </c>
      <c r="E2" s="816"/>
      <c r="F2" s="816"/>
    </row>
    <row r="3" spans="2:10" ht="15" thickBot="1" x14ac:dyDescent="0.4"/>
    <row r="4" spans="2:10" ht="18.5" x14ac:dyDescent="0.45">
      <c r="B4" s="982" t="s">
        <v>359</v>
      </c>
      <c r="C4" s="983"/>
      <c r="D4" s="983"/>
      <c r="E4" s="983"/>
      <c r="F4" s="983"/>
      <c r="G4" s="983"/>
      <c r="H4" s="983"/>
      <c r="I4" s="983"/>
      <c r="J4" s="984"/>
    </row>
    <row r="5" spans="2:10" x14ac:dyDescent="0.35">
      <c r="B5" s="416"/>
      <c r="C5" s="417"/>
      <c r="D5" s="59"/>
      <c r="E5" s="417"/>
      <c r="F5" s="417"/>
      <c r="G5" s="417"/>
      <c r="H5" s="417"/>
      <c r="I5" s="417"/>
      <c r="J5" s="395"/>
    </row>
    <row r="6" spans="2:10" ht="59.25" customHeight="1" thickBot="1" x14ac:dyDescent="0.4">
      <c r="B6" s="418"/>
      <c r="C6" s="165"/>
      <c r="D6" s="166" t="s">
        <v>318</v>
      </c>
      <c r="E6" s="165" t="s">
        <v>360</v>
      </c>
      <c r="F6" s="165" t="s">
        <v>361</v>
      </c>
      <c r="G6" s="916" t="s">
        <v>362</v>
      </c>
      <c r="H6" s="917"/>
      <c r="I6" s="540" t="s">
        <v>363</v>
      </c>
      <c r="J6" s="688"/>
    </row>
    <row r="7" spans="2:10" x14ac:dyDescent="0.35">
      <c r="B7" s="419"/>
      <c r="C7" s="167"/>
      <c r="D7" s="168"/>
      <c r="E7" s="167"/>
      <c r="F7" s="167"/>
      <c r="G7" s="167"/>
      <c r="H7" s="167"/>
      <c r="I7" s="541"/>
      <c r="J7" s="689"/>
    </row>
    <row r="8" spans="2:10" x14ac:dyDescent="0.35">
      <c r="B8" s="918" t="s">
        <v>364</v>
      </c>
      <c r="C8" s="919"/>
      <c r="D8" s="919"/>
      <c r="E8" s="919"/>
      <c r="F8" s="919"/>
      <c r="G8" s="919"/>
      <c r="H8" s="919"/>
      <c r="I8" s="512"/>
      <c r="J8" s="690"/>
    </row>
    <row r="9" spans="2:10" ht="33" customHeight="1" x14ac:dyDescent="0.35">
      <c r="B9" s="420"/>
      <c r="C9" s="920" t="s">
        <v>365</v>
      </c>
      <c r="D9" s="920"/>
      <c r="E9" s="920"/>
      <c r="F9" s="920"/>
      <c r="G9" s="920"/>
      <c r="H9" s="920"/>
      <c r="I9" s="509"/>
      <c r="J9" s="691"/>
    </row>
    <row r="10" spans="2:10" ht="45.75" customHeight="1" x14ac:dyDescent="0.35">
      <c r="B10" s="421">
        <v>1</v>
      </c>
      <c r="C10" s="169" t="s">
        <v>366</v>
      </c>
      <c r="D10" s="244" t="s">
        <v>420</v>
      </c>
      <c r="E10" s="170">
        <v>2</v>
      </c>
      <c r="F10" s="246">
        <f>IF(D10="yes",2,0)</f>
        <v>2</v>
      </c>
      <c r="G10" s="921"/>
      <c r="H10" s="922"/>
      <c r="I10" s="542"/>
      <c r="J10" s="692"/>
    </row>
    <row r="11" spans="2:10" ht="60.75" customHeight="1" x14ac:dyDescent="0.35">
      <c r="B11" s="422">
        <v>2</v>
      </c>
      <c r="C11" s="172" t="s">
        <v>367</v>
      </c>
      <c r="D11" s="244" t="s">
        <v>420</v>
      </c>
      <c r="E11" s="171">
        <v>2</v>
      </c>
      <c r="F11" s="246">
        <f>IF(D11="yes",2,0)</f>
        <v>2</v>
      </c>
      <c r="G11" s="912"/>
      <c r="H11" s="913"/>
      <c r="I11" s="543"/>
      <c r="J11" s="693"/>
    </row>
    <row r="12" spans="2:10" ht="25" x14ac:dyDescent="0.35">
      <c r="B12" s="422">
        <v>3</v>
      </c>
      <c r="C12" s="172" t="s">
        <v>368</v>
      </c>
      <c r="D12" s="244" t="s">
        <v>420</v>
      </c>
      <c r="E12" s="171">
        <v>2</v>
      </c>
      <c r="F12" s="246">
        <f>IF(D12="yes",2,0)</f>
        <v>2</v>
      </c>
      <c r="G12" s="912"/>
      <c r="H12" s="913"/>
      <c r="I12" s="543"/>
      <c r="J12" s="693"/>
    </row>
    <row r="13" spans="2:10" ht="37.5" x14ac:dyDescent="0.35">
      <c r="B13" s="422">
        <v>4</v>
      </c>
      <c r="C13" s="172" t="s">
        <v>369</v>
      </c>
      <c r="D13" s="244" t="s">
        <v>420</v>
      </c>
      <c r="E13" s="171">
        <v>1</v>
      </c>
      <c r="F13" s="246">
        <f>IF(D13="yes",1,0)</f>
        <v>1</v>
      </c>
      <c r="G13" s="912"/>
      <c r="H13" s="913"/>
      <c r="I13" s="543"/>
      <c r="J13" s="693"/>
    </row>
    <row r="14" spans="2:10" ht="37.5" x14ac:dyDescent="0.35">
      <c r="B14" s="422">
        <v>5</v>
      </c>
      <c r="C14" s="172" t="s">
        <v>370</v>
      </c>
      <c r="D14" s="244" t="s">
        <v>420</v>
      </c>
      <c r="E14" s="171">
        <v>1</v>
      </c>
      <c r="F14" s="246">
        <f>IF(D14="yes",1,0)</f>
        <v>1</v>
      </c>
      <c r="G14" s="912"/>
      <c r="H14" s="913"/>
      <c r="I14" s="543"/>
      <c r="J14" s="693"/>
    </row>
    <row r="15" spans="2:10" ht="25" x14ac:dyDescent="0.35">
      <c r="B15" s="422">
        <v>6</v>
      </c>
      <c r="C15" s="172" t="s">
        <v>371</v>
      </c>
      <c r="D15" s="244" t="s">
        <v>420</v>
      </c>
      <c r="E15" s="171">
        <v>2</v>
      </c>
      <c r="F15" s="246">
        <f>IF(D15="yes",2,0)</f>
        <v>2</v>
      </c>
      <c r="G15" s="912"/>
      <c r="H15" s="913"/>
      <c r="I15" s="543"/>
      <c r="J15" s="693"/>
    </row>
    <row r="16" spans="2:10" ht="37.5" x14ac:dyDescent="0.35">
      <c r="B16" s="422">
        <v>7</v>
      </c>
      <c r="C16" s="172" t="s">
        <v>372</v>
      </c>
      <c r="D16" s="244" t="s">
        <v>420</v>
      </c>
      <c r="E16" s="171">
        <v>2</v>
      </c>
      <c r="F16" s="246">
        <f>IF(D16="yes",2,0)</f>
        <v>2</v>
      </c>
      <c r="G16" s="912"/>
      <c r="H16" s="913"/>
      <c r="I16" s="543"/>
      <c r="J16" s="693"/>
    </row>
    <row r="17" spans="2:10" ht="37.5" x14ac:dyDescent="0.35">
      <c r="B17" s="422">
        <v>8</v>
      </c>
      <c r="C17" s="172" t="s">
        <v>373</v>
      </c>
      <c r="D17" s="244" t="s">
        <v>96</v>
      </c>
      <c r="E17" s="171">
        <v>-2</v>
      </c>
      <c r="F17" s="246">
        <f>IF(D17="yes",-2,0)</f>
        <v>0</v>
      </c>
      <c r="G17" s="912"/>
      <c r="H17" s="913"/>
      <c r="I17" s="543"/>
      <c r="J17" s="693"/>
    </row>
    <row r="18" spans="2:10" ht="25" x14ac:dyDescent="0.35">
      <c r="B18" s="422">
        <v>9</v>
      </c>
      <c r="C18" s="172" t="s">
        <v>374</v>
      </c>
      <c r="D18" s="244" t="s">
        <v>96</v>
      </c>
      <c r="E18" s="171">
        <v>-3</v>
      </c>
      <c r="F18" s="246">
        <f>IF(D18="yes",-3,0)</f>
        <v>0</v>
      </c>
      <c r="G18" s="912"/>
      <c r="H18" s="913"/>
      <c r="I18" s="543"/>
      <c r="J18" s="693"/>
    </row>
    <row r="19" spans="2:10" x14ac:dyDescent="0.35">
      <c r="B19" s="423"/>
      <c r="C19" s="173" t="s">
        <v>375</v>
      </c>
      <c r="D19" s="174"/>
      <c r="E19" s="175">
        <v>12</v>
      </c>
      <c r="F19" s="251">
        <f>SUM(F10:F18)</f>
        <v>12</v>
      </c>
      <c r="G19" s="925">
        <f>+F19/E19</f>
        <v>1</v>
      </c>
      <c r="H19" s="926"/>
      <c r="I19" s="544"/>
      <c r="J19" s="693"/>
    </row>
    <row r="20" spans="2:10" x14ac:dyDescent="0.35">
      <c r="B20" s="424"/>
      <c r="C20" s="177"/>
      <c r="D20" s="178"/>
      <c r="E20" s="179"/>
      <c r="F20" s="180"/>
      <c r="G20" s="180"/>
      <c r="H20" s="180"/>
      <c r="I20" s="545"/>
      <c r="J20" s="693"/>
    </row>
    <row r="21" spans="2:10" x14ac:dyDescent="0.35">
      <c r="B21" s="918" t="s">
        <v>376</v>
      </c>
      <c r="C21" s="919"/>
      <c r="D21" s="919"/>
      <c r="E21" s="919"/>
      <c r="F21" s="919"/>
      <c r="G21" s="919"/>
      <c r="H21" s="919"/>
      <c r="I21" s="512"/>
      <c r="J21" s="693"/>
    </row>
    <row r="22" spans="2:10" ht="45.75" customHeight="1" x14ac:dyDescent="0.35">
      <c r="B22" s="425"/>
      <c r="C22" s="927" t="s">
        <v>377</v>
      </c>
      <c r="D22" s="927"/>
      <c r="E22" s="927"/>
      <c r="F22" s="927"/>
      <c r="G22" s="927"/>
      <c r="H22" s="927"/>
      <c r="I22" s="513"/>
      <c r="J22" s="693"/>
    </row>
    <row r="23" spans="2:10" x14ac:dyDescent="0.35">
      <c r="B23" s="426"/>
      <c r="C23" s="909" t="s">
        <v>378</v>
      </c>
      <c r="D23" s="909"/>
      <c r="E23" s="909"/>
      <c r="F23" s="909"/>
      <c r="G23" s="909"/>
      <c r="H23" s="909"/>
      <c r="I23" s="514"/>
      <c r="J23" s="693"/>
    </row>
    <row r="24" spans="2:10" x14ac:dyDescent="0.35">
      <c r="B24" s="426"/>
      <c r="C24" s="909" t="s">
        <v>379</v>
      </c>
      <c r="D24" s="909"/>
      <c r="E24" s="909"/>
      <c r="F24" s="909"/>
      <c r="G24" s="909"/>
      <c r="H24" s="909"/>
      <c r="I24" s="514"/>
      <c r="J24" s="693"/>
    </row>
    <row r="25" spans="2:10" x14ac:dyDescent="0.35">
      <c r="B25" s="427"/>
      <c r="C25" s="928" t="s">
        <v>380</v>
      </c>
      <c r="D25" s="928"/>
      <c r="E25" s="928"/>
      <c r="F25" s="928"/>
      <c r="G25" s="928"/>
      <c r="H25" s="928"/>
      <c r="I25" s="515"/>
      <c r="J25" s="693"/>
    </row>
    <row r="26" spans="2:10" ht="27.75" customHeight="1" x14ac:dyDescent="0.35">
      <c r="B26" s="428">
        <v>1</v>
      </c>
      <c r="C26" s="181" t="s">
        <v>381</v>
      </c>
      <c r="D26" s="929" t="s">
        <v>420</v>
      </c>
      <c r="E26" s="931">
        <v>3</v>
      </c>
      <c r="F26" s="933">
        <f>IF(D26="yes",3,0)</f>
        <v>3</v>
      </c>
      <c r="G26" s="935"/>
      <c r="H26" s="936"/>
      <c r="I26" s="923"/>
      <c r="J26" s="693"/>
    </row>
    <row r="27" spans="2:10" ht="72.75" customHeight="1" x14ac:dyDescent="0.35">
      <c r="B27" s="429"/>
      <c r="C27" s="182" t="s">
        <v>382</v>
      </c>
      <c r="D27" s="930"/>
      <c r="E27" s="932"/>
      <c r="F27" s="934"/>
      <c r="G27" s="937"/>
      <c r="H27" s="938"/>
      <c r="I27" s="924"/>
      <c r="J27" s="693"/>
    </row>
    <row r="28" spans="2:10" ht="47.25" customHeight="1" x14ac:dyDescent="0.35">
      <c r="B28" s="430">
        <v>2</v>
      </c>
      <c r="C28" s="172" t="s">
        <v>383</v>
      </c>
      <c r="D28" s="504"/>
      <c r="E28" s="183"/>
      <c r="F28" s="172"/>
      <c r="G28" s="914"/>
      <c r="H28" s="915"/>
      <c r="I28" s="546"/>
      <c r="J28" s="693"/>
    </row>
    <row r="29" spans="2:10" ht="63.75" customHeight="1" x14ac:dyDescent="0.35">
      <c r="B29" s="431"/>
      <c r="C29" s="184" t="s">
        <v>384</v>
      </c>
      <c r="D29" s="516" t="s">
        <v>420</v>
      </c>
      <c r="E29" s="171">
        <v>2</v>
      </c>
      <c r="F29" s="246">
        <f>IF(D29="yes",2,0)</f>
        <v>2</v>
      </c>
      <c r="G29" s="906"/>
      <c r="H29" s="907"/>
      <c r="I29" s="543"/>
      <c r="J29" s="693"/>
    </row>
    <row r="30" spans="2:10" ht="37.5" x14ac:dyDescent="0.35">
      <c r="B30" s="432"/>
      <c r="C30" s="184" t="s">
        <v>385</v>
      </c>
      <c r="D30" s="517" t="s">
        <v>420</v>
      </c>
      <c r="E30" s="171">
        <v>2</v>
      </c>
      <c r="F30" s="246">
        <f>IF(D30="yes",2,0)</f>
        <v>2</v>
      </c>
      <c r="G30" s="906"/>
      <c r="H30" s="907"/>
      <c r="I30" s="543"/>
      <c r="J30" s="693"/>
    </row>
    <row r="31" spans="2:10" ht="63" customHeight="1" x14ac:dyDescent="0.35">
      <c r="B31" s="433"/>
      <c r="C31" s="184" t="s">
        <v>386</v>
      </c>
      <c r="D31" s="516" t="s">
        <v>420</v>
      </c>
      <c r="E31" s="171">
        <v>1</v>
      </c>
      <c r="F31" s="246">
        <f>IF(D31="yes",1,0)</f>
        <v>1</v>
      </c>
      <c r="G31" s="906"/>
      <c r="H31" s="907"/>
      <c r="I31" s="543"/>
      <c r="J31" s="693"/>
    </row>
    <row r="32" spans="2:10" ht="37.5" x14ac:dyDescent="0.35">
      <c r="B32" s="434"/>
      <c r="C32" s="184" t="s">
        <v>387</v>
      </c>
      <c r="D32" s="516" t="s">
        <v>420</v>
      </c>
      <c r="E32" s="171">
        <v>2</v>
      </c>
      <c r="F32" s="246">
        <f>IF(D32="yes",2,0)</f>
        <v>2</v>
      </c>
      <c r="G32" s="906"/>
      <c r="H32" s="907"/>
      <c r="I32" s="543"/>
      <c r="J32" s="693"/>
    </row>
    <row r="33" spans="2:10" ht="25" x14ac:dyDescent="0.35">
      <c r="B33" s="434"/>
      <c r="C33" s="184" t="s">
        <v>388</v>
      </c>
      <c r="D33" s="516" t="s">
        <v>420</v>
      </c>
      <c r="E33" s="171">
        <v>2</v>
      </c>
      <c r="F33" s="246">
        <f>IF(D33="yes",2,0)</f>
        <v>2</v>
      </c>
      <c r="G33" s="906"/>
      <c r="H33" s="907"/>
      <c r="I33" s="543"/>
      <c r="J33" s="693"/>
    </row>
    <row r="34" spans="2:10" ht="37.5" x14ac:dyDescent="0.35">
      <c r="B34" s="422">
        <v>3</v>
      </c>
      <c r="C34" s="172" t="s">
        <v>389</v>
      </c>
      <c r="D34" s="516" t="s">
        <v>420</v>
      </c>
      <c r="E34" s="171">
        <v>1</v>
      </c>
      <c r="F34" s="246">
        <f>IF(D34="yes",1,0)</f>
        <v>1</v>
      </c>
      <c r="G34" s="906"/>
      <c r="H34" s="907"/>
      <c r="I34" s="543"/>
      <c r="J34" s="693"/>
    </row>
    <row r="35" spans="2:10" ht="37.5" x14ac:dyDescent="0.35">
      <c r="B35" s="422">
        <v>4</v>
      </c>
      <c r="C35" s="172" t="s">
        <v>390</v>
      </c>
      <c r="D35" s="516" t="s">
        <v>420</v>
      </c>
      <c r="E35" s="171">
        <v>1</v>
      </c>
      <c r="F35" s="246">
        <f>IF(D35="yes",1,0)</f>
        <v>1</v>
      </c>
      <c r="G35" s="906"/>
      <c r="H35" s="907"/>
      <c r="I35" s="543"/>
      <c r="J35" s="693"/>
    </row>
    <row r="36" spans="2:10" ht="50" x14ac:dyDescent="0.35">
      <c r="B36" s="422">
        <v>5</v>
      </c>
      <c r="C36" s="172" t="s">
        <v>391</v>
      </c>
      <c r="D36" s="516" t="s">
        <v>420</v>
      </c>
      <c r="E36" s="171">
        <v>1</v>
      </c>
      <c r="F36" s="246">
        <f>IF(D36="yes",1,0)</f>
        <v>1</v>
      </c>
      <c r="G36" s="906"/>
      <c r="H36" s="907"/>
      <c r="I36" s="543"/>
      <c r="J36" s="693"/>
    </row>
    <row r="37" spans="2:10" ht="37.5" x14ac:dyDescent="0.35">
      <c r="B37" s="422">
        <v>6</v>
      </c>
      <c r="C37" s="172" t="s">
        <v>392</v>
      </c>
      <c r="D37" s="516" t="s">
        <v>96</v>
      </c>
      <c r="E37" s="171">
        <v>-2</v>
      </c>
      <c r="F37" s="246">
        <f>IF(D37="yes",-2,0)</f>
        <v>0</v>
      </c>
      <c r="G37" s="906"/>
      <c r="H37" s="907"/>
      <c r="I37" s="543"/>
      <c r="J37" s="693"/>
    </row>
    <row r="38" spans="2:10" ht="37.5" x14ac:dyDescent="0.35">
      <c r="B38" s="422">
        <v>7</v>
      </c>
      <c r="C38" s="172" t="s">
        <v>393</v>
      </c>
      <c r="D38" s="516" t="s">
        <v>420</v>
      </c>
      <c r="E38" s="171">
        <v>-2</v>
      </c>
      <c r="F38" s="246">
        <f>IF(D38="no",-2,0)</f>
        <v>0</v>
      </c>
      <c r="G38" s="906"/>
      <c r="H38" s="907"/>
      <c r="I38" s="543"/>
      <c r="J38" s="693"/>
    </row>
    <row r="39" spans="2:10" ht="25" x14ac:dyDescent="0.35">
      <c r="B39" s="422">
        <v>8</v>
      </c>
      <c r="C39" s="172" t="s">
        <v>394</v>
      </c>
      <c r="D39" s="245" t="s">
        <v>420</v>
      </c>
      <c r="E39" s="171">
        <v>2</v>
      </c>
      <c r="F39" s="246">
        <f>IF(D39="yes",2,0)</f>
        <v>2</v>
      </c>
      <c r="G39" s="906"/>
      <c r="H39" s="907"/>
      <c r="I39" s="543"/>
      <c r="J39" s="693"/>
    </row>
    <row r="40" spans="2:10" x14ac:dyDescent="0.35">
      <c r="B40" s="435"/>
      <c r="C40" s="185" t="s">
        <v>395</v>
      </c>
      <c r="D40" s="186"/>
      <c r="E40" s="187">
        <v>17</v>
      </c>
      <c r="F40" s="250">
        <f>SUM(F26:F39)</f>
        <v>17</v>
      </c>
      <c r="G40" s="939">
        <f>+F40/E40</f>
        <v>1</v>
      </c>
      <c r="H40" s="940"/>
      <c r="I40" s="547"/>
      <c r="J40" s="693"/>
    </row>
    <row r="41" spans="2:10" x14ac:dyDescent="0.35">
      <c r="B41" s="436"/>
      <c r="C41" s="188"/>
      <c r="D41" s="189"/>
      <c r="E41" s="190"/>
      <c r="F41" s="188"/>
      <c r="G41" s="191"/>
      <c r="H41" s="191"/>
      <c r="I41" s="452"/>
      <c r="J41" s="693"/>
    </row>
    <row r="42" spans="2:10" x14ac:dyDescent="0.35">
      <c r="B42" s="918" t="s">
        <v>396</v>
      </c>
      <c r="C42" s="919"/>
      <c r="D42" s="919"/>
      <c r="E42" s="919"/>
      <c r="F42" s="919"/>
      <c r="G42" s="919"/>
      <c r="H42" s="919"/>
      <c r="I42" s="512"/>
      <c r="J42" s="693"/>
    </row>
    <row r="43" spans="2:10" ht="32.25" customHeight="1" x14ac:dyDescent="0.35">
      <c r="B43" s="437"/>
      <c r="C43" s="941" t="s">
        <v>397</v>
      </c>
      <c r="D43" s="927"/>
      <c r="E43" s="927"/>
      <c r="F43" s="927"/>
      <c r="G43" s="927"/>
      <c r="H43" s="927"/>
      <c r="I43" s="513"/>
      <c r="J43" s="693"/>
    </row>
    <row r="44" spans="2:10" x14ac:dyDescent="0.35">
      <c r="B44" s="438"/>
      <c r="C44" s="908" t="s">
        <v>398</v>
      </c>
      <c r="D44" s="909"/>
      <c r="E44" s="909"/>
      <c r="F44" s="909"/>
      <c r="G44" s="909"/>
      <c r="H44" s="909"/>
      <c r="I44" s="514"/>
      <c r="J44" s="693"/>
    </row>
    <row r="45" spans="2:10" x14ac:dyDescent="0.35">
      <c r="B45" s="438"/>
      <c r="C45" s="908" t="s">
        <v>399</v>
      </c>
      <c r="D45" s="909"/>
      <c r="E45" s="909"/>
      <c r="F45" s="909"/>
      <c r="G45" s="909"/>
      <c r="H45" s="909"/>
      <c r="I45" s="514"/>
      <c r="J45" s="693"/>
    </row>
    <row r="46" spans="2:10" x14ac:dyDescent="0.35">
      <c r="B46" s="438"/>
      <c r="C46" s="908" t="s">
        <v>400</v>
      </c>
      <c r="D46" s="909"/>
      <c r="E46" s="909"/>
      <c r="F46" s="909"/>
      <c r="G46" s="909"/>
      <c r="H46" s="909"/>
      <c r="I46" s="548"/>
      <c r="J46" s="693"/>
    </row>
    <row r="47" spans="2:10" x14ac:dyDescent="0.35">
      <c r="B47" s="438"/>
      <c r="C47" s="908"/>
      <c r="D47" s="909"/>
      <c r="E47" s="909"/>
      <c r="F47" s="909"/>
      <c r="G47" s="909"/>
      <c r="H47" s="909"/>
      <c r="I47" s="514"/>
      <c r="J47" s="693"/>
    </row>
    <row r="48" spans="2:10" x14ac:dyDescent="0.35">
      <c r="B48" s="438"/>
      <c r="C48" s="910" t="s">
        <v>401</v>
      </c>
      <c r="D48" s="911"/>
      <c r="E48" s="911"/>
      <c r="F48" s="911"/>
      <c r="G48" s="911"/>
      <c r="H48" s="911"/>
      <c r="I48" s="549"/>
      <c r="J48" s="693"/>
    </row>
    <row r="49" spans="1:10" x14ac:dyDescent="0.35">
      <c r="B49" s="438"/>
      <c r="C49" s="910" t="s">
        <v>402</v>
      </c>
      <c r="D49" s="911"/>
      <c r="E49" s="911"/>
      <c r="F49" s="911"/>
      <c r="G49" s="911"/>
      <c r="H49" s="911"/>
      <c r="I49" s="549"/>
      <c r="J49" s="693"/>
    </row>
    <row r="50" spans="1:10" x14ac:dyDescent="0.35">
      <c r="B50" s="439"/>
      <c r="C50" s="910" t="s">
        <v>403</v>
      </c>
      <c r="D50" s="911"/>
      <c r="E50" s="911"/>
      <c r="F50" s="911"/>
      <c r="G50" s="911"/>
      <c r="H50" s="911"/>
      <c r="I50" s="550"/>
      <c r="J50" s="693"/>
    </row>
    <row r="51" spans="1:10" ht="55.5" customHeight="1" x14ac:dyDescent="0.35">
      <c r="B51" s="421">
        <v>1</v>
      </c>
      <c r="C51" s="169" t="s">
        <v>404</v>
      </c>
      <c r="D51" s="245" t="s">
        <v>420</v>
      </c>
      <c r="E51" s="170">
        <v>4</v>
      </c>
      <c r="F51" s="247">
        <f>IF(D51="yes",4,0)</f>
        <v>4</v>
      </c>
      <c r="G51" s="944"/>
      <c r="H51" s="945"/>
      <c r="I51" s="551"/>
      <c r="J51" s="693"/>
    </row>
    <row r="52" spans="1:10" ht="25" x14ac:dyDescent="0.35">
      <c r="B52" s="422">
        <v>2</v>
      </c>
      <c r="C52" s="172" t="s">
        <v>405</v>
      </c>
      <c r="D52" s="245" t="s">
        <v>96</v>
      </c>
      <c r="E52" s="171">
        <v>1</v>
      </c>
      <c r="F52" s="247">
        <f>IF(D52="no",1,0)</f>
        <v>1</v>
      </c>
      <c r="G52" s="942"/>
      <c r="H52" s="943"/>
      <c r="I52" s="543"/>
      <c r="J52" s="693"/>
    </row>
    <row r="53" spans="1:10" ht="71.25" customHeight="1" x14ac:dyDescent="0.35">
      <c r="A53" s="145"/>
      <c r="B53" s="440">
        <v>2.1</v>
      </c>
      <c r="C53" s="184" t="s">
        <v>406</v>
      </c>
      <c r="D53" s="245" t="s">
        <v>533</v>
      </c>
      <c r="E53" s="171">
        <v>-2</v>
      </c>
      <c r="F53" s="247">
        <f>IF(D53="NO",-2,0)</f>
        <v>0</v>
      </c>
      <c r="G53" s="949"/>
      <c r="H53" s="950"/>
      <c r="I53" s="543"/>
      <c r="J53" s="694"/>
    </row>
    <row r="54" spans="1:10" ht="55.5" customHeight="1" x14ac:dyDescent="0.35">
      <c r="B54" s="422">
        <v>3</v>
      </c>
      <c r="C54" s="172" t="s">
        <v>407</v>
      </c>
      <c r="D54" s="245" t="s">
        <v>420</v>
      </c>
      <c r="E54" s="171">
        <v>1</v>
      </c>
      <c r="F54" s="247">
        <f>IF(D54="yes",1,0)</f>
        <v>1</v>
      </c>
      <c r="G54" s="912"/>
      <c r="H54" s="913"/>
      <c r="I54" s="543"/>
      <c r="J54" s="693"/>
    </row>
    <row r="55" spans="1:10" ht="49.5" customHeight="1" x14ac:dyDescent="0.35">
      <c r="B55" s="422">
        <v>4</v>
      </c>
      <c r="C55" s="172" t="s">
        <v>408</v>
      </c>
      <c r="D55" s="245" t="s">
        <v>420</v>
      </c>
      <c r="E55" s="171">
        <v>1</v>
      </c>
      <c r="F55" s="247">
        <f>IF(D55="yes",1,0)</f>
        <v>1</v>
      </c>
      <c r="G55" s="912"/>
      <c r="H55" s="913"/>
      <c r="I55" s="543"/>
      <c r="J55" s="693"/>
    </row>
    <row r="56" spans="1:10" ht="68.25" customHeight="1" x14ac:dyDescent="0.35">
      <c r="B56" s="422">
        <v>5</v>
      </c>
      <c r="C56" s="172" t="s">
        <v>409</v>
      </c>
      <c r="D56" s="245" t="s">
        <v>420</v>
      </c>
      <c r="E56" s="171">
        <v>2</v>
      </c>
      <c r="F56" s="247">
        <f>IF(D56="yes",2,0)</f>
        <v>2</v>
      </c>
      <c r="G56" s="912"/>
      <c r="H56" s="913"/>
      <c r="I56" s="543"/>
      <c r="J56" s="693"/>
    </row>
    <row r="57" spans="1:10" ht="69.75" customHeight="1" x14ac:dyDescent="0.35">
      <c r="B57" s="422">
        <v>6</v>
      </c>
      <c r="C57" s="172" t="s">
        <v>410</v>
      </c>
      <c r="D57" s="245" t="s">
        <v>96</v>
      </c>
      <c r="E57" s="171">
        <v>-2</v>
      </c>
      <c r="F57" s="247">
        <f>IF(D57="yes",-2,0)</f>
        <v>0</v>
      </c>
      <c r="G57" s="912"/>
      <c r="H57" s="913"/>
      <c r="I57" s="543"/>
      <c r="J57" s="693"/>
    </row>
    <row r="58" spans="1:10" ht="71.25" customHeight="1" x14ac:dyDescent="0.35">
      <c r="B58" s="422">
        <v>7</v>
      </c>
      <c r="C58" s="172" t="s">
        <v>411</v>
      </c>
      <c r="D58" s="245" t="s">
        <v>420</v>
      </c>
      <c r="E58" s="171">
        <v>3</v>
      </c>
      <c r="F58" s="247">
        <f>IF(D58="yes",3,0)</f>
        <v>3</v>
      </c>
      <c r="G58" s="912"/>
      <c r="H58" s="913"/>
      <c r="I58" s="543"/>
      <c r="J58" s="693"/>
    </row>
    <row r="59" spans="1:10" x14ac:dyDescent="0.35">
      <c r="B59" s="435"/>
      <c r="C59" s="185" t="s">
        <v>412</v>
      </c>
      <c r="D59" s="186"/>
      <c r="E59" s="187">
        <f>SUMIF(E51:E58,"&gt;0",E51:E58)</f>
        <v>12</v>
      </c>
      <c r="F59" s="250">
        <f>SUM(F51:F58)</f>
        <v>12</v>
      </c>
      <c r="G59" s="951">
        <f>+F59/E59</f>
        <v>1</v>
      </c>
      <c r="H59" s="952"/>
      <c r="I59" s="552"/>
      <c r="J59" s="693"/>
    </row>
    <row r="60" spans="1:10" x14ac:dyDescent="0.35">
      <c r="B60" s="436"/>
      <c r="C60" s="188"/>
      <c r="D60" s="189"/>
      <c r="E60" s="190"/>
      <c r="F60" s="188"/>
      <c r="G60" s="191"/>
      <c r="H60" s="191"/>
      <c r="I60" s="452"/>
      <c r="J60" s="693"/>
    </row>
    <row r="61" spans="1:10" x14ac:dyDescent="0.35">
      <c r="B61" s="918" t="s">
        <v>413</v>
      </c>
      <c r="C61" s="919"/>
      <c r="D61" s="919"/>
      <c r="E61" s="919"/>
      <c r="F61" s="919"/>
      <c r="G61" s="919"/>
      <c r="H61" s="919"/>
      <c r="I61" s="512"/>
      <c r="J61" s="693"/>
    </row>
    <row r="62" spans="1:10" ht="33" customHeight="1" x14ac:dyDescent="0.35">
      <c r="B62" s="511"/>
      <c r="C62" s="953" t="s">
        <v>414</v>
      </c>
      <c r="D62" s="954"/>
      <c r="E62" s="954"/>
      <c r="F62" s="954"/>
      <c r="G62" s="954"/>
      <c r="H62" s="954"/>
      <c r="I62" s="512"/>
      <c r="J62" s="693"/>
    </row>
    <row r="63" spans="1:10" ht="33.75" customHeight="1" x14ac:dyDescent="0.35">
      <c r="B63" s="441"/>
      <c r="C63" s="920" t="s">
        <v>415</v>
      </c>
      <c r="D63" s="920"/>
      <c r="E63" s="920"/>
      <c r="F63" s="920"/>
      <c r="G63" s="920"/>
      <c r="H63" s="920"/>
      <c r="I63" s="509"/>
      <c r="J63" s="693"/>
    </row>
    <row r="64" spans="1:10" ht="45" customHeight="1" x14ac:dyDescent="0.35">
      <c r="B64" s="442">
        <v>1</v>
      </c>
      <c r="C64" s="946" t="s">
        <v>416</v>
      </c>
      <c r="D64" s="947"/>
      <c r="E64" s="948"/>
      <c r="F64" s="948"/>
      <c r="G64" s="948"/>
      <c r="H64" s="948"/>
      <c r="I64" s="510"/>
      <c r="J64" s="693"/>
    </row>
    <row r="65" spans="2:11" ht="59.25" customHeight="1" x14ac:dyDescent="0.35">
      <c r="B65" s="501">
        <v>1.1000000000000001</v>
      </c>
      <c r="C65" s="192" t="s">
        <v>417</v>
      </c>
      <c r="D65" s="245" t="s">
        <v>96</v>
      </c>
      <c r="E65" s="291">
        <v>20</v>
      </c>
      <c r="F65" s="248">
        <f>IF(D65="yes",20,0)</f>
        <v>0</v>
      </c>
      <c r="G65" s="912"/>
      <c r="H65" s="913"/>
      <c r="I65" s="553"/>
      <c r="J65" s="695" t="str">
        <f>IF(OR(AND(D65="yes",I65=""),(AND(D65="",I65="")),D65=""),"incomplete","complete")</f>
        <v>complete</v>
      </c>
      <c r="K65" s="581" t="str">
        <f>IF(D65="yes", "Enter details of your EMAS certifcate number, certification body and their UKAS registration number into cell I65","")</f>
        <v/>
      </c>
    </row>
    <row r="66" spans="2:11" ht="76.5" customHeight="1" x14ac:dyDescent="0.35">
      <c r="B66" s="501">
        <v>1.2</v>
      </c>
      <c r="C66" s="192" t="s">
        <v>418</v>
      </c>
      <c r="D66" s="245" t="s">
        <v>420</v>
      </c>
      <c r="E66" s="291">
        <v>15</v>
      </c>
      <c r="F66" s="248">
        <f>IF(D66="yes",15,0)</f>
        <v>15</v>
      </c>
      <c r="G66" s="912"/>
      <c r="H66" s="913"/>
      <c r="I66" s="553" t="s">
        <v>807</v>
      </c>
      <c r="J66" s="695"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145" x14ac:dyDescent="0.35">
      <c r="B67" s="501">
        <v>1.3</v>
      </c>
      <c r="C67" s="192" t="s">
        <v>419</v>
      </c>
      <c r="D67" s="245" t="s">
        <v>420</v>
      </c>
      <c r="E67" s="292">
        <v>12</v>
      </c>
      <c r="F67" s="248">
        <f>IF(D67="yes",12,0)</f>
        <v>12</v>
      </c>
      <c r="G67" s="912"/>
      <c r="H67" s="913"/>
      <c r="I67" s="553" t="s">
        <v>807</v>
      </c>
      <c r="J67" s="695"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5">
      <c r="B68" s="435"/>
      <c r="C68" s="193" t="s">
        <v>421</v>
      </c>
      <c r="D68" s="504"/>
      <c r="E68" s="504">
        <v>20</v>
      </c>
      <c r="F68" s="249">
        <f>IF(D65="yes",F65,(IF(D66="yes",F66,(IF(D67="yes",F67,0)))))</f>
        <v>15</v>
      </c>
      <c r="G68" s="959">
        <f>+F68/E68</f>
        <v>0.75</v>
      </c>
      <c r="H68" s="960"/>
      <c r="I68" s="554" t="s">
        <v>422</v>
      </c>
      <c r="J68" s="693"/>
    </row>
    <row r="69" spans="2:11" x14ac:dyDescent="0.35">
      <c r="B69" s="443">
        <v>2</v>
      </c>
      <c r="C69" s="961" t="s">
        <v>423</v>
      </c>
      <c r="D69" s="962"/>
      <c r="E69" s="962"/>
      <c r="F69" s="962"/>
      <c r="G69" s="962"/>
      <c r="H69" s="962"/>
      <c r="I69" s="962"/>
      <c r="J69" s="693"/>
    </row>
    <row r="70" spans="2:11" ht="47.25" customHeight="1" x14ac:dyDescent="0.35">
      <c r="B70" s="430">
        <v>2.1</v>
      </c>
      <c r="C70" s="955" t="s">
        <v>424</v>
      </c>
      <c r="D70" s="957"/>
      <c r="E70" s="957"/>
      <c r="F70" s="957"/>
      <c r="G70" s="957"/>
      <c r="H70" s="957"/>
      <c r="I70" s="957"/>
      <c r="J70" s="693"/>
    </row>
    <row r="71" spans="2:11" ht="90.75" customHeight="1" x14ac:dyDescent="0.35">
      <c r="B71" s="422"/>
      <c r="C71" s="194" t="s">
        <v>425</v>
      </c>
      <c r="D71" s="245" t="s">
        <v>420</v>
      </c>
      <c r="E71" s="293">
        <v>1</v>
      </c>
      <c r="F71" s="246">
        <f>IF(D71="Yes",1,0)</f>
        <v>1</v>
      </c>
      <c r="G71" s="912"/>
      <c r="H71" s="958"/>
      <c r="I71" s="543"/>
      <c r="J71" s="695" t="str">
        <f>IF(OR($D$66="yes",$D$67="yes"),"complete",IF(OR(AND(D71="yes",I71=""),(AND(D71="",I71="")),D71=""),"incomplete","complete"))</f>
        <v>complete</v>
      </c>
    </row>
    <row r="72" spans="2:11" ht="53.25" customHeight="1" x14ac:dyDescent="0.35">
      <c r="B72" s="422"/>
      <c r="C72" s="194" t="s">
        <v>426</v>
      </c>
      <c r="D72" s="245" t="s">
        <v>420</v>
      </c>
      <c r="E72" s="293">
        <v>1</v>
      </c>
      <c r="F72" s="246">
        <f t="shared" ref="F72:F83" si="0">IF(D72="Yes",1,0)</f>
        <v>1</v>
      </c>
      <c r="G72" s="912"/>
      <c r="H72" s="958"/>
      <c r="I72" s="543"/>
      <c r="J72" s="695" t="str">
        <f>IF(OR($D$66="yes",$D$67="yes"),"complete",IF(OR(AND(D72="yes",I72=""),(AND(D72="",I72="")),D72=""),"incomplete","complete"))</f>
        <v>complete</v>
      </c>
    </row>
    <row r="73" spans="2:11" ht="37.5" x14ac:dyDescent="0.35">
      <c r="B73" s="444"/>
      <c r="C73" s="195" t="s">
        <v>427</v>
      </c>
      <c r="D73" s="245" t="s">
        <v>420</v>
      </c>
      <c r="E73" s="294">
        <v>1</v>
      </c>
      <c r="F73" s="246">
        <f t="shared" si="0"/>
        <v>1</v>
      </c>
      <c r="G73" s="912"/>
      <c r="H73" s="958"/>
      <c r="I73" s="555"/>
      <c r="J73" s="695" t="str">
        <f>IF(OR($D$66="yes",$D$67="yes"),"complete",IF(OR(AND(D73="yes",I73=""),(AND(D73="",I73="")),D73=""),"incomplete","complete"))</f>
        <v>complete</v>
      </c>
    </row>
    <row r="74" spans="2:11" ht="40.5" customHeight="1" x14ac:dyDescent="0.35">
      <c r="B74" s="445">
        <v>2.2000000000000002</v>
      </c>
      <c r="C74" s="955" t="s">
        <v>428</v>
      </c>
      <c r="D74" s="956"/>
      <c r="E74" s="957"/>
      <c r="F74" s="957"/>
      <c r="G74" s="957"/>
      <c r="H74" s="957"/>
      <c r="I74" s="556"/>
      <c r="J74" s="693"/>
    </row>
    <row r="75" spans="2:11" ht="72.75" customHeight="1" x14ac:dyDescent="0.35">
      <c r="B75" s="434"/>
      <c r="C75" s="194" t="s">
        <v>429</v>
      </c>
      <c r="D75" s="245" t="s">
        <v>420</v>
      </c>
      <c r="E75" s="295">
        <v>1</v>
      </c>
      <c r="F75" s="246">
        <f t="shared" si="0"/>
        <v>1</v>
      </c>
      <c r="G75" s="912"/>
      <c r="H75" s="958"/>
      <c r="I75" s="543"/>
      <c r="J75" s="695" t="str">
        <f t="shared" ref="J75:J81" si="1">IF(OR($D$66="yes",$D$67="yes"),"complete",IF(OR(AND(D75="yes",I75=""),(AND(D75="",I75="")),D75=""),"incomplete","complete"))</f>
        <v>complete</v>
      </c>
    </row>
    <row r="76" spans="2:11" ht="27" customHeight="1" x14ac:dyDescent="0.35">
      <c r="B76" s="434"/>
      <c r="C76" s="194" t="s">
        <v>430</v>
      </c>
      <c r="D76" s="245" t="s">
        <v>420</v>
      </c>
      <c r="E76" s="295">
        <v>1</v>
      </c>
      <c r="F76" s="246">
        <f t="shared" si="0"/>
        <v>1</v>
      </c>
      <c r="G76" s="912"/>
      <c r="H76" s="958"/>
      <c r="I76" s="557"/>
      <c r="J76" s="695" t="str">
        <f t="shared" si="1"/>
        <v>complete</v>
      </c>
    </row>
    <row r="77" spans="2:11" ht="31.5" customHeight="1" x14ac:dyDescent="0.35">
      <c r="B77" s="434"/>
      <c r="C77" s="194" t="s">
        <v>431</v>
      </c>
      <c r="D77" s="245" t="s">
        <v>420</v>
      </c>
      <c r="E77" s="295">
        <v>1</v>
      </c>
      <c r="F77" s="246">
        <f t="shared" si="0"/>
        <v>1</v>
      </c>
      <c r="G77" s="912"/>
      <c r="H77" s="958"/>
      <c r="I77" s="543"/>
      <c r="J77" s="695" t="str">
        <f t="shared" si="1"/>
        <v>complete</v>
      </c>
    </row>
    <row r="78" spans="2:11" ht="70.5" customHeight="1" x14ac:dyDescent="0.35">
      <c r="B78" s="431"/>
      <c r="C78" s="195" t="s">
        <v>432</v>
      </c>
      <c r="D78" s="245" t="s">
        <v>420</v>
      </c>
      <c r="E78" s="296">
        <v>1</v>
      </c>
      <c r="F78" s="246">
        <f t="shared" si="0"/>
        <v>1</v>
      </c>
      <c r="G78" s="912"/>
      <c r="H78" s="958"/>
      <c r="I78" s="555"/>
      <c r="J78" s="695" t="str">
        <f t="shared" si="1"/>
        <v>complete</v>
      </c>
    </row>
    <row r="79" spans="2:11" ht="40.5" customHeight="1" x14ac:dyDescent="0.35">
      <c r="B79" s="446">
        <v>2.2999999999999998</v>
      </c>
      <c r="C79" s="308" t="s">
        <v>433</v>
      </c>
      <c r="D79" s="245" t="s">
        <v>420</v>
      </c>
      <c r="E79" s="297">
        <v>1</v>
      </c>
      <c r="F79" s="246">
        <f t="shared" si="0"/>
        <v>1</v>
      </c>
      <c r="G79" s="912"/>
      <c r="H79" s="958"/>
      <c r="I79" s="558"/>
      <c r="J79" s="695" t="str">
        <f t="shared" si="1"/>
        <v>complete</v>
      </c>
    </row>
    <row r="80" spans="2:11" ht="103.5" customHeight="1" x14ac:dyDescent="0.35">
      <c r="B80" s="447">
        <v>2.4</v>
      </c>
      <c r="C80" s="309" t="s">
        <v>434</v>
      </c>
      <c r="D80" s="245" t="s">
        <v>420</v>
      </c>
      <c r="E80" s="298">
        <v>2</v>
      </c>
      <c r="F80" s="246">
        <f>IF(D80="Yes",2,0)</f>
        <v>2</v>
      </c>
      <c r="G80" s="912"/>
      <c r="H80" s="958"/>
      <c r="I80" s="559"/>
      <c r="J80" s="695" t="str">
        <f t="shared" si="1"/>
        <v>complete</v>
      </c>
    </row>
    <row r="81" spans="2:11" ht="98.25" customHeight="1" x14ac:dyDescent="0.35">
      <c r="B81" s="429">
        <v>2.5</v>
      </c>
      <c r="C81" s="310" t="s">
        <v>435</v>
      </c>
      <c r="D81" s="245" t="s">
        <v>420</v>
      </c>
      <c r="E81" s="299">
        <v>1</v>
      </c>
      <c r="F81" s="246">
        <f t="shared" si="0"/>
        <v>1</v>
      </c>
      <c r="G81" s="912"/>
      <c r="H81" s="958"/>
      <c r="I81" s="560"/>
      <c r="J81" s="695" t="str">
        <f t="shared" si="1"/>
        <v>complete</v>
      </c>
    </row>
    <row r="82" spans="2:11" ht="37.5" customHeight="1" x14ac:dyDescent="0.35">
      <c r="B82" s="429"/>
      <c r="C82" s="979" t="s">
        <v>436</v>
      </c>
      <c r="D82" s="980"/>
      <c r="E82" s="980"/>
      <c r="F82" s="981"/>
      <c r="G82" s="506"/>
      <c r="H82" s="507"/>
      <c r="I82" s="560"/>
      <c r="J82" s="693"/>
    </row>
    <row r="83" spans="2:11" ht="113.25" customHeight="1" x14ac:dyDescent="0.35">
      <c r="B83" s="448">
        <v>3</v>
      </c>
      <c r="C83" s="196" t="s">
        <v>437</v>
      </c>
      <c r="D83" s="252" t="s">
        <v>420</v>
      </c>
      <c r="E83" s="300">
        <v>1</v>
      </c>
      <c r="F83" s="246">
        <f t="shared" si="0"/>
        <v>1</v>
      </c>
      <c r="G83" s="912"/>
      <c r="H83" s="958"/>
      <c r="I83" s="561" t="s">
        <v>808</v>
      </c>
      <c r="J83" s="696"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5">
      <c r="B84" s="448">
        <v>4</v>
      </c>
      <c r="C84" s="196" t="s">
        <v>438</v>
      </c>
      <c r="D84" s="252" t="s">
        <v>543</v>
      </c>
      <c r="E84" s="300">
        <v>-2</v>
      </c>
      <c r="F84" s="254">
        <f>IF(D84="none",0,IF(D84="5 or more",10,+E84*D84))</f>
        <v>0</v>
      </c>
      <c r="G84" s="912"/>
      <c r="H84" s="958"/>
      <c r="I84" s="562"/>
      <c r="J84" s="697" t="str">
        <f>IF(OR(D8="none",D84&gt;0),"complete","InComplete")</f>
        <v>complete</v>
      </c>
    </row>
    <row r="85" spans="2:11" x14ac:dyDescent="0.35">
      <c r="B85" s="449"/>
      <c r="C85" s="197" t="s">
        <v>439</v>
      </c>
      <c r="D85" s="198"/>
      <c r="E85" s="198">
        <v>20</v>
      </c>
      <c r="F85" s="253">
        <f>SUM(F75:F84)+SUM(F68:F73)</f>
        <v>27</v>
      </c>
      <c r="G85" s="973">
        <f>+F85/E85</f>
        <v>1.35</v>
      </c>
      <c r="H85" s="974"/>
      <c r="I85" s="191"/>
      <c r="J85" s="693"/>
      <c r="K85" s="579"/>
    </row>
    <row r="86" spans="2:11" x14ac:dyDescent="0.35">
      <c r="B86" s="450"/>
      <c r="C86" s="199"/>
      <c r="D86" s="200"/>
      <c r="E86" s="201"/>
      <c r="F86" s="201"/>
      <c r="G86" s="451"/>
      <c r="H86" s="452"/>
      <c r="I86" s="563">
        <f>+Picklists!F4</f>
        <v>46113</v>
      </c>
      <c r="J86" s="693"/>
      <c r="K86" s="579"/>
    </row>
    <row r="87" spans="2:11" ht="15" customHeight="1" x14ac:dyDescent="0.35">
      <c r="B87" s="963" t="s">
        <v>440</v>
      </c>
      <c r="C87" s="964"/>
      <c r="D87" s="964"/>
      <c r="E87" s="508"/>
      <c r="F87" s="508"/>
      <c r="G87" s="508"/>
      <c r="H87" s="508"/>
      <c r="I87" s="202"/>
      <c r="J87" s="693"/>
      <c r="K87" s="579"/>
    </row>
    <row r="88" spans="2:11" ht="37.5" customHeight="1" x14ac:dyDescent="0.35">
      <c r="B88" s="453"/>
      <c r="C88" s="203"/>
      <c r="D88" s="203"/>
      <c r="E88" s="203"/>
      <c r="F88" s="203"/>
      <c r="G88" s="680" t="s">
        <v>441</v>
      </c>
      <c r="H88" s="680" t="s">
        <v>442</v>
      </c>
      <c r="I88" s="680" t="s">
        <v>443</v>
      </c>
      <c r="J88" s="693"/>
      <c r="K88" s="579"/>
    </row>
    <row r="89" spans="2:11" x14ac:dyDescent="0.35">
      <c r="B89" s="501">
        <v>1</v>
      </c>
      <c r="C89" s="965" t="s">
        <v>444</v>
      </c>
      <c r="D89" s="968">
        <f>COUNT(H89:H94)</f>
        <v>0</v>
      </c>
      <c r="E89" s="971" t="s">
        <v>445</v>
      </c>
      <c r="F89" s="681" t="str">
        <f t="shared" ref="F89:F94" si="2">IF(ISBLANK(G89),"",IF(I89&lt;$I$86,"Spent",IF(F88="SPENT",1,+F88+1)))</f>
        <v/>
      </c>
      <c r="G89" s="684"/>
      <c r="H89" s="683"/>
      <c r="I89" s="683"/>
      <c r="J89" s="693"/>
      <c r="K89" s="306"/>
    </row>
    <row r="90" spans="2:11" x14ac:dyDescent="0.35">
      <c r="B90" s="502"/>
      <c r="C90" s="966"/>
      <c r="D90" s="969"/>
      <c r="E90" s="971"/>
      <c r="F90" s="681" t="str">
        <f t="shared" si="2"/>
        <v/>
      </c>
      <c r="G90" s="684"/>
      <c r="H90" s="683"/>
      <c r="I90" s="683"/>
      <c r="J90" s="693"/>
      <c r="K90" s="306"/>
    </row>
    <row r="91" spans="2:11" x14ac:dyDescent="0.35">
      <c r="B91" s="502"/>
      <c r="C91" s="966"/>
      <c r="D91" s="969"/>
      <c r="E91" s="971"/>
      <c r="F91" s="681" t="str">
        <f t="shared" si="2"/>
        <v/>
      </c>
      <c r="G91" s="684"/>
      <c r="H91" s="683"/>
      <c r="I91" s="683"/>
      <c r="J91" s="693"/>
      <c r="K91" s="306"/>
    </row>
    <row r="92" spans="2:11" x14ac:dyDescent="0.35">
      <c r="B92" s="502"/>
      <c r="C92" s="966"/>
      <c r="D92" s="969"/>
      <c r="E92" s="971"/>
      <c r="F92" s="681" t="str">
        <f t="shared" si="2"/>
        <v/>
      </c>
      <c r="G92" s="684"/>
      <c r="H92" s="683"/>
      <c r="I92" s="683"/>
      <c r="J92" s="693"/>
      <c r="K92" s="306"/>
    </row>
    <row r="93" spans="2:11" ht="32.25" customHeight="1" x14ac:dyDescent="0.35">
      <c r="B93" s="502"/>
      <c r="C93" s="966"/>
      <c r="D93" s="969"/>
      <c r="E93" s="971"/>
      <c r="F93" s="681" t="str">
        <f t="shared" si="2"/>
        <v/>
      </c>
      <c r="G93" s="684"/>
      <c r="H93" s="683"/>
      <c r="I93" s="683"/>
      <c r="J93" s="693"/>
      <c r="K93" s="306"/>
    </row>
    <row r="94" spans="2:11" ht="34.5" customHeight="1" x14ac:dyDescent="0.35">
      <c r="B94" s="503"/>
      <c r="C94" s="967"/>
      <c r="D94" s="970"/>
      <c r="E94" s="972"/>
      <c r="F94" s="681" t="str">
        <f t="shared" si="2"/>
        <v/>
      </c>
      <c r="G94" s="684"/>
      <c r="H94" s="683"/>
      <c r="I94" s="683"/>
      <c r="J94" s="693"/>
      <c r="K94" s="306"/>
    </row>
    <row r="95" spans="2:11" ht="34.5" customHeight="1" x14ac:dyDescent="0.35">
      <c r="B95" s="502"/>
      <c r="C95" s="676"/>
      <c r="D95" s="677"/>
      <c r="E95" s="677"/>
      <c r="F95" s="681"/>
      <c r="G95" s="680" t="s">
        <v>441</v>
      </c>
      <c r="H95" s="680" t="s">
        <v>442</v>
      </c>
      <c r="I95" s="687" t="s">
        <v>446</v>
      </c>
      <c r="J95" s="693"/>
      <c r="K95" s="306"/>
    </row>
    <row r="96" spans="2:11" ht="25" x14ac:dyDescent="0.35">
      <c r="B96" s="975">
        <v>2</v>
      </c>
      <c r="C96" s="978" t="s">
        <v>447</v>
      </c>
      <c r="D96" s="968">
        <f>COUNT(H96:H101)</f>
        <v>0</v>
      </c>
      <c r="E96" s="1006" t="s">
        <v>445</v>
      </c>
      <c r="F96" s="681" t="e">
        <f>IF(ISBLANK(G96),"",IF(I96&lt;$I$86,"Spent",1))</f>
        <v>#VALUE!</v>
      </c>
      <c r="G96" s="684" t="s">
        <v>581</v>
      </c>
      <c r="H96" s="683" t="s">
        <v>809</v>
      </c>
      <c r="I96" s="685" t="e">
        <f t="shared" ref="I96:I101" si="3">IF(ISBLANK(H96),"",+H96+365*3)</f>
        <v>#VALUE!</v>
      </c>
      <c r="J96" s="693"/>
      <c r="K96" s="679"/>
    </row>
    <row r="97" spans="2:11" x14ac:dyDescent="0.35">
      <c r="B97" s="976"/>
      <c r="C97" s="966"/>
      <c r="D97" s="969"/>
      <c r="E97" s="971"/>
      <c r="F97" s="681" t="str">
        <f>IF(ISBLANK(G97),"",IF(I97&lt;$I$86,"Spent",IF(F96="SPENT",1,+F96+1)))</f>
        <v/>
      </c>
      <c r="G97" s="684"/>
      <c r="H97" s="683"/>
      <c r="I97" s="685" t="str">
        <f t="shared" si="3"/>
        <v/>
      </c>
      <c r="J97" s="693"/>
      <c r="K97" s="679"/>
    </row>
    <row r="98" spans="2:11" x14ac:dyDescent="0.35">
      <c r="B98" s="976"/>
      <c r="C98" s="966"/>
      <c r="D98" s="969"/>
      <c r="E98" s="971"/>
      <c r="F98" s="681" t="str">
        <f>IF(ISBLANK(G98),"",IF(K98&lt;$I$86,"Spent",IF(F97="SPENT",1,+F97+1)))</f>
        <v/>
      </c>
      <c r="G98" s="684"/>
      <c r="H98" s="683"/>
      <c r="I98" s="685" t="str">
        <f t="shared" si="3"/>
        <v/>
      </c>
      <c r="J98" s="693"/>
      <c r="K98" s="679"/>
    </row>
    <row r="99" spans="2:11" x14ac:dyDescent="0.35">
      <c r="B99" s="976"/>
      <c r="C99" s="966"/>
      <c r="D99" s="969"/>
      <c r="E99" s="971"/>
      <c r="F99" s="681" t="str">
        <f>IF(ISBLANK(G99),"",IF(K99&lt;$I$86,"Spent",IF(F98="SPENT",1,+F98+1)))</f>
        <v/>
      </c>
      <c r="G99" s="684"/>
      <c r="H99" s="683"/>
      <c r="I99" s="685" t="str">
        <f t="shared" si="3"/>
        <v/>
      </c>
      <c r="J99" s="693"/>
      <c r="K99" s="679"/>
    </row>
    <row r="100" spans="2:11" x14ac:dyDescent="0.35">
      <c r="B100" s="976"/>
      <c r="C100" s="966"/>
      <c r="D100" s="969"/>
      <c r="E100" s="971"/>
      <c r="F100" s="681" t="str">
        <f>IF(ISBLANK(G100),"",IF(K100&lt;$I$86,"Spent",IF(F99="SPENT",1,+F99+1)))</f>
        <v/>
      </c>
      <c r="G100" s="684"/>
      <c r="H100" s="683"/>
      <c r="I100" s="685" t="str">
        <f t="shared" si="3"/>
        <v/>
      </c>
      <c r="J100" s="693"/>
      <c r="K100" s="679"/>
    </row>
    <row r="101" spans="2:11" x14ac:dyDescent="0.35">
      <c r="B101" s="977"/>
      <c r="C101" s="967"/>
      <c r="D101" s="970"/>
      <c r="E101" s="972"/>
      <c r="F101" s="681" t="str">
        <f>IF(ISBLANK(G101),"",IF(K101&lt;$I$86,"Spent",IF(F100="SPENT",1,+F100+1)))</f>
        <v/>
      </c>
      <c r="G101" s="684"/>
      <c r="H101" s="683"/>
      <c r="I101" s="685" t="str">
        <f t="shared" si="3"/>
        <v/>
      </c>
      <c r="J101" s="693"/>
      <c r="K101" s="679"/>
    </row>
    <row r="102" spans="2:11" ht="26" x14ac:dyDescent="0.35">
      <c r="B102" s="502"/>
      <c r="C102" s="676"/>
      <c r="D102" s="677"/>
      <c r="E102" s="677"/>
      <c r="F102" s="681"/>
      <c r="G102" s="680" t="s">
        <v>441</v>
      </c>
      <c r="H102" s="680" t="s">
        <v>442</v>
      </c>
      <c r="I102" s="687" t="s">
        <v>448</v>
      </c>
      <c r="J102" s="693"/>
      <c r="K102" s="679"/>
    </row>
    <row r="103" spans="2:11" x14ac:dyDescent="0.35">
      <c r="B103" s="975">
        <v>3</v>
      </c>
      <c r="C103" s="978" t="s">
        <v>449</v>
      </c>
      <c r="D103" s="968">
        <f>COUNT(H103:H108)</f>
        <v>0</v>
      </c>
      <c r="E103" s="995" t="s">
        <v>450</v>
      </c>
      <c r="F103" s="681" t="str">
        <f>IF(ISBLANK(G103),"",IF(I103&lt;$I$86,"Spent",1))</f>
        <v/>
      </c>
      <c r="G103" s="684"/>
      <c r="H103" s="683"/>
      <c r="I103" s="685" t="str">
        <f t="shared" ref="I103:I108" si="4">IF(ISBLANK(H103),"",+H103+365*3)</f>
        <v/>
      </c>
      <c r="J103" s="693"/>
      <c r="K103" s="679"/>
    </row>
    <row r="104" spans="2:11" x14ac:dyDescent="0.35">
      <c r="B104" s="976"/>
      <c r="C104" s="966"/>
      <c r="D104" s="969"/>
      <c r="E104" s="996"/>
      <c r="F104" s="681" t="str">
        <f>IF(ISBLANK(G104),"",IF(I104&lt;$I$86,"Spent",IF(F102="SPENT",1,1)))</f>
        <v/>
      </c>
      <c r="G104" s="684"/>
      <c r="H104" s="683"/>
      <c r="I104" s="685" t="str">
        <f t="shared" si="4"/>
        <v/>
      </c>
      <c r="J104" s="693"/>
      <c r="K104" s="679"/>
    </row>
    <row r="105" spans="2:11" x14ac:dyDescent="0.35">
      <c r="B105" s="976"/>
      <c r="C105" s="966"/>
      <c r="D105" s="969"/>
      <c r="E105" s="996"/>
      <c r="F105" s="681" t="str">
        <f>IF(ISBLANK(G105),"",IF(I105&lt;$I$86,"Spent",IF(F103="SPENT",1,1)))</f>
        <v/>
      </c>
      <c r="G105" s="684"/>
      <c r="H105" s="683"/>
      <c r="I105" s="685" t="str">
        <f t="shared" si="4"/>
        <v/>
      </c>
      <c r="J105" s="693"/>
      <c r="K105" s="679"/>
    </row>
    <row r="106" spans="2:11" x14ac:dyDescent="0.35">
      <c r="B106" s="976"/>
      <c r="C106" s="966"/>
      <c r="D106" s="969"/>
      <c r="E106" s="996"/>
      <c r="F106" s="681" t="str">
        <f>IF(ISBLANK(G106),"",IF(I106&lt;$I$86,"Spent",IF(F104="SPENT",1,1)))</f>
        <v/>
      </c>
      <c r="G106" s="684"/>
      <c r="H106" s="683"/>
      <c r="I106" s="685" t="str">
        <f t="shared" si="4"/>
        <v/>
      </c>
      <c r="J106" s="693"/>
      <c r="K106" s="679"/>
    </row>
    <row r="107" spans="2:11" x14ac:dyDescent="0.35">
      <c r="B107" s="976"/>
      <c r="C107" s="966"/>
      <c r="D107" s="969"/>
      <c r="E107" s="996"/>
      <c r="F107" s="681" t="str">
        <f>IF(ISBLANK(G107),"",IF(I107&lt;$I$86,"Spent",IF(F105="SPENT",1,1)))</f>
        <v/>
      </c>
      <c r="G107" s="684"/>
      <c r="H107" s="683"/>
      <c r="I107" s="685" t="str">
        <f t="shared" si="4"/>
        <v/>
      </c>
      <c r="J107" s="693"/>
      <c r="K107" s="679"/>
    </row>
    <row r="108" spans="2:11" x14ac:dyDescent="0.35">
      <c r="B108" s="977"/>
      <c r="C108" s="967"/>
      <c r="D108" s="970"/>
      <c r="E108" s="997"/>
      <c r="F108" s="681" t="str">
        <f>IF(ISBLANK(G108),"",IF(I108&lt;$I$86,"Spent",IF(F106="SPENT",1,1)))</f>
        <v/>
      </c>
      <c r="G108" s="684"/>
      <c r="H108" s="683"/>
      <c r="I108" s="685" t="str">
        <f t="shared" si="4"/>
        <v/>
      </c>
      <c r="J108" s="693"/>
      <c r="K108" s="679"/>
    </row>
    <row r="109" spans="2:11" ht="39" x14ac:dyDescent="0.35">
      <c r="B109" s="502"/>
      <c r="C109" s="676"/>
      <c r="D109" s="678"/>
      <c r="E109" s="678"/>
      <c r="F109" s="681"/>
      <c r="G109" s="686" t="s">
        <v>451</v>
      </c>
      <c r="H109" s="682" t="s">
        <v>452</v>
      </c>
      <c r="I109" s="687" t="s">
        <v>453</v>
      </c>
      <c r="J109" s="693"/>
      <c r="K109" s="679"/>
    </row>
    <row r="110" spans="2:11" x14ac:dyDescent="0.35">
      <c r="B110" s="975">
        <v>4</v>
      </c>
      <c r="C110" s="978" t="s">
        <v>454</v>
      </c>
      <c r="D110" s="968">
        <f>COUNT(I110:I115)</f>
        <v>0</v>
      </c>
      <c r="E110" s="995" t="s">
        <v>455</v>
      </c>
      <c r="F110" s="681" t="str">
        <f>IF(ISBLANK(G110),"",IF(I110&lt;$I$86,"Spent",IF(F108="SPENT",1,1)))</f>
        <v/>
      </c>
      <c r="G110" s="684"/>
      <c r="H110" s="683"/>
      <c r="I110" s="685" t="str">
        <f t="shared" ref="I110:I115" si="5">IF(ISBLANK(H110),"",+H110+365*5)</f>
        <v/>
      </c>
      <c r="J110" s="693"/>
    </row>
    <row r="111" spans="2:11" x14ac:dyDescent="0.35">
      <c r="B111" s="976"/>
      <c r="C111" s="966"/>
      <c r="D111" s="969"/>
      <c r="E111" s="996"/>
      <c r="F111" s="681" t="str">
        <f>IF(ISBLANK(G111),"",IF(I111&lt;$I$86,"Spent",IF(F110="SPENT",1,+F110+1)))</f>
        <v/>
      </c>
      <c r="G111" s="684"/>
      <c r="H111" s="683"/>
      <c r="I111" s="685" t="str">
        <f t="shared" si="5"/>
        <v/>
      </c>
      <c r="J111" s="693"/>
      <c r="K111" s="679"/>
    </row>
    <row r="112" spans="2:11" x14ac:dyDescent="0.35">
      <c r="B112" s="976"/>
      <c r="C112" s="966"/>
      <c r="D112" s="969"/>
      <c r="E112" s="996"/>
      <c r="F112" s="681" t="str">
        <f>IF(ISBLANK(G112),"",IF(K112&lt;$I$86,"Spent",IF(F111="SPENT",1,+F111+1)))</f>
        <v/>
      </c>
      <c r="G112" s="684"/>
      <c r="H112" s="683"/>
      <c r="I112" s="685" t="str">
        <f t="shared" si="5"/>
        <v/>
      </c>
      <c r="J112" s="693"/>
      <c r="K112" s="679"/>
    </row>
    <row r="113" spans="2:11" x14ac:dyDescent="0.35">
      <c r="B113" s="976"/>
      <c r="C113" s="966"/>
      <c r="D113" s="969"/>
      <c r="E113" s="996"/>
      <c r="F113" s="681" t="str">
        <f>IF(ISBLANK(G113),"",IF(K113&lt;$I$86,"Spent",IF(F112="SPENT",1,+F112+1)))</f>
        <v/>
      </c>
      <c r="G113" s="684"/>
      <c r="H113" s="683"/>
      <c r="I113" s="685" t="str">
        <f t="shared" si="5"/>
        <v/>
      </c>
      <c r="J113" s="590"/>
      <c r="K113" s="679"/>
    </row>
    <row r="114" spans="2:11" ht="18.75" customHeight="1" x14ac:dyDescent="0.35">
      <c r="B114" s="976"/>
      <c r="C114" s="966"/>
      <c r="D114" s="969"/>
      <c r="E114" s="996"/>
      <c r="F114" s="681" t="str">
        <f>IF(ISBLANK(G114),"",IF(K114&lt;$I$86,"Spent",IF(F113="SPENT",1,+F113+1)))</f>
        <v/>
      </c>
      <c r="G114" s="684"/>
      <c r="H114" s="683"/>
      <c r="I114" s="685" t="str">
        <f t="shared" si="5"/>
        <v/>
      </c>
      <c r="J114" s="590"/>
      <c r="K114" s="679"/>
    </row>
    <row r="115" spans="2:11" ht="53.15" customHeight="1" x14ac:dyDescent="0.35">
      <c r="B115" s="977"/>
      <c r="C115" s="967"/>
      <c r="D115" s="970"/>
      <c r="E115" s="997"/>
      <c r="F115" s="681" t="str">
        <f>IF(ISBLANK(G115),"",IF(K115&lt;$I$86,"Spent",IF(F114="SPENT",1,+F114+1)))</f>
        <v/>
      </c>
      <c r="G115" s="684"/>
      <c r="H115" s="683"/>
      <c r="I115" s="685" t="str">
        <f t="shared" si="5"/>
        <v/>
      </c>
      <c r="J115" s="590"/>
      <c r="K115" s="679"/>
    </row>
    <row r="116" spans="2:11" x14ac:dyDescent="0.35">
      <c r="B116" s="998"/>
      <c r="C116" s="1000"/>
      <c r="D116" s="1001">
        <v>0</v>
      </c>
      <c r="E116" s="971"/>
      <c r="F116" s="209"/>
      <c r="G116" s="207"/>
      <c r="H116" s="208"/>
      <c r="I116" s="208"/>
      <c r="J116" s="693"/>
    </row>
    <row r="117" spans="2:11" x14ac:dyDescent="0.35">
      <c r="B117" s="999"/>
      <c r="C117" s="966"/>
      <c r="D117" s="1002"/>
      <c r="E117" s="971"/>
      <c r="F117" s="204"/>
      <c r="G117" s="205"/>
      <c r="H117" s="206"/>
      <c r="I117" s="564"/>
      <c r="J117" s="693"/>
    </row>
    <row r="118" spans="2:11" x14ac:dyDescent="0.35">
      <c r="B118" s="999"/>
      <c r="C118" s="966"/>
      <c r="D118" s="1002"/>
      <c r="E118" s="971"/>
      <c r="F118" s="204"/>
      <c r="G118" s="205"/>
      <c r="H118" s="206"/>
      <c r="I118" s="564"/>
      <c r="J118" s="693"/>
    </row>
    <row r="119" spans="2:11" x14ac:dyDescent="0.35">
      <c r="B119" s="999"/>
      <c r="C119" s="966"/>
      <c r="D119" s="1002"/>
      <c r="E119" s="971"/>
      <c r="F119" s="204"/>
      <c r="G119" s="205"/>
      <c r="H119" s="206"/>
      <c r="I119" s="564"/>
      <c r="J119" s="693"/>
    </row>
    <row r="120" spans="2:11" x14ac:dyDescent="0.35">
      <c r="B120" s="999"/>
      <c r="C120" s="966"/>
      <c r="D120" s="1002"/>
      <c r="E120" s="971"/>
      <c r="F120" s="204"/>
      <c r="G120" s="205"/>
      <c r="H120" s="206"/>
      <c r="I120" s="564"/>
      <c r="J120" s="693"/>
    </row>
    <row r="121" spans="2:11" x14ac:dyDescent="0.35">
      <c r="B121" s="999"/>
      <c r="C121" s="966"/>
      <c r="D121" s="505"/>
      <c r="E121" s="972"/>
      <c r="F121" s="204"/>
      <c r="G121" s="210"/>
      <c r="H121" s="211"/>
      <c r="I121" s="565"/>
      <c r="J121" s="693"/>
    </row>
    <row r="122" spans="2:11" x14ac:dyDescent="0.35">
      <c r="B122" s="454"/>
      <c r="C122" s="212"/>
      <c r="D122" s="241"/>
      <c r="E122" s="213"/>
      <c r="F122" s="176"/>
      <c r="G122" s="214"/>
      <c r="H122" s="214"/>
      <c r="I122" s="214"/>
      <c r="J122" s="693"/>
    </row>
    <row r="123" spans="2:11" x14ac:dyDescent="0.35">
      <c r="B123" s="455"/>
      <c r="C123" s="215" t="s">
        <v>456</v>
      </c>
      <c r="D123" s="216"/>
      <c r="E123" s="215"/>
      <c r="F123" s="217"/>
      <c r="G123" s="218"/>
      <c r="H123" s="219"/>
      <c r="I123" s="219"/>
      <c r="J123" s="693"/>
    </row>
    <row r="124" spans="2:11" x14ac:dyDescent="0.35">
      <c r="B124" s="456"/>
      <c r="C124" s="220"/>
      <c r="D124" s="221" t="s">
        <v>457</v>
      </c>
      <c r="E124" s="221" t="s">
        <v>458</v>
      </c>
      <c r="F124" s="222" t="s">
        <v>459</v>
      </c>
      <c r="G124" s="223" t="s">
        <v>320</v>
      </c>
      <c r="H124" s="457"/>
      <c r="I124" s="457"/>
      <c r="J124" s="693"/>
    </row>
    <row r="125" spans="2:11" x14ac:dyDescent="0.35">
      <c r="B125" s="458">
        <v>1</v>
      </c>
      <c r="C125" s="224" t="s">
        <v>460</v>
      </c>
      <c r="D125" s="255">
        <f>COUNT(H89:H94)</f>
        <v>0</v>
      </c>
      <c r="E125" s="255">
        <f>COUNTIF(F89:F94,"SPENT")</f>
        <v>0</v>
      </c>
      <c r="F125" s="256">
        <f>+D125-E125</f>
        <v>0</v>
      </c>
      <c r="G125" s="261">
        <f>IF(F125=1,-5,(IF(F125=2,-10,(IF(F125&gt;2,-40,)))))</f>
        <v>0</v>
      </c>
      <c r="H125" s="985"/>
      <c r="I125" s="986"/>
      <c r="J125" s="693"/>
    </row>
    <row r="126" spans="2:11" x14ac:dyDescent="0.35">
      <c r="B126" s="458">
        <v>2</v>
      </c>
      <c r="C126" s="224" t="s">
        <v>461</v>
      </c>
      <c r="D126" s="255">
        <f>COUNT(H96:H101)</f>
        <v>0</v>
      </c>
      <c r="E126" s="255">
        <f>COUNTIF(F96:F101,"SPENT")</f>
        <v>0</v>
      </c>
      <c r="F126" s="256">
        <f>+D126-E126</f>
        <v>0</v>
      </c>
      <c r="G126" s="261">
        <f>IF(F126=1,-5,(IF(F126=2,-10,(IF(F126&gt;2,-40,)))))</f>
        <v>0</v>
      </c>
      <c r="H126" s="985"/>
      <c r="I126" s="986"/>
      <c r="J126" s="693"/>
    </row>
    <row r="127" spans="2:11" x14ac:dyDescent="0.35">
      <c r="B127" s="458">
        <v>3</v>
      </c>
      <c r="C127" s="225" t="s">
        <v>462</v>
      </c>
      <c r="D127" s="255">
        <f>COUNT(H103:H108)</f>
        <v>0</v>
      </c>
      <c r="E127" s="255">
        <f>COUNTIF(F103:F108,"SPENT")</f>
        <v>0</v>
      </c>
      <c r="F127" s="256">
        <f>+D127-E127</f>
        <v>0</v>
      </c>
      <c r="G127" s="261">
        <f>IF(F127=1,-10,(IF(F127=2,-40,(IF(F127&gt;2,-40,)))))</f>
        <v>0</v>
      </c>
      <c r="H127" s="457"/>
      <c r="I127" s="457"/>
      <c r="J127" s="693"/>
    </row>
    <row r="128" spans="2:11" x14ac:dyDescent="0.35">
      <c r="B128" s="458">
        <v>4</v>
      </c>
      <c r="C128" s="224" t="s">
        <v>463</v>
      </c>
      <c r="D128" s="255">
        <f>+D110</f>
        <v>0</v>
      </c>
      <c r="E128" s="255">
        <f>COUNTIF(F110:F115,"SPENT")</f>
        <v>0</v>
      </c>
      <c r="F128" s="256">
        <f>+D128-E128</f>
        <v>0</v>
      </c>
      <c r="G128" s="261">
        <f>IF(F128=1,-15,(IF(F128=2,-40,(IF(F128&gt;2,-40,)))))</f>
        <v>0</v>
      </c>
      <c r="H128" s="457"/>
      <c r="I128" s="457"/>
      <c r="J128" s="693"/>
    </row>
    <row r="129" spans="2:10" x14ac:dyDescent="0.35">
      <c r="B129" s="459"/>
      <c r="C129" s="226"/>
      <c r="D129" s="227"/>
      <c r="E129" s="228"/>
      <c r="F129" s="228"/>
      <c r="G129" s="227"/>
      <c r="H129" s="229"/>
      <c r="I129" s="229"/>
      <c r="J129" s="693"/>
    </row>
    <row r="130" spans="2:10" x14ac:dyDescent="0.35">
      <c r="B130" s="460"/>
      <c r="C130" s="257"/>
      <c r="D130" s="258"/>
      <c r="E130" s="259"/>
      <c r="F130" s="259"/>
      <c r="G130" s="263">
        <f>SUM(G125:G128)</f>
        <v>0</v>
      </c>
      <c r="H130" s="260" t="s">
        <v>464</v>
      </c>
      <c r="I130" s="260"/>
      <c r="J130" s="693"/>
    </row>
    <row r="131" spans="2:10" x14ac:dyDescent="0.35">
      <c r="B131" s="461"/>
      <c r="C131" s="230" t="s">
        <v>465</v>
      </c>
      <c r="D131" s="231"/>
      <c r="E131" s="231"/>
      <c r="F131" s="232"/>
      <c r="G131" s="262">
        <f>IF(G130&gt;-40,G130,-40)</f>
        <v>0</v>
      </c>
      <c r="H131" s="230" t="s">
        <v>466</v>
      </c>
      <c r="I131" s="230"/>
      <c r="J131" s="693"/>
    </row>
    <row r="132" spans="2:10" x14ac:dyDescent="0.35">
      <c r="B132" s="462"/>
      <c r="C132" s="463"/>
      <c r="D132" s="464"/>
      <c r="E132" s="465"/>
      <c r="F132" s="463"/>
      <c r="G132" s="463"/>
      <c r="H132" s="463"/>
      <c r="I132" s="463"/>
      <c r="J132" s="693"/>
    </row>
    <row r="133" spans="2:10" x14ac:dyDescent="0.35">
      <c r="B133" s="462"/>
      <c r="C133" s="463"/>
      <c r="D133" s="464"/>
      <c r="E133" s="465"/>
      <c r="F133" s="463"/>
      <c r="G133" s="463"/>
      <c r="H133" s="463"/>
      <c r="I133" s="463"/>
      <c r="J133" s="693"/>
    </row>
    <row r="134" spans="2:10" x14ac:dyDescent="0.35">
      <c r="B134" s="462"/>
      <c r="C134" s="463"/>
      <c r="D134" s="464"/>
      <c r="E134" s="465"/>
      <c r="F134" s="463"/>
      <c r="G134" s="463"/>
      <c r="H134" s="463"/>
      <c r="I134" s="463"/>
      <c r="J134" s="693"/>
    </row>
    <row r="135" spans="2:10" x14ac:dyDescent="0.35">
      <c r="B135" s="462"/>
      <c r="C135" s="463"/>
      <c r="D135" s="464"/>
      <c r="E135" s="465"/>
      <c r="F135" s="463"/>
      <c r="G135" s="463"/>
      <c r="H135" s="463"/>
      <c r="I135" s="463"/>
      <c r="J135" s="693"/>
    </row>
    <row r="136" spans="2:10" x14ac:dyDescent="0.35">
      <c r="B136" s="987"/>
      <c r="C136" s="988"/>
      <c r="D136" s="464"/>
      <c r="E136" s="465"/>
      <c r="F136" s="463"/>
      <c r="G136" s="463"/>
      <c r="H136" s="463"/>
      <c r="I136" s="463"/>
      <c r="J136" s="693"/>
    </row>
    <row r="137" spans="2:10" x14ac:dyDescent="0.35">
      <c r="B137" s="987"/>
      <c r="C137" s="988"/>
      <c r="D137" s="464"/>
      <c r="E137" s="465"/>
      <c r="F137" s="463"/>
      <c r="G137" s="463"/>
      <c r="H137" s="463"/>
      <c r="I137" s="463"/>
      <c r="J137" s="693"/>
    </row>
    <row r="138" spans="2:10" x14ac:dyDescent="0.35">
      <c r="B138" s="462"/>
      <c r="C138" s="463"/>
      <c r="D138" s="464"/>
      <c r="E138" s="465"/>
      <c r="F138" s="463"/>
      <c r="G138" s="463"/>
      <c r="H138" s="463"/>
      <c r="I138" s="463"/>
      <c r="J138" s="693"/>
    </row>
    <row r="139" spans="2:10" x14ac:dyDescent="0.35">
      <c r="B139" s="462"/>
      <c r="C139" s="463"/>
      <c r="D139" s="464"/>
      <c r="E139" s="465"/>
      <c r="F139" s="463"/>
      <c r="G139" s="463"/>
      <c r="H139" s="463"/>
      <c r="I139" s="463"/>
      <c r="J139" s="693"/>
    </row>
    <row r="140" spans="2:10" x14ac:dyDescent="0.35">
      <c r="B140" s="462"/>
      <c r="C140" s="463"/>
      <c r="D140" s="464"/>
      <c r="E140" s="465"/>
      <c r="F140" s="463"/>
      <c r="G140" s="463"/>
      <c r="H140" s="463"/>
      <c r="I140" s="463"/>
      <c r="J140" s="693"/>
    </row>
    <row r="141" spans="2:10" x14ac:dyDescent="0.35">
      <c r="B141" s="462"/>
      <c r="C141" s="463"/>
      <c r="D141" s="464"/>
      <c r="E141" s="465"/>
      <c r="F141" s="463"/>
      <c r="G141" s="463"/>
      <c r="H141" s="463"/>
      <c r="I141" s="463"/>
      <c r="J141" s="693"/>
    </row>
    <row r="142" spans="2:10" x14ac:dyDescent="0.35">
      <c r="B142" s="462"/>
      <c r="C142" s="463"/>
      <c r="D142" s="464"/>
      <c r="E142" s="465"/>
      <c r="F142" s="463"/>
      <c r="G142" s="463"/>
      <c r="H142" s="463"/>
      <c r="I142" s="463"/>
      <c r="J142" s="693"/>
    </row>
    <row r="143" spans="2:10" x14ac:dyDescent="0.35">
      <c r="B143" s="462"/>
      <c r="C143" s="463"/>
      <c r="D143" s="464"/>
      <c r="E143" s="465"/>
      <c r="F143" s="463"/>
      <c r="G143" s="463"/>
      <c r="H143" s="463"/>
      <c r="I143" s="463"/>
      <c r="J143" s="693"/>
    </row>
    <row r="144" spans="2:10" x14ac:dyDescent="0.35">
      <c r="B144" s="462"/>
      <c r="C144" s="463"/>
      <c r="D144" s="464"/>
      <c r="E144" s="465"/>
      <c r="F144" s="463"/>
      <c r="G144" s="463"/>
      <c r="H144" s="463"/>
      <c r="I144" s="463"/>
      <c r="J144" s="693"/>
    </row>
    <row r="145" spans="2:10" x14ac:dyDescent="0.35">
      <c r="B145" s="462"/>
      <c r="C145" s="463"/>
      <c r="D145" s="464"/>
      <c r="E145" s="465"/>
      <c r="F145" s="463"/>
      <c r="G145" s="463"/>
      <c r="H145" s="463"/>
      <c r="I145" s="463"/>
      <c r="J145" s="693"/>
    </row>
    <row r="146" spans="2:10" x14ac:dyDescent="0.35">
      <c r="B146" s="462"/>
      <c r="C146" s="463"/>
      <c r="D146" s="464"/>
      <c r="E146" s="465"/>
      <c r="F146" s="463"/>
      <c r="G146" s="463"/>
      <c r="H146" s="463"/>
      <c r="I146" s="463"/>
      <c r="J146" s="693"/>
    </row>
    <row r="147" spans="2:10" x14ac:dyDescent="0.35">
      <c r="B147" s="462"/>
      <c r="C147" s="463"/>
      <c r="D147" s="464"/>
      <c r="E147" s="465"/>
      <c r="F147" s="463"/>
      <c r="G147" s="463"/>
      <c r="H147" s="463"/>
      <c r="I147" s="463"/>
      <c r="J147" s="693"/>
    </row>
    <row r="148" spans="2:10" x14ac:dyDescent="0.35">
      <c r="B148" s="462"/>
      <c r="C148" s="463"/>
      <c r="D148" s="464"/>
      <c r="E148" s="465"/>
      <c r="F148" s="463"/>
      <c r="G148" s="463"/>
      <c r="H148" s="463"/>
      <c r="I148" s="463"/>
      <c r="J148" s="693"/>
    </row>
    <row r="149" spans="2:10" x14ac:dyDescent="0.35">
      <c r="B149" s="462"/>
      <c r="C149" s="463"/>
      <c r="D149" s="464"/>
      <c r="E149" s="465"/>
      <c r="F149" s="463"/>
      <c r="G149" s="463"/>
      <c r="H149" s="463"/>
      <c r="I149" s="463"/>
      <c r="J149" s="693"/>
    </row>
    <row r="150" spans="2:10" x14ac:dyDescent="0.35">
      <c r="B150" s="462"/>
      <c r="C150" s="463"/>
      <c r="D150" s="464"/>
      <c r="E150" s="465"/>
      <c r="F150" s="463"/>
      <c r="G150" s="463"/>
      <c r="H150" s="463"/>
      <c r="I150" s="463"/>
      <c r="J150" s="693"/>
    </row>
    <row r="151" spans="2:10" x14ac:dyDescent="0.35">
      <c r="B151" s="462"/>
      <c r="C151" s="463"/>
      <c r="D151" s="464"/>
      <c r="E151" s="465"/>
      <c r="F151" s="463"/>
      <c r="G151" s="463"/>
      <c r="H151" s="463"/>
      <c r="I151" s="463"/>
      <c r="J151" s="693"/>
    </row>
    <row r="152" spans="2:10" x14ac:dyDescent="0.35">
      <c r="B152" s="462"/>
      <c r="C152" s="463"/>
      <c r="D152" s="464"/>
      <c r="E152" s="465"/>
      <c r="F152" s="463"/>
      <c r="G152" s="463"/>
      <c r="H152" s="463"/>
      <c r="I152" s="463"/>
      <c r="J152" s="693"/>
    </row>
    <row r="153" spans="2:10" x14ac:dyDescent="0.35">
      <c r="B153" s="462"/>
      <c r="C153" s="463"/>
      <c r="D153" s="464"/>
      <c r="E153" s="465"/>
      <c r="F153" s="463"/>
      <c r="G153" s="463"/>
      <c r="H153" s="463"/>
      <c r="I153" s="463"/>
      <c r="J153" s="693"/>
    </row>
    <row r="154" spans="2:10" ht="32.25" customHeight="1" x14ac:dyDescent="0.35">
      <c r="B154" s="462"/>
      <c r="C154" s="463"/>
      <c r="D154" s="464"/>
      <c r="E154" s="465"/>
      <c r="F154" s="463"/>
      <c r="G154" s="463"/>
      <c r="H154" s="233"/>
      <c r="I154" s="463"/>
      <c r="J154" s="693"/>
    </row>
    <row r="155" spans="2:10" ht="33.75" customHeight="1" x14ac:dyDescent="0.35">
      <c r="B155" s="1003" t="s">
        <v>467</v>
      </c>
      <c r="C155" s="1004"/>
      <c r="D155" s="1004"/>
      <c r="E155" s="1004"/>
      <c r="F155" s="1005"/>
      <c r="G155" s="264" t="s">
        <v>468</v>
      </c>
      <c r="H155" s="265" t="str">
        <f>IF(I168&gt;8,"A",(IF(I168&gt;6,"B",(IF(I168&gt;4,"C",(IF(I168&gt;2,"D","E")))))))</f>
        <v>A</v>
      </c>
      <c r="I155" s="566"/>
      <c r="J155" s="693"/>
    </row>
    <row r="156" spans="2:10" x14ac:dyDescent="0.35">
      <c r="B156" s="462"/>
      <c r="C156" s="463"/>
      <c r="D156" s="464"/>
      <c r="E156" s="465"/>
      <c r="F156" s="463"/>
      <c r="G156" s="466"/>
      <c r="H156" s="234"/>
      <c r="I156" s="567"/>
      <c r="J156" s="693"/>
    </row>
    <row r="157" spans="2:10" x14ac:dyDescent="0.35">
      <c r="B157" s="467"/>
      <c r="C157" s="989" t="s">
        <v>469</v>
      </c>
      <c r="D157" s="991" t="str">
        <f>+Introduction!E10</f>
        <v>Tradebe Healthcare National Limited</v>
      </c>
      <c r="E157" s="991"/>
      <c r="F157" s="991"/>
      <c r="G157" s="989" t="s">
        <v>470</v>
      </c>
      <c r="H157" s="993" t="str">
        <f>+Introduction!K10</f>
        <v>EPR/WP3636ZG</v>
      </c>
      <c r="I157" s="568"/>
      <c r="J157" s="693"/>
    </row>
    <row r="158" spans="2:10" x14ac:dyDescent="0.35">
      <c r="B158" s="468"/>
      <c r="C158" s="990"/>
      <c r="D158" s="992"/>
      <c r="E158" s="992"/>
      <c r="F158" s="992"/>
      <c r="G158" s="990"/>
      <c r="H158" s="994"/>
      <c r="I158" s="568"/>
      <c r="J158" s="693"/>
    </row>
    <row r="159" spans="2:10" x14ac:dyDescent="0.35">
      <c r="B159" s="462"/>
      <c r="C159" s="463"/>
      <c r="D159" s="464"/>
      <c r="E159" s="465"/>
      <c r="F159" s="463"/>
      <c r="G159" s="463"/>
      <c r="H159" s="463"/>
      <c r="I159" s="463"/>
      <c r="J159" s="693"/>
    </row>
    <row r="160" spans="2:10" x14ac:dyDescent="0.35">
      <c r="B160" s="462"/>
      <c r="C160" s="233"/>
      <c r="D160" s="235"/>
      <c r="E160" s="236"/>
      <c r="F160" s="233"/>
      <c r="G160" s="233"/>
      <c r="H160" s="233"/>
      <c r="I160" s="463"/>
      <c r="J160" s="575"/>
    </row>
    <row r="161" spans="2:12" x14ac:dyDescent="0.35">
      <c r="B161" s="462"/>
      <c r="C161" s="237" t="s">
        <v>471</v>
      </c>
      <c r="D161" s="238"/>
      <c r="E161" s="238"/>
      <c r="F161" s="238"/>
      <c r="G161" s="238"/>
      <c r="H161" s="238"/>
      <c r="I161" s="238"/>
      <c r="J161" s="573"/>
    </row>
    <row r="162" spans="2:12" ht="39" x14ac:dyDescent="0.35">
      <c r="B162" s="462"/>
      <c r="C162" s="578" t="s">
        <v>472</v>
      </c>
      <c r="D162" s="576" t="s">
        <v>473</v>
      </c>
      <c r="E162" s="578" t="s">
        <v>474</v>
      </c>
      <c r="F162" s="578" t="s">
        <v>475</v>
      </c>
      <c r="G162" s="578" t="s">
        <v>476</v>
      </c>
      <c r="H162" s="576" t="s">
        <v>477</v>
      </c>
      <c r="I162" s="577" t="s">
        <v>478</v>
      </c>
      <c r="J162" s="582" t="s">
        <v>479</v>
      </c>
    </row>
    <row r="163" spans="2:12" x14ac:dyDescent="0.35">
      <c r="B163" s="462"/>
      <c r="C163" s="301" t="s">
        <v>480</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35">
      <c r="B164" s="462"/>
      <c r="C164" s="302" t="s">
        <v>481</v>
      </c>
      <c r="D164" s="239">
        <v>17</v>
      </c>
      <c r="E164" s="277">
        <f>+F40</f>
        <v>17</v>
      </c>
      <c r="F164" s="281">
        <f>+E164/D164*100</f>
        <v>100</v>
      </c>
      <c r="G164" s="278">
        <f>+E164/D164*10</f>
        <v>10</v>
      </c>
      <c r="H164" s="279">
        <v>20</v>
      </c>
      <c r="I164" s="569">
        <f>+G164*H164/100</f>
        <v>2</v>
      </c>
      <c r="J164" s="583" t="str">
        <f>IF(OR(D26=0,D29=0,D30=0,D31=0,D32=0,D33=0,D34=0,D36=0,D37=0,D38=0,D39=0),"Incomplete","Complete")</f>
        <v>Complete</v>
      </c>
    </row>
    <row r="165" spans="2:12" x14ac:dyDescent="0.35">
      <c r="B165" s="462"/>
      <c r="C165" s="302" t="s">
        <v>482</v>
      </c>
      <c r="D165" s="239">
        <v>12</v>
      </c>
      <c r="E165" s="280">
        <f>+F59</f>
        <v>12</v>
      </c>
      <c r="F165" s="281">
        <f>+E165/D165*100</f>
        <v>100</v>
      </c>
      <c r="G165" s="278">
        <f>+E165/D165*10</f>
        <v>10</v>
      </c>
      <c r="H165" s="279">
        <v>20</v>
      </c>
      <c r="I165" s="569">
        <f>+G165*H165/100</f>
        <v>2</v>
      </c>
      <c r="J165" s="583" t="str">
        <f>IF(OR(D51=0,D52=0,D53=0,D54=0,D55=0,D56=0,D57=0,D58=0),"Incomplete","Complete")</f>
        <v>Complete</v>
      </c>
      <c r="K165" s="579" t="s">
        <v>483</v>
      </c>
      <c r="L165" s="579"/>
    </row>
    <row r="166" spans="2:12" ht="41.25" customHeight="1" x14ac:dyDescent="0.35">
      <c r="B166" s="462"/>
      <c r="C166" s="303" t="s">
        <v>484</v>
      </c>
      <c r="D166" s="286">
        <v>20</v>
      </c>
      <c r="E166" s="287">
        <f>+F85</f>
        <v>27</v>
      </c>
      <c r="F166" s="288">
        <f>+E166/D166*100</f>
        <v>135</v>
      </c>
      <c r="G166" s="289">
        <f>+E166/D166*10</f>
        <v>13.5</v>
      </c>
      <c r="H166" s="289">
        <v>40</v>
      </c>
      <c r="I166" s="570">
        <f>+G166*H166/100</f>
        <v>5.4</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Complete</v>
      </c>
    </row>
    <row r="167" spans="2:12" x14ac:dyDescent="0.35">
      <c r="B167" s="462"/>
      <c r="C167" s="225" t="s">
        <v>485</v>
      </c>
      <c r="D167" s="239">
        <v>-40</v>
      </c>
      <c r="E167" s="277">
        <f>+G130</f>
        <v>0</v>
      </c>
      <c r="F167" s="281">
        <f>+E167/D167*100</f>
        <v>0</v>
      </c>
      <c r="G167" s="278">
        <f>+E167/D167*10</f>
        <v>0</v>
      </c>
      <c r="H167" s="279">
        <v>-40</v>
      </c>
      <c r="I167" s="569">
        <f>+G167*H167/100</f>
        <v>0</v>
      </c>
      <c r="J167" s="585"/>
    </row>
    <row r="168" spans="2:12" x14ac:dyDescent="0.35">
      <c r="B168" s="462"/>
      <c r="C168" s="240" t="s">
        <v>486</v>
      </c>
      <c r="D168" s="241"/>
      <c r="E168" s="241"/>
      <c r="F168" s="241"/>
      <c r="G168" s="241"/>
      <c r="H168" s="242"/>
      <c r="I168" s="571">
        <f>SUM(I163:I167)</f>
        <v>11.4</v>
      </c>
      <c r="J168" s="586"/>
    </row>
    <row r="169" spans="2:12" x14ac:dyDescent="0.35">
      <c r="B169" s="462"/>
      <c r="C169" s="457"/>
      <c r="D169" s="469"/>
      <c r="E169" s="470"/>
      <c r="F169" s="470"/>
      <c r="G169" s="470"/>
      <c r="H169" s="470"/>
      <c r="I169" s="470"/>
      <c r="J169" s="395"/>
    </row>
    <row r="170" spans="2:12" x14ac:dyDescent="0.35">
      <c r="B170" s="416"/>
      <c r="C170" s="417"/>
      <c r="D170" s="417"/>
      <c r="E170" s="417"/>
      <c r="F170" s="417"/>
      <c r="G170" s="417"/>
      <c r="H170" s="417"/>
      <c r="I170" s="417"/>
      <c r="J170" s="395"/>
    </row>
    <row r="171" spans="2:12" ht="15" thickBot="1" x14ac:dyDescent="0.4">
      <c r="B171" s="471"/>
      <c r="C171" s="243"/>
      <c r="D171" s="243"/>
      <c r="E171" s="243"/>
      <c r="F171" s="243"/>
      <c r="G171" s="243"/>
      <c r="H171" s="243"/>
      <c r="I171" s="243"/>
      <c r="J171" s="574"/>
    </row>
  </sheetData>
  <sheetProtection algorithmName="SHA-512" hashValue="wOGlXx9cKSgpXWsbhBEwfSzp0Udh4unGJb+WpxuELEkd+ZntxpCYh67PDt47eK1WNQxc0tCbu3HYSp4yHB6Xcw==" saltValue="s3RJujdfObbYMgB6ms+Nng=="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Picklists!$Y$7:$Y$8</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Picklists!$AA$9:$AA$15</xm:f>
          </x14:formula1>
          <xm:sqref>D84</xm:sqref>
        </x14:dataValidation>
        <x14:dataValidation type="list" allowBlank="1" showInputMessage="1" showErrorMessage="1" error="Enter Yes or No_x000a_" prompt="Enter Yes or No" xr:uid="{5CB8A539-684D-4A9F-88E5-FC7265A41BBF}">
          <x14:formula1>
            <xm:f>Picklists!$Y$7:$Y$8</xm:f>
          </x14:formula1>
          <xm:sqref>D51 D10:D18 D39 D75:D81 D65:D67 D71:D73 D54:D58</xm:sqref>
        </x14:dataValidation>
        <x14:dataValidation type="list" allowBlank="1" showInputMessage="1" showErrorMessage="1" error="Enter Y or N" prompt="Enter Y or N" xr:uid="{1596AEA1-D92D-4F05-9A1B-74389849DEEB}">
          <x14:formula1>
            <xm:f>Picklists!$Y$10:$Y$12</xm:f>
          </x14:formula1>
          <xm:sqref>D38</xm:sqref>
        </x14:dataValidation>
        <x14:dataValidation type="list" allowBlank="1" showInputMessage="1" showErrorMessage="1" error="Enter Yes or No_x000a_" prompt="Enter Yes or No" xr:uid="{F1581BD7-C552-4609-A727-A344027007B5}">
          <x14:formula1>
            <xm:f>Picklists!$Y$10:$Y$12</xm:f>
          </x14:formula1>
          <xm:sqref>D83</xm:sqref>
        </x14:dataValidation>
        <x14:dataValidation type="list" allowBlank="1" showInputMessage="1" showErrorMessage="1" xr:uid="{33A35528-BA0A-4842-9F8F-82BD90FDD542}">
          <x14:formula1>
            <xm:f>Picklists!$W$17:$W$22</xm:f>
          </x14:formula1>
          <xm:sqref>G89:G94</xm:sqref>
        </x14:dataValidation>
        <x14:dataValidation type="list" allowBlank="1" showInputMessage="1" showErrorMessage="1" xr:uid="{B978B23A-0BE1-46D8-B69C-B1A788761A3B}">
          <x14:formula1>
            <xm:f>Picklists!$X$17:$X$19</xm:f>
          </x14:formula1>
          <xm:sqref>G96:G101</xm:sqref>
        </x14:dataValidation>
        <x14:dataValidation type="list" allowBlank="1" showInputMessage="1" showErrorMessage="1" xr:uid="{F42F3056-505A-4BC3-AFEC-4E7E9C9EDCAA}">
          <x14:formula1>
            <xm:f>Picklists!$AA$17:$AA$18</xm:f>
          </x14:formula1>
          <xm:sqref>G110:G115</xm:sqref>
        </x14:dataValidation>
        <x14:dataValidation type="list" allowBlank="1" showInputMessage="1" showErrorMessage="1" xr:uid="{39DF56B3-CE94-4BAA-AA77-C158D9CE65CB}">
          <x14:formula1>
            <xm:f>Picklists!$Z$17:$Z$20</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F9" sqref="F9"/>
    </sheetView>
  </sheetViews>
  <sheetFormatPr defaultColWidth="9.1796875" defaultRowHeight="14.5" x14ac:dyDescent="0.35"/>
  <cols>
    <col min="1" max="1" width="9.1796875" style="326"/>
    <col min="2" max="2" width="14.81640625" style="326" customWidth="1"/>
    <col min="3" max="3" width="22.1796875" style="326" customWidth="1"/>
    <col min="4" max="4" width="10.1796875" style="326" customWidth="1"/>
    <col min="5" max="5" width="10.54296875" style="326" customWidth="1"/>
    <col min="6" max="7" width="10.81640625" style="326" customWidth="1"/>
    <col min="8" max="8" width="12.1796875" style="326" customWidth="1"/>
    <col min="9" max="16384" width="9.1796875" style="326"/>
  </cols>
  <sheetData>
    <row r="1" spans="2:8" ht="15" thickBot="1" x14ac:dyDescent="0.4"/>
    <row r="2" spans="2:8" x14ac:dyDescent="0.35">
      <c r="B2" s="587" t="s">
        <v>63</v>
      </c>
      <c r="C2" s="588"/>
      <c r="D2" s="1011" t="str">
        <f>+Introduction!E10</f>
        <v>Tradebe Healthcare National Limited</v>
      </c>
      <c r="E2" s="1011"/>
      <c r="F2" s="1011"/>
      <c r="G2" s="1011"/>
      <c r="H2" s="589"/>
    </row>
    <row r="3" spans="2:8" x14ac:dyDescent="0.35">
      <c r="B3" s="1012" t="s">
        <v>44</v>
      </c>
      <c r="C3" s="1013"/>
      <c r="D3" s="898" t="str">
        <f>+Introduction!K10</f>
        <v>EPR/WP3636ZG</v>
      </c>
      <c r="E3" s="898"/>
      <c r="F3" s="898"/>
      <c r="G3" s="898"/>
      <c r="H3" s="590"/>
    </row>
    <row r="4" spans="2:8" x14ac:dyDescent="0.35">
      <c r="B4" s="591"/>
      <c r="C4" s="592"/>
      <c r="D4" s="592"/>
      <c r="E4" s="592"/>
      <c r="F4" s="539"/>
      <c r="G4" s="539"/>
      <c r="H4" s="590"/>
    </row>
    <row r="5" spans="2:8" ht="63" customHeight="1" x14ac:dyDescent="0.35">
      <c r="B5" s="593"/>
      <c r="C5" s="369"/>
      <c r="D5" s="1016" t="s">
        <v>487</v>
      </c>
      <c r="E5" s="1017"/>
      <c r="F5" s="1007" t="s">
        <v>488</v>
      </c>
      <c r="G5" s="1008"/>
      <c r="H5" s="590"/>
    </row>
    <row r="6" spans="2:8" x14ac:dyDescent="0.35">
      <c r="B6" s="1009" t="s">
        <v>489</v>
      </c>
      <c r="C6" s="1010"/>
      <c r="D6" s="370" t="s">
        <v>490</v>
      </c>
      <c r="E6" s="370" t="s">
        <v>315</v>
      </c>
      <c r="F6" s="371" t="s">
        <v>490</v>
      </c>
      <c r="G6" s="371" t="s">
        <v>315</v>
      </c>
      <c r="H6" s="599" t="s">
        <v>92</v>
      </c>
    </row>
    <row r="7" spans="2:8" x14ac:dyDescent="0.35">
      <c r="B7" s="1014" t="s">
        <v>59</v>
      </c>
      <c r="C7" s="1015"/>
      <c r="D7" s="372">
        <f>+'1 Listed activity'!K8</f>
        <v>0</v>
      </c>
      <c r="E7" s="373" t="s">
        <v>50</v>
      </c>
      <c r="F7" s="372">
        <f>+'3 Complexities'!E52</f>
        <v>0</v>
      </c>
      <c r="G7" s="371" t="s">
        <v>50</v>
      </c>
      <c r="H7" s="590"/>
    </row>
    <row r="8" spans="2:8" x14ac:dyDescent="0.35">
      <c r="B8" s="1023"/>
      <c r="C8" s="1024"/>
      <c r="D8" s="372">
        <f>+'1 Listed activity'!K9</f>
        <v>2</v>
      </c>
      <c r="E8" s="373" t="s">
        <v>51</v>
      </c>
      <c r="F8" s="372">
        <f>+'3 Complexities'!E53</f>
        <v>2</v>
      </c>
      <c r="G8" s="371" t="s">
        <v>51</v>
      </c>
      <c r="H8" s="590"/>
    </row>
    <row r="9" spans="2:8" x14ac:dyDescent="0.35">
      <c r="B9" s="1023"/>
      <c r="C9" s="1024"/>
      <c r="D9" s="372">
        <f>+'1 Listed activity'!K10</f>
        <v>0</v>
      </c>
      <c r="E9" s="373" t="s">
        <v>52</v>
      </c>
      <c r="F9" s="372">
        <f>+'3 Complexities'!E54</f>
        <v>0</v>
      </c>
      <c r="G9" s="371" t="s">
        <v>52</v>
      </c>
      <c r="H9" s="590"/>
    </row>
    <row r="10" spans="2:8" x14ac:dyDescent="0.35">
      <c r="B10" s="1023"/>
      <c r="C10" s="1024"/>
      <c r="D10" s="372">
        <f>+'1 Listed activity'!K11</f>
        <v>0</v>
      </c>
      <c r="E10" s="373" t="s">
        <v>53</v>
      </c>
      <c r="F10" s="372">
        <f>+'3 Complexities'!E55</f>
        <v>0</v>
      </c>
      <c r="G10" s="371" t="s">
        <v>53</v>
      </c>
      <c r="H10" s="590"/>
    </row>
    <row r="11" spans="2:8" x14ac:dyDescent="0.35">
      <c r="B11" s="1025"/>
      <c r="C11" s="1026"/>
      <c r="D11" s="372">
        <f>+'1 Listed activity'!K12</f>
        <v>0</v>
      </c>
      <c r="E11" s="373" t="s">
        <v>54</v>
      </c>
      <c r="F11" s="372">
        <f>+'3 Complexities'!E56</f>
        <v>0</v>
      </c>
      <c r="G11" s="371" t="s">
        <v>54</v>
      </c>
      <c r="H11" s="590"/>
    </row>
    <row r="12" spans="2:8" x14ac:dyDescent="0.35">
      <c r="B12" s="1027" t="s">
        <v>491</v>
      </c>
      <c r="C12" s="374" t="s">
        <v>308</v>
      </c>
      <c r="D12" s="1029"/>
      <c r="E12" s="372" t="str">
        <f>+'9 Emissions summary'!E24</f>
        <v>-</v>
      </c>
      <c r="F12" s="539"/>
      <c r="G12" s="372" t="str">
        <f>+'9 Emissions summary'!E24</f>
        <v>-</v>
      </c>
      <c r="H12" s="590"/>
    </row>
    <row r="13" spans="2:8" x14ac:dyDescent="0.35">
      <c r="B13" s="1028"/>
      <c r="C13" s="374" t="s">
        <v>309</v>
      </c>
      <c r="D13" s="1030"/>
      <c r="E13" s="372" t="str">
        <f>+'9 Emissions summary'!E25</f>
        <v>-</v>
      </c>
      <c r="F13" s="539"/>
      <c r="G13" s="372" t="str">
        <f>+'9 Emissions summary'!E25</f>
        <v>-</v>
      </c>
      <c r="H13" s="590"/>
    </row>
    <row r="14" spans="2:8" x14ac:dyDescent="0.35">
      <c r="B14" s="1028"/>
      <c r="C14" s="374" t="s">
        <v>310</v>
      </c>
      <c r="D14" s="1030"/>
      <c r="E14" s="372" t="str">
        <f>+'9 Emissions summary'!E26</f>
        <v>-</v>
      </c>
      <c r="F14" s="539"/>
      <c r="G14" s="372" t="str">
        <f>+'9 Emissions summary'!E26</f>
        <v>-</v>
      </c>
      <c r="H14" s="590"/>
    </row>
    <row r="15" spans="2:8" x14ac:dyDescent="0.35">
      <c r="B15" s="1028"/>
      <c r="C15" s="374" t="s">
        <v>311</v>
      </c>
      <c r="D15" s="1030"/>
      <c r="E15" s="372" t="str">
        <f>+'9 Emissions summary'!E27</f>
        <v>-</v>
      </c>
      <c r="F15" s="539"/>
      <c r="G15" s="372" t="str">
        <f>+'9 Emissions summary'!E27</f>
        <v>-</v>
      </c>
      <c r="H15" s="590"/>
    </row>
    <row r="16" spans="2:8" x14ac:dyDescent="0.35">
      <c r="B16" s="1028"/>
      <c r="C16" s="374" t="s">
        <v>312</v>
      </c>
      <c r="D16" s="890"/>
      <c r="E16" s="372" t="str">
        <f>+'9 Emissions summary'!E28</f>
        <v>A</v>
      </c>
      <c r="F16" s="539"/>
      <c r="G16" s="372" t="str">
        <f>+'9 Emissions summary'!E28</f>
        <v>A</v>
      </c>
      <c r="H16" s="590"/>
    </row>
    <row r="17" spans="2:8" x14ac:dyDescent="0.35">
      <c r="B17" s="594"/>
      <c r="C17" s="374" t="s">
        <v>313</v>
      </c>
      <c r="D17" s="375"/>
      <c r="E17" s="372" t="str">
        <f>+'9 Emissions summary'!E29</f>
        <v>A</v>
      </c>
      <c r="F17" s="539"/>
      <c r="G17" s="372" t="str">
        <f>+'9 Emissions summary'!E29</f>
        <v>A</v>
      </c>
      <c r="H17" s="590"/>
    </row>
    <row r="18" spans="2:8" x14ac:dyDescent="0.35">
      <c r="B18" s="595" t="s">
        <v>27</v>
      </c>
      <c r="C18" s="1018"/>
      <c r="D18" s="1019"/>
      <c r="E18" s="372" t="str">
        <f>+'10 Location'!F42</f>
        <v>C</v>
      </c>
      <c r="F18" s="376"/>
      <c r="G18" s="372" t="str">
        <f>+'10 Location'!F42</f>
        <v>C</v>
      </c>
      <c r="H18" s="600" t="str">
        <f>IF(COUNTIF('10 Location'!D45:D51,"incomplete"),"Incomplete","Complete")</f>
        <v>Complete</v>
      </c>
    </row>
    <row r="19" spans="2:8" ht="15" thickBot="1" x14ac:dyDescent="0.4">
      <c r="B19" s="1020" t="s">
        <v>359</v>
      </c>
      <c r="C19" s="1021"/>
      <c r="D19" s="1022"/>
      <c r="E19" s="596" t="str">
        <f>+'11 Operator performance'!H155</f>
        <v>A</v>
      </c>
      <c r="F19" s="597"/>
      <c r="G19" s="596" t="str">
        <f>+'11 Operator performance'!H155</f>
        <v>A</v>
      </c>
      <c r="H19" s="598" t="str">
        <f>IF(COUNTIF('11 Operator performance'!J163:J166,"incomplete"),"Incomplete","Complete")</f>
        <v>Complete</v>
      </c>
    </row>
  </sheetData>
  <sheetProtection algorithmName="SHA-512" hashValue="n/JJBydm3OPxAPCju/H5rx5YBIGySl6Mz5Fty0cDyTw1WYChpFjP5vZraVxQ7mgsbx6Y5EFwVGNPZR5jZ8fJig==" saltValue="UQeo+9/Xcr9mft/JRoCXVw=="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topLeftCell="A10" zoomScaleNormal="100" workbookViewId="0">
      <selection activeCell="I34" sqref="I34"/>
    </sheetView>
  </sheetViews>
  <sheetFormatPr defaultRowHeight="14.5" x14ac:dyDescent="0.35"/>
  <cols>
    <col min="3" max="3" width="28.81640625" customWidth="1"/>
    <col min="4" max="4" width="15.81640625" customWidth="1"/>
    <col min="5" max="6" width="11.81640625" customWidth="1"/>
    <col min="7" max="7" width="11.453125" customWidth="1"/>
    <col min="8" max="8" width="10.81640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2"/>
    </row>
    <row r="3" spans="2:10" ht="15.5" x14ac:dyDescent="0.35">
      <c r="B3" s="269"/>
      <c r="C3" s="606" t="s">
        <v>63</v>
      </c>
      <c r="D3" s="747" t="str">
        <f>+Introduction!E10</f>
        <v>Tradebe Healthcare National Limited</v>
      </c>
      <c r="E3" s="748"/>
      <c r="F3" s="749" t="s">
        <v>44</v>
      </c>
      <c r="G3" s="750"/>
      <c r="H3" s="747" t="str">
        <f>+Introduction!K10</f>
        <v>EPR/WP3636ZG</v>
      </c>
      <c r="I3" s="748"/>
      <c r="J3" s="36"/>
    </row>
    <row r="4" spans="2:10" x14ac:dyDescent="0.35">
      <c r="B4" s="270"/>
      <c r="C4" s="17"/>
      <c r="D4" s="17"/>
      <c r="E4" s="17"/>
      <c r="F4" s="17"/>
      <c r="G4" s="17"/>
      <c r="H4" s="17"/>
      <c r="I4" s="17"/>
      <c r="J4" s="36"/>
    </row>
    <row r="5" spans="2:10" ht="20" x14ac:dyDescent="0.4">
      <c r="B5" s="270"/>
      <c r="C5" s="473" t="s">
        <v>492</v>
      </c>
      <c r="D5" s="17"/>
      <c r="E5" s="17"/>
      <c r="F5" s="17"/>
      <c r="G5" s="17"/>
      <c r="H5" s="17"/>
      <c r="I5" s="17"/>
      <c r="J5" s="36"/>
    </row>
    <row r="6" spans="2:10" x14ac:dyDescent="0.35">
      <c r="B6" s="270"/>
      <c r="C6" s="474" t="s">
        <v>493</v>
      </c>
      <c r="D6" s="17"/>
      <c r="E6" s="17"/>
      <c r="F6" s="17"/>
      <c r="G6" s="17"/>
      <c r="H6" s="17"/>
      <c r="I6" s="17"/>
      <c r="J6" s="36"/>
    </row>
    <row r="7" spans="2:10" ht="18" x14ac:dyDescent="0.4">
      <c r="B7" s="270"/>
      <c r="C7" s="475" t="s">
        <v>494</v>
      </c>
      <c r="D7" s="476"/>
      <c r="E7" s="477"/>
      <c r="F7" s="17"/>
      <c r="G7" s="17"/>
      <c r="H7" s="17"/>
      <c r="I7" s="17"/>
      <c r="J7" s="36"/>
    </row>
    <row r="8" spans="2:10" ht="15" thickBot="1" x14ac:dyDescent="0.4">
      <c r="B8" s="270"/>
      <c r="C8" s="17"/>
      <c r="D8" s="17"/>
      <c r="E8" s="17"/>
      <c r="F8" s="17"/>
      <c r="G8" s="17"/>
      <c r="H8" s="17"/>
      <c r="I8" s="17"/>
      <c r="J8" s="36"/>
    </row>
    <row r="9" spans="2:10" ht="31.5" thickBot="1" x14ac:dyDescent="0.4">
      <c r="B9" s="270"/>
      <c r="C9" s="603" t="s">
        <v>489</v>
      </c>
      <c r="D9" s="617" t="s">
        <v>315</v>
      </c>
      <c r="E9" s="604" t="s">
        <v>490</v>
      </c>
      <c r="F9" s="604" t="s">
        <v>320</v>
      </c>
      <c r="G9" s="605" t="s">
        <v>495</v>
      </c>
      <c r="H9" s="17"/>
      <c r="I9" s="17"/>
      <c r="J9" s="36"/>
    </row>
    <row r="10" spans="2:10" ht="15.5" x14ac:dyDescent="0.35">
      <c r="B10" s="270"/>
      <c r="C10" s="601" t="s">
        <v>59</v>
      </c>
      <c r="D10" s="607" t="s">
        <v>50</v>
      </c>
      <c r="E10" s="618">
        <f>+'12 EP Summary'!F7</f>
        <v>0</v>
      </c>
      <c r="F10" s="609">
        <v>2</v>
      </c>
      <c r="G10" s="610">
        <f>+F10*E10</f>
        <v>0</v>
      </c>
      <c r="H10" s="17"/>
      <c r="I10" s="17"/>
      <c r="J10" s="36"/>
    </row>
    <row r="11" spans="2:10" ht="15.5" x14ac:dyDescent="0.35">
      <c r="B11" s="270"/>
      <c r="C11" s="601"/>
      <c r="D11" s="607" t="s">
        <v>51</v>
      </c>
      <c r="E11" s="619">
        <f>+'12 EP Summary'!F8</f>
        <v>2</v>
      </c>
      <c r="F11" s="609">
        <v>15</v>
      </c>
      <c r="G11" s="610">
        <f>+F11*E11</f>
        <v>30</v>
      </c>
      <c r="H11" s="17"/>
      <c r="I11" s="17"/>
      <c r="J11" s="36"/>
    </row>
    <row r="12" spans="2:10" ht="15.5" x14ac:dyDescent="0.35">
      <c r="B12" s="270"/>
      <c r="C12" s="601"/>
      <c r="D12" s="607" t="s">
        <v>52</v>
      </c>
      <c r="E12" s="619">
        <f>+'12 EP Summary'!F9</f>
        <v>0</v>
      </c>
      <c r="F12" s="609">
        <v>45</v>
      </c>
      <c r="G12" s="610">
        <f>+F12*E12</f>
        <v>0</v>
      </c>
      <c r="H12" s="17"/>
      <c r="I12" s="17"/>
      <c r="J12" s="36"/>
    </row>
    <row r="13" spans="2:10" ht="15.5" x14ac:dyDescent="0.35">
      <c r="B13" s="270"/>
      <c r="C13" s="601"/>
      <c r="D13" s="607" t="s">
        <v>53</v>
      </c>
      <c r="E13" s="619">
        <f>+'12 EP Summary'!F10</f>
        <v>0</v>
      </c>
      <c r="F13" s="609">
        <v>82</v>
      </c>
      <c r="G13" s="610">
        <f>+F13*E13</f>
        <v>0</v>
      </c>
      <c r="H13" s="17"/>
      <c r="I13" s="17"/>
      <c r="J13" s="36"/>
    </row>
    <row r="14" spans="2:10" ht="15.5" x14ac:dyDescent="0.35">
      <c r="B14" s="270"/>
      <c r="C14" s="601"/>
      <c r="D14" s="607" t="s">
        <v>54</v>
      </c>
      <c r="E14" s="619">
        <f>+'12 EP Summary'!F11</f>
        <v>0</v>
      </c>
      <c r="F14" s="609">
        <v>110</v>
      </c>
      <c r="G14" s="610">
        <f>+F14*E14</f>
        <v>0</v>
      </c>
      <c r="H14" s="17"/>
      <c r="I14" s="17"/>
      <c r="J14" s="36"/>
    </row>
    <row r="15" spans="2:10" ht="15.5" x14ac:dyDescent="0.35">
      <c r="B15" s="270"/>
      <c r="C15" s="601" t="s">
        <v>31</v>
      </c>
      <c r="D15" s="608" t="str">
        <f>+'12 EP Summary'!G12</f>
        <v>-</v>
      </c>
      <c r="E15" s="620"/>
      <c r="F15" s="611"/>
      <c r="G15" s="610">
        <f>IF(D15="E",50,(IF(D15="D",35,(IF(D15="C",20,(IF(D15="B",10,(IF(D15="A",3,0)))))))))</f>
        <v>0</v>
      </c>
      <c r="H15" s="17"/>
      <c r="I15" s="17"/>
      <c r="J15" s="36"/>
    </row>
    <row r="16" spans="2:10" ht="15.5" x14ac:dyDescent="0.35">
      <c r="B16" s="270"/>
      <c r="C16" s="601" t="s">
        <v>35</v>
      </c>
      <c r="D16" s="608" t="str">
        <f>+'12 EP Summary'!G13</f>
        <v>-</v>
      </c>
      <c r="E16" s="620"/>
      <c r="F16" s="611"/>
      <c r="G16" s="610">
        <f>IF(D16="E",50,(IF(D16="D",35,(IF(D16="C",20,(IF(D16="B",10,(IF(D16="A",3,0)))))))))</f>
        <v>0</v>
      </c>
      <c r="H16" s="17"/>
      <c r="I16" s="17"/>
      <c r="J16" s="36"/>
    </row>
    <row r="17" spans="2:10" ht="15.5" x14ac:dyDescent="0.35">
      <c r="B17" s="270"/>
      <c r="C17" s="601" t="s">
        <v>38</v>
      </c>
      <c r="D17" s="608" t="str">
        <f>+'12 EP Summary'!G14</f>
        <v>-</v>
      </c>
      <c r="E17" s="620"/>
      <c r="F17" s="611"/>
      <c r="G17" s="610">
        <f>IF(D17="E",50,(IF(D17="D",35,(IF(D17="C",20,(IF(D17="B",10,(IF(D17="A",3,0)))))))))</f>
        <v>0</v>
      </c>
      <c r="H17" s="17"/>
      <c r="I17" s="17"/>
      <c r="J17" s="36"/>
    </row>
    <row r="18" spans="2:10" ht="15.5" x14ac:dyDescent="0.35">
      <c r="B18" s="270"/>
      <c r="C18" s="601" t="s">
        <v>17</v>
      </c>
      <c r="D18" s="608" t="str">
        <f>+'12 EP Summary'!G15</f>
        <v>-</v>
      </c>
      <c r="E18" s="620"/>
      <c r="F18" s="611"/>
      <c r="G18" s="610">
        <f>IF(D18="E",10,(IF(D18="D",5,(IF(D18="C",3,(IF(D18="B",2,(IF(D18="A",1,0)))))))))</f>
        <v>0</v>
      </c>
      <c r="H18" s="17"/>
      <c r="I18" s="17"/>
      <c r="J18" s="36"/>
    </row>
    <row r="19" spans="2:10" ht="15.5" x14ac:dyDescent="0.35">
      <c r="B19" s="270"/>
      <c r="C19" s="601" t="s">
        <v>496</v>
      </c>
      <c r="D19" s="608" t="str">
        <f>+'12 EP Summary'!G16</f>
        <v>A</v>
      </c>
      <c r="E19" s="620"/>
      <c r="F19" s="611"/>
      <c r="G19" s="610">
        <f>IF(D19="E",10,(IF(D19="D",5,(IF(D19="C",3,(IF(D19="B",2,(IF(D19="A",1,0)))))))))</f>
        <v>1</v>
      </c>
      <c r="H19" s="17"/>
      <c r="I19" s="17"/>
      <c r="J19" s="36"/>
    </row>
    <row r="20" spans="2:10" ht="15.5" x14ac:dyDescent="0.35">
      <c r="B20" s="270"/>
      <c r="C20" s="601" t="s">
        <v>497</v>
      </c>
      <c r="D20" s="608" t="str">
        <f>+'12 EP Summary'!G17</f>
        <v>A</v>
      </c>
      <c r="E20" s="620"/>
      <c r="F20" s="611"/>
      <c r="G20" s="610">
        <f>IF(D20="E",50,(IF(D20="D",35,(IF(D20="C",20,(IF(D20="B",10,(IF(D20="A",3,0)))))))))</f>
        <v>3</v>
      </c>
      <c r="H20" s="17"/>
      <c r="I20" s="17"/>
      <c r="J20" s="36"/>
    </row>
    <row r="21" spans="2:10" ht="15.5" x14ac:dyDescent="0.35">
      <c r="B21" s="270"/>
      <c r="C21" s="601" t="s">
        <v>27</v>
      </c>
      <c r="D21" s="608" t="str">
        <f>+'12 EP Summary'!G18</f>
        <v>C</v>
      </c>
      <c r="E21" s="620"/>
      <c r="F21" s="611"/>
      <c r="G21" s="610">
        <f>IF(D21="E",60,(IF(D21="D",40,(IF(D21="C",20,(IF(D21="B",10,(IF(D21="A",3,0)))))))))</f>
        <v>20</v>
      </c>
      <c r="H21" s="17" t="str">
        <f>+'12 EP Summary'!H18</f>
        <v>Complete</v>
      </c>
      <c r="I21" s="17"/>
      <c r="J21" s="36"/>
    </row>
    <row r="22" spans="2:10" ht="16" thickBot="1" x14ac:dyDescent="0.4">
      <c r="B22" s="270"/>
      <c r="C22" s="602" t="s">
        <v>359</v>
      </c>
      <c r="D22" s="608" t="str">
        <f>+'12 EP Summary'!G19</f>
        <v>A</v>
      </c>
      <c r="E22" s="621"/>
      <c r="F22" s="612"/>
      <c r="G22" s="610">
        <f>IF(D22="E",75,(IF(D22="D",60,(IF(D22="C",40,(IF(D22="B",25,(IF(D22="A",10,0)))))))))</f>
        <v>10</v>
      </c>
      <c r="H22" s="17" t="str">
        <f>+'12 EP Summary'!H19</f>
        <v>Complete</v>
      </c>
      <c r="I22" s="17"/>
      <c r="J22" s="36"/>
    </row>
    <row r="23" spans="2:10" ht="16" thickBot="1" x14ac:dyDescent="0.4">
      <c r="B23" s="270"/>
      <c r="C23" s="17"/>
      <c r="D23" s="751" t="s">
        <v>498</v>
      </c>
      <c r="E23" s="752"/>
      <c r="F23" s="753"/>
      <c r="G23" s="613">
        <f>SUM(G10:G22)</f>
        <v>64</v>
      </c>
      <c r="H23" s="17"/>
      <c r="I23" s="17"/>
      <c r="J23" s="36"/>
    </row>
    <row r="24" spans="2:10" ht="15" thickBot="1" x14ac:dyDescent="0.4">
      <c r="B24" s="270"/>
      <c r="C24" s="17"/>
      <c r="D24" s="17"/>
      <c r="E24" s="17"/>
      <c r="F24" s="17"/>
      <c r="G24" s="17"/>
      <c r="H24" s="478"/>
      <c r="I24" s="17"/>
      <c r="J24" s="36"/>
    </row>
    <row r="25" spans="2:10" ht="16" thickBot="1" x14ac:dyDescent="0.4">
      <c r="B25" s="270"/>
      <c r="C25" s="17"/>
      <c r="D25" s="17"/>
      <c r="E25" s="17"/>
      <c r="F25" s="754" t="s">
        <v>499</v>
      </c>
      <c r="G25" s="755"/>
      <c r="H25" s="755"/>
      <c r="I25" s="755"/>
      <c r="J25" s="756"/>
    </row>
    <row r="26" spans="2:10" ht="16.5" customHeight="1" x14ac:dyDescent="0.35">
      <c r="B26" s="270"/>
      <c r="C26" s="379"/>
      <c r="D26" s="17"/>
      <c r="E26" s="17"/>
      <c r="F26" s="732" t="s">
        <v>500</v>
      </c>
      <c r="G26" s="733"/>
      <c r="H26" s="733"/>
      <c r="I26" s="733"/>
      <c r="J26" s="734"/>
    </row>
    <row r="27" spans="2:10" ht="15.75" customHeight="1" x14ac:dyDescent="0.35">
      <c r="B27" s="270"/>
      <c r="C27" s="698"/>
      <c r="D27" s="699"/>
      <c r="E27" s="17"/>
      <c r="F27" s="735"/>
      <c r="G27" s="736"/>
      <c r="H27" s="736"/>
      <c r="I27" s="736"/>
      <c r="J27" s="737"/>
    </row>
    <row r="28" spans="2:10" x14ac:dyDescent="0.35">
      <c r="B28" s="270"/>
      <c r="C28" s="700"/>
      <c r="D28" s="701"/>
      <c r="E28" s="17"/>
      <c r="F28" s="735"/>
      <c r="G28" s="736"/>
      <c r="H28" s="736"/>
      <c r="I28" s="736"/>
      <c r="J28" s="737"/>
    </row>
    <row r="29" spans="2:10" x14ac:dyDescent="0.35">
      <c r="B29" s="270"/>
      <c r="C29" s="379"/>
      <c r="D29" s="379"/>
      <c r="E29" s="17"/>
      <c r="F29" s="735"/>
      <c r="G29" s="736"/>
      <c r="H29" s="736"/>
      <c r="I29" s="736"/>
      <c r="J29" s="737"/>
    </row>
    <row r="30" spans="2:10" ht="15" thickBot="1" x14ac:dyDescent="0.4">
      <c r="B30" s="270"/>
      <c r="C30" s="704" t="s">
        <v>501</v>
      </c>
      <c r="D30" s="699"/>
      <c r="E30" s="17"/>
      <c r="F30" s="738"/>
      <c r="G30" s="739"/>
      <c r="H30" s="739"/>
      <c r="I30" s="739"/>
      <c r="J30" s="740"/>
    </row>
    <row r="31" spans="2:10" ht="15.5" x14ac:dyDescent="0.35">
      <c r="B31" s="270"/>
      <c r="C31" s="698"/>
      <c r="D31" s="699"/>
      <c r="E31" s="17"/>
      <c r="F31" s="17"/>
      <c r="G31" s="17"/>
      <c r="H31" s="17"/>
      <c r="I31" s="17"/>
      <c r="J31" s="36"/>
    </row>
    <row r="32" spans="2:10" ht="15.5" x14ac:dyDescent="0.35">
      <c r="B32" s="270"/>
      <c r="C32" s="479" t="s">
        <v>502</v>
      </c>
      <c r="D32" s="699"/>
      <c r="E32" s="17"/>
      <c r="F32" s="742" t="str">
        <f>+Picklists!F2</f>
        <v>Opra Charge Multipliers (2026/2027)</v>
      </c>
      <c r="G32" s="743"/>
      <c r="H32" s="743"/>
      <c r="I32" s="744"/>
      <c r="J32" s="36"/>
    </row>
    <row r="33" spans="2:10" ht="15.5" x14ac:dyDescent="0.35">
      <c r="B33" s="270"/>
      <c r="C33" s="271"/>
      <c r="D33" s="615"/>
      <c r="E33" s="17"/>
      <c r="F33" s="745"/>
      <c r="G33" s="745"/>
      <c r="H33" s="745"/>
      <c r="I33" s="614"/>
      <c r="J33" s="36"/>
    </row>
    <row r="34" spans="2:10" ht="15.5" x14ac:dyDescent="0.35">
      <c r="B34" s="270"/>
      <c r="C34" s="272" t="s">
        <v>503</v>
      </c>
      <c r="D34" s="616">
        <f>+G23*I34</f>
        <v>7616</v>
      </c>
      <c r="E34" s="17"/>
      <c r="F34" s="745" t="s">
        <v>504</v>
      </c>
      <c r="G34" s="745"/>
      <c r="H34" s="745"/>
      <c r="I34" s="703">
        <f>+Picklists!F3</f>
        <v>119</v>
      </c>
      <c r="J34" s="36"/>
    </row>
    <row r="35" spans="2:10" ht="15.5" x14ac:dyDescent="0.35">
      <c r="B35" s="270"/>
      <c r="C35" s="273"/>
      <c r="D35" s="705"/>
      <c r="E35" s="17"/>
      <c r="F35" s="746"/>
      <c r="G35" s="746"/>
      <c r="H35" s="746"/>
      <c r="I35" s="702"/>
      <c r="J35" s="36"/>
    </row>
    <row r="36" spans="2:10" ht="15.5" x14ac:dyDescent="0.35">
      <c r="B36" s="270"/>
      <c r="C36" s="698"/>
      <c r="D36" s="699"/>
      <c r="E36" s="17"/>
      <c r="F36" s="741"/>
      <c r="G36" s="741"/>
      <c r="H36" s="741"/>
      <c r="I36" s="702"/>
      <c r="J36" s="36"/>
    </row>
    <row r="37" spans="2:10" ht="15.5" x14ac:dyDescent="0.35">
      <c r="B37" s="270"/>
      <c r="C37" s="706" t="s">
        <v>505</v>
      </c>
      <c r="D37" s="699"/>
      <c r="E37" s="17"/>
      <c r="F37" s="741"/>
      <c r="G37" s="741"/>
      <c r="H37" s="741"/>
      <c r="I37" s="702"/>
      <c r="J37" s="36"/>
    </row>
    <row r="38" spans="2:10" ht="15.5" x14ac:dyDescent="0.35">
      <c r="B38" s="270"/>
      <c r="C38" s="700"/>
      <c r="D38" s="701"/>
      <c r="E38" s="17"/>
      <c r="F38" s="741"/>
      <c r="G38" s="741"/>
      <c r="H38" s="741"/>
      <c r="I38" s="702"/>
      <c r="J38" s="36"/>
    </row>
    <row r="39" spans="2:10" ht="15.5" x14ac:dyDescent="0.35">
      <c r="B39" s="270"/>
      <c r="C39" s="698"/>
      <c r="D39" s="699"/>
      <c r="E39" s="17"/>
      <c r="F39" s="741"/>
      <c r="G39" s="741"/>
      <c r="H39" s="741"/>
      <c r="I39" s="702"/>
      <c r="J39" s="36"/>
    </row>
    <row r="40" spans="2:10" x14ac:dyDescent="0.35">
      <c r="B40" s="270"/>
      <c r="C40" s="17"/>
      <c r="D40" s="17"/>
      <c r="E40" s="17"/>
      <c r="F40" s="17"/>
      <c r="G40" s="17"/>
      <c r="H40" s="17"/>
      <c r="I40" s="17"/>
      <c r="J40" s="36"/>
    </row>
    <row r="41" spans="2:10" ht="15" thickBot="1" x14ac:dyDescent="0.4">
      <c r="B41" s="274"/>
      <c r="C41" s="275"/>
      <c r="D41" s="276"/>
      <c r="E41" s="276"/>
      <c r="F41" s="276"/>
      <c r="G41" s="276"/>
      <c r="H41" s="276"/>
      <c r="I41" s="276"/>
      <c r="J41" s="368"/>
    </row>
  </sheetData>
  <sheetProtection algorithmName="SHA-512" hashValue="TwfJOByXAxT5ShBNehKTxDo4vNkvjI+payfIiaOLsahuEBbpLYlJUYDcQBt2+tEhLLPZYId8lc6GUMP5CDDZRA==" saltValue="v9HL1P1eBmH2pTCkv8rt7g=="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5"/>
  <sheetViews>
    <sheetView workbookViewId="0">
      <selection activeCell="F5" sqref="F5"/>
    </sheetView>
  </sheetViews>
  <sheetFormatPr defaultRowHeight="14.5" x14ac:dyDescent="0.35"/>
  <cols>
    <col min="4" max="4" width="26.81640625" customWidth="1"/>
    <col min="5" max="5" width="10.453125" customWidth="1"/>
    <col min="6" max="6" width="10.7265625" bestFit="1" customWidth="1"/>
    <col min="9" max="9" width="10" customWidth="1"/>
    <col min="10" max="10" width="14.81640625" customWidth="1"/>
    <col min="11" max="12" width="18.54296875" customWidth="1"/>
    <col min="18" max="18" width="21.54296875" customWidth="1"/>
  </cols>
  <sheetData>
    <row r="1" spans="2:41" x14ac:dyDescent="0.35">
      <c r="B1" s="709" t="s">
        <v>506</v>
      </c>
      <c r="C1" s="710"/>
      <c r="D1" s="710"/>
      <c r="E1" s="711"/>
      <c r="F1" s="711"/>
      <c r="G1" s="711"/>
      <c r="H1" s="711"/>
      <c r="I1" s="711"/>
      <c r="J1" s="711"/>
      <c r="K1" s="712"/>
    </row>
    <row r="2" spans="2:41" ht="15.5" x14ac:dyDescent="0.35">
      <c r="B2" s="713"/>
      <c r="C2" s="707"/>
      <c r="D2" s="707" t="s">
        <v>507</v>
      </c>
      <c r="E2" s="707"/>
      <c r="F2" s="1031" t="s">
        <v>799</v>
      </c>
      <c r="G2" s="1032"/>
      <c r="H2" s="1032"/>
      <c r="I2" s="1033"/>
      <c r="J2" s="707"/>
      <c r="K2" s="714"/>
    </row>
    <row r="3" spans="2:41" ht="15.5" x14ac:dyDescent="0.35">
      <c r="B3" s="713"/>
      <c r="C3" s="707"/>
      <c r="D3" s="707" t="s">
        <v>508</v>
      </c>
      <c r="E3" s="707"/>
      <c r="F3" s="707">
        <v>119</v>
      </c>
      <c r="G3" s="715"/>
      <c r="H3" s="715"/>
      <c r="I3" s="715"/>
      <c r="J3" s="707" t="s">
        <v>509</v>
      </c>
      <c r="K3" s="714"/>
    </row>
    <row r="4" spans="2:41" x14ac:dyDescent="0.35">
      <c r="B4" s="716"/>
      <c r="C4" s="717"/>
      <c r="D4" s="717" t="s">
        <v>510</v>
      </c>
      <c r="E4" s="717"/>
      <c r="F4" s="708">
        <v>46113</v>
      </c>
      <c r="G4" s="717"/>
      <c r="H4" s="717"/>
      <c r="I4" s="717"/>
      <c r="J4" s="717" t="s">
        <v>511</v>
      </c>
      <c r="K4" s="718"/>
    </row>
    <row r="6" spans="2:41" x14ac:dyDescent="0.35">
      <c r="B6" t="s">
        <v>512</v>
      </c>
      <c r="D6" t="s">
        <v>513</v>
      </c>
      <c r="H6" t="s">
        <v>514</v>
      </c>
      <c r="J6" t="s">
        <v>514</v>
      </c>
      <c r="P6" t="s">
        <v>515</v>
      </c>
      <c r="R6" t="s">
        <v>514</v>
      </c>
      <c r="W6" t="s">
        <v>516</v>
      </c>
      <c r="Y6" t="s">
        <v>517</v>
      </c>
      <c r="AM6" t="s">
        <v>518</v>
      </c>
    </row>
    <row r="7" spans="2:41" x14ac:dyDescent="0.35">
      <c r="B7" t="s">
        <v>519</v>
      </c>
      <c r="D7" t="s">
        <v>520</v>
      </c>
      <c r="E7" t="s">
        <v>59</v>
      </c>
      <c r="J7" t="s">
        <v>521</v>
      </c>
      <c r="R7" t="s">
        <v>95</v>
      </c>
      <c r="W7" t="s">
        <v>420</v>
      </c>
      <c r="Y7" t="s">
        <v>420</v>
      </c>
      <c r="AB7" t="s">
        <v>420</v>
      </c>
      <c r="AC7" t="s">
        <v>96</v>
      </c>
    </row>
    <row r="8" spans="2:41" ht="29" x14ac:dyDescent="0.35">
      <c r="B8" t="s">
        <v>420</v>
      </c>
      <c r="D8" s="28" t="s">
        <v>522</v>
      </c>
      <c r="E8" s="29" t="s">
        <v>52</v>
      </c>
      <c r="H8" t="s">
        <v>523</v>
      </c>
      <c r="J8" t="s">
        <v>524</v>
      </c>
      <c r="K8" t="s">
        <v>525</v>
      </c>
      <c r="L8" t="s">
        <v>526</v>
      </c>
      <c r="M8" t="s">
        <v>527</v>
      </c>
      <c r="N8" t="s">
        <v>528</v>
      </c>
      <c r="O8" t="s">
        <v>529</v>
      </c>
      <c r="P8" t="s">
        <v>530</v>
      </c>
      <c r="R8" t="s">
        <v>520</v>
      </c>
      <c r="S8" t="s">
        <v>531</v>
      </c>
      <c r="U8" t="s">
        <v>532</v>
      </c>
      <c r="W8" t="s">
        <v>96</v>
      </c>
      <c r="Y8" t="s">
        <v>96</v>
      </c>
      <c r="AB8" t="s">
        <v>96</v>
      </c>
      <c r="AC8" t="s">
        <v>533</v>
      </c>
    </row>
    <row r="9" spans="2:41" x14ac:dyDescent="0.35">
      <c r="B9" t="s">
        <v>96</v>
      </c>
      <c r="D9" s="28" t="s">
        <v>534</v>
      </c>
      <c r="E9" s="29" t="s">
        <v>53</v>
      </c>
      <c r="J9" t="s">
        <v>535</v>
      </c>
      <c r="K9" t="s">
        <v>536</v>
      </c>
      <c r="L9" t="s">
        <v>537</v>
      </c>
      <c r="M9" t="s">
        <v>538</v>
      </c>
      <c r="N9" t="s">
        <v>539</v>
      </c>
      <c r="O9" t="s">
        <v>540</v>
      </c>
      <c r="P9" t="s">
        <v>541</v>
      </c>
      <c r="R9" t="s">
        <v>542</v>
      </c>
      <c r="U9">
        <v>1</v>
      </c>
      <c r="AA9" t="s">
        <v>543</v>
      </c>
      <c r="AB9" t="s">
        <v>420</v>
      </c>
    </row>
    <row r="10" spans="2:41" x14ac:dyDescent="0.35">
      <c r="D10" s="28" t="s">
        <v>544</v>
      </c>
      <c r="E10" s="29" t="s">
        <v>53</v>
      </c>
      <c r="J10" t="s">
        <v>545</v>
      </c>
      <c r="K10" t="s">
        <v>546</v>
      </c>
      <c r="L10" t="s">
        <v>547</v>
      </c>
      <c r="U10">
        <v>2</v>
      </c>
      <c r="Y10" t="s">
        <v>420</v>
      </c>
      <c r="AA10">
        <v>1</v>
      </c>
      <c r="AM10" t="s">
        <v>548</v>
      </c>
      <c r="AO10">
        <v>211</v>
      </c>
    </row>
    <row r="11" spans="2:41" x14ac:dyDescent="0.35">
      <c r="D11" s="28" t="s">
        <v>549</v>
      </c>
      <c r="E11" s="29" t="s">
        <v>54</v>
      </c>
      <c r="J11" t="s">
        <v>550</v>
      </c>
      <c r="K11" t="s">
        <v>551</v>
      </c>
      <c r="L11" t="s">
        <v>552</v>
      </c>
      <c r="U11">
        <v>3</v>
      </c>
      <c r="Y11" t="s">
        <v>96</v>
      </c>
      <c r="AA11">
        <v>2</v>
      </c>
      <c r="AM11" t="s">
        <v>553</v>
      </c>
      <c r="AO11">
        <v>102</v>
      </c>
    </row>
    <row r="12" spans="2:41" x14ac:dyDescent="0.35">
      <c r="D12" s="28" t="s">
        <v>554</v>
      </c>
      <c r="E12" s="29" t="s">
        <v>51</v>
      </c>
      <c r="J12" t="s">
        <v>555</v>
      </c>
      <c r="K12" t="s">
        <v>556</v>
      </c>
      <c r="L12" t="s">
        <v>557</v>
      </c>
      <c r="U12">
        <v>4</v>
      </c>
      <c r="Y12" t="s">
        <v>533</v>
      </c>
      <c r="AA12">
        <v>3</v>
      </c>
      <c r="AM12" t="s">
        <v>558</v>
      </c>
      <c r="AO12">
        <v>58</v>
      </c>
    </row>
    <row r="13" spans="2:41" x14ac:dyDescent="0.35">
      <c r="D13" s="28" t="s">
        <v>559</v>
      </c>
      <c r="E13" s="29" t="s">
        <v>54</v>
      </c>
      <c r="J13" t="s">
        <v>560</v>
      </c>
      <c r="K13" t="s">
        <v>561</v>
      </c>
      <c r="L13" t="s">
        <v>562</v>
      </c>
      <c r="U13">
        <v>5</v>
      </c>
      <c r="AA13">
        <v>4</v>
      </c>
      <c r="AM13" t="s">
        <v>563</v>
      </c>
      <c r="AO13">
        <v>116</v>
      </c>
    </row>
    <row r="14" spans="2:41" x14ac:dyDescent="0.35">
      <c r="D14" s="28" t="s">
        <v>564</v>
      </c>
      <c r="E14" s="29" t="s">
        <v>52</v>
      </c>
      <c r="J14" t="s">
        <v>565</v>
      </c>
      <c r="K14" t="s">
        <v>566</v>
      </c>
      <c r="L14" t="s">
        <v>567</v>
      </c>
      <c r="U14">
        <v>6</v>
      </c>
      <c r="AA14">
        <v>5</v>
      </c>
      <c r="AM14" t="s">
        <v>568</v>
      </c>
      <c r="AO14">
        <v>130</v>
      </c>
    </row>
    <row r="15" spans="2:41" x14ac:dyDescent="0.35">
      <c r="D15" s="28" t="s">
        <v>569</v>
      </c>
      <c r="E15" s="29" t="s">
        <v>52</v>
      </c>
      <c r="J15" t="s">
        <v>570</v>
      </c>
      <c r="K15" t="s">
        <v>571</v>
      </c>
      <c r="AA15" t="s">
        <v>572</v>
      </c>
      <c r="AM15" t="s">
        <v>573</v>
      </c>
      <c r="AO15">
        <v>100</v>
      </c>
    </row>
    <row r="16" spans="2:41" x14ac:dyDescent="0.35">
      <c r="D16" s="28" t="s">
        <v>574</v>
      </c>
      <c r="E16" s="29" t="s">
        <v>52</v>
      </c>
      <c r="J16" t="s">
        <v>575</v>
      </c>
      <c r="K16" t="s">
        <v>576</v>
      </c>
    </row>
    <row r="17" spans="4:32" ht="43.5" x14ac:dyDescent="0.35">
      <c r="D17" s="28" t="s">
        <v>577</v>
      </c>
      <c r="E17" s="29" t="s">
        <v>51</v>
      </c>
      <c r="J17" t="s">
        <v>578</v>
      </c>
      <c r="K17" t="s">
        <v>579</v>
      </c>
      <c r="V17" s="965" t="s">
        <v>444</v>
      </c>
      <c r="W17" t="s">
        <v>580</v>
      </c>
      <c r="X17" t="s">
        <v>581</v>
      </c>
      <c r="Z17" t="s">
        <v>582</v>
      </c>
      <c r="AA17" t="s">
        <v>583</v>
      </c>
      <c r="AB17" s="145" t="s">
        <v>584</v>
      </c>
      <c r="AC17" t="s">
        <v>585</v>
      </c>
      <c r="AD17" t="s">
        <v>586</v>
      </c>
      <c r="AE17" t="s">
        <v>587</v>
      </c>
      <c r="AF17" t="s">
        <v>588</v>
      </c>
    </row>
    <row r="18" spans="4:32" ht="43.5" x14ac:dyDescent="0.35">
      <c r="D18" s="28" t="s">
        <v>589</v>
      </c>
      <c r="E18" s="29" t="s">
        <v>54</v>
      </c>
      <c r="J18" t="s">
        <v>590</v>
      </c>
      <c r="K18" t="s">
        <v>591</v>
      </c>
      <c r="V18" s="966"/>
      <c r="W18" s="145" t="s">
        <v>584</v>
      </c>
      <c r="X18" t="s">
        <v>592</v>
      </c>
      <c r="Z18" t="s">
        <v>593</v>
      </c>
      <c r="AA18" t="s">
        <v>594</v>
      </c>
      <c r="AB18" t="s">
        <v>595</v>
      </c>
    </row>
    <row r="19" spans="4:32" x14ac:dyDescent="0.35">
      <c r="D19" s="28" t="s">
        <v>596</v>
      </c>
      <c r="E19" s="29" t="s">
        <v>52</v>
      </c>
      <c r="J19" t="s">
        <v>597</v>
      </c>
      <c r="K19" t="s">
        <v>598</v>
      </c>
      <c r="V19" s="966"/>
      <c r="W19" t="s">
        <v>585</v>
      </c>
      <c r="X19" t="s">
        <v>599</v>
      </c>
      <c r="Z19" t="s">
        <v>600</v>
      </c>
      <c r="AB19" t="s">
        <v>601</v>
      </c>
    </row>
    <row r="20" spans="4:32" x14ac:dyDescent="0.35">
      <c r="D20" s="28" t="s">
        <v>602</v>
      </c>
      <c r="E20" s="29" t="s">
        <v>54</v>
      </c>
      <c r="J20" t="s">
        <v>603</v>
      </c>
      <c r="K20" t="s">
        <v>604</v>
      </c>
      <c r="V20" s="966"/>
      <c r="W20" t="s">
        <v>586</v>
      </c>
      <c r="Z20" t="s">
        <v>605</v>
      </c>
    </row>
    <row r="21" spans="4:32" x14ac:dyDescent="0.35">
      <c r="D21" s="28" t="s">
        <v>606</v>
      </c>
      <c r="E21" s="29" t="s">
        <v>52</v>
      </c>
      <c r="J21" t="s">
        <v>607</v>
      </c>
      <c r="K21" t="s">
        <v>608</v>
      </c>
      <c r="V21" s="966"/>
      <c r="W21" t="s">
        <v>609</v>
      </c>
    </row>
    <row r="22" spans="4:32" x14ac:dyDescent="0.35">
      <c r="D22" s="28" t="s">
        <v>610</v>
      </c>
      <c r="E22" s="29" t="s">
        <v>54</v>
      </c>
      <c r="J22" t="s">
        <v>611</v>
      </c>
      <c r="K22" t="s">
        <v>612</v>
      </c>
      <c r="V22" s="967"/>
      <c r="W22" t="s">
        <v>588</v>
      </c>
    </row>
    <row r="23" spans="4:32" x14ac:dyDescent="0.35">
      <c r="D23" s="28" t="s">
        <v>613</v>
      </c>
      <c r="E23" s="29" t="s">
        <v>53</v>
      </c>
      <c r="J23" t="s">
        <v>614</v>
      </c>
      <c r="K23" t="s">
        <v>615</v>
      </c>
    </row>
    <row r="24" spans="4:32" x14ac:dyDescent="0.35">
      <c r="D24" s="28" t="s">
        <v>616</v>
      </c>
      <c r="E24" s="29" t="s">
        <v>52</v>
      </c>
      <c r="J24" t="s">
        <v>617</v>
      </c>
      <c r="K24" t="s">
        <v>618</v>
      </c>
    </row>
    <row r="25" spans="4:32" x14ac:dyDescent="0.35">
      <c r="D25" s="28" t="s">
        <v>619</v>
      </c>
      <c r="E25" s="29" t="s">
        <v>50</v>
      </c>
      <c r="J25" t="s">
        <v>620</v>
      </c>
      <c r="K25" t="s">
        <v>621</v>
      </c>
    </row>
    <row r="26" spans="4:32" x14ac:dyDescent="0.35">
      <c r="D26" s="28" t="s">
        <v>622</v>
      </c>
      <c r="E26" s="29" t="s">
        <v>52</v>
      </c>
      <c r="J26" t="s">
        <v>623</v>
      </c>
      <c r="K26" t="s">
        <v>624</v>
      </c>
    </row>
    <row r="27" spans="4:32" x14ac:dyDescent="0.35">
      <c r="D27" s="28" t="s">
        <v>625</v>
      </c>
      <c r="E27" s="29" t="s">
        <v>51</v>
      </c>
      <c r="J27" t="s">
        <v>626</v>
      </c>
      <c r="K27" t="s">
        <v>627</v>
      </c>
    </row>
    <row r="28" spans="4:32" x14ac:dyDescent="0.35">
      <c r="D28" s="28" t="s">
        <v>628</v>
      </c>
      <c r="E28" s="29" t="s">
        <v>51</v>
      </c>
      <c r="J28" t="s">
        <v>629</v>
      </c>
      <c r="K28" t="s">
        <v>630</v>
      </c>
    </row>
    <row r="29" spans="4:32" x14ac:dyDescent="0.35">
      <c r="D29" s="28" t="s">
        <v>631</v>
      </c>
      <c r="E29" s="29" t="s">
        <v>50</v>
      </c>
      <c r="K29" t="s">
        <v>632</v>
      </c>
    </row>
    <row r="30" spans="4:32" x14ac:dyDescent="0.35">
      <c r="D30" s="28" t="s">
        <v>633</v>
      </c>
      <c r="E30" s="29" t="s">
        <v>50</v>
      </c>
      <c r="K30" t="s">
        <v>634</v>
      </c>
    </row>
    <row r="31" spans="4:32" x14ac:dyDescent="0.35">
      <c r="D31" s="28" t="s">
        <v>635</v>
      </c>
      <c r="E31" s="29" t="s">
        <v>52</v>
      </c>
      <c r="K31" t="s">
        <v>636</v>
      </c>
    </row>
    <row r="32" spans="4:32" x14ac:dyDescent="0.35">
      <c r="D32" s="28" t="s">
        <v>637</v>
      </c>
      <c r="E32" s="29" t="s">
        <v>52</v>
      </c>
      <c r="K32" t="s">
        <v>638</v>
      </c>
    </row>
    <row r="33" spans="4:11" x14ac:dyDescent="0.35">
      <c r="D33" s="28" t="s">
        <v>639</v>
      </c>
      <c r="E33" s="29" t="s">
        <v>50</v>
      </c>
      <c r="K33" t="s">
        <v>640</v>
      </c>
    </row>
    <row r="34" spans="4:11" x14ac:dyDescent="0.35">
      <c r="D34" s="28" t="s">
        <v>641</v>
      </c>
      <c r="E34" s="29" t="s">
        <v>50</v>
      </c>
      <c r="K34" t="s">
        <v>642</v>
      </c>
    </row>
    <row r="35" spans="4:11" x14ac:dyDescent="0.35">
      <c r="D35" s="28" t="s">
        <v>643</v>
      </c>
      <c r="E35" s="29" t="s">
        <v>50</v>
      </c>
      <c r="K35" t="s">
        <v>644</v>
      </c>
    </row>
    <row r="36" spans="4:11" x14ac:dyDescent="0.35">
      <c r="D36" s="28" t="s">
        <v>645</v>
      </c>
      <c r="E36" s="29" t="s">
        <v>50</v>
      </c>
      <c r="K36" t="s">
        <v>646</v>
      </c>
    </row>
    <row r="37" spans="4:11" x14ac:dyDescent="0.35">
      <c r="D37" s="28" t="s">
        <v>647</v>
      </c>
      <c r="E37" s="29" t="s">
        <v>50</v>
      </c>
      <c r="K37" t="s">
        <v>648</v>
      </c>
    </row>
    <row r="38" spans="4:11" x14ac:dyDescent="0.35">
      <c r="D38" s="28" t="s">
        <v>649</v>
      </c>
      <c r="E38" s="29" t="s">
        <v>51</v>
      </c>
      <c r="K38" t="s">
        <v>650</v>
      </c>
    </row>
    <row r="39" spans="4:11" x14ac:dyDescent="0.35">
      <c r="D39" s="28" t="s">
        <v>651</v>
      </c>
      <c r="E39" s="29" t="s">
        <v>52</v>
      </c>
      <c r="K39" t="s">
        <v>652</v>
      </c>
    </row>
    <row r="40" spans="4:11" x14ac:dyDescent="0.35">
      <c r="D40" s="28" t="s">
        <v>653</v>
      </c>
      <c r="E40" s="29" t="s">
        <v>51</v>
      </c>
      <c r="K40" t="s">
        <v>654</v>
      </c>
    </row>
    <row r="41" spans="4:11" x14ac:dyDescent="0.35">
      <c r="D41" s="28" t="s">
        <v>655</v>
      </c>
      <c r="E41" s="29" t="s">
        <v>52</v>
      </c>
      <c r="K41" t="s">
        <v>656</v>
      </c>
    </row>
    <row r="42" spans="4:11" x14ac:dyDescent="0.35">
      <c r="D42" s="28" t="s">
        <v>657</v>
      </c>
      <c r="E42" s="29" t="s">
        <v>51</v>
      </c>
      <c r="K42" t="s">
        <v>658</v>
      </c>
    </row>
    <row r="43" spans="4:11" x14ac:dyDescent="0.35">
      <c r="D43" s="28" t="s">
        <v>659</v>
      </c>
      <c r="E43" s="29" t="s">
        <v>52</v>
      </c>
      <c r="K43" t="s">
        <v>660</v>
      </c>
    </row>
    <row r="44" spans="4:11" x14ac:dyDescent="0.35">
      <c r="D44" s="28" t="s">
        <v>661</v>
      </c>
      <c r="E44" s="29" t="s">
        <v>51</v>
      </c>
      <c r="K44" t="s">
        <v>662</v>
      </c>
    </row>
    <row r="45" spans="4:11" x14ac:dyDescent="0.35">
      <c r="D45" s="28" t="s">
        <v>663</v>
      </c>
      <c r="E45" s="29" t="s">
        <v>52</v>
      </c>
      <c r="K45" t="s">
        <v>664</v>
      </c>
    </row>
    <row r="46" spans="4:11" x14ac:dyDescent="0.35">
      <c r="D46" s="28" t="s">
        <v>665</v>
      </c>
      <c r="E46" s="29" t="s">
        <v>51</v>
      </c>
      <c r="K46" t="s">
        <v>666</v>
      </c>
    </row>
    <row r="47" spans="4:11" x14ac:dyDescent="0.35">
      <c r="D47" s="28" t="s">
        <v>667</v>
      </c>
      <c r="E47" s="29" t="s">
        <v>52</v>
      </c>
      <c r="K47" t="s">
        <v>668</v>
      </c>
    </row>
    <row r="48" spans="4:11" x14ac:dyDescent="0.35">
      <c r="D48" s="28" t="s">
        <v>669</v>
      </c>
      <c r="E48" s="29" t="s">
        <v>51</v>
      </c>
      <c r="K48" t="s">
        <v>670</v>
      </c>
    </row>
    <row r="49" spans="4:11" x14ac:dyDescent="0.35">
      <c r="D49" s="28" t="s">
        <v>671</v>
      </c>
      <c r="E49" s="29" t="s">
        <v>52</v>
      </c>
      <c r="K49" t="s">
        <v>672</v>
      </c>
    </row>
    <row r="50" spans="4:11" x14ac:dyDescent="0.35">
      <c r="D50" s="28" t="s">
        <v>673</v>
      </c>
      <c r="E50" s="29" t="s">
        <v>51</v>
      </c>
      <c r="K50" t="s">
        <v>674</v>
      </c>
    </row>
    <row r="51" spans="4:11" x14ac:dyDescent="0.35">
      <c r="D51" s="28" t="s">
        <v>675</v>
      </c>
      <c r="E51" s="29" t="s">
        <v>52</v>
      </c>
      <c r="K51" t="s">
        <v>676</v>
      </c>
    </row>
    <row r="52" spans="4:11" x14ac:dyDescent="0.35">
      <c r="D52" s="28" t="s">
        <v>677</v>
      </c>
      <c r="E52" s="29" t="s">
        <v>51</v>
      </c>
      <c r="K52" t="s">
        <v>678</v>
      </c>
    </row>
    <row r="53" spans="4:11" x14ac:dyDescent="0.35">
      <c r="D53" s="28" t="s">
        <v>679</v>
      </c>
      <c r="E53" s="29" t="s">
        <v>52</v>
      </c>
      <c r="K53" t="s">
        <v>680</v>
      </c>
    </row>
    <row r="54" spans="4:11" x14ac:dyDescent="0.35">
      <c r="D54" s="28" t="s">
        <v>681</v>
      </c>
      <c r="E54" s="29" t="s">
        <v>51</v>
      </c>
      <c r="K54" t="s">
        <v>682</v>
      </c>
    </row>
    <row r="55" spans="4:11" x14ac:dyDescent="0.35">
      <c r="D55" s="28" t="s">
        <v>683</v>
      </c>
      <c r="E55" s="29" t="s">
        <v>52</v>
      </c>
      <c r="K55" t="s">
        <v>684</v>
      </c>
    </row>
    <row r="56" spans="4:11" x14ac:dyDescent="0.35">
      <c r="D56" s="28" t="s">
        <v>685</v>
      </c>
      <c r="E56" s="29" t="s">
        <v>51</v>
      </c>
      <c r="K56" t="s">
        <v>686</v>
      </c>
    </row>
    <row r="57" spans="4:11" x14ac:dyDescent="0.35">
      <c r="D57" s="28" t="s">
        <v>687</v>
      </c>
      <c r="E57" s="29" t="s">
        <v>52</v>
      </c>
      <c r="K57" t="s">
        <v>688</v>
      </c>
    </row>
    <row r="58" spans="4:11" x14ac:dyDescent="0.35">
      <c r="D58" s="28" t="s">
        <v>689</v>
      </c>
      <c r="E58" s="29" t="s">
        <v>51</v>
      </c>
      <c r="K58" t="s">
        <v>690</v>
      </c>
    </row>
    <row r="59" spans="4:11" x14ac:dyDescent="0.35">
      <c r="D59" s="28" t="s">
        <v>691</v>
      </c>
      <c r="E59" s="29" t="s">
        <v>52</v>
      </c>
      <c r="K59" t="s">
        <v>692</v>
      </c>
    </row>
    <row r="60" spans="4:11" ht="29" x14ac:dyDescent="0.35">
      <c r="D60" s="28" t="s">
        <v>693</v>
      </c>
      <c r="E60" s="29" t="s">
        <v>51</v>
      </c>
      <c r="K60" t="s">
        <v>694</v>
      </c>
    </row>
    <row r="61" spans="4:11" x14ac:dyDescent="0.35">
      <c r="D61" s="28" t="s">
        <v>695</v>
      </c>
      <c r="E61" s="29" t="s">
        <v>50</v>
      </c>
      <c r="K61" t="s">
        <v>696</v>
      </c>
    </row>
    <row r="62" spans="4:11" x14ac:dyDescent="0.35">
      <c r="D62" s="28" t="s">
        <v>697</v>
      </c>
      <c r="E62" s="29" t="s">
        <v>50</v>
      </c>
      <c r="K62" t="s">
        <v>698</v>
      </c>
    </row>
    <row r="63" spans="4:11" x14ac:dyDescent="0.35">
      <c r="D63" s="28" t="s">
        <v>699</v>
      </c>
      <c r="E63" s="29" t="s">
        <v>50</v>
      </c>
      <c r="K63" t="s">
        <v>700</v>
      </c>
    </row>
    <row r="64" spans="4:11" x14ac:dyDescent="0.35">
      <c r="D64" s="28" t="s">
        <v>701</v>
      </c>
      <c r="E64" s="29" t="s">
        <v>52</v>
      </c>
      <c r="K64" t="s">
        <v>702</v>
      </c>
    </row>
    <row r="65" spans="4:11" x14ac:dyDescent="0.35">
      <c r="D65" s="28" t="s">
        <v>703</v>
      </c>
      <c r="E65" s="29" t="s">
        <v>52</v>
      </c>
      <c r="K65" t="s">
        <v>704</v>
      </c>
    </row>
    <row r="66" spans="4:11" x14ac:dyDescent="0.35">
      <c r="D66" s="28" t="s">
        <v>705</v>
      </c>
      <c r="E66" s="29" t="s">
        <v>52</v>
      </c>
      <c r="K66" t="s">
        <v>706</v>
      </c>
    </row>
    <row r="67" spans="4:11" x14ac:dyDescent="0.35">
      <c r="D67" s="28" t="s">
        <v>707</v>
      </c>
      <c r="E67" s="29" t="s">
        <v>52</v>
      </c>
      <c r="K67" t="s">
        <v>708</v>
      </c>
    </row>
    <row r="68" spans="4:11" x14ac:dyDescent="0.35">
      <c r="D68" s="28" t="s">
        <v>709</v>
      </c>
      <c r="E68" s="29" t="s">
        <v>52</v>
      </c>
      <c r="K68" t="s">
        <v>710</v>
      </c>
    </row>
    <row r="69" spans="4:11" x14ac:dyDescent="0.35">
      <c r="D69" s="28" t="s">
        <v>711</v>
      </c>
      <c r="E69" s="29" t="s">
        <v>52</v>
      </c>
      <c r="K69" t="s">
        <v>712</v>
      </c>
    </row>
    <row r="70" spans="4:11" x14ac:dyDescent="0.35">
      <c r="D70" s="28" t="s">
        <v>713</v>
      </c>
      <c r="E70" s="29" t="s">
        <v>50</v>
      </c>
      <c r="K70" t="s">
        <v>714</v>
      </c>
    </row>
    <row r="71" spans="4:11" x14ac:dyDescent="0.35">
      <c r="D71" s="28" t="s">
        <v>715</v>
      </c>
      <c r="E71" s="29" t="s">
        <v>52</v>
      </c>
      <c r="K71" t="s">
        <v>716</v>
      </c>
    </row>
    <row r="72" spans="4:11" x14ac:dyDescent="0.35">
      <c r="D72" s="28" t="s">
        <v>717</v>
      </c>
      <c r="E72" s="29" t="s">
        <v>50</v>
      </c>
      <c r="K72" t="s">
        <v>718</v>
      </c>
    </row>
    <row r="73" spans="4:11" x14ac:dyDescent="0.35">
      <c r="D73" s="28" t="s">
        <v>719</v>
      </c>
      <c r="E73" s="29" t="s">
        <v>50</v>
      </c>
      <c r="K73" t="s">
        <v>720</v>
      </c>
    </row>
    <row r="74" spans="4:11" x14ac:dyDescent="0.35">
      <c r="D74" s="28" t="s">
        <v>721</v>
      </c>
      <c r="E74" s="29" t="s">
        <v>50</v>
      </c>
      <c r="K74" t="s">
        <v>722</v>
      </c>
    </row>
    <row r="75" spans="4:11" x14ac:dyDescent="0.35">
      <c r="D75" s="28" t="s">
        <v>723</v>
      </c>
      <c r="E75" s="29" t="s">
        <v>50</v>
      </c>
      <c r="K75" t="s">
        <v>724</v>
      </c>
    </row>
    <row r="76" spans="4:11" x14ac:dyDescent="0.35">
      <c r="D76" s="28" t="s">
        <v>725</v>
      </c>
      <c r="E76" s="29" t="s">
        <v>50</v>
      </c>
      <c r="K76" t="s">
        <v>726</v>
      </c>
    </row>
    <row r="77" spans="4:11" x14ac:dyDescent="0.35">
      <c r="D77" s="28" t="s">
        <v>727</v>
      </c>
      <c r="E77" s="29" t="s">
        <v>52</v>
      </c>
      <c r="K77" t="s">
        <v>728</v>
      </c>
    </row>
    <row r="78" spans="4:11" x14ac:dyDescent="0.35">
      <c r="D78" s="28" t="s">
        <v>729</v>
      </c>
      <c r="E78" s="29" t="s">
        <v>50</v>
      </c>
      <c r="K78" t="s">
        <v>730</v>
      </c>
    </row>
    <row r="79" spans="4:11" x14ac:dyDescent="0.35">
      <c r="D79" s="28" t="s">
        <v>731</v>
      </c>
      <c r="E79" s="29" t="s">
        <v>50</v>
      </c>
      <c r="K79" t="s">
        <v>732</v>
      </c>
    </row>
    <row r="80" spans="4:11" x14ac:dyDescent="0.35">
      <c r="D80" s="28" t="s">
        <v>733</v>
      </c>
      <c r="E80" s="29" t="s">
        <v>52</v>
      </c>
    </row>
    <row r="81" spans="4:5" x14ac:dyDescent="0.35">
      <c r="D81" s="28" t="s">
        <v>734</v>
      </c>
      <c r="E81" s="29" t="s">
        <v>53</v>
      </c>
    </row>
    <row r="82" spans="4:5" x14ac:dyDescent="0.35">
      <c r="D82" s="28" t="s">
        <v>735</v>
      </c>
      <c r="E82" s="29" t="s">
        <v>52</v>
      </c>
    </row>
    <row r="83" spans="4:5" x14ac:dyDescent="0.35">
      <c r="D83" s="28" t="s">
        <v>736</v>
      </c>
      <c r="E83" s="29" t="s">
        <v>53</v>
      </c>
    </row>
    <row r="84" spans="4:5" x14ac:dyDescent="0.35">
      <c r="D84" s="28" t="s">
        <v>737</v>
      </c>
      <c r="E84" s="29" t="s">
        <v>52</v>
      </c>
    </row>
    <row r="85" spans="4:5" x14ac:dyDescent="0.35">
      <c r="D85" s="28" t="s">
        <v>738</v>
      </c>
      <c r="E85" s="29" t="s">
        <v>53</v>
      </c>
    </row>
    <row r="86" spans="4:5" x14ac:dyDescent="0.35">
      <c r="D86" s="28" t="s">
        <v>739</v>
      </c>
      <c r="E86" s="29" t="s">
        <v>50</v>
      </c>
    </row>
    <row r="87" spans="4:5" x14ac:dyDescent="0.35">
      <c r="D87" s="28" t="s">
        <v>740</v>
      </c>
      <c r="E87" s="29" t="s">
        <v>54</v>
      </c>
    </row>
    <row r="88" spans="4:5" x14ac:dyDescent="0.35">
      <c r="D88" s="28" t="s">
        <v>741</v>
      </c>
      <c r="E88" s="29" t="s">
        <v>52</v>
      </c>
    </row>
    <row r="89" spans="4:5" x14ac:dyDescent="0.35">
      <c r="D89" s="28" t="s">
        <v>742</v>
      </c>
      <c r="E89" s="29" t="s">
        <v>52</v>
      </c>
    </row>
    <row r="90" spans="4:5" x14ac:dyDescent="0.35">
      <c r="D90" s="28" t="s">
        <v>743</v>
      </c>
      <c r="E90" s="29" t="s">
        <v>51</v>
      </c>
    </row>
    <row r="91" spans="4:5" x14ac:dyDescent="0.35">
      <c r="D91" s="28" t="s">
        <v>744</v>
      </c>
      <c r="E91" s="29" t="s">
        <v>54</v>
      </c>
    </row>
    <row r="92" spans="4:5" x14ac:dyDescent="0.35">
      <c r="D92" s="28" t="s">
        <v>745</v>
      </c>
      <c r="E92" s="29" t="s">
        <v>52</v>
      </c>
    </row>
    <row r="93" spans="4:5" x14ac:dyDescent="0.35">
      <c r="D93" s="28" t="s">
        <v>746</v>
      </c>
      <c r="E93" s="29" t="s">
        <v>52</v>
      </c>
    </row>
    <row r="94" spans="4:5" x14ac:dyDescent="0.35">
      <c r="D94" s="28" t="s">
        <v>747</v>
      </c>
      <c r="E94" s="29" t="s">
        <v>52</v>
      </c>
    </row>
    <row r="95" spans="4:5" x14ac:dyDescent="0.35">
      <c r="D95" s="28" t="s">
        <v>748</v>
      </c>
      <c r="E95" s="29" t="s">
        <v>51</v>
      </c>
    </row>
    <row r="96" spans="4:5" x14ac:dyDescent="0.35">
      <c r="D96" s="28" t="s">
        <v>749</v>
      </c>
      <c r="E96" s="29" t="s">
        <v>52</v>
      </c>
    </row>
    <row r="97" spans="4:5" x14ac:dyDescent="0.35">
      <c r="D97" s="28" t="s">
        <v>750</v>
      </c>
      <c r="E97" s="29" t="s">
        <v>52</v>
      </c>
    </row>
    <row r="98" spans="4:5" x14ac:dyDescent="0.35">
      <c r="D98" s="28" t="s">
        <v>751</v>
      </c>
      <c r="E98" s="29" t="s">
        <v>53</v>
      </c>
    </row>
    <row r="99" spans="4:5" x14ac:dyDescent="0.35">
      <c r="D99" s="28" t="s">
        <v>752</v>
      </c>
      <c r="E99" s="29" t="s">
        <v>51</v>
      </c>
    </row>
    <row r="100" spans="4:5" x14ac:dyDescent="0.35">
      <c r="D100" s="28" t="s">
        <v>753</v>
      </c>
      <c r="E100" s="29" t="s">
        <v>51</v>
      </c>
    </row>
    <row r="101" spans="4:5" x14ac:dyDescent="0.35">
      <c r="D101" s="28" t="s">
        <v>754</v>
      </c>
      <c r="E101" s="29" t="s">
        <v>52</v>
      </c>
    </row>
    <row r="102" spans="4:5" x14ac:dyDescent="0.35">
      <c r="D102" s="28" t="s">
        <v>755</v>
      </c>
      <c r="E102" s="29" t="s">
        <v>51</v>
      </c>
    </row>
    <row r="103" spans="4:5" x14ac:dyDescent="0.35">
      <c r="D103" s="28" t="s">
        <v>756</v>
      </c>
      <c r="E103" s="29" t="s">
        <v>50</v>
      </c>
    </row>
    <row r="104" spans="4:5" x14ac:dyDescent="0.35">
      <c r="D104" s="28" t="s">
        <v>757</v>
      </c>
      <c r="E104" s="29" t="s">
        <v>51</v>
      </c>
    </row>
    <row r="105" spans="4:5" x14ac:dyDescent="0.35">
      <c r="D105" s="28" t="s">
        <v>758</v>
      </c>
      <c r="E105" s="29" t="s">
        <v>50</v>
      </c>
    </row>
    <row r="106" spans="4:5" x14ac:dyDescent="0.35">
      <c r="D106" s="28" t="s">
        <v>759</v>
      </c>
      <c r="E106" s="29" t="s">
        <v>51</v>
      </c>
    </row>
    <row r="107" spans="4:5" x14ac:dyDescent="0.35">
      <c r="D107" s="28" t="s">
        <v>760</v>
      </c>
      <c r="E107" s="29" t="s">
        <v>50</v>
      </c>
    </row>
    <row r="108" spans="4:5" x14ac:dyDescent="0.35">
      <c r="D108" s="28" t="s">
        <v>761</v>
      </c>
      <c r="E108" s="29" t="s">
        <v>50</v>
      </c>
    </row>
    <row r="109" spans="4:5" x14ac:dyDescent="0.35">
      <c r="D109" s="28" t="s">
        <v>762</v>
      </c>
      <c r="E109" s="29" t="s">
        <v>50</v>
      </c>
    </row>
    <row r="110" spans="4:5" x14ac:dyDescent="0.35">
      <c r="D110" s="28" t="s">
        <v>763</v>
      </c>
      <c r="E110" s="29" t="s">
        <v>50</v>
      </c>
    </row>
    <row r="111" spans="4:5" x14ac:dyDescent="0.35">
      <c r="D111" s="28" t="s">
        <v>764</v>
      </c>
      <c r="E111" s="29" t="s">
        <v>50</v>
      </c>
    </row>
    <row r="112" spans="4:5" x14ac:dyDescent="0.35">
      <c r="D112" s="28" t="s">
        <v>765</v>
      </c>
      <c r="E112" s="29" t="s">
        <v>50</v>
      </c>
    </row>
    <row r="113" spans="4:5" x14ac:dyDescent="0.35">
      <c r="D113" s="28" t="s">
        <v>766</v>
      </c>
      <c r="E113" s="29" t="s">
        <v>50</v>
      </c>
    </row>
    <row r="114" spans="4:5" x14ac:dyDescent="0.35">
      <c r="D114" s="28" t="s">
        <v>767</v>
      </c>
      <c r="E114" s="29" t="s">
        <v>52</v>
      </c>
    </row>
    <row r="115" spans="4:5" x14ac:dyDescent="0.35">
      <c r="D115" s="28" t="s">
        <v>768</v>
      </c>
      <c r="E115" s="29" t="s">
        <v>50</v>
      </c>
    </row>
    <row r="116" spans="4:5" x14ac:dyDescent="0.35">
      <c r="D116" s="28" t="s">
        <v>769</v>
      </c>
      <c r="E116" s="29" t="s">
        <v>50</v>
      </c>
    </row>
    <row r="117" spans="4:5" x14ac:dyDescent="0.35">
      <c r="D117" s="28" t="s">
        <v>770</v>
      </c>
      <c r="E117" s="29" t="s">
        <v>50</v>
      </c>
    </row>
    <row r="118" spans="4:5" x14ac:dyDescent="0.35">
      <c r="D118" s="28" t="s">
        <v>771</v>
      </c>
      <c r="E118" s="29" t="s">
        <v>50</v>
      </c>
    </row>
    <row r="119" spans="4:5" x14ac:dyDescent="0.35">
      <c r="D119" s="28" t="s">
        <v>772</v>
      </c>
      <c r="E119" s="29" t="s">
        <v>50</v>
      </c>
    </row>
    <row r="120" spans="4:5" x14ac:dyDescent="0.35">
      <c r="D120" s="28" t="s">
        <v>773</v>
      </c>
      <c r="E120" s="29" t="s">
        <v>50</v>
      </c>
    </row>
    <row r="121" spans="4:5" x14ac:dyDescent="0.35">
      <c r="D121" s="28" t="s">
        <v>774</v>
      </c>
      <c r="E121" s="29" t="s">
        <v>50</v>
      </c>
    </row>
    <row r="122" spans="4:5" x14ac:dyDescent="0.35">
      <c r="D122" s="28" t="s">
        <v>775</v>
      </c>
      <c r="E122" s="29" t="s">
        <v>50</v>
      </c>
    </row>
    <row r="123" spans="4:5" x14ac:dyDescent="0.35">
      <c r="D123" s="28" t="s">
        <v>776</v>
      </c>
      <c r="E123" s="29" t="s">
        <v>50</v>
      </c>
    </row>
    <row r="124" spans="4:5" x14ac:dyDescent="0.35">
      <c r="D124" s="28" t="s">
        <v>777</v>
      </c>
      <c r="E124" s="29" t="s">
        <v>51</v>
      </c>
    </row>
    <row r="125" spans="4:5" x14ac:dyDescent="0.35">
      <c r="D125" s="28" t="s">
        <v>778</v>
      </c>
      <c r="E125" s="29" t="s">
        <v>51</v>
      </c>
    </row>
    <row r="126" spans="4:5" x14ac:dyDescent="0.35">
      <c r="D126" s="28" t="s">
        <v>779</v>
      </c>
      <c r="E126" s="29" t="s">
        <v>53</v>
      </c>
    </row>
    <row r="127" spans="4:5" x14ac:dyDescent="0.35">
      <c r="D127" s="28" t="s">
        <v>780</v>
      </c>
      <c r="E127" s="29" t="s">
        <v>50</v>
      </c>
    </row>
    <row r="128" spans="4:5" x14ac:dyDescent="0.35">
      <c r="D128" s="28" t="s">
        <v>781</v>
      </c>
      <c r="E128" s="29" t="s">
        <v>51</v>
      </c>
    </row>
    <row r="129" spans="4:5" x14ac:dyDescent="0.35">
      <c r="D129" s="28" t="s">
        <v>782</v>
      </c>
      <c r="E129" s="29" t="s">
        <v>50</v>
      </c>
    </row>
    <row r="130" spans="4:5" ht="17.25" customHeight="1" x14ac:dyDescent="0.35">
      <c r="D130" s="28" t="s">
        <v>783</v>
      </c>
      <c r="E130" s="29" t="s">
        <v>52</v>
      </c>
    </row>
    <row r="131" spans="4:5" ht="20.25" customHeight="1" x14ac:dyDescent="0.35">
      <c r="D131" s="28" t="s">
        <v>784</v>
      </c>
      <c r="E131" s="29" t="s">
        <v>50</v>
      </c>
    </row>
    <row r="132" spans="4:5" x14ac:dyDescent="0.35">
      <c r="D132" s="28" t="s">
        <v>785</v>
      </c>
      <c r="E132" s="29" t="s">
        <v>50</v>
      </c>
    </row>
    <row r="133" spans="4:5" x14ac:dyDescent="0.35">
      <c r="D133" s="28" t="s">
        <v>786</v>
      </c>
      <c r="E133" s="29" t="s">
        <v>50</v>
      </c>
    </row>
    <row r="134" spans="4:5" x14ac:dyDescent="0.35">
      <c r="D134" s="28" t="s">
        <v>787</v>
      </c>
      <c r="E134" s="29" t="s">
        <v>50</v>
      </c>
    </row>
    <row r="135" spans="4:5" x14ac:dyDescent="0.35">
      <c r="D135" s="28" t="s">
        <v>788</v>
      </c>
      <c r="E135" s="29" t="s">
        <v>50</v>
      </c>
    </row>
    <row r="136" spans="4:5" x14ac:dyDescent="0.35">
      <c r="D136" s="28" t="s">
        <v>789</v>
      </c>
      <c r="E136" s="29" t="s">
        <v>51</v>
      </c>
    </row>
    <row r="137" spans="4:5" x14ac:dyDescent="0.35">
      <c r="D137" s="28" t="s">
        <v>790</v>
      </c>
      <c r="E137" s="29" t="s">
        <v>51</v>
      </c>
    </row>
    <row r="138" spans="4:5" x14ac:dyDescent="0.35">
      <c r="D138" s="28" t="s">
        <v>791</v>
      </c>
      <c r="E138" s="29" t="s">
        <v>52</v>
      </c>
    </row>
    <row r="139" spans="4:5" x14ac:dyDescent="0.35">
      <c r="D139" s="28" t="s">
        <v>792</v>
      </c>
      <c r="E139" s="29" t="s">
        <v>50</v>
      </c>
    </row>
    <row r="140" spans="4:5" x14ac:dyDescent="0.35">
      <c r="D140" s="28" t="s">
        <v>793</v>
      </c>
      <c r="E140" s="29" t="s">
        <v>51</v>
      </c>
    </row>
    <row r="141" spans="4:5" x14ac:dyDescent="0.35">
      <c r="D141" s="28" t="s">
        <v>794</v>
      </c>
      <c r="E141" s="29" t="s">
        <v>51</v>
      </c>
    </row>
    <row r="142" spans="4:5" x14ac:dyDescent="0.35">
      <c r="D142" s="28" t="s">
        <v>795</v>
      </c>
      <c r="E142" s="29" t="s">
        <v>51</v>
      </c>
    </row>
    <row r="143" spans="4:5" x14ac:dyDescent="0.35">
      <c r="D143" s="28" t="s">
        <v>796</v>
      </c>
      <c r="E143" s="29" t="s">
        <v>51</v>
      </c>
    </row>
    <row r="144" spans="4:5" x14ac:dyDescent="0.35">
      <c r="D144" s="28" t="s">
        <v>797</v>
      </c>
      <c r="E144" s="29" t="s">
        <v>54</v>
      </c>
    </row>
    <row r="145" spans="4:4" x14ac:dyDescent="0.35">
      <c r="D145" s="27"/>
    </row>
  </sheetData>
  <sheetProtection algorithmName="SHA-512" hashValue="B0fx2BKybr+oSxGnaBJyI6UhuOYPMW0YMiZ2dFJwtu6GXpbMzgtLx31glI6yb0m0kBn9ln3wDXK7wa2Dn3yzIQ==" saltValue="E/rw9CbLh0kcgPejmxiEKA==" spinCount="100000" sheet="1" objects="1" scenarios="1"/>
  <mergeCells count="2">
    <mergeCell ref="V17:V22"/>
    <mergeCell ref="F2:I2"/>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REGU-408-2769135</_dlc_DocId>
    <_dlc_DocIdUrl xmlns="9be56660-2c31-41ef-bc00-23e72f632f2a">
      <Url>https://cyfoethnaturiolcymru.sharepoint.com/teams/Regulatory/Permitting/_layouts/15/DocIdRedir.aspx?ID=REGU-408-2769135</Url>
      <Description>REGU-408-2769135</Description>
    </_dlc_DocIdUrl>
    <TaxCatchAll xmlns="859f7ad6-93f6-4205-b62b-a17f28acbbac" xsi:nil="true"/>
    <lcf76f155ced4ddcb4097134ff3c332f xmlns="7300053d-1c5f-4e78-b9e3-ee8c32344bce" xsi:nil="true"/>
    <Welsh_x0020_Local_x0020_Authority xmlns="859f7ad6-93f6-4205-b62b-a17f28acbbac">Wrexham CBC</Welsh_x0020_Local_x0020_Authority>
    <Document_x0020_Date xmlns="859f7ad6-93f6-4205-b62b-a17f28acbbac">2026-07-05T23:00:00+00:00</Document_x0020_Date>
    <Site_x0020_Name xmlns="859f7ad6-93f6-4205-b62b-a17f28acbbac">Wrexham Clinical Waste  Treatment Plant and Transfer Station  SITE CONTACT  ALAN RHODES  07387 124325 alan.rhodes@tradebe.com</Site_x0020_Name>
    <Customer_x0020_Name xmlns="859f7ad6-93f6-4205-b62b-a17f28acbbac">Tradebe Healthcare National Limited</Customer_x0020_Name>
    <Environment_x0020_Sub_x0020_Folder xmlns="859f7ad6-93f6-4205-b62b-a17f28acbbac">Licence variation</Environment_x0020_Sub_x0020_Folder>
    <Facility_x0020_Address xmlns="859f7ad6-93f6-4205-b62b-a17f28acbbac">Marlborough Road, Wrexham Industrial Estate, Wrexham. LL13 9RJ</Facility_x0020_Address>
    <License_x002f_Activity_x0020_Type xmlns="859f7ad6-93f6-4205-b62b-a17f28acbbac">3. EPR Regulated Industry</License_x002f_Activity_x0020_Type>
    <Internal_x002f_External xmlns="859f7ad6-93f6-4205-b62b-a17f28acbbac">Incoming document</Internal_x002f_External>
    <Document_x0020_Type xmlns="859f7ad6-93f6-4205-b62b-a17f28acbbac">Form/Proforma</Document_x0020_Type>
    <Process_x0020_Type xmlns="859f7ad6-93f6-4205-b62b-a17f28acbbac">Application</Process_x0020_Type>
    <Addressee xmlns="859f7ad6-93f6-4205-b62b-a17f28acbbac">Sita House, Grenfell Road, Maidenhead, Berkshire. </Addressee>
    <Post_x0020_code xmlns="859f7ad6-93f6-4205-b62b-a17f28acbbac">SL6 1ES</Post_x0020_code>
    <Disclosure_x0020_Status xmlns="859f7ad6-93f6-4205-b62b-a17f28acbbac">Public register</Disclosure_x0020_Status>
    <Surrendered_x002f_Expired xmlns="859f7ad6-93f6-4205-b62b-a17f28acbbac" xsi:nil="tru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83" ma:contentTypeDescription="Permitting &amp; Compliance Excel Document" ma:contentTypeScope="" ma:versionID="59ad4d07c9237c7c5a866e3d18b186e6">
  <xsd:schema xmlns:xsd="http://www.w3.org/2001/XMLSchema" xmlns:xs="http://www.w3.org/2001/XMLSchema" xmlns:p="http://schemas.microsoft.com/office/2006/metadata/properties" xmlns:ns2="859f7ad6-93f6-4205-b62b-a17f28acbbac" xmlns:ns4="005db27c-c37f-4c3b-898d-3fee1249b087" xmlns:ns5="9be56660-2c31-41ef-bc00-23e72f632f2a" xmlns:ns6="7300053d-1c5f-4e78-b9e3-ee8c32344bce" targetNamespace="http://schemas.microsoft.com/office/2006/metadata/properties" ma:root="true" ma:fieldsID="49fbb6f1bb9dd76187b787d75f24e5fd" ns2:_="" ns4:_="" ns5:_="" ns6:_="">
    <xsd:import namespace="859f7ad6-93f6-4205-b62b-a17f28acbbac"/>
    <xsd:import namespace="005db27c-c37f-4c3b-898d-3fee1249b087"/>
    <xsd:import namespace="9be56660-2c31-41ef-bc00-23e72f632f2a"/>
    <xsd:import namespace="7300053d-1c5f-4e78-b9e3-ee8c32344bc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2.xml><?xml version="1.0" encoding="utf-8"?>
<ds:datastoreItem xmlns:ds="http://schemas.openxmlformats.org/officeDocument/2006/customXml" ds:itemID="{3B34F480-0F01-4233-9CF3-A67EE596EFB4}"/>
</file>

<file path=customXml/itemProps3.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4.xml><?xml version="1.0" encoding="utf-8"?>
<ds:datastoreItem xmlns:ds="http://schemas.openxmlformats.org/officeDocument/2006/customXml" ds:itemID="{845B5C51-60FC-4021-B870-3A5643A34C58}">
  <ds:schemaRefs>
    <ds:schemaRef ds:uri="http://schemas.microsoft.com/office/2006/documentManagement/types"/>
    <ds:schemaRef ds:uri="http://purl.org/dc/dcmitype/"/>
    <ds:schemaRef ds:uri="6e121689-de5b-41b9-a751-bfeda7fa2b07"/>
    <ds:schemaRef ds:uri="http://purl.org/dc/elements/1.1/"/>
    <ds:schemaRef ds:uri="http://schemas.openxmlformats.org/package/2006/metadata/core-properties"/>
    <ds:schemaRef ds:uri="http://schemas.microsoft.com/office/2006/metadata/properties"/>
    <ds:schemaRef ds:uri="http://www.w3.org/XML/1998/namespace"/>
    <ds:schemaRef ds:uri="9be56660-2c31-41ef-bc00-23e72f632f2a"/>
    <ds:schemaRef ds:uri="http://schemas.microsoft.com/office/infopath/2007/PartnerControls"/>
    <ds:schemaRef ds:uri="http://purl.org/dc/terms/"/>
  </ds:schemaRefs>
</ds:datastoreItem>
</file>

<file path=customXml/itemProps5.xml><?xml version="1.0" encoding="utf-8"?>
<ds:datastoreItem xmlns:ds="http://schemas.openxmlformats.org/officeDocument/2006/customXml" ds:itemID="{C30F1293-3203-40BC-A573-3D399611D6E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opra-v2.6-2026-27</dc:title>
  <dc:subject/>
  <dc:creator>Potts, Shaun</dc:creator>
  <cp:keywords/>
  <dc:description/>
  <cp:lastModifiedBy>Paul Wright</cp:lastModifiedBy>
  <cp:revision/>
  <dcterms:created xsi:type="dcterms:W3CDTF">2022-08-19T07:52:48Z</dcterms:created>
  <dcterms:modified xsi:type="dcterms:W3CDTF">2026-07-06T07:42:45Z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0x01010067EB80C5FE939D4A9B3D8BA62129B7F50202001835F94F37DF2F4886E523D454ACB445</vt:lpwstr>
  </property>
  <property fmtid="{D5CDD505-2E9C-101B-9397-08002B2CF9AE}" pid="3" name="_dlc_DocIdItemGuid">
    <vt:lpwstr>834ead3d-ff99-456a-a1be-ddbef2a82642</vt:lpwstr>
  </property>
  <property fmtid="{D5CDD505-2E9C-101B-9397-08002B2CF9AE}" pid="4" name="Welsh Local Authority">
    <vt:lpwstr>Wrexham CBC</vt:lpwstr>
  </property>
  <property fmtid="{D5CDD505-2E9C-101B-9397-08002B2CF9AE}" pid="5" name="Site Name">
    <vt:lpwstr>Wrexham Clinical Waste  Treatment Plant and Transfer Station  SITE CONTACT  ALAN RHODES  07387 124325 alan.rhodes@tradebe.com</vt:lpwstr>
  </property>
  <property fmtid="{D5CDD505-2E9C-101B-9397-08002B2CF9AE}" pid="6" name="Addressee">
    <vt:lpwstr>Sita House, Grenfell Road, Maidenhead, Berkshire. </vt:lpwstr>
  </property>
  <property fmtid="{D5CDD505-2E9C-101B-9397-08002B2CF9AE}" pid="7" name="Post code">
    <vt:lpwstr>SL6 1ES</vt:lpwstr>
  </property>
  <property fmtid="{D5CDD505-2E9C-101B-9397-08002B2CF9AE}" pid="8" name="Customer Name">
    <vt:lpwstr>Tradebe Healthcare National Limited</vt:lpwstr>
  </property>
  <property fmtid="{D5CDD505-2E9C-101B-9397-08002B2CF9AE}" pid="9" name="Facility Address">
    <vt:lpwstr>Marlborough Road, Wrexham Industrial Estate, Wrexham. LL13 9RJ</vt:lpwstr>
  </property>
  <property fmtid="{D5CDD505-2E9C-101B-9397-08002B2CF9AE}" pid="10" name="License/Activity Type">
    <vt:lpwstr>3. EPR Regulated Industry</vt:lpwstr>
  </property>
  <property fmtid="{D5CDD505-2E9C-101B-9397-08002B2CF9AE}" pid="11" name="MediaServiceImageTags">
    <vt:lpwstr/>
  </property>
</Properties>
</file>