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3235 DAN JAMES MED/Issue/"/>
    </mc:Choice>
  </mc:AlternateContent>
  <xr:revisionPtr revIDLastSave="0" documentId="8_{A4E85E42-316B-47A8-A9FE-5E6BDD805EBF}" xr6:coauthVersionLast="47" xr6:coauthVersionMax="47" xr10:uidLastSave="{00000000-0000-0000-0000-000000000000}"/>
  <bookViews>
    <workbookView xWindow="33720" yWindow="-120" windowWidth="29040" windowHeight="15720" tabRatio="870" xr2:uid="{00000000-000D-0000-FFFF-FFFF00000000}"/>
  </bookViews>
  <sheets>
    <sheet name="Field data and Volac"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19" i="21" s="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K19" i="21" s="1"/>
  <c r="J59" i="22"/>
  <c r="K17" i="22"/>
  <c r="K19" i="22" s="1"/>
  <c r="K21" i="22"/>
  <c r="R59" i="22"/>
  <c r="S17" i="22"/>
  <c r="S21" i="22"/>
  <c r="S23" i="22" s="1"/>
  <c r="D59" i="23"/>
  <c r="E17" i="23"/>
  <c r="E19" i="23" s="1"/>
  <c r="E21" i="23"/>
  <c r="L59" i="23"/>
  <c r="M17" i="23"/>
  <c r="M19" i="23" s="1"/>
  <c r="M21" i="23"/>
  <c r="M23" i="23" s="1"/>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23" i="26" s="1"/>
  <c r="M17" i="26"/>
  <c r="M19" i="26" s="1"/>
  <c r="T59" i="26"/>
  <c r="U21" i="26"/>
  <c r="U23" i="26" s="1"/>
  <c r="U17" i="26"/>
  <c r="U19" i="26" s="1"/>
  <c r="C59" i="27"/>
  <c r="D17" i="27"/>
  <c r="K59" i="27"/>
  <c r="L17" i="27"/>
  <c r="S59" i="27"/>
  <c r="T17" i="27"/>
  <c r="T19" i="27" s="1"/>
  <c r="C59" i="28"/>
  <c r="D21" i="28"/>
  <c r="D23" i="28" s="1"/>
  <c r="D24" i="28" s="1"/>
  <c r="D17" i="28"/>
  <c r="K59" i="28"/>
  <c r="L21" i="28"/>
  <c r="L23" i="28" s="1"/>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H21" i="21"/>
  <c r="H23" i="21" s="1"/>
  <c r="H24" i="21" s="1"/>
  <c r="H17" i="21"/>
  <c r="H19" i="21" s="1"/>
  <c r="E59" i="22"/>
  <c r="F21" i="22"/>
  <c r="F23" i="22" s="1"/>
  <c r="F17" i="22"/>
  <c r="F19" i="22" s="1"/>
  <c r="M59" i="22"/>
  <c r="N21" i="22"/>
  <c r="N23" i="22" s="1"/>
  <c r="N17" i="22"/>
  <c r="N19" i="22" s="1"/>
  <c r="U59" i="22"/>
  <c r="V17" i="22"/>
  <c r="V21" i="22"/>
  <c r="C18" i="22"/>
  <c r="H21" i="23"/>
  <c r="H23" i="23" s="1"/>
  <c r="H17" i="23"/>
  <c r="P17" i="23"/>
  <c r="P19" i="23" s="1"/>
  <c r="P21" i="23"/>
  <c r="P23" i="23" s="1"/>
  <c r="J59" i="24"/>
  <c r="K21" i="24"/>
  <c r="K23" i="24" s="1"/>
  <c r="K17" i="24"/>
  <c r="R59" i="24"/>
  <c r="S21" i="24"/>
  <c r="S23" i="24" s="1"/>
  <c r="S17" i="24"/>
  <c r="G21" i="26"/>
  <c r="G17" i="26"/>
  <c r="O17" i="26"/>
  <c r="O21" i="26"/>
  <c r="O23" i="26" s="1"/>
  <c r="E59" i="27"/>
  <c r="F17" i="27"/>
  <c r="F19" i="27" s="1"/>
  <c r="M59" i="27"/>
  <c r="N17" i="27"/>
  <c r="N19" i="27" s="1"/>
  <c r="U59" i="27"/>
  <c r="V17" i="27"/>
  <c r="E59" i="28"/>
  <c r="F17" i="28"/>
  <c r="F21" i="28"/>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19" i="22" s="1"/>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H19" i="26" s="1"/>
  <c r="P21" i="26"/>
  <c r="P17" i="26"/>
  <c r="P19" i="26" s="1"/>
  <c r="F59" i="28"/>
  <c r="G17" i="28"/>
  <c r="G19" i="28" s="1"/>
  <c r="G21" i="28"/>
  <c r="G23" i="28" s="1"/>
  <c r="N59" i="28"/>
  <c r="O17" i="28"/>
  <c r="O19" i="28" s="1"/>
  <c r="O21" i="28"/>
  <c r="O23" i="28" s="1"/>
  <c r="E59" i="29"/>
  <c r="F17" i="29"/>
  <c r="F19" i="29" s="1"/>
  <c r="F21" i="29"/>
  <c r="F23" i="29" s="1"/>
  <c r="M59" i="29"/>
  <c r="N17" i="29"/>
  <c r="N19" i="29" s="1"/>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23" i="28" s="1"/>
  <c r="P17" i="28"/>
  <c r="P19" i="28" s="1"/>
  <c r="G17" i="29"/>
  <c r="G21" i="29"/>
  <c r="G23" i="29" s="1"/>
  <c r="O17" i="29"/>
  <c r="O21" i="29"/>
  <c r="O23" i="29" s="1"/>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23" i="22" s="1"/>
  <c r="P17" i="22"/>
  <c r="T59" i="21"/>
  <c r="T64" i="21" s="1"/>
  <c r="U17" i="21"/>
  <c r="U19" i="21" s="1"/>
  <c r="U21" i="21"/>
  <c r="U23" i="21" s="1"/>
  <c r="U24" i="21" s="1"/>
  <c r="M17" i="21"/>
  <c r="M19" i="21" s="1"/>
  <c r="M21" i="21"/>
  <c r="E17" i="2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P19" i="29" s="1"/>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Q59" i="22"/>
  <c r="R17" i="22"/>
  <c r="R19" i="22" s="1"/>
  <c r="R21" i="22"/>
  <c r="R23" i="22" s="1"/>
  <c r="C59" i="23"/>
  <c r="D17" i="23"/>
  <c r="D19" i="23" s="1"/>
  <c r="D21" i="23"/>
  <c r="S59" i="23"/>
  <c r="T17" i="23"/>
  <c r="T21" i="23"/>
  <c r="G17" i="24"/>
  <c r="G19" i="24" s="1"/>
  <c r="G21" i="24"/>
  <c r="G23" i="24" s="1"/>
  <c r="O17" i="24"/>
  <c r="O19" i="24" s="1"/>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S58" i="21"/>
  <c r="S61" i="21" s="1"/>
  <c r="C58" i="21"/>
  <c r="C61" i="21" s="1"/>
  <c r="C64" i="21" s="1"/>
  <c r="C65" i="21" s="1"/>
  <c r="K58" i="21"/>
  <c r="K61" i="21" s="1"/>
  <c r="K64" i="21" s="1"/>
  <c r="K65" i="21" s="1"/>
  <c r="R19" i="24"/>
  <c r="I21" i="27"/>
  <c r="I23" i="27" s="1"/>
  <c r="Q21" i="27"/>
  <c r="R58" i="21"/>
  <c r="R61" i="21" s="1"/>
  <c r="R64" i="21" s="1"/>
  <c r="O57" i="21"/>
  <c r="A43" i="21"/>
  <c r="J58" i="21"/>
  <c r="J61" i="21" s="1"/>
  <c r="E19" i="21"/>
  <c r="G23" i="26"/>
  <c r="D58" i="29"/>
  <c r="D61" i="29" s="1"/>
  <c r="P23" i="26"/>
  <c r="G21" i="27"/>
  <c r="G23" i="27" s="1"/>
  <c r="O21" i="27"/>
  <c r="O23" i="27" s="1"/>
  <c r="D58" i="30"/>
  <c r="D61" i="30" s="1"/>
  <c r="L58" i="30"/>
  <c r="L61"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H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C65" i="27" s="1"/>
  <c r="K58" i="27"/>
  <c r="K61" i="27" s="1"/>
  <c r="S58" i="27"/>
  <c r="S61" i="27" s="1"/>
  <c r="S64" i="27" s="1"/>
  <c r="P57" i="27"/>
  <c r="N59" i="27"/>
  <c r="H58" i="28"/>
  <c r="H61" i="28" s="1"/>
  <c r="P58" i="28"/>
  <c r="P61" i="28" s="1"/>
  <c r="N57" i="28"/>
  <c r="L23" i="29"/>
  <c r="T23" i="29"/>
  <c r="G58" i="29"/>
  <c r="G61" i="29" s="1"/>
  <c r="O58" i="29"/>
  <c r="O61" i="29" s="1"/>
  <c r="P59" i="29"/>
  <c r="D64" i="30"/>
  <c r="D65" i="30" s="1"/>
  <c r="I57" i="30"/>
  <c r="G57" i="21"/>
  <c r="E58" i="22"/>
  <c r="E61" i="22" s="1"/>
  <c r="E64" i="22" s="1"/>
  <c r="E65" i="22" s="1"/>
  <c r="M58" i="22"/>
  <c r="M61"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Q58" i="28"/>
  <c r="Q61" i="28" s="1"/>
  <c r="Q6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V19" i="30"/>
  <c r="B63" i="30"/>
  <c r="J63" i="30"/>
  <c r="R63" i="30"/>
  <c r="A32" i="30"/>
  <c r="A34" i="30"/>
  <c r="A40" i="30"/>
  <c r="A42" i="30"/>
  <c r="A48" i="30"/>
  <c r="A50" i="30"/>
  <c r="C63" i="30"/>
  <c r="K63" i="30"/>
  <c r="S63" i="30"/>
  <c r="P19" i="30"/>
  <c r="D63" i="30"/>
  <c r="L63" i="30"/>
  <c r="T63" i="30"/>
  <c r="H63" i="30"/>
  <c r="Q19" i="30"/>
  <c r="E63" i="30"/>
  <c r="M63" i="30"/>
  <c r="Q23" i="29"/>
  <c r="T19" i="29"/>
  <c r="P63" i="29"/>
  <c r="J19" i="29"/>
  <c r="R19" i="29"/>
  <c r="J23" i="29"/>
  <c r="F57" i="29"/>
  <c r="N57" i="29"/>
  <c r="F59" i="29"/>
  <c r="N59" i="29"/>
  <c r="F63" i="29"/>
  <c r="N63" i="29"/>
  <c r="H63" i="29"/>
  <c r="S19" i="29"/>
  <c r="K23" i="29"/>
  <c r="S23" i="29"/>
  <c r="A31" i="29"/>
  <c r="A33" i="29"/>
  <c r="A39" i="29"/>
  <c r="A41" i="29"/>
  <c r="A47" i="29"/>
  <c r="A49" i="29"/>
  <c r="G57" i="29"/>
  <c r="O57" i="29"/>
  <c r="G59" i="29"/>
  <c r="O59" i="29"/>
  <c r="G63" i="29"/>
  <c r="O63" i="29"/>
  <c r="M19" i="29"/>
  <c r="U19" i="29"/>
  <c r="M23" i="29"/>
  <c r="U23" i="29"/>
  <c r="I57" i="29"/>
  <c r="Q57" i="29"/>
  <c r="I63" i="29"/>
  <c r="Q63" i="29"/>
  <c r="V19" i="29"/>
  <c r="B63" i="29"/>
  <c r="J63" i="29"/>
  <c r="R63" i="29"/>
  <c r="L19" i="29"/>
  <c r="G19" i="29"/>
  <c r="O19" i="29"/>
  <c r="A32" i="29"/>
  <c r="A34" i="29"/>
  <c r="A40" i="29"/>
  <c r="A42" i="29"/>
  <c r="A48" i="29"/>
  <c r="A50" i="29"/>
  <c r="C63" i="29"/>
  <c r="K63" i="29"/>
  <c r="S63" i="29"/>
  <c r="H19" i="29"/>
  <c r="D63" i="29"/>
  <c r="L63" i="29"/>
  <c r="T63" i="29"/>
  <c r="E63" i="29"/>
  <c r="M63" i="29"/>
  <c r="K19" i="28"/>
  <c r="S19" i="28"/>
  <c r="K23" i="28"/>
  <c r="A31" i="28"/>
  <c r="A33" i="28"/>
  <c r="A37" i="28"/>
  <c r="A39" i="28"/>
  <c r="A41" i="28"/>
  <c r="A45" i="28"/>
  <c r="A47" i="28"/>
  <c r="A49" i="28"/>
  <c r="G57" i="28"/>
  <c r="O57" i="28"/>
  <c r="G59" i="28"/>
  <c r="O59" i="28"/>
  <c r="G63" i="28"/>
  <c r="O63" i="28"/>
  <c r="D19" i="28"/>
  <c r="L19" i="28"/>
  <c r="T23" i="28"/>
  <c r="H59" i="28"/>
  <c r="P59" i="28"/>
  <c r="H63" i="28"/>
  <c r="P63" i="28"/>
  <c r="M19" i="28"/>
  <c r="U19" i="28"/>
  <c r="M23" i="28"/>
  <c r="I57" i="28"/>
  <c r="Q57" i="28"/>
  <c r="I63" i="28"/>
  <c r="Q63" i="28"/>
  <c r="R19" i="28"/>
  <c r="F19" i="28"/>
  <c r="V19" i="28"/>
  <c r="F23" i="28"/>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J23" i="26"/>
  <c r="C19" i="26"/>
  <c r="C20" i="26" s="1"/>
  <c r="A31" i="26"/>
  <c r="A33" i="26"/>
  <c r="A37" i="26"/>
  <c r="A39" i="26"/>
  <c r="A41" i="26"/>
  <c r="A45" i="26"/>
  <c r="A47" i="26"/>
  <c r="A49" i="26"/>
  <c r="G57" i="26"/>
  <c r="O57" i="26"/>
  <c r="G59" i="26"/>
  <c r="O59" i="26"/>
  <c r="G63" i="26"/>
  <c r="O63" i="26"/>
  <c r="L19" i="26"/>
  <c r="T19" i="26"/>
  <c r="L23" i="26"/>
  <c r="T23" i="26"/>
  <c r="H63" i="26"/>
  <c r="P63" i="26"/>
  <c r="E23" i="26"/>
  <c r="I57" i="26"/>
  <c r="Q57" i="26"/>
  <c r="I59" i="26"/>
  <c r="I64" i="26" s="1"/>
  <c r="I65" i="26" s="1"/>
  <c r="Q59" i="26"/>
  <c r="Q64" i="26" s="1"/>
  <c r="I63" i="26"/>
  <c r="Q63" i="26"/>
  <c r="V23" i="26"/>
  <c r="B63" i="26"/>
  <c r="J63" i="26"/>
  <c r="R63" i="26"/>
  <c r="G19" i="26"/>
  <c r="O19" i="26"/>
  <c r="A32" i="26"/>
  <c r="A34" i="26"/>
  <c r="A40" i="26"/>
  <c r="A42" i="26"/>
  <c r="A48" i="26"/>
  <c r="A50" i="26"/>
  <c r="C63" i="26"/>
  <c r="K63" i="26"/>
  <c r="S63" i="26"/>
  <c r="D63" i="26"/>
  <c r="L63" i="26"/>
  <c r="I19" i="26"/>
  <c r="P23" i="24"/>
  <c r="K19"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S23" i="23"/>
  <c r="A31" i="23"/>
  <c r="A33" i="23"/>
  <c r="A37" i="23"/>
  <c r="A39" i="23"/>
  <c r="A41" i="23"/>
  <c r="A45" i="23"/>
  <c r="A47" i="23"/>
  <c r="A49" i="23"/>
  <c r="G57" i="23"/>
  <c r="O57" i="23"/>
  <c r="G59" i="23"/>
  <c r="O59" i="23"/>
  <c r="L19" i="23"/>
  <c r="T19" i="23"/>
  <c r="D23" i="23"/>
  <c r="L23" i="23"/>
  <c r="T23" i="23"/>
  <c r="E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M19" i="22"/>
  <c r="U23" i="22"/>
  <c r="I57" i="22"/>
  <c r="Q57" i="22"/>
  <c r="A39" i="22"/>
  <c r="A49" i="22"/>
  <c r="V19" i="22"/>
  <c r="V23" i="22"/>
  <c r="A32" i="22"/>
  <c r="A34" i="22"/>
  <c r="A40" i="22"/>
  <c r="A42" i="22"/>
  <c r="A48" i="22"/>
  <c r="A50" i="22"/>
  <c r="P19" i="22"/>
  <c r="P64" i="2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O65" i="21" s="1"/>
  <c r="N64" i="22"/>
  <c r="N65" i="22" s="1"/>
  <c r="L64" i="30"/>
  <c r="L65" i="30" s="1"/>
  <c r="L64" i="28"/>
  <c r="L65" i="28" s="1"/>
  <c r="L64" i="24"/>
  <c r="L65" i="24" s="1"/>
  <c r="K64" i="27"/>
  <c r="K65" i="27" s="1"/>
  <c r="I64" i="28"/>
  <c r="I65" i="28" s="1"/>
  <c r="E64" i="30"/>
  <c r="E65" i="30" s="1"/>
  <c r="M64" i="22"/>
  <c r="M65" i="22" s="1"/>
  <c r="C64" i="30"/>
  <c r="C65" i="30" s="1"/>
  <c r="M64" i="26"/>
  <c r="M66" i="26" s="1"/>
  <c r="N66" i="21"/>
  <c r="N65" i="21"/>
  <c r="F64"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G64" i="23"/>
  <c r="Q66" i="24"/>
  <c r="R66" i="27"/>
  <c r="C66" i="27"/>
  <c r="H66" i="23"/>
  <c r="J66" i="27"/>
  <c r="G64" i="27"/>
  <c r="G66" i="30"/>
  <c r="J66" i="30"/>
  <c r="F64" i="27"/>
  <c r="T66" i="27"/>
  <c r="L66" i="29"/>
  <c r="Q66" i="22"/>
  <c r="C66" i="22"/>
  <c r="T66" i="21"/>
  <c r="S66" i="23"/>
  <c r="H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I66" i="30"/>
  <c r="R66" i="29"/>
  <c r="I66" i="29"/>
  <c r="S66" i="29"/>
  <c r="T66" i="28"/>
  <c r="D66" i="28"/>
  <c r="Q66" i="28"/>
  <c r="S66" i="28"/>
  <c r="K66" i="28"/>
  <c r="Q66" i="27"/>
  <c r="I66" i="27"/>
  <c r="P66" i="27"/>
  <c r="Q66" i="26"/>
  <c r="P66" i="26"/>
  <c r="C66" i="26"/>
  <c r="I66" i="26"/>
  <c r="H66" i="26"/>
  <c r="D66" i="26"/>
  <c r="I66" i="24"/>
  <c r="P66" i="24"/>
  <c r="D66" i="24"/>
  <c r="K66" i="24"/>
  <c r="I66" i="23"/>
  <c r="E66" i="23"/>
  <c r="I66" i="22"/>
  <c r="S66" i="22"/>
  <c r="K66" i="22"/>
  <c r="T66" i="22"/>
  <c r="H66" i="21"/>
  <c r="K66" i="21"/>
  <c r="C66" i="21"/>
  <c r="D66" i="21"/>
  <c r="R66" i="21"/>
  <c r="N64" i="1"/>
  <c r="M64" i="1"/>
  <c r="T64" i="1"/>
  <c r="L64" i="1"/>
  <c r="L65" i="1" s="1"/>
  <c r="J64" i="1"/>
  <c r="K64" i="1"/>
  <c r="O64" i="1"/>
  <c r="C64" i="1"/>
  <c r="C65" i="1" s="1"/>
  <c r="I64" i="1"/>
  <c r="I65" i="1" s="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N66" i="23" l="1"/>
  <c r="L66" i="24"/>
  <c r="L66" i="28"/>
  <c r="K66" i="27"/>
  <c r="C66" i="30"/>
  <c r="E66" i="30"/>
  <c r="I66" i="28"/>
  <c r="M65" i="1"/>
  <c r="N65" i="1"/>
  <c r="O65" i="1"/>
  <c r="K65" i="1"/>
  <c r="J65" i="1"/>
  <c r="H65" i="1"/>
  <c r="G65" i="1"/>
  <c r="F65" i="1"/>
  <c r="D65" i="1"/>
  <c r="B65" i="1"/>
  <c r="N66" i="22"/>
  <c r="L66" i="22"/>
  <c r="M66" i="22"/>
  <c r="M66" i="29"/>
  <c r="D66" i="22"/>
  <c r="M66" i="21"/>
  <c r="M66" i="28"/>
  <c r="M66" i="24"/>
  <c r="M65" i="26"/>
  <c r="G66" i="26"/>
  <c r="G65" i="26"/>
  <c r="F66" i="29"/>
  <c r="F65" i="29"/>
  <c r="G66" i="23"/>
  <c r="G65" i="23"/>
  <c r="G66" i="29"/>
  <c r="G65" i="29"/>
  <c r="L66" i="27"/>
  <c r="L65" i="27"/>
  <c r="J66" i="22"/>
  <c r="J65" i="22"/>
  <c r="G66" i="21"/>
  <c r="G65" i="21"/>
  <c r="E66" i="24"/>
  <c r="E65" i="24"/>
  <c r="F66" i="28"/>
  <c r="F65" i="28"/>
  <c r="G66" i="27"/>
  <c r="G65" i="27"/>
  <c r="C66" i="28"/>
  <c r="C65" i="28"/>
  <c r="H66" i="24"/>
  <c r="H65" i="24"/>
  <c r="F66" i="24"/>
  <c r="F65" i="24"/>
  <c r="I66" i="21"/>
  <c r="I65" i="21"/>
  <c r="C66" i="24"/>
  <c r="C65" i="24"/>
  <c r="D66" i="23"/>
  <c r="J66" i="26"/>
  <c r="K66" i="26"/>
  <c r="K65" i="26"/>
  <c r="G66" i="24"/>
  <c r="G65" i="24"/>
  <c r="E66" i="28"/>
  <c r="E65" i="28"/>
  <c r="K66" i="23"/>
  <c r="K65" i="23"/>
  <c r="J66" i="21"/>
  <c r="J65" i="21"/>
  <c r="N66" i="26"/>
  <c r="N65" i="26"/>
  <c r="N66" i="30"/>
  <c r="N65" i="30"/>
  <c r="E66" i="29"/>
  <c r="E65" i="29"/>
  <c r="M66" i="30"/>
  <c r="M65" i="30"/>
  <c r="F66" i="30"/>
  <c r="F65" i="30"/>
  <c r="N66" i="28"/>
  <c r="N65" i="28"/>
  <c r="E66" i="26"/>
  <c r="E65" i="26"/>
  <c r="J66" i="29"/>
  <c r="J65" i="29"/>
  <c r="G66" i="22"/>
  <c r="G65" i="22"/>
  <c r="G66" i="28"/>
  <c r="G65" i="28"/>
  <c r="F66" i="21"/>
  <c r="F65" i="21"/>
  <c r="M66" i="23"/>
  <c r="M65" i="23"/>
  <c r="F66" i="26"/>
  <c r="F65" i="26"/>
  <c r="N66" i="24"/>
  <c r="N65" i="24"/>
  <c r="N66" i="29"/>
  <c r="N65" i="29"/>
  <c r="N66" i="27"/>
  <c r="N65" i="27"/>
  <c r="D66" i="29"/>
  <c r="F66" i="23"/>
  <c r="F65" i="23"/>
  <c r="K66" i="29"/>
  <c r="K65" i="29"/>
  <c r="H66" i="27"/>
  <c r="H65" i="27"/>
  <c r="H66" i="28"/>
  <c r="H65" i="28"/>
  <c r="E66" i="21"/>
  <c r="E65" i="21"/>
  <c r="F66" i="27"/>
  <c r="F65" i="27"/>
  <c r="F66" i="22"/>
  <c r="F65" i="22"/>
  <c r="M66" i="27"/>
  <c r="M65" i="27"/>
  <c r="H66" i="29"/>
  <c r="H65" i="29"/>
  <c r="O66" i="29"/>
  <c r="O65" i="29"/>
  <c r="O66" i="30"/>
  <c r="O65" i="30"/>
  <c r="O66" i="28"/>
  <c r="O65" i="28"/>
  <c r="O66" i="26"/>
  <c r="O65" i="26"/>
  <c r="O66" i="23"/>
  <c r="O65" i="23"/>
  <c r="O66" i="27"/>
  <c r="O65" i="27"/>
  <c r="O66" i="24"/>
  <c r="O65" i="24"/>
  <c r="B66" i="27"/>
  <c r="B65" i="27"/>
  <c r="B66" i="28"/>
  <c r="B65" i="28"/>
  <c r="B66" i="22"/>
  <c r="B65" i="22"/>
  <c r="B66" i="21"/>
  <c r="B65" i="21"/>
  <c r="B66" i="23"/>
  <c r="B65" i="23"/>
  <c r="B66" i="26"/>
  <c r="B65" i="26"/>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<sst xmlns="http://schemas.openxmlformats.org/spreadsheetml/2006/main" count="2101" uniqueCount="181">
  <si>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</si>
  <si>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</si>
  <si>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</si>
  <si>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</si>
  <si>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</si>
  <si>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</si>
  <si>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</si>
  <si>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</si>
  <si>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</si>
  <si>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</si>
  <si>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</si>
  <si>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</si>
  <si>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</si>
  <si>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</si>
  <si>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</si>
  <si>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</si>
  <si>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</si>
  <si>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</si>
  <si>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</si>
  <si>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</si>
  <si>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</si>
  <si>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</si>
  <si>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</si>
  <si>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</si>
  <si>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</si>
  <si>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</si>
  <si>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</si>
  <si>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</si>
  <si>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</si>
  <si>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</si>
  <si>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</si>
  <si>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</si>
  <si>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</si>
  <si>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</si>
  <si>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</si>
  <si>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</si>
  <si>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</si>
  <si>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</si>
  <si>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</si>
  <si>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</si>
  <si>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</si>
  <si>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</si>
  <si>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</si>
  <si>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</si>
  <si>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</si>
  <si>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</si>
  <si>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</si>
  <si>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</si>
  <si>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</si>
  <si>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</si>
  <si>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</si>
  <si>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</si>
  <si>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</si>
  <si>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</si>
  <si>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</si>
  <si>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</si>
  <si>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</si>
  <si>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</si>
  <si>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</si>
  <si>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</si>
  <si>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</si>
  <si>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</si>
  <si>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</si>
  <si>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</si>
  <si>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</si>
  <si>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</si>
  <si>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</si>
  <si>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</si>
  <si>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</si>
  <si>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</si>
  <si>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</si>
  <si>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</si>
  <si>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</si>
  <si>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</si>
  <si>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</si>
  <si>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</si>
  <si>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</si>
  <si>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</si>
  <si>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</si>
  <si>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</si>
  <si>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</si>
  <si>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</si>
  <si>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</si>
  <si>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</si>
  <si>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</si>
  <si>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</si>
  <si>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</si>
  <si>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</si>
  <si>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</si>
  <si>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</si>
  <si>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</si>
  <si>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</si>
  <si>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</si>
  <si>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</si>
  <si>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</si>
  <si>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</si>
  <si>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</si>
  <si>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</si>
  <si>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</si>
  <si>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</si>
  <si>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</si>
  <si>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</si>
  <si>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</si>
  <si>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</si>
  <si>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</si>
  <si>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</si>
  <si>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</si>
  <si>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</si>
  <si>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</si>
  <si>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</si>
  <si>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</si>
  <si>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</si>
  <si>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</si>
  <si>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</si>
  <si>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</si>
  <si>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</si>
  <si>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</si>
  <si>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</si>
  <si>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</si>
  <si>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</si>
  <si>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</si>
  <si>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</si>
  <si>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</si>
  <si>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</si>
  <si>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</si>
  <si>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</si>
  <si>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</si>
  <si>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</si>
  <si>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</si>
  <si>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</si>
  <si>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</si>
  <si>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</si>
  <si>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</si>
  <si>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</si>
  <si>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</si>
  <si>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</si>
  <si>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</si>
  <si>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</si>
  <si>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</si>
  <si>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</si>
  <si>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</si>
  <si>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</si>
  <si>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</si>
  <si>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</si>
  <si>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</si>
  <si>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</si>
  <si>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</si>
  <si>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</si>
  <si>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</si>
  <si>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</si>
  <si>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</si>
  <si>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</si>
  <si>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</si>
  <si>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</si>
  <si>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</si>
  <si>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</si>
  <si>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</si>
  <si>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</si>
  <si>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</si>
  <si>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</si>
  <si>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PAN-033235</t>
  </si>
  <si>
    <t>EPR/AB3891CX</t>
  </si>
  <si>
    <t>Mr Daniel James and Mrs Carys James</t>
  </si>
  <si>
    <t>Bettel Farm, Ferwig, Cardigan, Ceredigion, SA43 1QB</t>
  </si>
  <si>
    <t>Bryan Burn</t>
  </si>
  <si>
    <t>Volac</t>
  </si>
  <si>
    <t>B 7599</t>
  </si>
  <si>
    <t>B 5511</t>
  </si>
  <si>
    <t>B 9114</t>
  </si>
  <si>
    <t>B 1314</t>
  </si>
  <si>
    <t>B 3022</t>
  </si>
  <si>
    <t>B 4630</t>
  </si>
  <si>
    <t>B 4613</t>
  </si>
  <si>
    <t>B 7613</t>
  </si>
  <si>
    <t>P 1</t>
  </si>
  <si>
    <t>P 2</t>
  </si>
  <si>
    <t>P 6</t>
  </si>
  <si>
    <t>P7</t>
  </si>
  <si>
    <t>P 8</t>
  </si>
  <si>
    <t>P 9</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</si>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</sst>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7" sqref="F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46.9</v>
      </c>
      <c r="G1" s="162" t="s">
        <v>43</v>
      </c>
      <c r="H1" s="163"/>
      <c r="I1" s="109">
        <v>7.38</v>
      </c>
      <c r="J1" s="130" t="s">
        <v>153</v>
      </c>
      <c r="K1" s="131"/>
      <c r="L1" s="109">
        <v>71.599999999999994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20502</v>
      </c>
      <c r="G2" s="164" t="s">
        <v>110</v>
      </c>
      <c r="H2" s="165"/>
      <c r="I2" s="110">
        <v>457</v>
      </c>
      <c r="J2" s="132" t="s">
        <v>158</v>
      </c>
      <c r="K2" s="133"/>
      <c r="L2" s="110">
        <v>0.03</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v>200</v>
      </c>
      <c r="J3" s="134" t="s">
        <v>154</v>
      </c>
      <c r="K3" s="135"/>
      <c r="L3" s="110">
        <f>(L1/(L2*10000))*100</f>
        <v>23.866666666666664</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t="s">
        <v>172</v>
      </c>
      <c r="J8" s="11" t="s">
        <v>173</v>
      </c>
      <c r="K8" s="11" t="s">
        <v>174</v>
      </c>
      <c r="L8" s="11" t="s">
        <v>175</v>
      </c>
      <c r="M8" s="11" t="s">
        <v>176</v>
      </c>
      <c r="N8" s="11" t="s">
        <v>177</v>
      </c>
      <c r="O8" s="11" t="s">
        <v>178</v>
      </c>
      <c r="P8" s="11" t="s">
        <v>179</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180</v>
      </c>
      <c r="D9" s="11">
        <v>1</v>
      </c>
      <c r="E9" s="11">
        <v>1</v>
      </c>
      <c r="F9" s="11" t="s">
        <v>180</v>
      </c>
      <c r="G9" s="11" t="s">
        <v>180</v>
      </c>
      <c r="H9" s="11" t="s">
        <v>180</v>
      </c>
      <c r="I9" s="11">
        <v>1</v>
      </c>
      <c r="J9" s="11" t="s">
        <v>180</v>
      </c>
      <c r="K9" s="11">
        <v>1</v>
      </c>
      <c r="L9" s="11" t="s">
        <v>180</v>
      </c>
      <c r="M9" s="11" t="s">
        <v>180</v>
      </c>
      <c r="N9" s="11" t="s">
        <v>180</v>
      </c>
      <c r="O9" s="11" t="s">
        <v>180</v>
      </c>
      <c r="P9" s="11">
        <v>1</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6.4</v>
      </c>
      <c r="D10" s="11">
        <v>6.3</v>
      </c>
      <c r="E10" s="11">
        <v>6.4</v>
      </c>
      <c r="F10" s="11">
        <v>6.7</v>
      </c>
      <c r="G10" s="11">
        <v>6.7</v>
      </c>
      <c r="H10" s="11">
        <v>6.4</v>
      </c>
      <c r="I10" s="11">
        <v>6.3</v>
      </c>
      <c r="J10" s="11">
        <v>6.7</v>
      </c>
      <c r="K10" s="11">
        <v>6.3</v>
      </c>
      <c r="L10" s="11">
        <v>5.7</v>
      </c>
      <c r="M10" s="11">
        <v>6</v>
      </c>
      <c r="N10" s="11">
        <v>6</v>
      </c>
      <c r="O10" s="11">
        <v>5.8</v>
      </c>
      <c r="P10" s="11">
        <v>5.8</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3</v>
      </c>
      <c r="F11" s="11">
        <v>3</v>
      </c>
      <c r="G11" s="11">
        <v>3</v>
      </c>
      <c r="H11" s="11">
        <v>2</v>
      </c>
      <c r="I11" s="11">
        <v>3</v>
      </c>
      <c r="J11" s="11">
        <v>3</v>
      </c>
      <c r="K11" s="11">
        <v>3</v>
      </c>
      <c r="L11" s="11">
        <v>2</v>
      </c>
      <c r="M11" s="11">
        <v>2</v>
      </c>
      <c r="N11" s="11">
        <v>3</v>
      </c>
      <c r="O11" s="11">
        <v>2</v>
      </c>
      <c r="P11" s="11">
        <v>3</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0</v>
      </c>
      <c r="D12" s="11">
        <v>2</v>
      </c>
      <c r="E12" s="11">
        <v>1</v>
      </c>
      <c r="F12" s="11">
        <v>2</v>
      </c>
      <c r="G12" s="11">
        <v>1</v>
      </c>
      <c r="H12" s="11">
        <v>1</v>
      </c>
      <c r="I12" s="11">
        <v>0</v>
      </c>
      <c r="J12" s="11">
        <v>2</v>
      </c>
      <c r="K12" s="11">
        <v>2</v>
      </c>
      <c r="L12" s="11">
        <v>3</v>
      </c>
      <c r="M12" s="11">
        <v>2</v>
      </c>
      <c r="N12" s="11">
        <v>3</v>
      </c>
      <c r="O12" s="11">
        <v>3</v>
      </c>
      <c r="P12" s="11">
        <v>2</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3</v>
      </c>
      <c r="F13" s="11">
        <v>2</v>
      </c>
      <c r="G13" s="11">
        <v>2</v>
      </c>
      <c r="H13" s="11">
        <v>3</v>
      </c>
      <c r="I13" s="11">
        <v>3</v>
      </c>
      <c r="J13" s="11">
        <v>2</v>
      </c>
      <c r="K13" s="11">
        <v>3</v>
      </c>
      <c r="L13" s="11">
        <v>2</v>
      </c>
      <c r="M13" s="11">
        <v>3</v>
      </c>
      <c r="N13" s="11">
        <v>3</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105</v>
      </c>
      <c r="E14" s="82" t="s">
        <v>105</v>
      </c>
      <c r="F14" s="82" t="s">
        <v>113</v>
      </c>
      <c r="G14" s="82" t="s">
        <v>113</v>
      </c>
      <c r="H14" s="82" t="s">
        <v>113</v>
      </c>
      <c r="I14" s="82" t="s">
        <v>124</v>
      </c>
      <c r="J14" s="82" t="s">
        <v>113</v>
      </c>
      <c r="K14" s="82" t="s">
        <v>103</v>
      </c>
      <c r="L14" s="82" t="s">
        <v>113</v>
      </c>
      <c r="M14" s="82" t="s">
        <v>113</v>
      </c>
      <c r="N14" s="82" t="s">
        <v>113</v>
      </c>
      <c r="O14" s="82" t="s">
        <v>113</v>
      </c>
      <c r="P14" s="82" t="s">
        <v>103</v>
      </c>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45</v>
      </c>
      <c r="E15" s="11">
        <v>45</v>
      </c>
      <c r="F15" s="11">
        <v>47</v>
      </c>
      <c r="G15" s="11">
        <v>47</v>
      </c>
      <c r="H15" s="11">
        <v>47</v>
      </c>
      <c r="I15" s="11">
        <v>8</v>
      </c>
      <c r="J15" s="11">
        <v>47</v>
      </c>
      <c r="K15" s="11">
        <v>85</v>
      </c>
      <c r="L15" s="11">
        <v>38</v>
      </c>
      <c r="M15" s="11">
        <v>38</v>
      </c>
      <c r="N15" s="11">
        <v>38</v>
      </c>
      <c r="O15" s="11">
        <v>37</v>
      </c>
      <c r="P15" s="11">
        <v>85</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26.357954999999997</v>
      </c>
      <c r="D18" s="12">
        <f>$D32</f>
        <v>20.27535</v>
      </c>
      <c r="E18" s="12">
        <f>$D33</f>
        <v>20.27535</v>
      </c>
      <c r="F18" s="12">
        <f>$D34</f>
        <v>26.357954999999997</v>
      </c>
      <c r="G18" s="12">
        <f>$D35</f>
        <v>26.357954999999997</v>
      </c>
      <c r="H18" s="12">
        <f>$D36</f>
        <v>26.357954999999997</v>
      </c>
      <c r="I18" s="12">
        <f>$D37</f>
        <v>20.27535</v>
      </c>
      <c r="J18" s="12">
        <f>$D38</f>
        <v>26.357954999999997</v>
      </c>
      <c r="K18" s="12">
        <f>$D39</f>
        <v>20.27535</v>
      </c>
      <c r="L18" s="12">
        <f>$D40</f>
        <v>20.27535</v>
      </c>
      <c r="M18" s="12">
        <f>$D41</f>
        <v>20.27535</v>
      </c>
      <c r="N18" s="12">
        <f>$D42</f>
        <v>20.27535</v>
      </c>
      <c r="O18" s="12">
        <f>$D43</f>
        <v>20.27535</v>
      </c>
      <c r="P18" s="12">
        <f>$D44</f>
        <v>20.27535</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-53.542044999999995</v>
      </c>
      <c r="D19" s="12">
        <f t="shared" ref="D19:V19" si="1">D18-D17</f>
        <v>-42.724649999999997</v>
      </c>
      <c r="E19" s="12">
        <f t="shared" si="1"/>
        <v>-42.724649999999997</v>
      </c>
      <c r="F19" s="12">
        <f t="shared" si="1"/>
        <v>-53.542044999999995</v>
      </c>
      <c r="G19" s="12">
        <f t="shared" si="1"/>
        <v>-53.542044999999995</v>
      </c>
      <c r="H19" s="12">
        <f t="shared" si="1"/>
        <v>-53.542044999999995</v>
      </c>
      <c r="I19" s="12">
        <f t="shared" si="1"/>
        <v>-35.724649999999997</v>
      </c>
      <c r="J19" s="12">
        <f t="shared" si="1"/>
        <v>-53.542044999999995</v>
      </c>
      <c r="K19" s="12">
        <f t="shared" si="1"/>
        <v>-39.224649999999997</v>
      </c>
      <c r="L19" s="12">
        <f t="shared" si="1"/>
        <v>-44.324649999999991</v>
      </c>
      <c r="M19" s="12">
        <f t="shared" si="1"/>
        <v>-44.324649999999991</v>
      </c>
      <c r="N19" s="12">
        <f t="shared" si="1"/>
        <v>-44.324649999999991</v>
      </c>
      <c r="O19" s="12">
        <f t="shared" si="1"/>
        <v>-42.624650000000003</v>
      </c>
      <c r="P19" s="12">
        <f t="shared" si="1"/>
        <v>-39.224649999999997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21.382725000000004</v>
      </c>
      <c r="D22" s="12">
        <f>$E32</f>
        <v>16.448250000000002</v>
      </c>
      <c r="E22" s="12">
        <f>$E33</f>
        <v>16.448250000000002</v>
      </c>
      <c r="F22" s="12">
        <f>$E34</f>
        <v>21.382725000000004</v>
      </c>
      <c r="G22" s="12">
        <f>$E35</f>
        <v>21.382725000000004</v>
      </c>
      <c r="H22" s="12">
        <f>$E36</f>
        <v>21.382725000000004</v>
      </c>
      <c r="I22" s="12">
        <f>$E37</f>
        <v>16.448250000000002</v>
      </c>
      <c r="J22" s="12">
        <f>$E38</f>
        <v>21.382725000000004</v>
      </c>
      <c r="K22" s="12">
        <f>$E39</f>
        <v>16.448250000000002</v>
      </c>
      <c r="L22" s="12">
        <f>$E40</f>
        <v>16.448250000000002</v>
      </c>
      <c r="M22" s="12">
        <f>$E41</f>
        <v>16.448250000000002</v>
      </c>
      <c r="N22" s="12">
        <f>$E42</f>
        <v>16.448250000000002</v>
      </c>
      <c r="O22" s="12">
        <f>$E43</f>
        <v>16.448250000000002</v>
      </c>
      <c r="P22" s="12">
        <f>$E44</f>
        <v>16.448250000000002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-260.61727500000001</v>
      </c>
      <c r="D23" s="12">
        <f t="shared" ref="D23:V23" si="3">D22-D21</f>
        <v>-181.55175000000003</v>
      </c>
      <c r="E23" s="12">
        <f t="shared" si="3"/>
        <v>-181.55175000000003</v>
      </c>
      <c r="F23" s="12">
        <f t="shared" si="3"/>
        <v>-260.61727500000001</v>
      </c>
      <c r="G23" s="12">
        <f t="shared" si="3"/>
        <v>-260.61727500000001</v>
      </c>
      <c r="H23" s="12">
        <f t="shared" si="3"/>
        <v>-260.61727500000001</v>
      </c>
      <c r="I23" s="12">
        <f t="shared" si="3"/>
        <v>-67.551749999999998</v>
      </c>
      <c r="J23" s="12">
        <f t="shared" si="3"/>
        <v>-260.61727500000001</v>
      </c>
      <c r="K23" s="12">
        <f t="shared" si="3"/>
        <v>-323.55174999999997</v>
      </c>
      <c r="L23" s="12">
        <f t="shared" si="3"/>
        <v>-211.55175</v>
      </c>
      <c r="M23" s="12">
        <f t="shared" si="3"/>
        <v>-211.55175</v>
      </c>
      <c r="N23" s="12">
        <f t="shared" si="3"/>
        <v>-211.55175</v>
      </c>
      <c r="O23" s="12">
        <f t="shared" si="3"/>
        <v>-205.55175</v>
      </c>
      <c r="P23" s="12">
        <f t="shared" si="3"/>
        <v>-323.55174999999997</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0.64</v>
      </c>
      <c r="C28" s="11">
        <v>0.03</v>
      </c>
      <c r="D28" s="11">
        <v>177</v>
      </c>
      <c r="E28" s="11">
        <v>273</v>
      </c>
      <c r="F28" s="11">
        <v>39</v>
      </c>
      <c r="G28" s="11">
        <v>0.2</v>
      </c>
      <c r="H28" s="11">
        <v>0.5</v>
      </c>
      <c r="I28" s="11">
        <v>0.5</v>
      </c>
      <c r="J28" s="11">
        <v>0.01</v>
      </c>
      <c r="K28" s="15">
        <v>0.05</v>
      </c>
      <c r="L28" s="11">
        <v>0.2</v>
      </c>
      <c r="M28" s="11">
        <v>0.2</v>
      </c>
      <c r="N28" s="11"/>
      <c r="O28" s="11"/>
      <c r="P28" s="11">
        <v>213</v>
      </c>
      <c r="Q28" s="11">
        <v>43.6</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v>65</v>
      </c>
      <c r="C31" s="65">
        <f>IF(C$27="%w/w SAR",((C$28*10)*$B31),IF(C$27="%w/w DM",(((C$28*10)*($B$28/100))*$B31),IF(C$27="kg/t SAR",(C$28*$B31),IF(C$27="kg/t DM",((C$28*($B$28/100))*$B31),IF(C$27="mg/kg SAR",((C$28*0.001)*$B31),IF(C$27="mg/kg DM",(((C$28*0.001)*($B$28/100))*$B31),0))))))</f>
        <v>19.5</v>
      </c>
      <c r="D31" s="65">
        <f>(IF(D$27="%w/w SAR",((D$28*10)*$B31),IF(D$27="%w/w DM",(((D$28*10)*($B$28/100))*$B31),IF(D$27="kg/t SAR",(D$28*$B31),IF(D$27="kg/t DM",((D$28*($B$28/100))*$B31),IF(D$27="mg/kg SAR",((D$28*0.001)*$B31),IF(D$27="mg/kg DM",(((D$28*0.001)*($B$28/100))*$B31),"0")))))))*2.291</f>
        <v>26.357954999999997</v>
      </c>
      <c r="E31" s="65">
        <f>(IF(E$27="%w/w SAR",((E$28*10)*$B31),IF(E$27="%w/w DM",(((E$28*10)*($B$28/100))*$B31),IF(E$27="kg/t SAR",(E$28*$B31),IF(E$27="kg/t DM",((E$28*($B$28/100))*$B31),IF(E$27="mg/kg SAR",((E$28*0.001)*$B31),IF(E$27="mg/kg DM",(((E$28*0.001)*($B$28/100))*$B31),"0")))))))*1.205</f>
        <v>21.382725000000004</v>
      </c>
      <c r="F31" s="65">
        <f>(IF(F$27="%w/w SAR",((F$28*10)*$B31),IF(F$27="%w/w DM",(((F$28*10)*($B$28/100))*$B31),IF(F$27="kg/t SAR",(F$28*$B31),IF(F$27="kg/t DM",((F$28*($B$28/100))*$B31),IF(F$27="mg/kg SAR",((F$28*0.001)*$B31),IF(F$27="mg/kg DM",(((F$28*0.001)*($B$28/100))*$B31),"0")))))))*1.658</f>
        <v>4.20303</v>
      </c>
      <c r="G31" s="65">
        <f t="shared" ref="G31:P31" si="5">IF(G$27="%w/w SAR",((G$28*10)*$B31),IF(G$27="%w/w DM",(((G$28*10)*($B$28/100))*$B31),IF(G$27="kg/t SAR",(G$28*$B31),IF(G$27="kg/t DM",((G$28*($B$28/100))*$B31),IF(G$27="mg/kg SAR",((G$28*0.001)*$B31),IF(G$27="mg/kg DM",(((G$28*0.001)*($B$28/100))*$B31),0))))))</f>
        <v>1.3000000000000001E-2</v>
      </c>
      <c r="H31" s="65">
        <f t="shared" si="5"/>
        <v>3.2500000000000001E-2</v>
      </c>
      <c r="I31" s="65">
        <f t="shared" si="5"/>
        <v>3.2500000000000001E-2</v>
      </c>
      <c r="J31" s="65">
        <f t="shared" si="5"/>
        <v>6.5000000000000008E-4</v>
      </c>
      <c r="K31" s="65">
        <f t="shared" si="5"/>
        <v>3.2500000000000003E-3</v>
      </c>
      <c r="L31" s="65">
        <f t="shared" si="5"/>
        <v>1.3000000000000001E-2</v>
      </c>
      <c r="M31" s="65">
        <f t="shared" si="5"/>
        <v>1.3000000000000001E-2</v>
      </c>
      <c r="N31" s="65">
        <f t="shared" si="5"/>
        <v>0</v>
      </c>
      <c r="O31" s="65">
        <f t="shared" si="5"/>
        <v>0</v>
      </c>
      <c r="P31" s="65">
        <f t="shared" si="5"/>
        <v>13.844999999999999</v>
      </c>
      <c r="Q31" s="65">
        <f>(IF(Q$27="%w/w SAR",((Q$28*10)*$B31),IF(Q$27="%w/w DM",(((Q$28*10)*($B$28/100))*$B31),IF(Q$27="kg/t SAR",(Q$28*$B31),IF(Q$27="kg/t DM",((Q$28*($B$28/100))*$B31),IF(Q$27="mg/kg SAR",((Q$28*0.001)*$B31),IF(Q$27="mg/kg DM",(((Q$28*0.001)*($B$28/100))*$B31),0)))))))*2.5</f>
        <v>7.085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v>50</v>
      </c>
      <c r="C32" s="65">
        <f t="shared" ref="C32:C50" si="6">IF(C$27="%w/w SAR",((C$28*10)*$B32),IF(C$27="%w/w DM",(((C$28*10)*($B$28/100))*$B32),IF(C$27="kg/t SAR",(C$28*$B32),IF(C$27="kg/t DM",((C$28*($B$28/100))*$B32),IF(C$27="mg/kg SAR",((C$28*0.001)*$B32),IF(C$27="mg/kg DM",(((C$28*0.001)*($B$28/100))*$B32),0))))))</f>
        <v>15</v>
      </c>
      <c r="D32" s="65">
        <f t="shared" ref="D32:D50" si="7">(IF(D$27="%w/w SAR",((D$28*10)*$B32),IF(D$27="%w/w DM",(((D$28*10)*($B$28/100))*$B32),IF(D$27="kg/t SAR",(D$28*$B32),IF(D$27="kg/t DM",((D$28*($B$28/100))*$B32),IF(D$27="mg/kg SAR",((D$28*0.001)*$B32),IF(D$27="mg/kg DM",(((D$28*0.001)*($B$28/100))*$B32),"0")))))))*2.291</f>
        <v>20.27535</v>
      </c>
      <c r="E32" s="65">
        <f t="shared" ref="E32:E50" si="8">(IF(E$27="%w/w SAR",((E$28*10)*$B32),IF(E$27="%w/w DM",(((E$28*10)*($B$28/100))*$B32),IF(E$27="kg/t SAR",(E$28*$B32),IF(E$27="kg/t DM",((E$28*($B$28/100))*$B32),IF(E$27="mg/kg SAR",((E$28*0.001)*$B32),IF(E$27="mg/kg DM",(((E$28*0.001)*($B$28/100))*$B32),"0")))))))*1.205</f>
        <v>16.448250000000002</v>
      </c>
      <c r="F32" s="65">
        <f t="shared" ref="F32:F50" si="9">(IF(F$27="%w/w SAR",((F$28*10)*$B32),IF(F$27="%w/w DM",(((F$28*10)*($B$28/100))*$B32),IF(F$27="kg/t SAR",(F$28*$B32),IF(F$27="kg/t DM",((F$28*($B$28/100))*$B32),IF(F$27="mg/kg SAR",((F$28*0.001)*$B32),IF(F$27="mg/kg DM",(((F$28*0.001)*($B$28/100))*$B32),"0")))))))*1.658</f>
        <v>3.2330999999999999</v>
      </c>
      <c r="G32" s="65">
        <f t="shared" ref="G32:P50" si="10">IF(G$27="%w/w SAR",((G$28*10)*$B32),IF(G$27="%w/w DM",(((G$28*10)*($B$28/100))*$B32),IF(G$27="kg/t SAR",(G$28*$B32),IF(G$27="kg/t DM",((G$28*($B$28/100))*$B32),IF(G$27="mg/kg SAR",((G$28*0.001)*$B32),IF(G$27="mg/kg DM",(((G$28*0.001)*($B$28/100))*$B32),0))))))</f>
        <v>0.01</v>
      </c>
      <c r="H32" s="65">
        <f t="shared" si="10"/>
        <v>2.5000000000000001E-2</v>
      </c>
      <c r="I32" s="65">
        <f t="shared" si="10"/>
        <v>2.5000000000000001E-2</v>
      </c>
      <c r="J32" s="65">
        <f t="shared" si="10"/>
        <v>5.0000000000000001E-4</v>
      </c>
      <c r="K32" s="65">
        <f t="shared" si="10"/>
        <v>2.5000000000000001E-3</v>
      </c>
      <c r="L32" s="65">
        <f t="shared" si="10"/>
        <v>0.01</v>
      </c>
      <c r="M32" s="65">
        <f t="shared" si="10"/>
        <v>0.01</v>
      </c>
      <c r="N32" s="65">
        <f t="shared" si="10"/>
        <v>0</v>
      </c>
      <c r="O32" s="65">
        <f t="shared" si="10"/>
        <v>0</v>
      </c>
      <c r="P32" s="65">
        <f t="shared" si="10"/>
        <v>10.65</v>
      </c>
      <c r="Q32" s="65">
        <f t="shared" ref="Q32:Q50" si="11">(IF(Q$27="%w/w SAR",((Q$28*10)*$B32),IF(Q$27="%w/w DM",(((Q$28*10)*($B$28/100))*$B32),IF(Q$27="kg/t SAR",(Q$28*$B32),IF(Q$27="kg/t DM",((Q$28*($B$28/100))*$B32),IF(Q$27="mg/kg SAR",((Q$28*0.001)*$B32),IF(Q$27="mg/kg DM",(((Q$28*0.001)*($B$28/100))*$B32),0)))))))*2.5</f>
        <v>5.45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B 9114</v>
      </c>
      <c r="B33" s="11">
        <v>50</v>
      </c>
      <c r="C33" s="65">
        <f t="shared" si="6"/>
        <v>15</v>
      </c>
      <c r="D33" s="65">
        <f t="shared" si="7"/>
        <v>20.27535</v>
      </c>
      <c r="E33" s="65">
        <f t="shared" si="8"/>
        <v>16.448250000000002</v>
      </c>
      <c r="F33" s="65">
        <f t="shared" si="9"/>
        <v>3.2330999999999999</v>
      </c>
      <c r="G33" s="65">
        <f t="shared" si="10"/>
        <v>0.01</v>
      </c>
      <c r="H33" s="65">
        <f t="shared" si="10"/>
        <v>2.5000000000000001E-2</v>
      </c>
      <c r="I33" s="65">
        <f t="shared" si="10"/>
        <v>2.5000000000000001E-2</v>
      </c>
      <c r="J33" s="65">
        <f t="shared" si="10"/>
        <v>5.0000000000000001E-4</v>
      </c>
      <c r="K33" s="65">
        <f t="shared" si="10"/>
        <v>2.5000000000000001E-3</v>
      </c>
      <c r="L33" s="65">
        <f t="shared" si="10"/>
        <v>0.01</v>
      </c>
      <c r="M33" s="65">
        <f t="shared" si="10"/>
        <v>0.01</v>
      </c>
      <c r="N33" s="65">
        <f t="shared" si="10"/>
        <v>0</v>
      </c>
      <c r="O33" s="65">
        <f t="shared" si="10"/>
        <v>0</v>
      </c>
      <c r="P33" s="65">
        <f t="shared" si="10"/>
        <v>10.65</v>
      </c>
      <c r="Q33" s="65">
        <f t="shared" si="11"/>
        <v>5.45</v>
      </c>
      <c r="R33" s="65">
        <f t="shared" si="12"/>
        <v>0</v>
      </c>
      <c r="S33" s="65">
        <f t="shared" si="12"/>
        <v>0</v>
      </c>
      <c r="T33" s="65">
        <f t="shared" si="12"/>
        <v>0</v>
      </c>
      <c r="U33" s="126">
        <f t="shared" si="12"/>
        <v>0</v>
      </c>
    </row>
    <row r="34" spans="1:21" s="48" customFormat="1" ht="13" x14ac:dyDescent="0.35">
      <c r="A34" s="125" t="str">
        <f>F8</f>
        <v>B 1314</v>
      </c>
      <c r="B34" s="11">
        <v>65</v>
      </c>
      <c r="C34" s="65">
        <f t="shared" si="6"/>
        <v>19.5</v>
      </c>
      <c r="D34" s="65">
        <f t="shared" si="7"/>
        <v>26.357954999999997</v>
      </c>
      <c r="E34" s="65">
        <f t="shared" si="8"/>
        <v>21.382725000000004</v>
      </c>
      <c r="F34" s="65">
        <f t="shared" si="9"/>
        <v>4.20303</v>
      </c>
      <c r="G34" s="65">
        <f t="shared" si="10"/>
        <v>1.3000000000000001E-2</v>
      </c>
      <c r="H34" s="65">
        <f t="shared" si="10"/>
        <v>3.2500000000000001E-2</v>
      </c>
      <c r="I34" s="65">
        <f t="shared" si="10"/>
        <v>3.2500000000000001E-2</v>
      </c>
      <c r="J34" s="65">
        <f t="shared" si="10"/>
        <v>6.5000000000000008E-4</v>
      </c>
      <c r="K34" s="65">
        <f t="shared" si="10"/>
        <v>3.2500000000000003E-3</v>
      </c>
      <c r="L34" s="65">
        <f t="shared" si="10"/>
        <v>1.3000000000000001E-2</v>
      </c>
      <c r="M34" s="65">
        <f t="shared" si="10"/>
        <v>1.3000000000000001E-2</v>
      </c>
      <c r="N34" s="65">
        <f t="shared" si="10"/>
        <v>0</v>
      </c>
      <c r="O34" s="65">
        <f t="shared" si="10"/>
        <v>0</v>
      </c>
      <c r="P34" s="65">
        <f t="shared" si="10"/>
        <v>13.844999999999999</v>
      </c>
      <c r="Q34" s="65">
        <f t="shared" si="11"/>
        <v>7.085</v>
      </c>
      <c r="R34" s="65">
        <f t="shared" si="12"/>
        <v>0</v>
      </c>
      <c r="S34" s="65">
        <f t="shared" si="12"/>
        <v>0</v>
      </c>
      <c r="T34" s="65">
        <f t="shared" si="12"/>
        <v>0</v>
      </c>
      <c r="U34" s="126">
        <f t="shared" si="12"/>
        <v>0</v>
      </c>
    </row>
    <row r="35" spans="1:21" s="48" customFormat="1" ht="13" x14ac:dyDescent="0.35">
      <c r="A35" s="125" t="str">
        <f>G8</f>
        <v>B 3022</v>
      </c>
      <c r="B35" s="11">
        <v>65</v>
      </c>
      <c r="C35" s="65">
        <f t="shared" si="6"/>
        <v>19.5</v>
      </c>
      <c r="D35" s="65">
        <f t="shared" si="7"/>
        <v>26.357954999999997</v>
      </c>
      <c r="E35" s="65">
        <f t="shared" si="8"/>
        <v>21.382725000000004</v>
      </c>
      <c r="F35" s="65">
        <f t="shared" si="9"/>
        <v>4.20303</v>
      </c>
      <c r="G35" s="65">
        <f t="shared" si="10"/>
        <v>1.3000000000000001E-2</v>
      </c>
      <c r="H35" s="65">
        <f t="shared" si="10"/>
        <v>3.2500000000000001E-2</v>
      </c>
      <c r="I35" s="65">
        <f t="shared" si="10"/>
        <v>3.2500000000000001E-2</v>
      </c>
      <c r="J35" s="65">
        <f t="shared" si="10"/>
        <v>6.5000000000000008E-4</v>
      </c>
      <c r="K35" s="65">
        <f t="shared" si="10"/>
        <v>3.2500000000000003E-3</v>
      </c>
      <c r="L35" s="65">
        <f t="shared" si="10"/>
        <v>1.3000000000000001E-2</v>
      </c>
      <c r="M35" s="65">
        <f t="shared" si="10"/>
        <v>1.3000000000000001E-2</v>
      </c>
      <c r="N35" s="65">
        <f t="shared" si="10"/>
        <v>0</v>
      </c>
      <c r="O35" s="65">
        <f t="shared" si="10"/>
        <v>0</v>
      </c>
      <c r="P35" s="65">
        <f t="shared" si="10"/>
        <v>13.844999999999999</v>
      </c>
      <c r="Q35" s="65">
        <f t="shared" si="11"/>
        <v>7.085</v>
      </c>
      <c r="R35" s="65">
        <f t="shared" si="12"/>
        <v>0</v>
      </c>
      <c r="S35" s="65">
        <f t="shared" si="12"/>
        <v>0</v>
      </c>
      <c r="T35" s="65">
        <f t="shared" si="12"/>
        <v>0</v>
      </c>
      <c r="U35" s="126">
        <f t="shared" si="12"/>
        <v>0</v>
      </c>
    </row>
    <row r="36" spans="1:21" s="48" customFormat="1" ht="13" x14ac:dyDescent="0.35">
      <c r="A36" s="125" t="str">
        <f>H8</f>
        <v>B 4630</v>
      </c>
      <c r="B36" s="11">
        <v>65</v>
      </c>
      <c r="C36" s="65">
        <f t="shared" si="6"/>
        <v>19.5</v>
      </c>
      <c r="D36" s="65">
        <f t="shared" si="7"/>
        <v>26.357954999999997</v>
      </c>
      <c r="E36" s="65">
        <f t="shared" si="8"/>
        <v>21.382725000000004</v>
      </c>
      <c r="F36" s="65">
        <f t="shared" si="9"/>
        <v>4.20303</v>
      </c>
      <c r="G36" s="65">
        <f t="shared" si="10"/>
        <v>1.3000000000000001E-2</v>
      </c>
      <c r="H36" s="65">
        <f t="shared" si="10"/>
        <v>3.2500000000000001E-2</v>
      </c>
      <c r="I36" s="65">
        <f t="shared" si="10"/>
        <v>3.2500000000000001E-2</v>
      </c>
      <c r="J36" s="65">
        <f t="shared" si="10"/>
        <v>6.5000000000000008E-4</v>
      </c>
      <c r="K36" s="65">
        <f t="shared" si="10"/>
        <v>3.2500000000000003E-3</v>
      </c>
      <c r="L36" s="65">
        <f t="shared" si="10"/>
        <v>1.3000000000000001E-2</v>
      </c>
      <c r="M36" s="65">
        <f t="shared" si="10"/>
        <v>1.3000000000000001E-2</v>
      </c>
      <c r="N36" s="65">
        <f t="shared" si="10"/>
        <v>0</v>
      </c>
      <c r="O36" s="65">
        <f t="shared" si="10"/>
        <v>0</v>
      </c>
      <c r="P36" s="65">
        <f t="shared" si="10"/>
        <v>13.844999999999999</v>
      </c>
      <c r="Q36" s="65">
        <f t="shared" si="11"/>
        <v>7.085</v>
      </c>
      <c r="R36" s="65">
        <f t="shared" si="12"/>
        <v>0</v>
      </c>
      <c r="S36" s="65">
        <f t="shared" si="12"/>
        <v>0</v>
      </c>
      <c r="T36" s="65">
        <f t="shared" si="12"/>
        <v>0</v>
      </c>
      <c r="U36" s="126">
        <f t="shared" si="12"/>
        <v>0</v>
      </c>
    </row>
    <row r="37" spans="1:21" s="48" customFormat="1" ht="13" x14ac:dyDescent="0.35">
      <c r="A37" s="125" t="str">
        <f>I8</f>
        <v>B 4613</v>
      </c>
      <c r="B37" s="11">
        <v>50</v>
      </c>
      <c r="C37" s="65">
        <f t="shared" si="6"/>
        <v>15</v>
      </c>
      <c r="D37" s="65">
        <f t="shared" si="7"/>
        <v>20.27535</v>
      </c>
      <c r="E37" s="65">
        <f t="shared" si="8"/>
        <v>16.448250000000002</v>
      </c>
      <c r="F37" s="65">
        <f t="shared" si="9"/>
        <v>3.2330999999999999</v>
      </c>
      <c r="G37" s="65">
        <f t="shared" si="10"/>
        <v>0.01</v>
      </c>
      <c r="H37" s="65">
        <f t="shared" si="10"/>
        <v>2.5000000000000001E-2</v>
      </c>
      <c r="I37" s="65">
        <f t="shared" si="10"/>
        <v>2.5000000000000001E-2</v>
      </c>
      <c r="J37" s="65">
        <f t="shared" si="10"/>
        <v>5.0000000000000001E-4</v>
      </c>
      <c r="K37" s="65">
        <f t="shared" si="10"/>
        <v>2.5000000000000001E-3</v>
      </c>
      <c r="L37" s="65">
        <f t="shared" si="10"/>
        <v>0.01</v>
      </c>
      <c r="M37" s="65">
        <f t="shared" si="10"/>
        <v>0.01</v>
      </c>
      <c r="N37" s="65">
        <f t="shared" si="10"/>
        <v>0</v>
      </c>
      <c r="O37" s="65">
        <f t="shared" si="10"/>
        <v>0</v>
      </c>
      <c r="P37" s="65">
        <f t="shared" si="10"/>
        <v>10.65</v>
      </c>
      <c r="Q37" s="65">
        <f t="shared" si="11"/>
        <v>5.45</v>
      </c>
      <c r="R37" s="65">
        <f t="shared" si="12"/>
        <v>0</v>
      </c>
      <c r="S37" s="65">
        <f t="shared" si="12"/>
        <v>0</v>
      </c>
      <c r="T37" s="65">
        <f t="shared" si="12"/>
        <v>0</v>
      </c>
      <c r="U37" s="126">
        <f t="shared" si="12"/>
        <v>0</v>
      </c>
    </row>
    <row r="38" spans="1:21" s="48" customFormat="1" ht="13" x14ac:dyDescent="0.35">
      <c r="A38" s="125" t="str">
        <f>J8</f>
        <v>B 7613</v>
      </c>
      <c r="B38" s="11">
        <v>65</v>
      </c>
      <c r="C38" s="65">
        <f t="shared" si="6"/>
        <v>19.5</v>
      </c>
      <c r="D38" s="65">
        <f t="shared" si="7"/>
        <v>26.357954999999997</v>
      </c>
      <c r="E38" s="65">
        <f t="shared" si="8"/>
        <v>21.382725000000004</v>
      </c>
      <c r="F38" s="65">
        <f t="shared" si="9"/>
        <v>4.20303</v>
      </c>
      <c r="G38" s="65">
        <f t="shared" si="10"/>
        <v>1.3000000000000001E-2</v>
      </c>
      <c r="H38" s="65">
        <f t="shared" si="10"/>
        <v>3.2500000000000001E-2</v>
      </c>
      <c r="I38" s="65">
        <f t="shared" si="10"/>
        <v>3.2500000000000001E-2</v>
      </c>
      <c r="J38" s="65">
        <f t="shared" si="10"/>
        <v>6.5000000000000008E-4</v>
      </c>
      <c r="K38" s="65">
        <f t="shared" si="10"/>
        <v>3.2500000000000003E-3</v>
      </c>
      <c r="L38" s="65">
        <f t="shared" si="10"/>
        <v>1.3000000000000001E-2</v>
      </c>
      <c r="M38" s="65">
        <f t="shared" si="10"/>
        <v>1.3000000000000001E-2</v>
      </c>
      <c r="N38" s="65">
        <f t="shared" si="10"/>
        <v>0</v>
      </c>
      <c r="O38" s="65">
        <f t="shared" si="10"/>
        <v>0</v>
      </c>
      <c r="P38" s="65">
        <f t="shared" si="10"/>
        <v>13.844999999999999</v>
      </c>
      <c r="Q38" s="65">
        <f t="shared" si="11"/>
        <v>7.085</v>
      </c>
      <c r="R38" s="65">
        <f t="shared" si="12"/>
        <v>0</v>
      </c>
      <c r="S38" s="65">
        <f t="shared" si="12"/>
        <v>0</v>
      </c>
      <c r="T38" s="65">
        <f t="shared" si="12"/>
        <v>0</v>
      </c>
      <c r="U38" s="126">
        <f t="shared" si="12"/>
        <v>0</v>
      </c>
    </row>
    <row r="39" spans="1:21" s="48" customFormat="1" ht="13" x14ac:dyDescent="0.35">
      <c r="A39" s="125" t="str">
        <f>K8</f>
        <v>P 1</v>
      </c>
      <c r="B39" s="11">
        <v>50</v>
      </c>
      <c r="C39" s="65">
        <f t="shared" si="6"/>
        <v>15</v>
      </c>
      <c r="D39" s="65">
        <f t="shared" si="7"/>
        <v>20.27535</v>
      </c>
      <c r="E39" s="65">
        <f t="shared" si="8"/>
        <v>16.448250000000002</v>
      </c>
      <c r="F39" s="65">
        <f t="shared" si="9"/>
        <v>3.2330999999999999</v>
      </c>
      <c r="G39" s="65">
        <f t="shared" si="10"/>
        <v>0.01</v>
      </c>
      <c r="H39" s="65">
        <f t="shared" si="10"/>
        <v>2.5000000000000001E-2</v>
      </c>
      <c r="I39" s="65">
        <f t="shared" si="10"/>
        <v>2.5000000000000001E-2</v>
      </c>
      <c r="J39" s="65">
        <f t="shared" si="10"/>
        <v>5.0000000000000001E-4</v>
      </c>
      <c r="K39" s="65">
        <f t="shared" si="10"/>
        <v>2.5000000000000001E-3</v>
      </c>
      <c r="L39" s="65">
        <f t="shared" si="10"/>
        <v>0.01</v>
      </c>
      <c r="M39" s="65">
        <f t="shared" si="10"/>
        <v>0.01</v>
      </c>
      <c r="N39" s="65">
        <f t="shared" si="10"/>
        <v>0</v>
      </c>
      <c r="O39" s="65">
        <f t="shared" si="10"/>
        <v>0</v>
      </c>
      <c r="P39" s="65">
        <f t="shared" si="10"/>
        <v>10.65</v>
      </c>
      <c r="Q39" s="65">
        <f t="shared" si="11"/>
        <v>5.45</v>
      </c>
      <c r="R39" s="65">
        <f t="shared" si="12"/>
        <v>0</v>
      </c>
      <c r="S39" s="65">
        <f t="shared" si="12"/>
        <v>0</v>
      </c>
      <c r="T39" s="65">
        <f t="shared" si="12"/>
        <v>0</v>
      </c>
      <c r="U39" s="126">
        <f t="shared" si="12"/>
        <v>0</v>
      </c>
    </row>
    <row r="40" spans="1:21" s="48" customFormat="1" ht="13" x14ac:dyDescent="0.35">
      <c r="A40" s="125" t="str">
        <f>L8</f>
        <v>P 2</v>
      </c>
      <c r="B40" s="11">
        <v>50</v>
      </c>
      <c r="C40" s="65">
        <f t="shared" si="6"/>
        <v>15</v>
      </c>
      <c r="D40" s="65">
        <f t="shared" si="7"/>
        <v>20.27535</v>
      </c>
      <c r="E40" s="65">
        <f t="shared" si="8"/>
        <v>16.448250000000002</v>
      </c>
      <c r="F40" s="65">
        <f t="shared" si="9"/>
        <v>3.2330999999999999</v>
      </c>
      <c r="G40" s="65">
        <f t="shared" si="10"/>
        <v>0.01</v>
      </c>
      <c r="H40" s="65">
        <f t="shared" si="10"/>
        <v>2.5000000000000001E-2</v>
      </c>
      <c r="I40" s="65">
        <f t="shared" si="10"/>
        <v>2.5000000000000001E-2</v>
      </c>
      <c r="J40" s="65">
        <f t="shared" si="10"/>
        <v>5.0000000000000001E-4</v>
      </c>
      <c r="K40" s="65">
        <f t="shared" si="10"/>
        <v>2.5000000000000001E-3</v>
      </c>
      <c r="L40" s="65">
        <f t="shared" si="10"/>
        <v>0.01</v>
      </c>
      <c r="M40" s="65">
        <f t="shared" si="10"/>
        <v>0.01</v>
      </c>
      <c r="N40" s="65">
        <f t="shared" si="10"/>
        <v>0</v>
      </c>
      <c r="O40" s="65">
        <f t="shared" si="10"/>
        <v>0</v>
      </c>
      <c r="P40" s="65">
        <f t="shared" si="10"/>
        <v>10.65</v>
      </c>
      <c r="Q40" s="65">
        <f t="shared" si="11"/>
        <v>5.45</v>
      </c>
      <c r="R40" s="65">
        <f t="shared" si="12"/>
        <v>0</v>
      </c>
      <c r="S40" s="65">
        <f t="shared" si="12"/>
        <v>0</v>
      </c>
      <c r="T40" s="65">
        <f t="shared" si="12"/>
        <v>0</v>
      </c>
      <c r="U40" s="126">
        <f t="shared" si="12"/>
        <v>0</v>
      </c>
    </row>
    <row r="41" spans="1:21" s="48" customFormat="1" ht="13" x14ac:dyDescent="0.35">
      <c r="A41" s="125" t="str">
        <f>M8</f>
        <v>P 6</v>
      </c>
      <c r="B41" s="11">
        <v>50</v>
      </c>
      <c r="C41" s="65">
        <f t="shared" si="6"/>
        <v>15</v>
      </c>
      <c r="D41" s="65">
        <f t="shared" si="7"/>
        <v>20.27535</v>
      </c>
      <c r="E41" s="65">
        <f t="shared" si="8"/>
        <v>16.448250000000002</v>
      </c>
      <c r="F41" s="65">
        <f t="shared" si="9"/>
        <v>3.2330999999999999</v>
      </c>
      <c r="G41" s="65">
        <f t="shared" si="10"/>
        <v>0.01</v>
      </c>
      <c r="H41" s="65">
        <f t="shared" si="10"/>
        <v>2.5000000000000001E-2</v>
      </c>
      <c r="I41" s="65">
        <f t="shared" si="10"/>
        <v>2.5000000000000001E-2</v>
      </c>
      <c r="J41" s="65">
        <f t="shared" si="10"/>
        <v>5.0000000000000001E-4</v>
      </c>
      <c r="K41" s="65">
        <f t="shared" si="10"/>
        <v>2.5000000000000001E-3</v>
      </c>
      <c r="L41" s="65">
        <f t="shared" si="10"/>
        <v>0.01</v>
      </c>
      <c r="M41" s="65">
        <f t="shared" si="10"/>
        <v>0.01</v>
      </c>
      <c r="N41" s="65">
        <f t="shared" si="10"/>
        <v>0</v>
      </c>
      <c r="O41" s="65">
        <f t="shared" si="10"/>
        <v>0</v>
      </c>
      <c r="P41" s="65">
        <f t="shared" si="10"/>
        <v>10.65</v>
      </c>
      <c r="Q41" s="65">
        <f t="shared" si="11"/>
        <v>5.45</v>
      </c>
      <c r="R41" s="65">
        <f t="shared" si="12"/>
        <v>0</v>
      </c>
      <c r="S41" s="65">
        <f t="shared" si="12"/>
        <v>0</v>
      </c>
      <c r="T41" s="65">
        <f t="shared" si="12"/>
        <v>0</v>
      </c>
      <c r="U41" s="126">
        <f t="shared" si="12"/>
        <v>0</v>
      </c>
    </row>
    <row r="42" spans="1:21" s="48" customFormat="1" ht="13" x14ac:dyDescent="0.35">
      <c r="A42" s="125" t="str">
        <f>N8</f>
        <v>P7</v>
      </c>
      <c r="B42" s="11">
        <v>50</v>
      </c>
      <c r="C42" s="65">
        <f t="shared" si="6"/>
        <v>15</v>
      </c>
      <c r="D42" s="65">
        <f t="shared" si="7"/>
        <v>20.27535</v>
      </c>
      <c r="E42" s="65">
        <f t="shared" si="8"/>
        <v>16.448250000000002</v>
      </c>
      <c r="F42" s="65">
        <f t="shared" si="9"/>
        <v>3.2330999999999999</v>
      </c>
      <c r="G42" s="65">
        <f t="shared" si="10"/>
        <v>0.01</v>
      </c>
      <c r="H42" s="65">
        <f t="shared" si="10"/>
        <v>2.5000000000000001E-2</v>
      </c>
      <c r="I42" s="65">
        <f t="shared" si="10"/>
        <v>2.5000000000000001E-2</v>
      </c>
      <c r="J42" s="65">
        <f t="shared" si="10"/>
        <v>5.0000000000000001E-4</v>
      </c>
      <c r="K42" s="65">
        <f t="shared" si="10"/>
        <v>2.5000000000000001E-3</v>
      </c>
      <c r="L42" s="65">
        <f t="shared" si="10"/>
        <v>0.01</v>
      </c>
      <c r="M42" s="65">
        <f t="shared" si="10"/>
        <v>0.01</v>
      </c>
      <c r="N42" s="65">
        <f t="shared" si="10"/>
        <v>0</v>
      </c>
      <c r="O42" s="65">
        <f t="shared" si="10"/>
        <v>0</v>
      </c>
      <c r="P42" s="65">
        <f t="shared" si="10"/>
        <v>10.65</v>
      </c>
      <c r="Q42" s="65">
        <f t="shared" si="11"/>
        <v>5.45</v>
      </c>
      <c r="R42" s="65">
        <f t="shared" si="12"/>
        <v>0</v>
      </c>
      <c r="S42" s="65">
        <f t="shared" si="12"/>
        <v>0</v>
      </c>
      <c r="T42" s="65">
        <f t="shared" si="12"/>
        <v>0</v>
      </c>
      <c r="U42" s="126">
        <f t="shared" si="12"/>
        <v>0</v>
      </c>
    </row>
    <row r="43" spans="1:21" s="48" customFormat="1" ht="13" x14ac:dyDescent="0.35">
      <c r="A43" s="125" t="str">
        <f>O8</f>
        <v>P 8</v>
      </c>
      <c r="B43" s="11">
        <v>50</v>
      </c>
      <c r="C43" s="65">
        <f t="shared" si="6"/>
        <v>15</v>
      </c>
      <c r="D43" s="65">
        <f t="shared" si="7"/>
        <v>20.27535</v>
      </c>
      <c r="E43" s="65">
        <f t="shared" si="8"/>
        <v>16.448250000000002</v>
      </c>
      <c r="F43" s="65">
        <f t="shared" si="9"/>
        <v>3.2330999999999999</v>
      </c>
      <c r="G43" s="65">
        <f t="shared" si="10"/>
        <v>0.01</v>
      </c>
      <c r="H43" s="65">
        <f t="shared" si="10"/>
        <v>2.5000000000000001E-2</v>
      </c>
      <c r="I43" s="65">
        <f t="shared" si="10"/>
        <v>2.5000000000000001E-2</v>
      </c>
      <c r="J43" s="65">
        <f t="shared" si="10"/>
        <v>5.0000000000000001E-4</v>
      </c>
      <c r="K43" s="65">
        <f t="shared" si="10"/>
        <v>2.5000000000000001E-3</v>
      </c>
      <c r="L43" s="65">
        <f t="shared" si="10"/>
        <v>0.01</v>
      </c>
      <c r="M43" s="65">
        <f t="shared" si="10"/>
        <v>0.01</v>
      </c>
      <c r="N43" s="65">
        <f t="shared" si="10"/>
        <v>0</v>
      </c>
      <c r="O43" s="65">
        <f t="shared" si="10"/>
        <v>0</v>
      </c>
      <c r="P43" s="65">
        <f t="shared" si="10"/>
        <v>10.65</v>
      </c>
      <c r="Q43" s="65">
        <f t="shared" si="11"/>
        <v>5.45</v>
      </c>
      <c r="R43" s="65">
        <f t="shared" si="12"/>
        <v>0</v>
      </c>
      <c r="S43" s="65">
        <f t="shared" si="12"/>
        <v>0</v>
      </c>
      <c r="T43" s="65">
        <f t="shared" si="12"/>
        <v>0</v>
      </c>
      <c r="U43" s="126">
        <f t="shared" si="12"/>
        <v>0</v>
      </c>
    </row>
    <row r="44" spans="1:21" s="48" customFormat="1" ht="13" x14ac:dyDescent="0.35">
      <c r="A44" s="125" t="str">
        <f>P8</f>
        <v>P 9</v>
      </c>
      <c r="B44" s="11">
        <v>50</v>
      </c>
      <c r="C44" s="65">
        <f t="shared" si="6"/>
        <v>15</v>
      </c>
      <c r="D44" s="65">
        <f t="shared" si="7"/>
        <v>20.27535</v>
      </c>
      <c r="E44" s="65">
        <f t="shared" si="8"/>
        <v>16.448250000000002</v>
      </c>
      <c r="F44" s="65">
        <f t="shared" si="9"/>
        <v>3.2330999999999999</v>
      </c>
      <c r="G44" s="65">
        <f t="shared" si="10"/>
        <v>0.01</v>
      </c>
      <c r="H44" s="65">
        <f t="shared" si="10"/>
        <v>2.5000000000000001E-2</v>
      </c>
      <c r="I44" s="65">
        <f t="shared" si="10"/>
        <v>2.5000000000000001E-2</v>
      </c>
      <c r="J44" s="65">
        <f t="shared" si="10"/>
        <v>5.0000000000000001E-4</v>
      </c>
      <c r="K44" s="65">
        <f t="shared" si="10"/>
        <v>2.5000000000000001E-3</v>
      </c>
      <c r="L44" s="65">
        <f t="shared" si="10"/>
        <v>0.01</v>
      </c>
      <c r="M44" s="65">
        <f t="shared" si="10"/>
        <v>0.01</v>
      </c>
      <c r="N44" s="65">
        <f t="shared" si="10"/>
        <v>0</v>
      </c>
      <c r="O44" s="65">
        <f t="shared" si="10"/>
        <v>0</v>
      </c>
      <c r="P44" s="65">
        <f t="shared" si="10"/>
        <v>10.65</v>
      </c>
      <c r="Q44" s="65">
        <f t="shared" si="11"/>
        <v>5.45</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Arable</v>
      </c>
      <c r="D58" s="10" t="str">
        <f>E16&amp;" I "&amp;(VLOOKUP(E14,Table24[],6,FALSE))</f>
        <v>Medium/Clay I Arable</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Arable</v>
      </c>
      <c r="I58" s="10" t="str">
        <f>J16&amp;" I "&amp;(VLOOKUP(J14,Table24[],6,FALSE))</f>
        <v>Medium/Clay I Grass</v>
      </c>
      <c r="J58" s="10" t="str">
        <f>K16&amp;" I "&amp;(VLOOKUP(K14,Table24[],6,FALSE))</f>
        <v>Medium/Clay I Arable</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Arable</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6.7</v>
      </c>
      <c r="D59" s="64">
        <f>VLOOKUP(E$14,Table24[],5,FALSE)</f>
        <v>6.7</v>
      </c>
      <c r="E59" s="64">
        <f>VLOOKUP(F$14,Table24[],5,FALSE)</f>
        <v>6.2</v>
      </c>
      <c r="F59" s="64">
        <f>VLOOKUP(G$14,Table24[],5,FALSE)</f>
        <v>6.2</v>
      </c>
      <c r="G59" s="64">
        <f>VLOOKUP(H$14,Table24[],5,FALSE)</f>
        <v>6.2</v>
      </c>
      <c r="H59" s="64">
        <f>VLOOKUP(I$14,Table24[],5,FALSE)</f>
        <v>6.7</v>
      </c>
      <c r="I59" s="64">
        <f>VLOOKUP(J$14,Table24[],5,FALSE)</f>
        <v>6.2</v>
      </c>
      <c r="J59" s="64">
        <f>VLOOKUP(K$14,Table24[],5,FALSE)</f>
        <v>6.7</v>
      </c>
      <c r="K59" s="64">
        <f>VLOOKUP(L$14,Table24[],5,FALSE)</f>
        <v>6.2</v>
      </c>
      <c r="L59" s="64">
        <f>VLOOKUP(M$14,Table24[],5,FALSE)</f>
        <v>6.2</v>
      </c>
      <c r="M59" s="64">
        <f>VLOOKUP(N$14,Table24[],5,FALSE)</f>
        <v>6.2</v>
      </c>
      <c r="N59" s="64">
        <f>VLOOKUP(O$14,Table24[],5,FALSE)</f>
        <v>6.2</v>
      </c>
      <c r="O59" s="64">
        <f>VLOOKUP(P$14,Table24[],5,FALSE)</f>
        <v>6.7</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65</v>
      </c>
      <c r="C62" s="65">
        <f>B32</f>
        <v>50</v>
      </c>
      <c r="D62" s="65">
        <f>B33</f>
        <v>50</v>
      </c>
      <c r="E62" s="65">
        <f>B34</f>
        <v>65</v>
      </c>
      <c r="F62" s="65">
        <f>B35</f>
        <v>65</v>
      </c>
      <c r="G62" s="65">
        <f>B36</f>
        <v>65</v>
      </c>
      <c r="H62" s="65">
        <f>B37</f>
        <v>50</v>
      </c>
      <c r="I62" s="65">
        <f>B38</f>
        <v>65</v>
      </c>
      <c r="J62" s="65">
        <f>B39</f>
        <v>50</v>
      </c>
      <c r="K62" s="65">
        <f>B40</f>
        <v>50</v>
      </c>
      <c r="L62" s="65">
        <f>B41</f>
        <v>50</v>
      </c>
      <c r="M62" s="65">
        <f>B42</f>
        <v>50</v>
      </c>
      <c r="N62" s="65">
        <f>B43</f>
        <v>50</v>
      </c>
      <c r="O62" s="65">
        <f>B44</f>
        <v>50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Arable</v>
      </c>
      <c r="D58" s="10" t="str">
        <f>E16&amp;" I "&amp;(VLOOKUP(E14,Table245[],6,FALSE))</f>
        <v>Medium/Clay I Arable</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Arable</v>
      </c>
      <c r="I58" s="10" t="str">
        <f>J16&amp;" I "&amp;(VLOOKUP(J14,Table245[],6,FALSE))</f>
        <v>Medium/Clay I Grass</v>
      </c>
      <c r="J58" s="10" t="str">
        <f>K16&amp;" I "&amp;(VLOOKUP(K14,Table245[],6,FALSE))</f>
        <v>Medium/Clay I Arable</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Arable</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6.7</v>
      </c>
      <c r="D59" s="64">
        <f>VLOOKUP(E$14,Table245[],5,FALSE)</f>
        <v>6.7</v>
      </c>
      <c r="E59" s="64">
        <f>VLOOKUP(F$14,Table245[],5,FALSE)</f>
        <v>6.2</v>
      </c>
      <c r="F59" s="64">
        <f>VLOOKUP(G$14,Table245[],5,FALSE)</f>
        <v>6.2</v>
      </c>
      <c r="G59" s="64">
        <f>VLOOKUP(H$14,Table245[],5,FALSE)</f>
        <v>6.2</v>
      </c>
      <c r="H59" s="64">
        <f>VLOOKUP(I$14,Table245[],5,FALSE)</f>
        <v>6.7</v>
      </c>
      <c r="I59" s="64">
        <f>VLOOKUP(J$14,Table245[],5,FALSE)</f>
        <v>6.2</v>
      </c>
      <c r="J59" s="64">
        <f>VLOOKUP(K$14,Table245[],5,FALSE)</f>
        <v>6.7</v>
      </c>
      <c r="K59" s="64">
        <f>VLOOKUP(L$14,Table245[],5,FALSE)</f>
        <v>6.2</v>
      </c>
      <c r="L59" s="64">
        <f>VLOOKUP(M$14,Table245[],5,FALSE)</f>
        <v>6.2</v>
      </c>
      <c r="M59" s="64">
        <f>VLOOKUP(N$14,Table245[],5,FALSE)</f>
        <v>6.2</v>
      </c>
      <c r="N59" s="64">
        <f>VLOOKUP(O$14,Table245[],5,FALSE)</f>
        <v>6.2</v>
      </c>
      <c r="O59" s="64">
        <f>VLOOKUP(P$14,Table245[],5,FALSE)</f>
        <v>6.7</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(VLOOKUP(D$14,$AI2:$AK24,3,FALSE))*D$15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Arable</v>
      </c>
      <c r="D58" s="10" t="str">
        <f>E16&amp;" I "&amp;(VLOOKUP(E14,Table245811[],6,FALSE))</f>
        <v>Medium/Clay I Arable</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Arable</v>
      </c>
      <c r="I58" s="10" t="str">
        <f>J16&amp;" I "&amp;(VLOOKUP(J14,Table245811[],6,FALSE))</f>
        <v>Medium/Clay I Grass</v>
      </c>
      <c r="J58" s="10" t="str">
        <f>K16&amp;" I "&amp;(VLOOKUP(K14,Table245811[],6,FALSE))</f>
        <v>Medium/Clay I Arable</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Arable</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6.7</v>
      </c>
      <c r="D59" s="64">
        <f>VLOOKUP(E$14,Table245811[],5,FALSE)</f>
        <v>6.7</v>
      </c>
      <c r="E59" s="64">
        <f>VLOOKUP(F$14,Table245811[],5,FALSE)</f>
        <v>6.2</v>
      </c>
      <c r="F59" s="64">
        <f>VLOOKUP(G$14,Table245811[],5,FALSE)</f>
        <v>6.2</v>
      </c>
      <c r="G59" s="64">
        <f>VLOOKUP(H$14,Table245811[],5,FALSE)</f>
        <v>6.2</v>
      </c>
      <c r="H59" s="64">
        <f>VLOOKUP(I$14,Table245811[],5,FALSE)</f>
        <v>6.7</v>
      </c>
      <c r="I59" s="64">
        <f>VLOOKUP(J$14,Table245811[],5,FALSE)</f>
        <v>6.2</v>
      </c>
      <c r="J59" s="64">
        <f>VLOOKUP(K$14,Table245811[],5,FALSE)</f>
        <v>6.7</v>
      </c>
      <c r="K59" s="64">
        <f>VLOOKUP(L$14,Table245811[],5,FALSE)</f>
        <v>6.2</v>
      </c>
      <c r="L59" s="64">
        <f>VLOOKUP(M$14,Table245811[],5,FALSE)</f>
        <v>6.2</v>
      </c>
      <c r="M59" s="64">
        <f>VLOOKUP(N$14,Table245811[],5,FALSE)</f>
        <v>6.2</v>
      </c>
      <c r="N59" s="64">
        <f>VLOOKUP(O$14,Table245811[],5,FALSE)</f>
        <v>6.2</v>
      </c>
      <c r="O59" s="64">
        <f>VLOOKUP(P$14,Table245811[],5,FALSE)</f>
        <v>6.7</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Arable</v>
      </c>
      <c r="D58" s="10" t="str">
        <f>E16&amp;" I "&amp;(VLOOKUP(E14,Table24581112[],6,FALSE))</f>
        <v>Medium/Clay I Arable</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Arable</v>
      </c>
      <c r="I58" s="10" t="str">
        <f>J16&amp;" I "&amp;(VLOOKUP(J14,Table24581112[],6,FALSE))</f>
        <v>Medium/Clay I Grass</v>
      </c>
      <c r="J58" s="10" t="str">
        <f>K16&amp;" I "&amp;(VLOOKUP(K14,Table24581112[],6,FALSE))</f>
        <v>Medium/Clay I Arable</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Arable</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6.7</v>
      </c>
      <c r="D59" s="64">
        <f>VLOOKUP(E$14,Table24581112[],5,FALSE)</f>
        <v>6.7</v>
      </c>
      <c r="E59" s="64">
        <f>VLOOKUP(F$14,Table24581112[],5,FALSE)</f>
        <v>6.2</v>
      </c>
      <c r="F59" s="64">
        <f>VLOOKUP(G$14,Table24581112[],5,FALSE)</f>
        <v>6.2</v>
      </c>
      <c r="G59" s="64">
        <f>VLOOKUP(H$14,Table24581112[],5,FALSE)</f>
        <v>6.2</v>
      </c>
      <c r="H59" s="64">
        <f>VLOOKUP(I$14,Table24581112[],5,FALSE)</f>
        <v>6.7</v>
      </c>
      <c r="I59" s="64">
        <f>VLOOKUP(J$14,Table24581112[],5,FALSE)</f>
        <v>6.2</v>
      </c>
      <c r="J59" s="64">
        <f>VLOOKUP(K$14,Table24581112[],5,FALSE)</f>
        <v>6.7</v>
      </c>
      <c r="K59" s="64">
        <f>VLOOKUP(L$14,Table24581112[],5,FALSE)</f>
        <v>6.2</v>
      </c>
      <c r="L59" s="64">
        <f>VLOOKUP(M$14,Table24581112[],5,FALSE)</f>
        <v>6.2</v>
      </c>
      <c r="M59" s="64">
        <f>VLOOKUP(N$14,Table24581112[],5,FALSE)</f>
        <v>6.2</v>
      </c>
      <c r="N59" s="64">
        <f>VLOOKUP(O$14,Table24581112[],5,FALSE)</f>
        <v>6.2</v>
      </c>
      <c r="O59" s="64">
        <f>VLOOKUP(P$14,Table24581112[],5,FALSE)</f>
        <v>6.7</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Arable</v>
      </c>
      <c r="D58" s="10" t="str">
        <f>E16&amp;" I "&amp;(VLOOKUP(E14,Table24581114[],6,FALSE))</f>
        <v>Medium/Clay I Arable</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Arable</v>
      </c>
      <c r="I58" s="10" t="str">
        <f>J16&amp;" I "&amp;(VLOOKUP(J14,Table24581114[],6,FALSE))</f>
        <v>Medium/Clay I Grass</v>
      </c>
      <c r="J58" s="10" t="str">
        <f>K16&amp;" I "&amp;(VLOOKUP(K14,Table24581114[],6,FALSE))</f>
        <v>Medium/Clay I Arable</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Arable</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6.7</v>
      </c>
      <c r="D59" s="64">
        <f>VLOOKUP(E$14,Table24581114[],5,FALSE)</f>
        <v>6.7</v>
      </c>
      <c r="E59" s="64">
        <f>VLOOKUP(F$14,Table24581114[],5,FALSE)</f>
        <v>6.2</v>
      </c>
      <c r="F59" s="64">
        <f>VLOOKUP(G$14,Table24581114[],5,FALSE)</f>
        <v>6.2</v>
      </c>
      <c r="G59" s="64">
        <f>VLOOKUP(H$14,Table24581114[],5,FALSE)</f>
        <v>6.2</v>
      </c>
      <c r="H59" s="64">
        <f>VLOOKUP(I$14,Table24581114[],5,FALSE)</f>
        <v>6.7</v>
      </c>
      <c r="I59" s="64">
        <f>VLOOKUP(J$14,Table24581114[],5,FALSE)</f>
        <v>6.2</v>
      </c>
      <c r="J59" s="64">
        <f>VLOOKUP(K$14,Table24581114[],5,FALSE)</f>
        <v>6.7</v>
      </c>
      <c r="K59" s="64">
        <f>VLOOKUP(L$14,Table24581114[],5,FALSE)</f>
        <v>6.2</v>
      </c>
      <c r="L59" s="64">
        <f>VLOOKUP(M$14,Table24581114[],5,FALSE)</f>
        <v>6.2</v>
      </c>
      <c r="M59" s="64">
        <f>VLOOKUP(N$14,Table24581114[],5,FALSE)</f>
        <v>6.2</v>
      </c>
      <c r="N59" s="64">
        <f>VLOOKUP(O$14,Table24581114[],5,FALSE)</f>
        <v>6.2</v>
      </c>
      <c r="O59" s="64">
        <f>VLOOKUP(P$14,Table24581114[],5,FALSE)</f>
        <v>6.7</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Arable</v>
      </c>
      <c r="D58" s="10" t="str">
        <f>E16&amp;" I "&amp;(VLOOKUP(E14,Table245810[],6,FALSE))</f>
        <v>Medium/Clay I Arable</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Arable</v>
      </c>
      <c r="I58" s="10" t="str">
        <f>J16&amp;" I "&amp;(VLOOKUP(J14,Table245810[],6,FALSE))</f>
        <v>Medium/Clay I Grass</v>
      </c>
      <c r="J58" s="10" t="str">
        <f>K16&amp;" I "&amp;(VLOOKUP(K14,Table245810[],6,FALSE))</f>
        <v>Medium/Clay I Arable</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Arable</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6.7</v>
      </c>
      <c r="D59" s="64">
        <f>VLOOKUP(E$14,Table245810[],5,FALSE)</f>
        <v>6.7</v>
      </c>
      <c r="E59" s="64">
        <f>VLOOKUP(F$14,Table245810[],5,FALSE)</f>
        <v>6.2</v>
      </c>
      <c r="F59" s="64">
        <f>VLOOKUP(G$14,Table245810[],5,FALSE)</f>
        <v>6.2</v>
      </c>
      <c r="G59" s="64">
        <f>VLOOKUP(H$14,Table245810[],5,FALSE)</f>
        <v>6.2</v>
      </c>
      <c r="H59" s="64">
        <f>VLOOKUP(I$14,Table245810[],5,FALSE)</f>
        <v>6.7</v>
      </c>
      <c r="I59" s="64">
        <f>VLOOKUP(J$14,Table245810[],5,FALSE)</f>
        <v>6.2</v>
      </c>
      <c r="J59" s="64">
        <f>VLOOKUP(K$14,Table245810[],5,FALSE)</f>
        <v>6.7</v>
      </c>
      <c r="K59" s="64">
        <f>VLOOKUP(L$14,Table245810[],5,FALSE)</f>
        <v>6.2</v>
      </c>
      <c r="L59" s="64">
        <f>VLOOKUP(M$14,Table245810[],5,FALSE)</f>
        <v>6.2</v>
      </c>
      <c r="M59" s="64">
        <f>VLOOKUP(N$14,Table245810[],5,FALSE)</f>
        <v>6.2</v>
      </c>
      <c r="N59" s="64">
        <f>VLOOKUP(O$14,Table245810[],5,FALSE)</f>
        <v>6.2</v>
      </c>
      <c r="O59" s="64">
        <f>VLOOKUP(P$14,Table245810[],5,FALSE)</f>
        <v>6.7</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Arable</v>
      </c>
      <c r="D58" s="10" t="str">
        <f>E16&amp;" I "&amp;(VLOOKUP(E14,Table2458[],6,FALSE))</f>
        <v>Medium/Clay I Arable</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Arable</v>
      </c>
      <c r="I58" s="10" t="str">
        <f>J16&amp;" I "&amp;(VLOOKUP(J14,Table2458[],6,FALSE))</f>
        <v>Medium/Clay I Grass</v>
      </c>
      <c r="J58" s="10" t="str">
        <f>K16&amp;" I "&amp;(VLOOKUP(K14,Table2458[],6,FALSE))</f>
        <v>Medium/Clay I Arable</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Arable</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6.7</v>
      </c>
      <c r="D59" s="64">
        <f>VLOOKUP(E$14,Table2458[],5,FALSE)</f>
        <v>6.7</v>
      </c>
      <c r="E59" s="64">
        <f>VLOOKUP(F$14,Table2458[],5,FALSE)</f>
        <v>6.2</v>
      </c>
      <c r="F59" s="64">
        <f>VLOOKUP(G$14,Table2458[],5,FALSE)</f>
        <v>6.2</v>
      </c>
      <c r="G59" s="64">
        <f>VLOOKUP(H$14,Table2458[],5,FALSE)</f>
        <v>6.2</v>
      </c>
      <c r="H59" s="64">
        <f>VLOOKUP(I$14,Table2458[],5,FALSE)</f>
        <v>6.7</v>
      </c>
      <c r="I59" s="64">
        <f>VLOOKUP(J$14,Table2458[],5,FALSE)</f>
        <v>6.2</v>
      </c>
      <c r="J59" s="64">
        <f>VLOOKUP(K$14,Table2458[],5,FALSE)</f>
        <v>6.7</v>
      </c>
      <c r="K59" s="64">
        <f>VLOOKUP(L$14,Table2458[],5,FALSE)</f>
        <v>6.2</v>
      </c>
      <c r="L59" s="64">
        <f>VLOOKUP(M$14,Table2458[],5,FALSE)</f>
        <v>6.2</v>
      </c>
      <c r="M59" s="64">
        <f>VLOOKUP(N$14,Table2458[],5,FALSE)</f>
        <v>6.2</v>
      </c>
      <c r="N59" s="64">
        <f>VLOOKUP(O$14,Table2458[],5,FALSE)</f>
        <v>6.2</v>
      </c>
      <c r="O59" s="64">
        <f>VLOOKUP(P$14,Table2458[],5,FALSE)</f>
        <v>6.7</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Arable</v>
      </c>
      <c r="D58" s="10" t="str">
        <f>E16&amp;" I "&amp;(VLOOKUP(E14,Table24581113[],6,FALSE))</f>
        <v>Medium/Clay I Arable</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Arable</v>
      </c>
      <c r="I58" s="10" t="str">
        <f>J16&amp;" I "&amp;(VLOOKUP(J14,Table24581113[],6,FALSE))</f>
        <v>Medium/Clay I Grass</v>
      </c>
      <c r="J58" s="10" t="str">
        <f>K16&amp;" I "&amp;(VLOOKUP(K14,Table24581113[],6,FALSE))</f>
        <v>Medium/Clay I Arable</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Arable</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6.7</v>
      </c>
      <c r="D59" s="64">
        <f>VLOOKUP(E$14,Table24581113[],5,FALSE)</f>
        <v>6.7</v>
      </c>
      <c r="E59" s="64">
        <f>VLOOKUP(F$14,Table24581113[],5,FALSE)</f>
        <v>6.2</v>
      </c>
      <c r="F59" s="64">
        <f>VLOOKUP(G$14,Table24581113[],5,FALSE)</f>
        <v>6.2</v>
      </c>
      <c r="G59" s="64">
        <f>VLOOKUP(H$14,Table24581113[],5,FALSE)</f>
        <v>6.2</v>
      </c>
      <c r="H59" s="64">
        <f>VLOOKUP(I$14,Table24581113[],5,FALSE)</f>
        <v>6.7</v>
      </c>
      <c r="I59" s="64">
        <f>VLOOKUP(J$14,Table24581113[],5,FALSE)</f>
        <v>6.2</v>
      </c>
      <c r="J59" s="64">
        <f>VLOOKUP(K$14,Table24581113[],5,FALSE)</f>
        <v>6.7</v>
      </c>
      <c r="K59" s="64">
        <f>VLOOKUP(L$14,Table24581113[],5,FALSE)</f>
        <v>6.2</v>
      </c>
      <c r="L59" s="64">
        <f>VLOOKUP(M$14,Table24581113[],5,FALSE)</f>
        <v>6.2</v>
      </c>
      <c r="M59" s="64">
        <f>VLOOKUP(N$14,Table24581113[],5,FALSE)</f>
        <v>6.2</v>
      </c>
      <c r="N59" s="64">
        <f>VLOOKUP(O$14,Table24581113[],5,FALSE)</f>
        <v>6.2</v>
      </c>
      <c r="O59" s="64">
        <f>VLOOKUP(P$14,Table24581113[],5,FALSE)</f>
        <v>6.7</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Arable</v>
      </c>
      <c r="D58" s="10" t="str">
        <f>E16&amp;" I "&amp;(VLOOKUP(E14,Table24567[],6,FALSE))</f>
        <v>Medium/Clay I Arable</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Arable</v>
      </c>
      <c r="I58" s="10" t="str">
        <f>J16&amp;" I "&amp;(VLOOKUP(J14,Table24567[],6,FALSE))</f>
        <v>Medium/Clay I Grass</v>
      </c>
      <c r="J58" s="10" t="str">
        <f>K16&amp;" I "&amp;(VLOOKUP(K14,Table24567[],6,FALSE))</f>
        <v>Medium/Clay I Arable</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Arable</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6.7</v>
      </c>
      <c r="D59" s="64">
        <f>VLOOKUP(E$14,Table24567[],5,FALSE)</f>
        <v>6.7</v>
      </c>
      <c r="E59" s="64">
        <f>VLOOKUP(F$14,Table24567[],5,FALSE)</f>
        <v>6.2</v>
      </c>
      <c r="F59" s="64">
        <f>VLOOKUP(G$14,Table24567[],5,FALSE)</f>
        <v>6.2</v>
      </c>
      <c r="G59" s="64">
        <f>VLOOKUP(H$14,Table24567[],5,FALSE)</f>
        <v>6.2</v>
      </c>
      <c r="H59" s="64">
        <f>VLOOKUP(I$14,Table24567[],5,FALSE)</f>
        <v>6.7</v>
      </c>
      <c r="I59" s="64">
        <f>VLOOKUP(J$14,Table24567[],5,FALSE)</f>
        <v>6.2</v>
      </c>
      <c r="J59" s="64">
        <f>VLOOKUP(K$14,Table24567[],5,FALSE)</f>
        <v>6.7</v>
      </c>
      <c r="K59" s="64">
        <f>VLOOKUP(L$14,Table24567[],5,FALSE)</f>
        <v>6.2</v>
      </c>
      <c r="L59" s="64">
        <f>VLOOKUP(M$14,Table24567[],5,FALSE)</f>
        <v>6.2</v>
      </c>
      <c r="M59" s="64">
        <f>VLOOKUP(N$14,Table24567[],5,FALSE)</f>
        <v>6.2</v>
      </c>
      <c r="N59" s="64">
        <f>VLOOKUP(O$14,Table24567[],5,FALSE)</f>
        <v>6.2</v>
      </c>
      <c r="O59" s="64">
        <f>VLOOKUP(P$14,Table24567[],5,FALSE)</f>
        <v>6.7</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PAN-033235</v>
      </c>
      <c r="D1" s="173"/>
      <c r="E1" s="106" t="s">
        <v>45</v>
      </c>
      <c r="F1" s="113">
        <f>'Field data and Volac'!F1</f>
        <v>46.9</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Bettel Farm, Ferwig, Cardigan, Ceredigion, SA43 1QB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B 7599</v>
      </c>
      <c r="D8" s="49" t="str">
        <f>'Field data and Volac'!D8</f>
        <v>B 5511</v>
      </c>
      <c r="E8" s="49" t="str">
        <f>'Field data and Volac'!E8</f>
        <v>B 9114</v>
      </c>
      <c r="F8" s="49" t="str">
        <f>'Field data and Volac'!F8</f>
        <v>B 1314</v>
      </c>
      <c r="G8" s="49" t="str">
        <f>'Field data and Volac'!G8</f>
        <v>B 3022</v>
      </c>
      <c r="H8" s="49" t="str">
        <f>'Field data and Volac'!H8</f>
        <v>B 4630</v>
      </c>
      <c r="I8" s="49" t="str">
        <f>'Field data and Volac'!I8</f>
        <v>B 4613</v>
      </c>
      <c r="J8" s="49" t="str">
        <f>'Field data and Volac'!J8</f>
        <v>B 7613</v>
      </c>
      <c r="K8" s="49" t="str">
        <f>'Field data and Volac'!K8</f>
        <v>P 1</v>
      </c>
      <c r="L8" s="49" t="str">
        <f>'Field data and Volac'!L8</f>
        <v>P 2</v>
      </c>
      <c r="M8" s="49" t="str">
        <f>'Field data and Volac'!M8</f>
        <v>P 6</v>
      </c>
      <c r="N8" s="49" t="str">
        <f>'Field data and Volac'!N8</f>
        <v>P7</v>
      </c>
      <c r="O8" s="49" t="str">
        <f>'Field data and Volac'!O8</f>
        <v>P 8</v>
      </c>
      <c r="P8" s="49" t="str">
        <f>'Field data and Volac'!P8</f>
        <v>P 9</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Volac'!C9</f>
        <v>Mod</v>
      </c>
      <c r="D9" s="49">
        <f>'Field data and Volac'!D9</f>
        <v>1</v>
      </c>
      <c r="E9" s="49">
        <f>'Field data and Volac'!E9</f>
        <v>1</v>
      </c>
      <c r="F9" s="49" t="str">
        <f>'Field data and Volac'!F9</f>
        <v>Mod</v>
      </c>
      <c r="G9" s="49" t="str">
        <f>'Field data and Volac'!G9</f>
        <v>Mod</v>
      </c>
      <c r="H9" s="49" t="str">
        <f>'Field data and Volac'!H9</f>
        <v>Mod</v>
      </c>
      <c r="I9" s="49">
        <f>'Field data and Volac'!I9</f>
        <v>1</v>
      </c>
      <c r="J9" s="49" t="str">
        <f>'Field data and Volac'!J9</f>
        <v>Mod</v>
      </c>
      <c r="K9" s="49">
        <f>'Field data and Volac'!K9</f>
        <v>1</v>
      </c>
      <c r="L9" s="49" t="str">
        <f>'Field data and Volac'!L9</f>
        <v>Mod</v>
      </c>
      <c r="M9" s="49" t="str">
        <f>'Field data and Volac'!M9</f>
        <v>Mod</v>
      </c>
      <c r="N9" s="49" t="str">
        <f>'Field data and Volac'!N9</f>
        <v>Mod</v>
      </c>
      <c r="O9" s="49" t="str">
        <f>'Field data and Volac'!O9</f>
        <v>Mod</v>
      </c>
      <c r="P9" s="49">
        <f>'Field data and Volac'!P9</f>
        <v>1</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6.4</v>
      </c>
      <c r="F10" s="49">
        <f>'Field data and Volac'!F10</f>
        <v>6.7</v>
      </c>
      <c r="G10" s="49">
        <f>'Field data and Volac'!G10</f>
        <v>6.7</v>
      </c>
      <c r="H10" s="49">
        <f>'Field data and Volac'!H10</f>
        <v>6.4</v>
      </c>
      <c r="I10" s="49">
        <f>'Field data and Volac'!I10</f>
        <v>6.3</v>
      </c>
      <c r="J10" s="49">
        <f>'Field data and Volac'!J10</f>
        <v>6.7</v>
      </c>
      <c r="K10" s="49">
        <f>'Field data and Volac'!K10</f>
        <v>6.3</v>
      </c>
      <c r="L10" s="49">
        <f>'Field data and Volac'!L10</f>
        <v>5.7</v>
      </c>
      <c r="M10" s="49">
        <f>'Field data and Volac'!M10</f>
        <v>6</v>
      </c>
      <c r="N10" s="49">
        <f>'Field data and Volac'!N10</f>
        <v>6</v>
      </c>
      <c r="O10" s="49">
        <f>'Field data and Volac'!O10</f>
        <v>5.8</v>
      </c>
      <c r="P10" s="49">
        <f>'Field data and Volac'!P10</f>
        <v>5.8</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2</v>
      </c>
      <c r="I11" s="49">
        <f>'Field data and Volac'!I11</f>
        <v>3</v>
      </c>
      <c r="J11" s="49">
        <f>'Field data and Volac'!J11</f>
        <v>3</v>
      </c>
      <c r="K11" s="49">
        <f>'Field data and Volac'!K11</f>
        <v>3</v>
      </c>
      <c r="L11" s="49">
        <f>'Field data and Volac'!L11</f>
        <v>2</v>
      </c>
      <c r="M11" s="49">
        <f>'Field data and Volac'!M11</f>
        <v>2</v>
      </c>
      <c r="N11" s="49">
        <f>'Field data and Volac'!N11</f>
        <v>3</v>
      </c>
      <c r="O11" s="49">
        <f>'Field data and Volac'!O11</f>
        <v>2</v>
      </c>
      <c r="P11" s="49">
        <f>'Field data and Volac'!P11</f>
        <v>3</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0</v>
      </c>
      <c r="D12" s="49">
        <f>'Field data and Volac'!D12</f>
        <v>2</v>
      </c>
      <c r="E12" s="49">
        <f>'Field data and Volac'!E12</f>
        <v>1</v>
      </c>
      <c r="F12" s="49">
        <f>'Field data and Volac'!F12</f>
        <v>2</v>
      </c>
      <c r="G12" s="49">
        <f>'Field data and Volac'!G12</f>
        <v>1</v>
      </c>
      <c r="H12" s="49">
        <f>'Field data and Volac'!H12</f>
        <v>1</v>
      </c>
      <c r="I12" s="49">
        <f>'Field data and Volac'!I12</f>
        <v>0</v>
      </c>
      <c r="J12" s="49">
        <f>'Field data and Volac'!J12</f>
        <v>2</v>
      </c>
      <c r="K12" s="49">
        <f>'Field data and Volac'!K12</f>
        <v>2</v>
      </c>
      <c r="L12" s="49">
        <f>'Field data and Volac'!L12</f>
        <v>3</v>
      </c>
      <c r="M12" s="49">
        <f>'Field data and Volac'!M12</f>
        <v>2</v>
      </c>
      <c r="N12" s="49">
        <f>'Field data and Volac'!N12</f>
        <v>3</v>
      </c>
      <c r="O12" s="49">
        <f>'Field data and Volac'!O12</f>
        <v>3</v>
      </c>
      <c r="P12" s="49">
        <f>'Field data and Volac'!P12</f>
        <v>2</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3</v>
      </c>
      <c r="F13" s="49">
        <f>'Field data and Volac'!F13</f>
        <v>2</v>
      </c>
      <c r="G13" s="49">
        <f>'Field data and Volac'!G13</f>
        <v>2</v>
      </c>
      <c r="H13" s="49">
        <f>'Field data and Volac'!H13</f>
        <v>3</v>
      </c>
      <c r="I13" s="49">
        <f>'Field data and Volac'!I13</f>
        <v>3</v>
      </c>
      <c r="J13" s="49">
        <f>'Field data and Volac'!J13</f>
        <v>2</v>
      </c>
      <c r="K13" s="49">
        <f>'Field data and Volac'!K13</f>
        <v>3</v>
      </c>
      <c r="L13" s="49">
        <f>'Field data and Volac'!L13</f>
        <v>2</v>
      </c>
      <c r="M13" s="49">
        <f>'Field data and Volac'!M13</f>
        <v>3</v>
      </c>
      <c r="N13" s="49">
        <f>'Field data and Volac'!N13</f>
        <v>3</v>
      </c>
      <c r="O13" s="49">
        <f>'Field data and Volac'!O13</f>
        <v>2</v>
      </c>
      <c r="P13" s="49">
        <f>'Field data and Volac'!P13</f>
        <v>2</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 xml:space="preserve">Grass Silage (25% DM) </v>
      </c>
      <c r="D14" s="83" t="str">
        <f>'Field data and Volac'!D14</f>
        <v>Maize- Silage (30% DM)</v>
      </c>
      <c r="E14" s="83" t="str">
        <f>'Field data and Volac'!E14</f>
        <v>Maize- Silage (30% DM)</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Winter wheat- grain &amp; straw</v>
      </c>
      <c r="J14" s="83" t="str">
        <f>'Field data and Volac'!J14</f>
        <v xml:space="preserve">Grass Silage (25% DM) </v>
      </c>
      <c r="K14" s="83" t="str">
        <f>'Field data and Volac'!K14</f>
        <v>Fodder beet (roots only)</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Fodder beet (roots only)</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47</v>
      </c>
      <c r="D15" s="49">
        <f>'Field data and Volac'!D15</f>
        <v>45</v>
      </c>
      <c r="E15" s="49">
        <f>'Field data and Volac'!E15</f>
        <v>45</v>
      </c>
      <c r="F15" s="49">
        <f>'Field data and Volac'!F15</f>
        <v>47</v>
      </c>
      <c r="G15" s="49">
        <f>'Field data and Volac'!G15</f>
        <v>47</v>
      </c>
      <c r="H15" s="49">
        <f>'Field data and Volac'!H15</f>
        <v>47</v>
      </c>
      <c r="I15" s="49">
        <f>'Field data and Volac'!I15</f>
        <v>8</v>
      </c>
      <c r="J15" s="49">
        <f>'Field data and Volac'!J15</f>
        <v>47</v>
      </c>
      <c r="K15" s="49">
        <f>'Field data and Volac'!K15</f>
        <v>85</v>
      </c>
      <c r="L15" s="49">
        <f>'Field data and Volac'!L15</f>
        <v>38</v>
      </c>
      <c r="M15" s="49">
        <f>'Field data and Volac'!M15</f>
        <v>38</v>
      </c>
      <c r="N15" s="49">
        <f>'Field data and Volac'!N15</f>
        <v>38</v>
      </c>
      <c r="O15" s="49">
        <f>'Field data and Volac'!O15</f>
        <v>37</v>
      </c>
      <c r="P15" s="49">
        <f>'Field data and Volac'!P15</f>
        <v>85</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62.999999999999993</v>
      </c>
      <c r="E17" s="20">
        <f t="shared" si="0"/>
        <v>62.999999999999993</v>
      </c>
      <c r="F17" s="20">
        <f t="shared" si="0"/>
        <v>79.899999999999991</v>
      </c>
      <c r="G17" s="20">
        <f t="shared" si="0"/>
        <v>79.899999999999991</v>
      </c>
      <c r="H17" s="20">
        <f t="shared" si="0"/>
        <v>79.899999999999991</v>
      </c>
      <c r="I17" s="20">
        <f t="shared" si="0"/>
        <v>56</v>
      </c>
      <c r="J17" s="20">
        <f t="shared" si="0"/>
        <v>79.899999999999991</v>
      </c>
      <c r="K17" s="20">
        <f t="shared" si="0"/>
        <v>59.499999999999993</v>
      </c>
      <c r="L17" s="20">
        <f t="shared" si="0"/>
        <v>64.599999999999994</v>
      </c>
      <c r="M17" s="20">
        <f t="shared" si="0"/>
        <v>64.599999999999994</v>
      </c>
      <c r="N17" s="20">
        <f t="shared" si="0"/>
        <v>64.599999999999994</v>
      </c>
      <c r="O17" s="20">
        <f t="shared" si="0"/>
        <v>62.9</v>
      </c>
      <c r="P17" s="20">
        <f t="shared" si="0"/>
        <v>59.499999999999993</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-62.999999999999993</v>
      </c>
      <c r="E19" s="12">
        <f t="shared" si="1"/>
        <v>-62.999999999999993</v>
      </c>
      <c r="F19" s="12">
        <f t="shared" si="1"/>
        <v>-79.899999999999991</v>
      </c>
      <c r="G19" s="12">
        <f t="shared" si="1"/>
        <v>-79.899999999999991</v>
      </c>
      <c r="H19" s="12">
        <f t="shared" si="1"/>
        <v>-79.899999999999991</v>
      </c>
      <c r="I19" s="12">
        <f t="shared" si="1"/>
        <v>-56</v>
      </c>
      <c r="J19" s="12">
        <f t="shared" si="1"/>
        <v>-79.899999999999991</v>
      </c>
      <c r="K19" s="12">
        <f t="shared" si="1"/>
        <v>-59.499999999999993</v>
      </c>
      <c r="L19" s="12">
        <f t="shared" si="1"/>
        <v>-64.599999999999994</v>
      </c>
      <c r="M19" s="12">
        <f t="shared" si="1"/>
        <v>-64.599999999999994</v>
      </c>
      <c r="N19" s="12">
        <f t="shared" si="1"/>
        <v>-64.599999999999994</v>
      </c>
      <c r="O19" s="12">
        <f t="shared" si="1"/>
        <v>-62.9</v>
      </c>
      <c r="P19" s="12">
        <f t="shared" si="1"/>
        <v>-59.499999999999993</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198.00000000000003</v>
      </c>
      <c r="E21" s="20">
        <f t="shared" si="2"/>
        <v>198.00000000000003</v>
      </c>
      <c r="F21" s="20">
        <f t="shared" si="2"/>
        <v>282</v>
      </c>
      <c r="G21" s="20">
        <f t="shared" si="2"/>
        <v>282</v>
      </c>
      <c r="H21" s="20">
        <f t="shared" si="2"/>
        <v>282</v>
      </c>
      <c r="I21" s="20">
        <f t="shared" si="2"/>
        <v>84</v>
      </c>
      <c r="J21" s="20">
        <f t="shared" si="2"/>
        <v>282</v>
      </c>
      <c r="K21" s="20">
        <f t="shared" si="2"/>
        <v>340</v>
      </c>
      <c r="L21" s="20">
        <f t="shared" si="2"/>
        <v>228</v>
      </c>
      <c r="M21" s="20">
        <f t="shared" si="2"/>
        <v>228</v>
      </c>
      <c r="N21" s="20">
        <f t="shared" si="2"/>
        <v>228</v>
      </c>
      <c r="O21" s="20">
        <f t="shared" si="2"/>
        <v>222</v>
      </c>
      <c r="P21" s="20">
        <f t="shared" si="2"/>
        <v>340</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-198.00000000000003</v>
      </c>
      <c r="E23" s="12">
        <f t="shared" si="3"/>
        <v>-198.00000000000003</v>
      </c>
      <c r="F23" s="12">
        <f t="shared" si="3"/>
        <v>-282</v>
      </c>
      <c r="G23" s="12">
        <f t="shared" si="3"/>
        <v>-282</v>
      </c>
      <c r="H23" s="12">
        <f t="shared" si="3"/>
        <v>-282</v>
      </c>
      <c r="I23" s="12">
        <f t="shared" si="3"/>
        <v>-84</v>
      </c>
      <c r="J23" s="12">
        <f t="shared" si="3"/>
        <v>-282</v>
      </c>
      <c r="K23" s="12">
        <f t="shared" si="3"/>
        <v>-340</v>
      </c>
      <c r="L23" s="12">
        <f t="shared" si="3"/>
        <v>-228</v>
      </c>
      <c r="M23" s="12">
        <f t="shared" si="3"/>
        <v>-228</v>
      </c>
      <c r="N23" s="12">
        <f t="shared" si="3"/>
        <v>-228</v>
      </c>
      <c r="O23" s="12">
        <f t="shared" si="3"/>
        <v>-222</v>
      </c>
      <c r="P23" s="12">
        <f t="shared" si="3"/>
        <v>-340</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 7599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 5511</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 9114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 1314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 3022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 4630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 4613</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 7613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P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P 2</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P 6</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P7</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P 8</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P 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 7599</v>
      </c>
      <c r="C57" s="8" t="str">
        <f t="shared" ref="C57:U57" si="13">D8</f>
        <v>B 5511</v>
      </c>
      <c r="D57" s="8" t="str">
        <f t="shared" si="13"/>
        <v>B 9114</v>
      </c>
      <c r="E57" s="8" t="str">
        <f t="shared" si="13"/>
        <v>B 1314</v>
      </c>
      <c r="F57" s="8" t="str">
        <f t="shared" si="13"/>
        <v>B 3022</v>
      </c>
      <c r="G57" s="8" t="str">
        <f t="shared" si="13"/>
        <v>B 4630</v>
      </c>
      <c r="H57" s="8" t="str">
        <f t="shared" si="13"/>
        <v>B 4613</v>
      </c>
      <c r="I57" s="8" t="str">
        <f t="shared" si="13"/>
        <v>B 7613</v>
      </c>
      <c r="J57" s="8" t="str">
        <f t="shared" si="13"/>
        <v>P 1</v>
      </c>
      <c r="K57" s="8" t="str">
        <f t="shared" si="13"/>
        <v>P 2</v>
      </c>
      <c r="L57" s="8" t="str">
        <f t="shared" si="13"/>
        <v>P 6</v>
      </c>
      <c r="M57" s="8" t="str">
        <f t="shared" si="13"/>
        <v>P7</v>
      </c>
      <c r="N57" s="8" t="str">
        <f t="shared" si="13"/>
        <v>P 8</v>
      </c>
      <c r="O57" s="8" t="str">
        <f t="shared" si="13"/>
        <v>P 9</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Arable</v>
      </c>
      <c r="D58" s="10" t="str">
        <f>E16&amp;" I "&amp;(VLOOKUP(E14,Table2456[],6,FALSE))</f>
        <v>Medium/Clay I Arable</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Arable</v>
      </c>
      <c r="I58" s="10" t="str">
        <f>J16&amp;" I "&amp;(VLOOKUP(J14,Table2456[],6,FALSE))</f>
        <v>Medium/Clay I Grass</v>
      </c>
      <c r="J58" s="10" t="str">
        <f>K16&amp;" I "&amp;(VLOOKUP(K14,Table2456[],6,FALSE))</f>
        <v>Medium/Clay I Arable</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Arable</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6.7</v>
      </c>
      <c r="D59" s="64">
        <f>VLOOKUP(E$14,Table2456[],5,FALSE)</f>
        <v>6.7</v>
      </c>
      <c r="E59" s="64">
        <f>VLOOKUP(F$14,Table2456[],5,FALSE)</f>
        <v>6.2</v>
      </c>
      <c r="F59" s="64">
        <f>VLOOKUP(G$14,Table2456[],5,FALSE)</f>
        <v>6.2</v>
      </c>
      <c r="G59" s="64">
        <f>VLOOKUP(H$14,Table2456[],5,FALSE)</f>
        <v>6.2</v>
      </c>
      <c r="H59" s="64">
        <f>VLOOKUP(I$14,Table2456[],5,FALSE)</f>
        <v>6.7</v>
      </c>
      <c r="I59" s="64">
        <f>VLOOKUP(J$14,Table2456[],5,FALSE)</f>
        <v>6.2</v>
      </c>
      <c r="J59" s="64">
        <f>VLOOKUP(K$14,Table2456[],5,FALSE)</f>
        <v>6.7</v>
      </c>
      <c r="K59" s="64">
        <f>VLOOKUP(L$14,Table2456[],5,FALSE)</f>
        <v>6.2</v>
      </c>
      <c r="L59" s="64">
        <f>VLOOKUP(M$14,Table2456[],5,FALSE)</f>
        <v>6.2</v>
      </c>
      <c r="M59" s="64">
        <f>VLOOKUP(N$14,Table2456[],5,FALSE)</f>
        <v>6.2</v>
      </c>
      <c r="N59" s="64">
        <f>VLOOKUP(O$14,Table2456[],5,FALSE)</f>
        <v>6.2</v>
      </c>
      <c r="O59" s="64">
        <f>VLOOKUP(P$14,Table2456[],5,FALSE)</f>
        <v>6.7</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6.3</v>
      </c>
      <c r="D60" s="64">
        <f t="shared" si="14"/>
        <v>6.4</v>
      </c>
      <c r="E60" s="64">
        <f t="shared" si="14"/>
        <v>6.7</v>
      </c>
      <c r="F60" s="64">
        <f t="shared" si="14"/>
        <v>6.7</v>
      </c>
      <c r="G60" s="64">
        <f t="shared" si="14"/>
        <v>6.4</v>
      </c>
      <c r="H60" s="64">
        <f t="shared" si="14"/>
        <v>6.3</v>
      </c>
      <c r="I60" s="64">
        <f t="shared" si="14"/>
        <v>6.7</v>
      </c>
      <c r="J60" s="64">
        <f t="shared" si="14"/>
        <v>6.3</v>
      </c>
      <c r="K60" s="64">
        <f t="shared" si="14"/>
        <v>5.7</v>
      </c>
      <c r="L60" s="64">
        <f t="shared" si="14"/>
        <v>6</v>
      </c>
      <c r="M60" s="64">
        <f t="shared" si="14"/>
        <v>6</v>
      </c>
      <c r="N60" s="64">
        <f t="shared" si="14"/>
        <v>5.8</v>
      </c>
      <c r="O60" s="64">
        <f t="shared" si="14"/>
        <v>5.8</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8</v>
      </c>
      <c r="E61" s="64">
        <f t="shared" si="15"/>
        <v>6</v>
      </c>
      <c r="F61" s="64">
        <f t="shared" si="15"/>
        <v>6</v>
      </c>
      <c r="G61" s="64">
        <f t="shared" si="15"/>
        <v>6</v>
      </c>
      <c r="H61" s="64">
        <f t="shared" si="15"/>
        <v>8</v>
      </c>
      <c r="I61" s="64">
        <f t="shared" si="15"/>
        <v>6</v>
      </c>
      <c r="J61" s="64">
        <f t="shared" si="15"/>
        <v>8</v>
      </c>
      <c r="K61" s="64">
        <f t="shared" si="15"/>
        <v>6</v>
      </c>
      <c r="L61" s="64">
        <f t="shared" si="15"/>
        <v>6</v>
      </c>
      <c r="M61" s="64">
        <f t="shared" si="15"/>
        <v>6</v>
      </c>
      <c r="N61" s="64">
        <f t="shared" si="15"/>
        <v>6</v>
      </c>
      <c r="O61" s="64">
        <f t="shared" si="15"/>
        <v>8</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3.2000000000000028</v>
      </c>
      <c r="D64" s="65">
        <f t="shared" si="17"/>
        <v>2.3999999999999986</v>
      </c>
      <c r="E64" s="65">
        <f t="shared" si="17"/>
        <v>-3</v>
      </c>
      <c r="F64" s="65">
        <f t="shared" si="17"/>
        <v>-3</v>
      </c>
      <c r="G64" s="65">
        <f t="shared" si="17"/>
        <v>-1.2000000000000011</v>
      </c>
      <c r="H64" s="65">
        <f t="shared" si="17"/>
        <v>3.2000000000000028</v>
      </c>
      <c r="I64" s="65">
        <f t="shared" si="17"/>
        <v>-3</v>
      </c>
      <c r="J64" s="65">
        <f t="shared" si="17"/>
        <v>3.2000000000000028</v>
      </c>
      <c r="K64" s="65">
        <f t="shared" si="17"/>
        <v>3</v>
      </c>
      <c r="L64" s="65">
        <f t="shared" si="17"/>
        <v>1.2000000000000011</v>
      </c>
      <c r="M64" s="65">
        <f t="shared" si="17"/>
        <v>1.2000000000000011</v>
      </c>
      <c r="N64" s="65">
        <f t="shared" si="17"/>
        <v>2.4000000000000021</v>
      </c>
      <c r="O64" s="65">
        <f t="shared" si="17"/>
        <v>7.2000000000000028</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-3.2000000000000028</v>
      </c>
      <c r="D65" s="65">
        <f t="shared" si="18"/>
        <v>-2.3999999999999986</v>
      </c>
      <c r="E65" s="65">
        <f t="shared" si="18"/>
        <v>3</v>
      </c>
      <c r="F65" s="65">
        <f t="shared" si="18"/>
        <v>3</v>
      </c>
      <c r="G65" s="65">
        <f t="shared" si="18"/>
        <v>1.2000000000000011</v>
      </c>
      <c r="H65" s="65">
        <f t="shared" si="18"/>
        <v>-3.2000000000000028</v>
      </c>
      <c r="I65" s="65">
        <f t="shared" si="18"/>
        <v>3</v>
      </c>
      <c r="J65" s="65">
        <f t="shared" si="18"/>
        <v>-3.2000000000000028</v>
      </c>
      <c r="K65" s="65">
        <f t="shared" si="18"/>
        <v>-3</v>
      </c>
      <c r="L65" s="65">
        <f t="shared" si="18"/>
        <v>-1.2000000000000011</v>
      </c>
      <c r="M65" s="65">
        <f t="shared" si="18"/>
        <v>-1.2000000000000011</v>
      </c>
      <c r="N65" s="65">
        <f t="shared" si="18"/>
        <v>-2.4000000000000021</v>
      </c>
      <c r="O65" s="65">
        <f t="shared" si="18"/>
        <v>-7.2000000000000028</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OVER</v>
      </c>
      <c r="F66" s="66" t="str">
        <f t="shared" si="19"/>
        <v>OVER</v>
      </c>
      <c r="G66" s="66" t="str">
        <f t="shared" si="19"/>
        <v>OVER</v>
      </c>
      <c r="H66" s="66" t="str">
        <f t="shared" si="19"/>
        <v>UNDER</v>
      </c>
      <c r="I66" s="66" t="str">
        <f t="shared" si="19"/>
        <v>OVER</v>
      </c>
      <c r="J66" s="66" t="str">
        <f t="shared" si="19"/>
        <v>UNDER</v>
      </c>
      <c r="K66" s="66" t="str">
        <f t="shared" si="19"/>
        <v>UNDER</v>
      </c>
      <c r="L66" s="66" t="str">
        <f t="shared" si="19"/>
        <v>UNDER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Volac'!B29</f>
        <v>Application Rate</v>
      </c>
      <c r="C1" s="29" t="str">
        <f>'Field data and Volac'!C29</f>
        <v>Nitrogen Addition</v>
      </c>
      <c r="D1" s="29" t="str">
        <f>'Field data and Volac'!D29</f>
        <v>Phosphate Addition</v>
      </c>
      <c r="E1" s="29" t="str">
        <f>'Field data and Volac'!E29</f>
        <v>Potash  Addition</v>
      </c>
      <c r="F1" s="29" t="str">
        <f>'Field data and Volac'!F29</f>
        <v>Mg Oxide Addition</v>
      </c>
      <c r="G1" s="29" t="str">
        <f>'Field data and Volac'!G29</f>
        <v>Copper Addition</v>
      </c>
      <c r="H1" s="29" t="str">
        <f>'Field data and Volac'!H29</f>
        <v>Zinc Addition</v>
      </c>
      <c r="I1" s="29" t="str">
        <f>'Field data and Volac'!I29</f>
        <v>Lead Addition</v>
      </c>
      <c r="J1" s="29" t="str">
        <f>'Field data and Volac'!J29</f>
        <v>Cadmium Addition</v>
      </c>
      <c r="K1" s="29" t="str">
        <f>'Field data and Volac'!K29</f>
        <v>Mercury Addition</v>
      </c>
      <c r="L1" s="29" t="str">
        <f>'Field data and Volac'!L29</f>
        <v>Nickel Addition</v>
      </c>
      <c r="M1" s="29" t="str">
        <f>'Field data and Volac'!M29</f>
        <v>Chromium Addition</v>
      </c>
      <c r="N1" s="29" t="str">
        <f>'Field data and Volac'!N29</f>
        <v>Aluminium Addition</v>
      </c>
      <c r="O1" s="29" t="str">
        <f>'Field data and Volac'!O29</f>
        <v>Iron Addition</v>
      </c>
      <c r="P1" s="29" t="str">
        <f>'Field data and Volac'!P29</f>
        <v xml:space="preserve">Sodium Addition                 </v>
      </c>
      <c r="Q1" s="29" t="str">
        <f>'Field data and Volac'!Q29</f>
        <v>SO3  Addition                             kg/ha</v>
      </c>
      <c r="R1" s="29" t="str">
        <f>'Field data and Volac'!R29</f>
        <v xml:space="preserve">Selenium Addition </v>
      </c>
      <c r="S1" s="29" t="str">
        <f>'Field data and Volac'!S29</f>
        <v xml:space="preserve">Arsenic  Addition  </v>
      </c>
      <c r="T1" s="29" t="str">
        <f>'Field data and Volac'!T29</f>
        <v xml:space="preserve">Molybdenum Addition  </v>
      </c>
      <c r="U1" s="29" t="str">
        <f>'Field data and Volac'!U29</f>
        <v xml:space="preserve">Fluoride Addition </v>
      </c>
    </row>
    <row r="2" spans="1:21" ht="25" x14ac:dyDescent="0.25">
      <c r="A2" s="174"/>
      <c r="B2" s="29" t="str">
        <f>'Field data and Volac'!B30</f>
        <v>tonnes/ha</v>
      </c>
      <c r="C2" s="29" t="str">
        <f>'Field data and Volac'!C30</f>
        <v>kg/ha</v>
      </c>
      <c r="D2" s="29" t="str">
        <f>'Field data and Volac'!D30</f>
        <v>P2O5 
kg/ha</v>
      </c>
      <c r="E2" s="29" t="str">
        <f>'Field data and Volac'!E30</f>
        <v>K2O 
kg/ha</v>
      </c>
      <c r="F2" s="29" t="str">
        <f>'Field data and Volac'!F30</f>
        <v>MgO 
kg/ha</v>
      </c>
      <c r="G2" s="29" t="str">
        <f>'Field data and Volac'!G30</f>
        <v>kg/ha</v>
      </c>
      <c r="H2" s="29" t="str">
        <f>'Field data and Volac'!H30</f>
        <v>kg/ha</v>
      </c>
      <c r="I2" s="29" t="str">
        <f>'Field data and Volac'!I30</f>
        <v>kg/ha</v>
      </c>
      <c r="J2" s="29" t="str">
        <f>'Field data and Volac'!J30</f>
        <v>kg/ha</v>
      </c>
      <c r="K2" s="29" t="str">
        <f>'Field data and Volac'!K30</f>
        <v>kg/ha</v>
      </c>
      <c r="L2" s="29" t="str">
        <f>'Field data and Volac'!L30</f>
        <v>kg/ha</v>
      </c>
      <c r="M2" s="29" t="str">
        <f>'Field data and Volac'!M30</f>
        <v>kg/ha</v>
      </c>
      <c r="N2" s="29" t="str">
        <f>'Field data and Volac'!N30</f>
        <v>kg/ha</v>
      </c>
      <c r="O2" s="29" t="str">
        <f>'Field data and Volac'!O30</f>
        <v>kg/ha</v>
      </c>
      <c r="P2" s="29" t="str">
        <f>'Field data and Volac'!P30</f>
        <v>kg/ha</v>
      </c>
      <c r="Q2" s="29" t="str">
        <f>'Field data and Volac'!Q30</f>
        <v>kg/ha</v>
      </c>
      <c r="R2" s="29" t="str">
        <f>'Field data and Volac'!R30</f>
        <v>kg/ha</v>
      </c>
      <c r="S2" s="29" t="str">
        <f>'Field data and Volac'!S30</f>
        <v>kg/ha</v>
      </c>
      <c r="T2" s="29" t="str">
        <f>'Field data and Volac'!T30</f>
        <v>kg/ha</v>
      </c>
      <c r="U2" s="29" t="str">
        <f>'Field data and Volac'!U30</f>
        <v>kg/ha</v>
      </c>
    </row>
    <row r="3" spans="1:21" x14ac:dyDescent="0.25">
      <c r="A3" s="27">
        <v>1</v>
      </c>
      <c r="B3" s="24">
        <f>'Field data and Volac'!B31</f>
        <v>65</v>
      </c>
      <c r="C3" s="24">
        <f>'Field data and Volac'!C31</f>
        <v>19.5</v>
      </c>
      <c r="D3" s="24">
        <f>'Field data and Volac'!D31</f>
        <v>26.357954999999997</v>
      </c>
      <c r="E3" s="24">
        <f>'Field data and Volac'!E31</f>
        <v>21.382725000000004</v>
      </c>
      <c r="F3" s="24">
        <f>'Field data and Volac'!F31</f>
        <v>4.20303</v>
      </c>
      <c r="G3" s="24">
        <f>'Field data and Volac'!G31</f>
        <v>1.3000000000000001E-2</v>
      </c>
      <c r="H3" s="24">
        <f>'Field data and Volac'!H31</f>
        <v>3.2500000000000001E-2</v>
      </c>
      <c r="I3" s="24">
        <f>'Field data and Volac'!I31</f>
        <v>3.2500000000000001E-2</v>
      </c>
      <c r="J3" s="24">
        <f>'Field data and Volac'!J31</f>
        <v>6.5000000000000008E-4</v>
      </c>
      <c r="K3" s="24">
        <f>'Field data and Volac'!K31</f>
        <v>3.2500000000000003E-3</v>
      </c>
      <c r="L3" s="24">
        <f>'Field data and Volac'!L31</f>
        <v>1.3000000000000001E-2</v>
      </c>
      <c r="M3" s="24">
        <f>'Field data and Volac'!M31</f>
        <v>1.3000000000000001E-2</v>
      </c>
      <c r="N3" s="24">
        <f>'Field data and Volac'!N31</f>
        <v>0</v>
      </c>
      <c r="O3" s="24">
        <f>'Field data and Volac'!O31</f>
        <v>0</v>
      </c>
      <c r="P3" s="24">
        <f>'Field data and Volac'!P31</f>
        <v>13.844999999999999</v>
      </c>
      <c r="Q3" s="24">
        <f>'Field data and Volac'!Q31</f>
        <v>7.085</v>
      </c>
      <c r="R3" s="24">
        <f>'Field data and Volac'!R31</f>
        <v>0</v>
      </c>
      <c r="S3" s="24">
        <f>'Field data and Volac'!S31</f>
        <v>0</v>
      </c>
      <c r="T3" s="24">
        <f>'Field data and Volac'!T31</f>
        <v>0</v>
      </c>
      <c r="U3" s="24">
        <f>'Field data and Volac'!U31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65</v>
      </c>
      <c r="C13" s="68">
        <f t="shared" ref="C13:U13" si="0">SUM(C3:C12)</f>
        <v>19.5</v>
      </c>
      <c r="D13" s="68">
        <f t="shared" si="0"/>
        <v>26.357954999999997</v>
      </c>
      <c r="E13" s="68">
        <f t="shared" si="0"/>
        <v>21.382725000000004</v>
      </c>
      <c r="F13" s="68">
        <f t="shared" si="0"/>
        <v>4.20303</v>
      </c>
      <c r="G13" s="68">
        <f t="shared" si="0"/>
        <v>1.3000000000000001E-2</v>
      </c>
      <c r="H13" s="68">
        <f t="shared" si="0"/>
        <v>3.2500000000000001E-2</v>
      </c>
      <c r="I13" s="68">
        <f t="shared" si="0"/>
        <v>3.2500000000000001E-2</v>
      </c>
      <c r="J13" s="68">
        <f t="shared" si="0"/>
        <v>6.5000000000000008E-4</v>
      </c>
      <c r="K13" s="68">
        <f t="shared" si="0"/>
        <v>3.2500000000000003E-3</v>
      </c>
      <c r="L13" s="68">
        <f t="shared" si="0"/>
        <v>1.3000000000000001E-2</v>
      </c>
      <c r="M13" s="68">
        <f t="shared" si="0"/>
        <v>1.3000000000000001E-2</v>
      </c>
      <c r="N13" s="68">
        <f t="shared" si="0"/>
        <v>0</v>
      </c>
      <c r="O13" s="68">
        <f t="shared" si="0"/>
        <v>0</v>
      </c>
      <c r="P13" s="68">
        <f t="shared" si="0"/>
        <v>13.844999999999999</v>
      </c>
      <c r="Q13" s="68">
        <f t="shared" si="0"/>
        <v>7.085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Volac'!B29</f>
        <v>Application Rate</v>
      </c>
      <c r="D1" s="26" t="str">
        <f>'Field data and Volac'!C29</f>
        <v>Nitrogen Addition</v>
      </c>
      <c r="E1" s="26" t="str">
        <f>'Field data and Volac'!D29</f>
        <v>Phosphate Addition</v>
      </c>
      <c r="F1" s="26" t="str">
        <f>'Field data and Volac'!E29</f>
        <v>Potash  Addition</v>
      </c>
      <c r="G1" s="26" t="str">
        <f>'Field data and Volac'!F29</f>
        <v>Mg Oxide Addition</v>
      </c>
      <c r="H1" s="26" t="str">
        <f>'Field data and Volac'!G29</f>
        <v>Copper Addition</v>
      </c>
      <c r="I1" s="26" t="str">
        <f>'Field data and Volac'!H29</f>
        <v>Zinc Addition</v>
      </c>
      <c r="J1" s="26" t="str">
        <f>'Field data and Volac'!I29</f>
        <v>Lead Addition</v>
      </c>
      <c r="K1" s="26" t="str">
        <f>'Field data and Volac'!J29</f>
        <v>Cadmium Addition</v>
      </c>
      <c r="L1" s="26" t="str">
        <f>'Field data and Volac'!K29</f>
        <v>Mercury Addition</v>
      </c>
      <c r="M1" s="26" t="str">
        <f>'Field data and Volac'!L29</f>
        <v>Nickel Addition</v>
      </c>
      <c r="N1" s="26" t="str">
        <f>'Field data and Volac'!M29</f>
        <v>Chromium Addition</v>
      </c>
      <c r="O1" s="26" t="str">
        <f>'Field data and Volac'!N29</f>
        <v>Aluminium Addition</v>
      </c>
      <c r="P1" s="26" t="str">
        <f>'Field data and Volac'!O29</f>
        <v>Iron Addition</v>
      </c>
      <c r="Q1" s="26" t="str">
        <f>'Field data and Volac'!P29</f>
        <v xml:space="preserve">Sodium Addition                 </v>
      </c>
      <c r="R1" s="26" t="str">
        <f>'Field data and Volac'!Q29</f>
        <v>SO3  Addition                             kg/ha</v>
      </c>
      <c r="S1" s="26" t="str">
        <f>'Field data and Volac'!R29</f>
        <v xml:space="preserve">Selenium Addition </v>
      </c>
      <c r="T1" s="26" t="str">
        <f>'Field data and Volac'!S29</f>
        <v xml:space="preserve">Arsenic  Addition  </v>
      </c>
      <c r="U1" s="26" t="str">
        <f>'Field data and Volac'!T29</f>
        <v xml:space="preserve">Molybdenum Addition  </v>
      </c>
      <c r="V1" s="26" t="str">
        <f>'Field data and Volac'!U29</f>
        <v xml:space="preserve">Fluoride Addition </v>
      </c>
    </row>
    <row r="2" spans="1:22" s="70" customFormat="1" ht="25" x14ac:dyDescent="0.35">
      <c r="A2" s="175"/>
      <c r="B2" s="23" t="s">
        <v>46</v>
      </c>
      <c r="C2" s="26" t="str">
        <f>'Field data and Volac'!B30</f>
        <v>tonnes/ha</v>
      </c>
      <c r="D2" s="26" t="str">
        <f>'Field data and Volac'!C30</f>
        <v>kg/ha</v>
      </c>
      <c r="E2" s="26" t="str">
        <f>'Field data and Volac'!D30</f>
        <v>P2O5 
kg/ha</v>
      </c>
      <c r="F2" s="26" t="str">
        <f>'Field data and Volac'!E30</f>
        <v>K2O 
kg/ha</v>
      </c>
      <c r="G2" s="26" t="str">
        <f>'Field data and Volac'!F30</f>
        <v>MgO 
kg/ha</v>
      </c>
      <c r="H2" s="26" t="str">
        <f>'Field data and Volac'!G30</f>
        <v>kg/ha</v>
      </c>
      <c r="I2" s="26" t="str">
        <f>'Field data and Volac'!H30</f>
        <v>kg/ha</v>
      </c>
      <c r="J2" s="26" t="str">
        <f>'Field data and Volac'!I30</f>
        <v>kg/ha</v>
      </c>
      <c r="K2" s="26" t="str">
        <f>'Field data and Volac'!J30</f>
        <v>kg/ha</v>
      </c>
      <c r="L2" s="26" t="str">
        <f>'Field data and Volac'!K30</f>
        <v>kg/ha</v>
      </c>
      <c r="M2" s="26" t="str">
        <f>'Field data and Volac'!L30</f>
        <v>kg/ha</v>
      </c>
      <c r="N2" s="26" t="str">
        <f>'Field data and Volac'!M30</f>
        <v>kg/ha</v>
      </c>
      <c r="O2" s="26" t="str">
        <f>'Field data and Volac'!N30</f>
        <v>kg/ha</v>
      </c>
      <c r="P2" s="26" t="str">
        <f>'Field data and Volac'!O30</f>
        <v>kg/ha</v>
      </c>
      <c r="Q2" s="26" t="str">
        <f>'Field data and Volac'!P30</f>
        <v>kg/ha</v>
      </c>
      <c r="R2" s="26" t="str">
        <f>'Field data and Volac'!Q30</f>
        <v>kg/ha</v>
      </c>
      <c r="S2" s="26" t="str">
        <f>'Field data and Volac'!R30</f>
        <v>kg/ha</v>
      </c>
      <c r="T2" s="26" t="str">
        <f>'Field data and Volac'!S30</f>
        <v>kg/ha</v>
      </c>
      <c r="U2" s="26" t="str">
        <f>'Field data and Volac'!T30</f>
        <v>kg/ha</v>
      </c>
      <c r="V2" s="26" t="str">
        <f>'Field data and Volac'!U30</f>
        <v>kg/ha</v>
      </c>
    </row>
    <row r="3" spans="1:22" x14ac:dyDescent="0.25">
      <c r="A3" s="27">
        <v>1</v>
      </c>
      <c r="B3" s="78"/>
      <c r="C3" s="24">
        <f>'Field data and Volac'!B31</f>
        <v>65</v>
      </c>
      <c r="D3" s="24">
        <f>'Field data and Volac'!C31</f>
        <v>19.5</v>
      </c>
      <c r="E3" s="24">
        <f>'Field data and Volac'!D31</f>
        <v>26.357954999999997</v>
      </c>
      <c r="F3" s="24">
        <f>'Field data and Volac'!E31</f>
        <v>21.382725000000004</v>
      </c>
      <c r="G3" s="24">
        <f>'Field data and Volac'!F31</f>
        <v>4.20303</v>
      </c>
      <c r="H3" s="24">
        <f>'Field data and Volac'!G31</f>
        <v>1.3000000000000001E-2</v>
      </c>
      <c r="I3" s="24">
        <f>'Field data and Volac'!H31</f>
        <v>3.2500000000000001E-2</v>
      </c>
      <c r="J3" s="24">
        <f>'Field data and Volac'!I31</f>
        <v>3.2500000000000001E-2</v>
      </c>
      <c r="K3" s="24">
        <f>'Field data and Volac'!J31</f>
        <v>6.5000000000000008E-4</v>
      </c>
      <c r="L3" s="24">
        <f>'Field data and Volac'!K31</f>
        <v>3.2500000000000003E-3</v>
      </c>
      <c r="M3" s="24">
        <f>'Field data and Volac'!L31</f>
        <v>1.3000000000000001E-2</v>
      </c>
      <c r="N3" s="24">
        <f>'Field data and Volac'!M31</f>
        <v>1.3000000000000001E-2</v>
      </c>
      <c r="O3" s="24">
        <f>'Field data and Volac'!N31</f>
        <v>0</v>
      </c>
      <c r="P3" s="24">
        <f>'Field data and Volac'!O31</f>
        <v>0</v>
      </c>
      <c r="Q3" s="24">
        <f>'Field data and Volac'!P31</f>
        <v>13.844999999999999</v>
      </c>
      <c r="R3" s="24">
        <f>'Field data and Volac'!Q31</f>
        <v>7.085</v>
      </c>
      <c r="S3" s="24">
        <f>'Field data and Volac'!R31</f>
        <v>0</v>
      </c>
      <c r="T3" s="24">
        <f>'Field data and Volac'!S31</f>
        <v>0</v>
      </c>
      <c r="U3" s="24">
        <f>'Field data and Volac'!T31</f>
        <v>0</v>
      </c>
      <c r="V3" s="24">
        <f>'Field data and Volac'!U31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Volac'!B43</f>
        <v>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Volac'!B44</f>
        <v>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65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REGU-52773391-699</_dlc_DocId>
    <_dlc_DocIdUrl xmlns="9be56660-2c31-41ef-bc00-23e72f632f2a">
      <Url>https://cyfoethnaturiolcymru.sharepoint.com/teams/Regulatory/Permitting/_layouts/15/DocIdRedir.aspx?ID=REGU-52773391-699</Url>
      <Description>REGU-52773391-699</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2026-08-25T23:00:00+00:00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documentManagement/types"/>
    <ds:schemaRef ds:uri="9be56660-2c31-41ef-bc00-23e72f632f2a"/>
    <ds:schemaRef ds:uri="http://schemas.microsoft.com/office/2006/metadata/properties"/>
    <ds:schemaRef ds:uri="http://purl.org/dc/dcmitype/"/>
    <ds:schemaRef ds:uri="http://purl.org/dc/terms/"/>
  </ds:schemaRefs>
</ds:datastoreItem>
</file>

<file path=customXml/itemProps4.xml><?xml version="1.0" encoding="utf-8"?>
<ds:datastoreItem xmlns:ds="http://schemas.openxmlformats.org/officeDocument/2006/customXml" ds:itemID="{CBC8D68D-0FBD-4788-997C-B25F82721E54}"/>
</file>

<file path=customXml/itemProps5.xml><?xml version="1.0" encoding="utf-8"?>
<ds:datastoreItem xmlns:ds="http://schemas.openxmlformats.org/officeDocument/2006/customXml" ds:itemID="{D340AB73-DA46-4204-B421-8C2E32ACB46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Volac</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2026-08-26T14:14:01Z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f8a9a3ac-a377-410b-9672-e1a8b9210184</vt:lpwstr>
  </property>
</Properties>
</file>