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ompliance\E.A\Parrys - Warren Farm\CAR\CAR Response 2026\"/>
    </mc:Choice>
  </mc:AlternateContent>
  <xr:revisionPtr revIDLastSave="0" documentId="13_ncr:1_{758800E5-F1A6-4445-AF58-4D9C921BE7A5}" xr6:coauthVersionLast="47" xr6:coauthVersionMax="47" xr10:uidLastSave="{00000000-0000-0000-0000-000000000000}"/>
  <bookViews>
    <workbookView xWindow="-108" yWindow="-108" windowWidth="23256" windowHeight="12456" xr2:uid="{9FC8EE04-7D02-40FD-A8DD-D5ABE634AE3F}"/>
  </bookViews>
  <sheets>
    <sheet name="Data Sheet SP2" sheetId="2" r:id="rId1"/>
    <sheet name="Data Sheet DD" sheetId="3" r:id="rId2"/>
    <sheet name="TM Mix" sheetId="4" r:id="rId3"/>
    <sheet name="Digestate &amp; Fibre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5" i="4" l="1"/>
  <c r="G23" i="4"/>
  <c r="G22" i="4"/>
  <c r="G21" i="4"/>
  <c r="G20" i="4"/>
  <c r="G19" i="4"/>
  <c r="G18" i="4"/>
  <c r="G17" i="4"/>
  <c r="G16" i="4"/>
  <c r="G15" i="4"/>
  <c r="G14" i="4"/>
  <c r="G13" i="4"/>
  <c r="G11" i="4"/>
  <c r="G10" i="4"/>
  <c r="G7" i="4"/>
  <c r="G4" i="4"/>
  <c r="G46" i="3"/>
  <c r="G45" i="3"/>
  <c r="G44" i="3"/>
  <c r="G43" i="3"/>
  <c r="F42" i="3"/>
  <c r="E42" i="3"/>
  <c r="G41" i="3"/>
  <c r="F40" i="3"/>
  <c r="E40" i="3"/>
  <c r="F39" i="3"/>
  <c r="E39" i="3"/>
  <c r="G39" i="3" s="1"/>
  <c r="F38" i="3"/>
  <c r="E38" i="3"/>
  <c r="G38" i="3" s="1"/>
  <c r="G37" i="3"/>
  <c r="G36" i="3"/>
  <c r="G35" i="3"/>
  <c r="F34" i="3"/>
  <c r="E34" i="3"/>
  <c r="F33" i="3"/>
  <c r="E33" i="3"/>
  <c r="G33" i="3" s="1"/>
  <c r="F32" i="3"/>
  <c r="E32" i="3"/>
  <c r="G32" i="3" s="1"/>
  <c r="F31" i="3"/>
  <c r="E31" i="3"/>
  <c r="F30" i="3"/>
  <c r="E30" i="3"/>
  <c r="G30" i="3" s="1"/>
  <c r="G29" i="3"/>
  <c r="F28" i="3"/>
  <c r="E28" i="3"/>
  <c r="F27" i="3"/>
  <c r="E27" i="3"/>
  <c r="G26" i="3"/>
  <c r="G25" i="3"/>
  <c r="G24" i="3"/>
  <c r="G23" i="3"/>
  <c r="G22" i="3"/>
  <c r="F21" i="3"/>
  <c r="E21" i="3"/>
  <c r="G21" i="3" s="1"/>
  <c r="G20" i="3"/>
  <c r="F19" i="3"/>
  <c r="E19" i="3"/>
  <c r="G18" i="3"/>
  <c r="G17" i="3"/>
  <c r="F16" i="3"/>
  <c r="E16" i="3"/>
  <c r="G16" i="3" s="1"/>
  <c r="G15" i="3"/>
  <c r="F14" i="3"/>
  <c r="E14" i="3"/>
  <c r="G14" i="3" s="1"/>
  <c r="F13" i="3"/>
  <c r="E13" i="3"/>
  <c r="G12" i="3"/>
  <c r="G11" i="3"/>
  <c r="F46" i="2"/>
  <c r="E46" i="2"/>
  <c r="G46" i="2" s="1"/>
  <c r="G45" i="2"/>
  <c r="F44" i="2"/>
  <c r="E44" i="2"/>
  <c r="G44" i="2" s="1"/>
  <c r="G43" i="2"/>
  <c r="G42" i="2"/>
  <c r="F41" i="2"/>
  <c r="E41" i="2"/>
  <c r="G41" i="2" s="1"/>
  <c r="F40" i="2"/>
  <c r="E40" i="2"/>
  <c r="G40" i="2" s="1"/>
  <c r="G39" i="2"/>
  <c r="G38" i="2"/>
  <c r="F36" i="2"/>
  <c r="E36" i="2"/>
  <c r="G36" i="2" s="1"/>
  <c r="F35" i="2"/>
  <c r="E35" i="2"/>
  <c r="G35" i="2" s="1"/>
  <c r="F34" i="2"/>
  <c r="E34" i="2"/>
  <c r="G34" i="2" s="1"/>
  <c r="G33" i="2"/>
  <c r="F32" i="2"/>
  <c r="E32" i="2"/>
  <c r="F31" i="2"/>
  <c r="E31" i="2"/>
  <c r="G30" i="2"/>
  <c r="F29" i="2"/>
  <c r="E29" i="2"/>
  <c r="G29" i="2" s="1"/>
  <c r="G28" i="2"/>
  <c r="G27" i="2"/>
  <c r="F27" i="2"/>
  <c r="E27" i="2"/>
  <c r="G26" i="2"/>
  <c r="G25" i="2"/>
  <c r="G24" i="2"/>
  <c r="G23" i="2"/>
  <c r="G22" i="2"/>
  <c r="F21" i="2"/>
  <c r="E21" i="2"/>
  <c r="G21" i="2" s="1"/>
  <c r="F20" i="2"/>
  <c r="E20" i="2"/>
  <c r="G19" i="2"/>
  <c r="G18" i="2"/>
  <c r="F17" i="2"/>
  <c r="G17" i="2" s="1"/>
  <c r="E17" i="2"/>
  <c r="G16" i="2"/>
  <c r="F15" i="2"/>
  <c r="E15" i="2"/>
  <c r="G15" i="2" s="1"/>
  <c r="I14" i="2"/>
  <c r="F14" i="2"/>
  <c r="E14" i="2"/>
  <c r="G14" i="2" s="1"/>
  <c r="F13" i="2"/>
  <c r="E13" i="2"/>
  <c r="G13" i="2" s="1"/>
  <c r="F12" i="2"/>
  <c r="E12" i="2"/>
  <c r="G12" i="2" s="1"/>
  <c r="F11" i="2"/>
  <c r="E11" i="2"/>
  <c r="G11" i="2" s="1"/>
  <c r="G13" i="3" l="1"/>
  <c r="G19" i="3"/>
  <c r="G28" i="3"/>
  <c r="G34" i="3"/>
  <c r="G42" i="3"/>
  <c r="G31" i="3"/>
  <c r="G27" i="3"/>
  <c r="G40" i="3"/>
  <c r="G32" i="2"/>
  <c r="G20" i="2"/>
  <c r="G31" i="2"/>
</calcChain>
</file>

<file path=xl/sharedStrings.xml><?xml version="1.0" encoding="utf-8"?>
<sst xmlns="http://schemas.openxmlformats.org/spreadsheetml/2006/main" count="615" uniqueCount="63">
  <si>
    <t>Colour Coding Key</t>
  </si>
  <si>
    <t>Marches Biogas recommended limits</t>
  </si>
  <si>
    <t>Action advices to return to recommended limits</t>
  </si>
  <si>
    <t>Action must be taken</t>
  </si>
  <si>
    <t xml:space="preserve">A.D </t>
  </si>
  <si>
    <t xml:space="preserve">Awaiting Data </t>
  </si>
  <si>
    <t>Sample Point: 2</t>
  </si>
  <si>
    <t>Organic Content</t>
  </si>
  <si>
    <t>Buffering</t>
  </si>
  <si>
    <t>Volatile Fatty Acids</t>
  </si>
  <si>
    <t>Nutrients</t>
  </si>
  <si>
    <t>Trace Elements</t>
  </si>
  <si>
    <t>Sample 
Date</t>
  </si>
  <si>
    <t>DM</t>
  </si>
  <si>
    <t>ODM</t>
  </si>
  <si>
    <t>pH</t>
  </si>
  <si>
    <t>FOS</t>
  </si>
  <si>
    <t>TAC</t>
  </si>
  <si>
    <t>Ratio</t>
  </si>
  <si>
    <t>Total 
VFAs</t>
  </si>
  <si>
    <t>P/A 
ratio</t>
  </si>
  <si>
    <t>Acetic 
Acid</t>
  </si>
  <si>
    <t>Propionic
Acid</t>
  </si>
  <si>
    <t>n-Caproic
Acid</t>
  </si>
  <si>
    <t>Iso-Caproic
Acid</t>
  </si>
  <si>
    <t>Butyric
Acids</t>
  </si>
  <si>
    <t>n-Valeric
Acid</t>
  </si>
  <si>
    <t>Iso-Valeric
Acid</t>
  </si>
  <si>
    <r>
      <t>NH</t>
    </r>
    <r>
      <rPr>
        <vertAlign val="subscript"/>
        <sz val="11"/>
        <color theme="1"/>
        <rFont val="Aptos Narrow"/>
        <family val="2"/>
        <scheme val="minor"/>
      </rPr>
      <t>4</t>
    </r>
    <r>
      <rPr>
        <sz val="11"/>
        <color theme="1"/>
        <rFont val="Aptos Narrow"/>
        <family val="2"/>
        <scheme val="minor"/>
      </rPr>
      <t xml:space="preserve"> - N</t>
    </r>
  </si>
  <si>
    <t>Total N.</t>
  </si>
  <si>
    <t>Total Se.</t>
  </si>
  <si>
    <t>Total Ni.</t>
  </si>
  <si>
    <t>Total Co.</t>
  </si>
  <si>
    <t>%</t>
  </si>
  <si>
    <t>mg/l</t>
  </si>
  <si>
    <t>mg/kg</t>
  </si>
  <si>
    <t>%w/w</t>
  </si>
  <si>
    <t>&lt;20</t>
  </si>
  <si>
    <t>&lt;25</t>
  </si>
  <si>
    <t>&lt;50</t>
  </si>
  <si>
    <t>&lt;12.5</t>
  </si>
  <si>
    <t>INSERT ROW ABOVE</t>
  </si>
  <si>
    <t>Sample Point: Discharge</t>
  </si>
  <si>
    <t xml:space="preserve">   </t>
  </si>
  <si>
    <t xml:space="preserve"> </t>
  </si>
  <si>
    <t xml:space="preserve">Date </t>
  </si>
  <si>
    <t xml:space="preserve">Sample </t>
  </si>
  <si>
    <t>Total C</t>
  </si>
  <si>
    <t>Total N</t>
  </si>
  <si>
    <t xml:space="preserve">C:N Ratio </t>
  </si>
  <si>
    <t xml:space="preserve">dd/mm/yy </t>
  </si>
  <si>
    <t>:</t>
  </si>
  <si>
    <t>Trioliet Mix</t>
  </si>
  <si>
    <t>Date</t>
  </si>
  <si>
    <t>Sample</t>
  </si>
  <si>
    <t>Total P</t>
  </si>
  <si>
    <t>Total K</t>
  </si>
  <si>
    <t>dd/mm/yy</t>
  </si>
  <si>
    <t>Wet Separated Fibre</t>
  </si>
  <si>
    <t xml:space="preserve">Dried Separated Fibre </t>
  </si>
  <si>
    <t>ST</t>
  </si>
  <si>
    <t>BT</t>
  </si>
  <si>
    <t>A.D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</si>
</sst>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vertAlign val="subscript"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1"/>
      <name val="Wingdings"/>
      <charset val="2"/>
    </font>
    <font>
      <b/>
      <u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1" fontId="0" fillId="0" borderId="0" xfId="0" applyNumberFormat="1" applyAlignment="1">
      <alignment horizontal="right"/>
    </xf>
    <xf numFmtId="2" fontId="0" fillId="0" borderId="0" xfId="0" applyNumberFormat="1"/>
    <xf numFmtId="0" fontId="0" fillId="0" borderId="0" xfId="0" applyAlignment="1">
      <alignment horizontal="right"/>
    </xf>
    <xf numFmtId="2" fontId="0" fillId="0" borderId="0" xfId="0" applyNumberFormat="1" applyAlignment="1">
      <alignment horizontal="right"/>
    </xf>
    <xf numFmtId="0" fontId="0" fillId="2" borderId="1" xfId="0" applyFill="1" applyBorder="1"/>
    <xf numFmtId="0" fontId="5" fillId="0" borderId="1" xfId="0" applyFont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7" borderId="1" xfId="0" applyFill="1" applyBorder="1"/>
    <xf numFmtId="0" fontId="0" fillId="0" borderId="1" xfId="0" applyBorder="1" applyAlignment="1">
      <alignment horizontal="left" wrapText="1"/>
    </xf>
    <xf numFmtId="164" fontId="0" fillId="0" borderId="1" xfId="0" applyNumberFormat="1" applyBorder="1"/>
    <xf numFmtId="2" fontId="0" fillId="0" borderId="1" xfId="0" applyNumberFormat="1" applyBorder="1"/>
    <xf numFmtId="1" fontId="0" fillId="0" borderId="1" xfId="0" applyNumberFormat="1" applyBorder="1" applyAlignment="1">
      <alignment wrapText="1"/>
    </xf>
    <xf numFmtId="0" fontId="0" fillId="0" borderId="1" xfId="0" applyBorder="1"/>
    <xf numFmtId="1" fontId="0" fillId="0" borderId="1" xfId="0" applyNumberFormat="1" applyBorder="1" applyAlignment="1">
      <alignment horizontal="right" wrapText="1"/>
    </xf>
    <xf numFmtId="2" fontId="0" fillId="0" borderId="1" xfId="0" applyNumberFormat="1" applyBorder="1" applyAlignment="1">
      <alignment wrapText="1"/>
    </xf>
    <xf numFmtId="0" fontId="0" fillId="0" borderId="1" xfId="0" applyBorder="1" applyAlignment="1">
      <alignment horizontal="right" wrapText="1"/>
    </xf>
    <xf numFmtId="2" fontId="0" fillId="0" borderId="1" xfId="0" applyNumberFormat="1" applyBorder="1" applyAlignment="1">
      <alignment horizontal="right" wrapText="1"/>
    </xf>
    <xf numFmtId="0" fontId="0" fillId="11" borderId="1" xfId="0" applyFill="1" applyBorder="1"/>
    <xf numFmtId="164" fontId="0" fillId="11" borderId="1" xfId="0" applyNumberFormat="1" applyFill="1" applyBorder="1"/>
    <xf numFmtId="2" fontId="0" fillId="11" borderId="1" xfId="0" applyNumberFormat="1" applyFill="1" applyBorder="1"/>
    <xf numFmtId="1" fontId="0" fillId="11" borderId="1" xfId="0" applyNumberFormat="1" applyFill="1" applyBorder="1"/>
    <xf numFmtId="1" fontId="0" fillId="11" borderId="1" xfId="0" applyNumberFormat="1" applyFill="1" applyBorder="1" applyAlignment="1">
      <alignment horizontal="right"/>
    </xf>
    <xf numFmtId="0" fontId="0" fillId="11" borderId="1" xfId="0" applyFill="1" applyBorder="1" applyAlignment="1">
      <alignment horizontal="right"/>
    </xf>
    <xf numFmtId="2" fontId="0" fillId="11" borderId="1" xfId="0" applyNumberFormat="1" applyFill="1" applyBorder="1" applyAlignment="1">
      <alignment horizontal="right"/>
    </xf>
    <xf numFmtId="2" fontId="0" fillId="0" borderId="5" xfId="0" applyNumberFormat="1" applyBorder="1"/>
    <xf numFmtId="1" fontId="0" fillId="0" borderId="5" xfId="0" applyNumberFormat="1" applyBorder="1"/>
    <xf numFmtId="1" fontId="0" fillId="0" borderId="1" xfId="0" applyNumberFormat="1" applyBorder="1" applyAlignment="1">
      <alignment horizontal="right"/>
    </xf>
    <xf numFmtId="2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1" fontId="0" fillId="0" borderId="1" xfId="0" applyNumberFormat="1" applyBorder="1"/>
    <xf numFmtId="2" fontId="8" fillId="0" borderId="5" xfId="0" applyNumberFormat="1" applyFont="1" applyBorder="1" applyAlignment="1">
      <alignment horizontal="right"/>
    </xf>
    <xf numFmtId="14" fontId="0" fillId="0" borderId="1" xfId="0" applyNumberFormat="1" applyBorder="1"/>
    <xf numFmtId="2" fontId="3" fillId="0" borderId="1" xfId="0" applyNumberFormat="1" applyFont="1" applyBorder="1" applyAlignment="1">
      <alignment horizontal="center"/>
    </xf>
    <xf numFmtId="2" fontId="8" fillId="0" borderId="1" xfId="0" applyNumberFormat="1" applyFont="1" applyBorder="1"/>
    <xf numFmtId="0" fontId="0" fillId="0" borderId="5" xfId="0" applyBorder="1" applyAlignment="1">
      <alignment horizontal="right"/>
    </xf>
    <xf numFmtId="2" fontId="0" fillId="2" borderId="1" xfId="0" applyNumberFormat="1" applyFill="1" applyBorder="1"/>
    <xf numFmtId="2" fontId="8" fillId="2" borderId="1" xfId="0" applyNumberFormat="1" applyFont="1" applyFill="1" applyBorder="1"/>
    <xf numFmtId="2" fontId="8" fillId="3" borderId="1" xfId="0" applyNumberFormat="1" applyFont="1" applyFill="1" applyBorder="1"/>
    <xf numFmtId="2" fontId="0" fillId="3" borderId="1" xfId="0" applyNumberFormat="1" applyFill="1" applyBorder="1"/>
    <xf numFmtId="164" fontId="0" fillId="2" borderId="1" xfId="0" applyNumberFormat="1" applyFill="1" applyBorder="1"/>
    <xf numFmtId="1" fontId="0" fillId="2" borderId="1" xfId="0" applyNumberFormat="1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9" fillId="0" borderId="0" xfId="0" applyFont="1" applyAlignment="1">
      <alignment horizontal="center"/>
    </xf>
    <xf numFmtId="164" fontId="0" fillId="3" borderId="1" xfId="0" applyNumberFormat="1" applyFill="1" applyBorder="1"/>
    <xf numFmtId="164" fontId="0" fillId="2" borderId="1" xfId="0" applyNumberFormat="1" applyFill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0" fontId="10" fillId="0" borderId="0" xfId="0" applyFont="1"/>
    <xf numFmtId="164" fontId="0" fillId="0" borderId="0" xfId="0" applyNumberFormat="1"/>
    <xf numFmtId="1" fontId="0" fillId="0" borderId="0" xfId="0" applyNumberFormat="1"/>
    <xf numFmtId="0" fontId="9" fillId="0" borderId="0" xfId="0" applyFont="1"/>
    <xf numFmtId="164" fontId="0" fillId="4" borderId="1" xfId="0" applyNumberFormat="1" applyFill="1" applyBorder="1"/>
    <xf numFmtId="164" fontId="0" fillId="5" borderId="1" xfId="0" applyNumberFormat="1" applyFill="1" applyBorder="1"/>
    <xf numFmtId="164" fontId="5" fillId="0" borderId="1" xfId="0" applyNumberFormat="1" applyFon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5" xfId="0" applyBorder="1"/>
    <xf numFmtId="0" fontId="3" fillId="0" borderId="1" xfId="0" applyFont="1" applyBorder="1" applyAlignment="1">
      <alignment horizontal="center"/>
    </xf>
    <xf numFmtId="0" fontId="1" fillId="0" borderId="0" xfId="0" applyFont="1"/>
    <xf numFmtId="0" fontId="11" fillId="12" borderId="1" xfId="0" applyFont="1" applyFill="1" applyBorder="1" applyAlignment="1">
      <alignment horizontal="center"/>
    </xf>
    <xf numFmtId="2" fontId="11" fillId="12" borderId="1" xfId="0" applyNumberFormat="1" applyFont="1" applyFill="1" applyBorder="1" applyAlignment="1">
      <alignment horizontal="center"/>
    </xf>
    <xf numFmtId="164" fontId="11" fillId="12" borderId="1" xfId="0" applyNumberFormat="1" applyFont="1" applyFill="1" applyBorder="1"/>
    <xf numFmtId="0" fontId="1" fillId="12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left"/>
    </xf>
    <xf numFmtId="14" fontId="1" fillId="0" borderId="1" xfId="0" applyNumberFormat="1" applyFont="1" applyBorder="1"/>
    <xf numFmtId="0" fontId="1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horizontal="left"/>
    </xf>
    <xf numFmtId="2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5" borderId="1" xfId="0" applyFont="1" applyFill="1" applyBorder="1"/>
    <xf numFmtId="2" fontId="1" fillId="5" borderId="1" xfId="0" applyNumberFormat="1" applyFont="1" applyFill="1" applyBorder="1"/>
    <xf numFmtId="164" fontId="1" fillId="5" borderId="1" xfId="0" applyNumberFormat="1" applyFont="1" applyFill="1" applyBorder="1"/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left"/>
    </xf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13" borderId="1" xfId="0" applyFill="1" applyBorder="1"/>
    <xf numFmtId="0" fontId="0" fillId="14" borderId="1" xfId="0" applyFill="1" applyBorder="1"/>
    <xf numFmtId="0" fontId="11" fillId="6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0" fillId="0" borderId="5" xfId="0" applyNumberFormat="1" applyBorder="1"/>
    <xf numFmtId="164" fontId="0" fillId="2" borderId="5" xfId="0" applyNumberFormat="1" applyFill="1" applyBorder="1"/>
    <xf numFmtId="164" fontId="0" fillId="0" borderId="5" xfId="0" applyNumberFormat="1" applyBorder="1"/>
    <xf numFmtId="2" fontId="0" fillId="2" borderId="5" xfId="0" applyNumberFormat="1" applyFill="1" applyBorder="1"/>
    <xf numFmtId="1" fontId="0" fillId="2" borderId="5" xfId="0" applyNumberFormat="1" applyFill="1" applyBorder="1" applyAlignment="1">
      <alignment horizontal="right"/>
    </xf>
    <xf numFmtId="0" fontId="0" fillId="2" borderId="5" xfId="0" applyFill="1" applyBorder="1" applyAlignment="1">
      <alignment horizontal="right"/>
    </xf>
    <xf numFmtId="2" fontId="0" fillId="0" borderId="5" xfId="0" applyNumberFormat="1" applyBorder="1" applyAlignment="1">
      <alignment horizontal="right"/>
    </xf>
    <xf numFmtId="2" fontId="0" fillId="3" borderId="13" xfId="0" applyNumberFormat="1" applyFill="1" applyBorder="1"/>
    <xf numFmtId="1" fontId="0" fillId="0" borderId="13" xfId="0" applyNumberFormat="1" applyBorder="1"/>
    <xf numFmtId="2" fontId="0" fillId="2" borderId="13" xfId="0" applyNumberFormat="1" applyFill="1" applyBorder="1"/>
    <xf numFmtId="1" fontId="0" fillId="2" borderId="13" xfId="0" applyNumberFormat="1" applyFill="1" applyBorder="1" applyAlignment="1">
      <alignment horizontal="right"/>
    </xf>
    <xf numFmtId="0" fontId="0" fillId="0" borderId="13" xfId="0" applyBorder="1" applyAlignment="1">
      <alignment horizontal="right"/>
    </xf>
    <xf numFmtId="2" fontId="0" fillId="0" borderId="13" xfId="0" applyNumberFormat="1" applyBorder="1" applyAlignment="1">
      <alignment horizontal="right"/>
    </xf>
    <xf numFmtId="0" fontId="0" fillId="0" borderId="14" xfId="0" applyBorder="1"/>
    <xf numFmtId="0" fontId="9" fillId="0" borderId="14" xfId="0" applyFont="1" applyBorder="1" applyAlignment="1">
      <alignment horizontal="center"/>
    </xf>
    <xf numFmtId="164" fontId="0" fillId="2" borderId="5" xfId="0" applyNumberFormat="1" applyFill="1" applyBorder="1" applyAlignment="1">
      <alignment horizontal="right"/>
    </xf>
    <xf numFmtId="164" fontId="0" fillId="0" borderId="5" xfId="0" applyNumberFormat="1" applyBorder="1" applyAlignment="1">
      <alignment horizontal="right"/>
    </xf>
    <xf numFmtId="164" fontId="0" fillId="2" borderId="13" xfId="0" applyNumberFormat="1" applyFill="1" applyBorder="1" applyAlignment="1">
      <alignment horizontal="right"/>
    </xf>
    <xf numFmtId="164" fontId="0" fillId="0" borderId="13" xfId="0" applyNumberFormat="1" applyBorder="1" applyAlignment="1">
      <alignment horizontal="right"/>
    </xf>
    <xf numFmtId="2" fontId="0" fillId="0" borderId="13" xfId="0" applyNumberFormat="1" applyBorder="1"/>
    <xf numFmtId="164" fontId="0" fillId="0" borderId="5" xfId="0" applyNumberFormat="1" applyBorder="1" applyAlignment="1">
      <alignment horizontal="left"/>
    </xf>
    <xf numFmtId="1" fontId="0" fillId="0" borderId="5" xfId="0" applyNumberFormat="1" applyBorder="1" applyAlignment="1">
      <alignment horizontal="right"/>
    </xf>
    <xf numFmtId="0" fontId="0" fillId="2" borderId="13" xfId="0" applyFill="1" applyBorder="1" applyAlignment="1">
      <alignment horizontal="right"/>
    </xf>
    <xf numFmtId="14" fontId="0" fillId="0" borderId="15" xfId="0" applyNumberFormat="1" applyBorder="1"/>
    <xf numFmtId="14" fontId="0" fillId="0" borderId="13" xfId="0" applyNumberFormat="1" applyBorder="1"/>
    <xf numFmtId="0" fontId="0" fillId="2" borderId="5" xfId="0" applyFill="1" applyBorder="1"/>
    <xf numFmtId="0" fontId="0" fillId="0" borderId="8" xfId="0" applyBorder="1"/>
    <xf numFmtId="0" fontId="11" fillId="6" borderId="12" xfId="0" applyFont="1" applyFill="1" applyBorder="1" applyAlignment="1">
      <alignment horizontal="center"/>
    </xf>
    <xf numFmtId="14" fontId="2" fillId="0" borderId="1" xfId="0" applyNumberFormat="1" applyFont="1" applyBorder="1"/>
    <xf numFmtId="0" fontId="2" fillId="0" borderId="1" xfId="0" applyFont="1" applyBorder="1"/>
    <xf numFmtId="16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2" borderId="6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/>
    </xf>
    <xf numFmtId="0" fontId="3" fillId="8" borderId="7" xfId="0" applyFont="1" applyFill="1" applyBorder="1" applyAlignment="1">
      <alignment horizontal="center"/>
    </xf>
    <xf numFmtId="0" fontId="3" fillId="8" borderId="8" xfId="0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/>
    </xf>
    <xf numFmtId="0" fontId="3" fillId="9" borderId="8" xfId="0" applyFont="1" applyFill="1" applyBorder="1" applyAlignment="1">
      <alignment horizontal="center"/>
    </xf>
    <xf numFmtId="0" fontId="3" fillId="10" borderId="6" xfId="0" applyFont="1" applyFill="1" applyBorder="1" applyAlignment="1">
      <alignment horizontal="center"/>
    </xf>
    <xf numFmtId="0" fontId="3" fillId="10" borderId="7" xfId="0" applyFont="1" applyFill="1" applyBorder="1" applyAlignment="1">
      <alignment horizontal="center"/>
    </xf>
    <xf numFmtId="0" fontId="3" fillId="10" borderId="8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6" fillId="6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2" fontId="3" fillId="10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40C64-235C-4568-BA9D-D4D29E22EA87}">
  <dimension ref="A1:Y1047255"/>
  <sheetViews>
    <sheetView tabSelected="1" zoomScaleNormal="100" workbookViewId="0">
      <pane ySplit="10" topLeftCell="A11" activePane="bottomLeft" state="frozen"/>
      <selection pane="bottomLeft"/>
    </sheetView>
  </sheetViews>
  <sheetFormatPr defaultRowHeight="14.4" x14ac:dyDescent="0.3"/>
  <cols>
    <col min="1" max="1" width="10.6640625" bestFit="1" customWidth="1"/>
    <col min="2" max="2" width="7.5546875" customWidth="1"/>
    <col min="3" max="3" width="7.5546875" style="51" customWidth="1"/>
    <col min="4" max="4" width="5.5546875" style="2" bestFit="1" customWidth="1"/>
    <col min="5" max="5" width="6.5546875" style="52" bestFit="1" customWidth="1"/>
    <col min="6" max="6" width="7.5546875" style="52" bestFit="1" customWidth="1"/>
    <col min="7" max="7" width="6.5546875" bestFit="1" customWidth="1"/>
    <col min="8" max="8" width="6.44140625" style="1" customWidth="1"/>
    <col min="9" max="9" width="6.5546875" style="2" bestFit="1" customWidth="1"/>
    <col min="10" max="10" width="6.44140625" style="3" bestFit="1" customWidth="1"/>
    <col min="11" max="12" width="8.88671875" style="3"/>
    <col min="13" max="13" width="10.88671875" style="3" bestFit="1" customWidth="1"/>
    <col min="14" max="15" width="8.88671875" style="3"/>
    <col min="16" max="16" width="10.44140625" style="3" bestFit="1" customWidth="1"/>
    <col min="17" max="17" width="8" style="3" bestFit="1" customWidth="1"/>
    <col min="18" max="18" width="7.88671875" style="4" bestFit="1" customWidth="1"/>
    <col min="19" max="19" width="8.5546875" style="2" bestFit="1" customWidth="1"/>
    <col min="20" max="20" width="8.44140625" style="2" bestFit="1" customWidth="1"/>
    <col min="21" max="21" width="8.6640625" style="2" bestFit="1" customWidth="1"/>
  </cols>
  <sheetData>
    <row r="1" spans="1:24" x14ac:dyDescent="0.3">
      <c r="B1" s="148" t="s">
        <v>0</v>
      </c>
      <c r="C1" s="148"/>
      <c r="D1" s="148"/>
      <c r="E1" s="148"/>
      <c r="F1" s="148"/>
      <c r="G1" s="148"/>
    </row>
    <row r="2" spans="1:24" x14ac:dyDescent="0.3">
      <c r="B2" s="5"/>
      <c r="C2" s="149" t="s">
        <v>1</v>
      </c>
      <c r="D2" s="149"/>
      <c r="E2" s="149"/>
      <c r="F2" s="149"/>
      <c r="G2" s="149"/>
    </row>
    <row r="3" spans="1:24" x14ac:dyDescent="0.3">
      <c r="B3" s="7"/>
      <c r="C3" s="150" t="s">
        <v>2</v>
      </c>
      <c r="D3" s="150"/>
      <c r="E3" s="150"/>
      <c r="F3" s="150"/>
      <c r="G3" s="150"/>
    </row>
    <row r="4" spans="1:24" x14ac:dyDescent="0.3">
      <c r="B4" s="8"/>
      <c r="C4" s="150"/>
      <c r="D4" s="150"/>
      <c r="E4" s="150"/>
      <c r="F4" s="150"/>
      <c r="G4" s="150"/>
    </row>
    <row r="5" spans="1:24" x14ac:dyDescent="0.3">
      <c r="B5" s="9"/>
      <c r="C5" s="151" t="s">
        <v>3</v>
      </c>
      <c r="D5" s="152"/>
      <c r="E5" s="152"/>
      <c r="F5" s="152"/>
      <c r="G5" s="153"/>
    </row>
    <row r="6" spans="1:24" x14ac:dyDescent="0.3">
      <c r="B6" s="6" t="s">
        <v>4</v>
      </c>
      <c r="C6" s="149" t="s">
        <v>5</v>
      </c>
      <c r="D6" s="149"/>
      <c r="E6" s="149"/>
      <c r="F6" s="149"/>
      <c r="G6" s="149"/>
    </row>
    <row r="7" spans="1:24" ht="18" x14ac:dyDescent="0.3">
      <c r="A7" s="141" t="s">
        <v>6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</row>
    <row r="8" spans="1:24" x14ac:dyDescent="0.3">
      <c r="A8" s="10"/>
      <c r="B8" s="142" t="s">
        <v>7</v>
      </c>
      <c r="C8" s="142"/>
      <c r="D8" s="143" t="s">
        <v>8</v>
      </c>
      <c r="E8" s="144"/>
      <c r="F8" s="144"/>
      <c r="G8" s="144"/>
      <c r="H8" s="145" t="s">
        <v>9</v>
      </c>
      <c r="I8" s="145"/>
      <c r="J8" s="145"/>
      <c r="K8" s="145"/>
      <c r="L8" s="145"/>
      <c r="M8" s="145"/>
      <c r="N8" s="145"/>
      <c r="O8" s="145"/>
      <c r="P8" s="145"/>
      <c r="Q8" s="146" t="s">
        <v>10</v>
      </c>
      <c r="R8" s="146"/>
      <c r="S8" s="147" t="s">
        <v>11</v>
      </c>
      <c r="T8" s="147"/>
      <c r="U8" s="147"/>
    </row>
    <row r="9" spans="1:24" ht="43.8" x14ac:dyDescent="0.35">
      <c r="A9" s="11" t="s">
        <v>12</v>
      </c>
      <c r="B9" s="12" t="s">
        <v>13</v>
      </c>
      <c r="C9" s="12" t="s">
        <v>14</v>
      </c>
      <c r="D9" s="13" t="s">
        <v>15</v>
      </c>
      <c r="E9" s="14" t="s">
        <v>16</v>
      </c>
      <c r="F9" s="14" t="s">
        <v>17</v>
      </c>
      <c r="G9" s="15" t="s">
        <v>18</v>
      </c>
      <c r="H9" s="16" t="s">
        <v>19</v>
      </c>
      <c r="I9" s="17" t="s">
        <v>20</v>
      </c>
      <c r="J9" s="18" t="s">
        <v>21</v>
      </c>
      <c r="K9" s="18" t="s">
        <v>22</v>
      </c>
      <c r="L9" s="18" t="s">
        <v>23</v>
      </c>
      <c r="M9" s="18" t="s">
        <v>24</v>
      </c>
      <c r="N9" s="18" t="s">
        <v>25</v>
      </c>
      <c r="O9" s="18" t="s">
        <v>26</v>
      </c>
      <c r="P9" s="18" t="s">
        <v>27</v>
      </c>
      <c r="Q9" s="18" t="s">
        <v>28</v>
      </c>
      <c r="R9" s="19" t="s">
        <v>29</v>
      </c>
      <c r="S9" s="17" t="s">
        <v>30</v>
      </c>
      <c r="T9" s="17" t="s">
        <v>31</v>
      </c>
      <c r="U9" s="17" t="s">
        <v>32</v>
      </c>
    </row>
    <row r="10" spans="1:24" ht="15" thickBot="1" x14ac:dyDescent="0.35">
      <c r="A10" s="20"/>
      <c r="B10" s="21" t="s">
        <v>33</v>
      </c>
      <c r="C10" s="21" t="s">
        <v>33</v>
      </c>
      <c r="D10" s="22"/>
      <c r="E10" s="23" t="s">
        <v>34</v>
      </c>
      <c r="F10" s="23" t="s">
        <v>34</v>
      </c>
      <c r="G10" s="20"/>
      <c r="H10" s="24" t="s">
        <v>34</v>
      </c>
      <c r="I10" s="22"/>
      <c r="J10" s="25" t="s">
        <v>34</v>
      </c>
      <c r="K10" s="25" t="s">
        <v>34</v>
      </c>
      <c r="L10" s="25" t="s">
        <v>34</v>
      </c>
      <c r="M10" s="25" t="s">
        <v>34</v>
      </c>
      <c r="N10" s="25" t="s">
        <v>34</v>
      </c>
      <c r="O10" s="25" t="s">
        <v>34</v>
      </c>
      <c r="P10" s="25" t="s">
        <v>34</v>
      </c>
      <c r="Q10" s="25" t="s">
        <v>35</v>
      </c>
      <c r="R10" s="26" t="s">
        <v>36</v>
      </c>
      <c r="S10" s="22"/>
      <c r="T10" s="22"/>
      <c r="U10" s="22"/>
    </row>
    <row r="11" spans="1:24" x14ac:dyDescent="0.3">
      <c r="A11" s="108">
        <v>45666</v>
      </c>
      <c r="B11" s="100">
        <v>7.9</v>
      </c>
      <c r="C11" s="101">
        <v>79</v>
      </c>
      <c r="D11" s="88">
        <v>7.87</v>
      </c>
      <c r="E11" s="28">
        <f>(4643+4930)/2</f>
        <v>4786.5</v>
      </c>
      <c r="F11" s="28">
        <f>(20191+20432)/2</f>
        <v>20311.5</v>
      </c>
      <c r="G11" s="88">
        <f t="shared" ref="G11:G36" si="0">E11/F11</f>
        <v>0.23565467838416659</v>
      </c>
      <c r="H11" s="89">
        <v>199</v>
      </c>
      <c r="I11" s="27"/>
      <c r="J11" s="38">
        <v>199</v>
      </c>
      <c r="K11" s="38" t="s">
        <v>39</v>
      </c>
      <c r="L11" s="38" t="s">
        <v>37</v>
      </c>
      <c r="M11" s="38" t="s">
        <v>37</v>
      </c>
      <c r="N11" s="38" t="s">
        <v>40</v>
      </c>
      <c r="O11" s="38" t="s">
        <v>38</v>
      </c>
      <c r="P11" s="38" t="s">
        <v>38</v>
      </c>
      <c r="Q11" s="90">
        <v>3176</v>
      </c>
      <c r="R11" s="91">
        <v>0.65</v>
      </c>
      <c r="S11" s="88">
        <v>0.23</v>
      </c>
      <c r="T11" s="88">
        <v>1.06</v>
      </c>
      <c r="U11" s="88">
        <v>1.08</v>
      </c>
      <c r="X11" s="46"/>
    </row>
    <row r="12" spans="1:24" x14ac:dyDescent="0.3">
      <c r="A12" s="35">
        <v>45680</v>
      </c>
      <c r="B12" s="48">
        <v>7.8</v>
      </c>
      <c r="C12" s="49">
        <v>80.8</v>
      </c>
      <c r="D12" s="39">
        <v>7.76</v>
      </c>
      <c r="E12" s="33">
        <f>(4857+4718)/2</f>
        <v>4787.5</v>
      </c>
      <c r="F12" s="33">
        <f>(20554+20533)/2</f>
        <v>20543.5</v>
      </c>
      <c r="G12" s="39">
        <f t="shared" si="0"/>
        <v>0.23304208143695085</v>
      </c>
      <c r="H12" s="44">
        <v>154</v>
      </c>
      <c r="I12" s="13"/>
      <c r="J12" s="31">
        <v>145</v>
      </c>
      <c r="K12" s="31" t="s">
        <v>39</v>
      </c>
      <c r="L12" s="31" t="s">
        <v>37</v>
      </c>
      <c r="M12" s="31" t="s">
        <v>37</v>
      </c>
      <c r="N12" s="31" t="s">
        <v>40</v>
      </c>
      <c r="O12" s="31" t="s">
        <v>38</v>
      </c>
      <c r="P12" s="31" t="s">
        <v>38</v>
      </c>
      <c r="Q12" s="45">
        <v>3112</v>
      </c>
      <c r="R12" s="30">
        <v>0.65</v>
      </c>
      <c r="S12" s="39">
        <v>0.23</v>
      </c>
      <c r="T12" s="39">
        <v>0.99</v>
      </c>
      <c r="U12" s="39">
        <v>1.03</v>
      </c>
      <c r="X12" s="46"/>
    </row>
    <row r="13" spans="1:24" x14ac:dyDescent="0.3">
      <c r="A13" s="35">
        <v>45692</v>
      </c>
      <c r="B13" s="48">
        <v>7.4</v>
      </c>
      <c r="C13" s="49">
        <v>82.2</v>
      </c>
      <c r="D13" s="39">
        <v>7.94</v>
      </c>
      <c r="E13" s="33">
        <f>(5029+4862)/2</f>
        <v>4945.5</v>
      </c>
      <c r="F13" s="33">
        <f>(21675+21740)/2</f>
        <v>21707.5</v>
      </c>
      <c r="G13" s="39">
        <f t="shared" si="0"/>
        <v>0.22782448462512955</v>
      </c>
      <c r="H13" s="44">
        <v>368</v>
      </c>
      <c r="I13" s="13"/>
      <c r="J13" s="31">
        <v>353</v>
      </c>
      <c r="K13" s="31" t="s">
        <v>39</v>
      </c>
      <c r="L13" s="31" t="s">
        <v>37</v>
      </c>
      <c r="M13" s="31" t="s">
        <v>37</v>
      </c>
      <c r="N13" s="31" t="s">
        <v>40</v>
      </c>
      <c r="O13" s="31" t="s">
        <v>38</v>
      </c>
      <c r="P13" s="31" t="s">
        <v>38</v>
      </c>
      <c r="Q13" s="45">
        <v>3032</v>
      </c>
      <c r="R13" s="30">
        <v>0.68</v>
      </c>
      <c r="S13" s="39">
        <v>0.24</v>
      </c>
      <c r="T13" s="39">
        <v>1.1299999999999999</v>
      </c>
      <c r="U13" s="39">
        <v>1.06</v>
      </c>
      <c r="X13" s="46"/>
    </row>
    <row r="14" spans="1:24" x14ac:dyDescent="0.3">
      <c r="A14" s="35">
        <v>45705</v>
      </c>
      <c r="B14" s="48">
        <v>7.9</v>
      </c>
      <c r="C14" s="49">
        <v>82.6</v>
      </c>
      <c r="D14" s="39">
        <v>7.81</v>
      </c>
      <c r="E14" s="33">
        <f>(5658+5681)/2</f>
        <v>5669.5</v>
      </c>
      <c r="F14" s="33">
        <f>(19475+19536)/2</f>
        <v>19505.5</v>
      </c>
      <c r="G14" s="39">
        <f t="shared" si="0"/>
        <v>0.29066160826433568</v>
      </c>
      <c r="H14" s="44">
        <v>600.29999999999995</v>
      </c>
      <c r="I14" s="39">
        <f>K14/J14</f>
        <v>0.10905730129390019</v>
      </c>
      <c r="J14" s="31">
        <v>541</v>
      </c>
      <c r="K14" s="31">
        <v>59</v>
      </c>
      <c r="L14" s="31" t="s">
        <v>37</v>
      </c>
      <c r="M14" s="31" t="s">
        <v>37</v>
      </c>
      <c r="N14" s="31" t="s">
        <v>40</v>
      </c>
      <c r="O14" s="31" t="s">
        <v>38</v>
      </c>
      <c r="P14" s="31" t="s">
        <v>38</v>
      </c>
      <c r="Q14" s="45">
        <v>3226</v>
      </c>
      <c r="R14" s="30">
        <v>0.62</v>
      </c>
      <c r="S14" s="39">
        <v>0.23</v>
      </c>
      <c r="T14" s="39">
        <v>1</v>
      </c>
      <c r="U14" s="39">
        <v>0.91</v>
      </c>
      <c r="X14" s="46"/>
    </row>
    <row r="15" spans="1:24" x14ac:dyDescent="0.3">
      <c r="A15" s="35">
        <v>45721</v>
      </c>
      <c r="B15" s="48">
        <v>7.2</v>
      </c>
      <c r="C15" s="49">
        <v>82.8</v>
      </c>
      <c r="D15" s="39">
        <v>7.76</v>
      </c>
      <c r="E15" s="33">
        <f>(5704+5633)/2</f>
        <v>5668.5</v>
      </c>
      <c r="F15" s="15">
        <f>(18631+18937)/2</f>
        <v>18784</v>
      </c>
      <c r="G15" s="39">
        <f t="shared" si="0"/>
        <v>0.30177278534923341</v>
      </c>
      <c r="H15" s="44">
        <v>245</v>
      </c>
      <c r="I15" s="13"/>
      <c r="J15" s="31">
        <v>236</v>
      </c>
      <c r="K15" s="31" t="s">
        <v>39</v>
      </c>
      <c r="L15" s="31" t="s">
        <v>37</v>
      </c>
      <c r="M15" s="31" t="s">
        <v>37</v>
      </c>
      <c r="N15" s="31" t="s">
        <v>40</v>
      </c>
      <c r="O15" s="31" t="s">
        <v>38</v>
      </c>
      <c r="P15" s="31" t="s">
        <v>38</v>
      </c>
      <c r="Q15" s="45">
        <v>3348</v>
      </c>
      <c r="R15" s="30">
        <v>0.61</v>
      </c>
      <c r="S15" s="39">
        <v>0.22</v>
      </c>
      <c r="T15" s="39">
        <v>0.99</v>
      </c>
      <c r="U15" s="42">
        <v>0.88</v>
      </c>
      <c r="X15" s="46"/>
    </row>
    <row r="16" spans="1:24" x14ac:dyDescent="0.3">
      <c r="A16" s="35">
        <v>45735</v>
      </c>
      <c r="B16" s="48">
        <v>7.8</v>
      </c>
      <c r="C16" s="49">
        <v>81.599999999999994</v>
      </c>
      <c r="D16" s="39">
        <v>7.62</v>
      </c>
      <c r="E16" s="33">
        <v>5786</v>
      </c>
      <c r="F16" s="15">
        <v>18684</v>
      </c>
      <c r="G16" s="39">
        <f t="shared" si="0"/>
        <v>0.30967672875187324</v>
      </c>
      <c r="H16" s="44">
        <v>359</v>
      </c>
      <c r="I16" s="13"/>
      <c r="J16" s="31">
        <v>355</v>
      </c>
      <c r="K16" s="31" t="s">
        <v>39</v>
      </c>
      <c r="L16" s="31" t="s">
        <v>37</v>
      </c>
      <c r="M16" s="31" t="s">
        <v>37</v>
      </c>
      <c r="N16" s="31" t="s">
        <v>40</v>
      </c>
      <c r="O16" s="31" t="s">
        <v>38</v>
      </c>
      <c r="P16" s="31" t="s">
        <v>38</v>
      </c>
      <c r="Q16" s="45">
        <v>3216</v>
      </c>
      <c r="R16" s="30">
        <v>0.62</v>
      </c>
      <c r="S16" s="39">
        <v>0.2</v>
      </c>
      <c r="T16" s="39">
        <v>0.94</v>
      </c>
      <c r="U16" s="42">
        <v>0.84</v>
      </c>
      <c r="X16" s="46"/>
    </row>
    <row r="17" spans="1:24" x14ac:dyDescent="0.3">
      <c r="A17" s="35">
        <v>45749</v>
      </c>
      <c r="B17" s="48">
        <v>8.3000000000000007</v>
      </c>
      <c r="C17" s="49">
        <v>82.6</v>
      </c>
      <c r="D17" s="39">
        <v>7.82</v>
      </c>
      <c r="E17" s="33">
        <f>(4461+4670)/2</f>
        <v>4565.5</v>
      </c>
      <c r="F17" s="33">
        <f>(20306+20519)/2</f>
        <v>20412.5</v>
      </c>
      <c r="G17" s="39">
        <f t="shared" si="0"/>
        <v>0.22366197183098591</v>
      </c>
      <c r="H17" s="44">
        <v>373</v>
      </c>
      <c r="I17" s="13"/>
      <c r="J17" s="31">
        <v>325</v>
      </c>
      <c r="K17" s="31" t="s">
        <v>39</v>
      </c>
      <c r="L17" s="31" t="s">
        <v>37</v>
      </c>
      <c r="M17" s="31" t="s">
        <v>37</v>
      </c>
      <c r="N17" s="31">
        <v>16.100000000000001</v>
      </c>
      <c r="O17" s="31" t="s">
        <v>38</v>
      </c>
      <c r="P17" s="31" t="s">
        <v>38</v>
      </c>
      <c r="Q17" s="45">
        <v>3317</v>
      </c>
      <c r="R17" s="30">
        <v>0.67</v>
      </c>
      <c r="S17" s="39">
        <v>0.21</v>
      </c>
      <c r="T17" s="39">
        <v>1</v>
      </c>
      <c r="U17" s="39">
        <v>0.9</v>
      </c>
      <c r="X17" s="46"/>
    </row>
    <row r="18" spans="1:24" x14ac:dyDescent="0.3">
      <c r="A18" s="35">
        <v>45762</v>
      </c>
      <c r="B18" s="48">
        <v>8.8000000000000007</v>
      </c>
      <c r="C18" s="49">
        <v>82.9</v>
      </c>
      <c r="D18" s="39">
        <v>7.92</v>
      </c>
      <c r="E18" s="33">
        <v>4935</v>
      </c>
      <c r="F18" s="33">
        <v>22636</v>
      </c>
      <c r="G18" s="39">
        <f t="shared" si="0"/>
        <v>0.21801555045060964</v>
      </c>
      <c r="H18" s="44">
        <v>225</v>
      </c>
      <c r="I18" s="13"/>
      <c r="J18" s="31">
        <v>225</v>
      </c>
      <c r="K18" s="31" t="s">
        <v>39</v>
      </c>
      <c r="L18" s="31" t="s">
        <v>37</v>
      </c>
      <c r="M18" s="31" t="s">
        <v>37</v>
      </c>
      <c r="N18" s="31" t="s">
        <v>40</v>
      </c>
      <c r="O18" s="31" t="s">
        <v>38</v>
      </c>
      <c r="P18" s="31" t="s">
        <v>38</v>
      </c>
      <c r="Q18" s="45">
        <v>3872</v>
      </c>
      <c r="R18" s="30">
        <v>0.73</v>
      </c>
      <c r="S18" s="39">
        <v>0.25</v>
      </c>
      <c r="T18" s="39">
        <v>1.1599999999999999</v>
      </c>
      <c r="U18" s="39">
        <v>1</v>
      </c>
      <c r="X18" s="46"/>
    </row>
    <row r="19" spans="1:24" x14ac:dyDescent="0.3">
      <c r="A19" s="35">
        <v>45777</v>
      </c>
      <c r="B19" s="48">
        <v>9.1999999999999993</v>
      </c>
      <c r="C19" s="49">
        <v>80.900000000000006</v>
      </c>
      <c r="D19" s="39">
        <v>8.02</v>
      </c>
      <c r="E19" s="33">
        <v>5671</v>
      </c>
      <c r="F19" s="33">
        <v>23504</v>
      </c>
      <c r="G19" s="39">
        <f t="shared" si="0"/>
        <v>0.24127808032675288</v>
      </c>
      <c r="H19" s="44">
        <v>517</v>
      </c>
      <c r="I19" s="13"/>
      <c r="J19" s="31">
        <v>479</v>
      </c>
      <c r="K19" s="31" t="s">
        <v>39</v>
      </c>
      <c r="L19" s="31" t="s">
        <v>37</v>
      </c>
      <c r="M19" s="31" t="s">
        <v>37</v>
      </c>
      <c r="N19" s="31" t="s">
        <v>40</v>
      </c>
      <c r="O19" s="31" t="s">
        <v>38</v>
      </c>
      <c r="P19" s="31" t="s">
        <v>38</v>
      </c>
      <c r="Q19" s="45">
        <v>3855</v>
      </c>
      <c r="R19" s="30">
        <v>0.74</v>
      </c>
      <c r="S19" s="39">
        <v>0.27</v>
      </c>
      <c r="T19" s="39">
        <v>1.21</v>
      </c>
      <c r="U19" s="39">
        <v>1.0900000000000001</v>
      </c>
      <c r="X19" s="46"/>
    </row>
    <row r="20" spans="1:24" x14ac:dyDescent="0.3">
      <c r="A20" s="35">
        <v>45791</v>
      </c>
      <c r="B20" s="48">
        <v>9.1999999999999993</v>
      </c>
      <c r="C20" s="49">
        <v>81.3</v>
      </c>
      <c r="D20" s="39">
        <v>7.82</v>
      </c>
      <c r="E20" s="33">
        <f>(5733+5728)/2</f>
        <v>5730.5</v>
      </c>
      <c r="F20" s="33">
        <f>(24208+24359)/2</f>
        <v>24283.5</v>
      </c>
      <c r="G20" s="39">
        <f t="shared" si="0"/>
        <v>0.23598328082854614</v>
      </c>
      <c r="H20" s="44">
        <v>594</v>
      </c>
      <c r="I20" s="13"/>
      <c r="J20" s="31">
        <v>551</v>
      </c>
      <c r="K20" s="31" t="s">
        <v>39</v>
      </c>
      <c r="L20" s="31" t="s">
        <v>37</v>
      </c>
      <c r="M20" s="31" t="s">
        <v>37</v>
      </c>
      <c r="N20" s="31" t="s">
        <v>40</v>
      </c>
      <c r="O20" s="31" t="s">
        <v>38</v>
      </c>
      <c r="P20" s="31" t="s">
        <v>38</v>
      </c>
      <c r="Q20" s="45">
        <v>4494</v>
      </c>
      <c r="R20" s="30">
        <v>0.74</v>
      </c>
      <c r="S20" s="39">
        <v>0.28000000000000003</v>
      </c>
      <c r="T20" s="39">
        <v>1.37</v>
      </c>
      <c r="U20" s="39">
        <v>1.1399999999999999</v>
      </c>
      <c r="X20" s="46"/>
    </row>
    <row r="21" spans="1:24" x14ac:dyDescent="0.3">
      <c r="A21" s="35">
        <v>45804</v>
      </c>
      <c r="B21" s="48">
        <v>9.4</v>
      </c>
      <c r="C21" s="49">
        <v>81.400000000000006</v>
      </c>
      <c r="D21" s="39">
        <v>8.0299999999999994</v>
      </c>
      <c r="E21" s="33">
        <f>(5556+5584)/2</f>
        <v>5570</v>
      </c>
      <c r="F21" s="33">
        <f>(24938+24749)/2</f>
        <v>24843.5</v>
      </c>
      <c r="G21" s="39">
        <f t="shared" si="0"/>
        <v>0.22420351399762514</v>
      </c>
      <c r="H21" s="44">
        <v>408</v>
      </c>
      <c r="I21" s="13"/>
      <c r="J21" s="31">
        <v>384</v>
      </c>
      <c r="K21" s="31" t="s">
        <v>39</v>
      </c>
      <c r="L21" s="31" t="s">
        <v>37</v>
      </c>
      <c r="M21" s="31" t="s">
        <v>37</v>
      </c>
      <c r="N21" s="31" t="s">
        <v>40</v>
      </c>
      <c r="O21" s="31" t="s">
        <v>38</v>
      </c>
      <c r="P21" s="31" t="s">
        <v>38</v>
      </c>
      <c r="Q21" s="45">
        <v>4028</v>
      </c>
      <c r="R21" s="30">
        <v>0.72</v>
      </c>
      <c r="S21" s="39">
        <v>0.27</v>
      </c>
      <c r="T21" s="39">
        <v>1.63</v>
      </c>
      <c r="U21" s="39">
        <v>1.25</v>
      </c>
      <c r="X21" s="46"/>
    </row>
    <row r="22" spans="1:24" x14ac:dyDescent="0.3">
      <c r="A22" s="35">
        <v>45820</v>
      </c>
      <c r="B22" s="48">
        <v>9</v>
      </c>
      <c r="C22" s="49">
        <v>79.8</v>
      </c>
      <c r="D22" s="42">
        <v>8.07</v>
      </c>
      <c r="E22" s="33">
        <v>5919</v>
      </c>
      <c r="F22" s="33">
        <v>25571</v>
      </c>
      <c r="G22" s="39">
        <f t="shared" si="0"/>
        <v>0.23147315318133824</v>
      </c>
      <c r="H22" s="44">
        <v>771</v>
      </c>
      <c r="I22" s="13"/>
      <c r="J22" s="31">
        <v>716</v>
      </c>
      <c r="K22" s="31">
        <v>55</v>
      </c>
      <c r="L22" s="31" t="s">
        <v>37</v>
      </c>
      <c r="M22" s="31" t="s">
        <v>37</v>
      </c>
      <c r="N22" s="31" t="s">
        <v>40</v>
      </c>
      <c r="O22" s="31" t="s">
        <v>38</v>
      </c>
      <c r="P22" s="31" t="s">
        <v>38</v>
      </c>
      <c r="Q22" s="45">
        <v>4236</v>
      </c>
      <c r="R22" s="30">
        <v>0.73</v>
      </c>
      <c r="S22" s="39">
        <v>0.28000000000000003</v>
      </c>
      <c r="T22" s="39">
        <v>1.39</v>
      </c>
      <c r="U22" s="39">
        <v>1.1499999999999999</v>
      </c>
      <c r="X22" s="46"/>
    </row>
    <row r="23" spans="1:24" x14ac:dyDescent="0.3">
      <c r="A23" s="35">
        <v>45834</v>
      </c>
      <c r="B23" s="48">
        <v>9.5</v>
      </c>
      <c r="C23" s="49">
        <v>82.2</v>
      </c>
      <c r="D23" s="39">
        <v>7.92</v>
      </c>
      <c r="E23" s="33">
        <v>5496</v>
      </c>
      <c r="F23" s="33">
        <v>24635</v>
      </c>
      <c r="G23" s="39">
        <f t="shared" si="0"/>
        <v>0.223097219403288</v>
      </c>
      <c r="H23" s="44">
        <v>310</v>
      </c>
      <c r="I23" s="13"/>
      <c r="J23" s="31">
        <v>293</v>
      </c>
      <c r="K23" s="31" t="s">
        <v>39</v>
      </c>
      <c r="L23" s="31" t="s">
        <v>37</v>
      </c>
      <c r="M23" s="31" t="s">
        <v>37</v>
      </c>
      <c r="N23" s="31" t="s">
        <v>40</v>
      </c>
      <c r="O23" s="31" t="s">
        <v>38</v>
      </c>
      <c r="P23" s="31" t="s">
        <v>38</v>
      </c>
      <c r="Q23" s="45">
        <v>4024</v>
      </c>
      <c r="R23" s="30">
        <v>0.72</v>
      </c>
      <c r="S23" s="39">
        <v>0.22</v>
      </c>
      <c r="T23" s="39">
        <v>1.24</v>
      </c>
      <c r="U23" s="39">
        <v>1.07</v>
      </c>
      <c r="X23" s="46"/>
    </row>
    <row r="24" spans="1:24" x14ac:dyDescent="0.3">
      <c r="A24" s="35">
        <v>45847</v>
      </c>
      <c r="B24" s="48">
        <v>9.3000000000000007</v>
      </c>
      <c r="C24" s="49">
        <v>82</v>
      </c>
      <c r="D24" s="39">
        <v>7.82</v>
      </c>
      <c r="E24" s="33">
        <v>6139</v>
      </c>
      <c r="F24" s="33">
        <v>24312</v>
      </c>
      <c r="G24" s="39">
        <f t="shared" si="0"/>
        <v>0.25250904902928595</v>
      </c>
      <c r="H24" s="44">
        <v>1049</v>
      </c>
      <c r="I24" s="13"/>
      <c r="J24" s="31">
        <v>898</v>
      </c>
      <c r="K24" s="31">
        <v>83.3</v>
      </c>
      <c r="L24" s="31" t="s">
        <v>37</v>
      </c>
      <c r="M24" s="31" t="s">
        <v>37</v>
      </c>
      <c r="N24" s="31">
        <v>21.1</v>
      </c>
      <c r="O24" s="31" t="s">
        <v>38</v>
      </c>
      <c r="P24" s="31" t="s">
        <v>38</v>
      </c>
      <c r="Q24" s="45">
        <v>4054</v>
      </c>
      <c r="R24" s="30">
        <v>0.73</v>
      </c>
      <c r="S24" s="39">
        <v>0.24</v>
      </c>
      <c r="T24" s="39">
        <v>1.25</v>
      </c>
      <c r="U24" s="39">
        <v>1</v>
      </c>
      <c r="X24" s="46"/>
    </row>
    <row r="25" spans="1:24" x14ac:dyDescent="0.3">
      <c r="A25" s="35">
        <v>45861</v>
      </c>
      <c r="B25" s="48">
        <v>9.4</v>
      </c>
      <c r="C25" s="49">
        <v>81.2</v>
      </c>
      <c r="D25" s="39">
        <v>7.9</v>
      </c>
      <c r="E25" s="33">
        <v>5765</v>
      </c>
      <c r="F25" s="33">
        <v>26200</v>
      </c>
      <c r="G25" s="39">
        <f t="shared" si="0"/>
        <v>0.2200381679389313</v>
      </c>
      <c r="H25" s="44">
        <v>133</v>
      </c>
      <c r="I25" s="13"/>
      <c r="J25" s="31">
        <v>133</v>
      </c>
      <c r="K25" s="31" t="s">
        <v>39</v>
      </c>
      <c r="L25" s="31" t="s">
        <v>37</v>
      </c>
      <c r="M25" s="31" t="s">
        <v>37</v>
      </c>
      <c r="N25" s="31" t="s">
        <v>40</v>
      </c>
      <c r="O25" s="31" t="s">
        <v>38</v>
      </c>
      <c r="P25" s="31" t="s">
        <v>38</v>
      </c>
      <c r="Q25" s="45">
        <v>4100</v>
      </c>
      <c r="R25" s="30">
        <v>0.72</v>
      </c>
      <c r="S25" s="39">
        <v>0.25</v>
      </c>
      <c r="T25" s="39">
        <v>1.1299999999999999</v>
      </c>
      <c r="U25" s="39">
        <v>0.92</v>
      </c>
      <c r="X25" s="46"/>
    </row>
    <row r="26" spans="1:24" x14ac:dyDescent="0.3">
      <c r="A26" s="35">
        <v>45875</v>
      </c>
      <c r="B26" s="48">
        <v>8.6999999999999993</v>
      </c>
      <c r="C26" s="49">
        <v>80.2</v>
      </c>
      <c r="D26" s="39">
        <v>7.79</v>
      </c>
      <c r="E26" s="33">
        <v>5509</v>
      </c>
      <c r="F26" s="33">
        <v>26713</v>
      </c>
      <c r="G26" s="39">
        <f t="shared" si="0"/>
        <v>0.20622917680530078</v>
      </c>
      <c r="H26" s="44">
        <v>229</v>
      </c>
      <c r="I26" s="13"/>
      <c r="J26" s="31">
        <v>217</v>
      </c>
      <c r="K26" s="31" t="s">
        <v>39</v>
      </c>
      <c r="L26" s="31" t="s">
        <v>37</v>
      </c>
      <c r="M26" s="31" t="s">
        <v>37</v>
      </c>
      <c r="N26" s="31" t="s">
        <v>40</v>
      </c>
      <c r="O26" s="31" t="s">
        <v>38</v>
      </c>
      <c r="P26" s="31" t="s">
        <v>38</v>
      </c>
      <c r="Q26" s="45">
        <v>4240</v>
      </c>
      <c r="R26" s="30">
        <v>0.76</v>
      </c>
      <c r="S26" s="39">
        <v>0.26</v>
      </c>
      <c r="T26" s="39">
        <v>1.21</v>
      </c>
      <c r="U26" s="39">
        <v>0.92</v>
      </c>
      <c r="X26" s="46"/>
    </row>
    <row r="27" spans="1:24" x14ac:dyDescent="0.3">
      <c r="A27" s="35">
        <v>45894</v>
      </c>
      <c r="B27" s="48">
        <v>8.8000000000000007</v>
      </c>
      <c r="C27" s="49">
        <v>80.599999999999994</v>
      </c>
      <c r="D27" s="39">
        <v>7.88</v>
      </c>
      <c r="E27" s="33">
        <f>(6119+6749)/2</f>
        <v>6434</v>
      </c>
      <c r="F27" s="33">
        <f>(29924+25801)/2</f>
        <v>27862.5</v>
      </c>
      <c r="G27" s="39">
        <f t="shared" si="0"/>
        <v>0.23091969493046208</v>
      </c>
      <c r="H27" s="44">
        <v>271</v>
      </c>
      <c r="I27" s="13"/>
      <c r="J27" s="31">
        <v>271</v>
      </c>
      <c r="K27" s="31" t="s">
        <v>39</v>
      </c>
      <c r="L27" s="31" t="s">
        <v>37</v>
      </c>
      <c r="M27" s="31" t="s">
        <v>37</v>
      </c>
      <c r="N27" s="31" t="s">
        <v>40</v>
      </c>
      <c r="O27" s="31" t="s">
        <v>38</v>
      </c>
      <c r="P27" s="31" t="s">
        <v>38</v>
      </c>
      <c r="Q27" s="45">
        <v>4051</v>
      </c>
      <c r="R27" s="30">
        <v>0.65</v>
      </c>
      <c r="S27" s="39">
        <v>0.24</v>
      </c>
      <c r="T27" s="39">
        <v>1.08</v>
      </c>
      <c r="U27" s="42">
        <v>0.82</v>
      </c>
      <c r="X27" s="46"/>
    </row>
    <row r="28" spans="1:24" x14ac:dyDescent="0.3">
      <c r="A28" s="35">
        <v>45915</v>
      </c>
      <c r="B28" s="48">
        <v>9</v>
      </c>
      <c r="C28" s="49">
        <v>79.2</v>
      </c>
      <c r="D28" s="39">
        <v>7.81</v>
      </c>
      <c r="E28" s="33">
        <v>6116</v>
      </c>
      <c r="F28" s="33">
        <v>26211</v>
      </c>
      <c r="G28" s="39">
        <f t="shared" si="0"/>
        <v>0.23333714852542825</v>
      </c>
      <c r="H28" s="44">
        <v>430</v>
      </c>
      <c r="I28" s="13"/>
      <c r="J28" s="31">
        <v>422</v>
      </c>
      <c r="K28" s="31" t="s">
        <v>39</v>
      </c>
      <c r="L28" s="31" t="s">
        <v>37</v>
      </c>
      <c r="M28" s="31" t="s">
        <v>37</v>
      </c>
      <c r="N28" s="31" t="s">
        <v>40</v>
      </c>
      <c r="O28" s="31" t="s">
        <v>38</v>
      </c>
      <c r="P28" s="31" t="s">
        <v>38</v>
      </c>
      <c r="Q28" s="45">
        <v>4174</v>
      </c>
      <c r="R28" s="30">
        <v>0.74</v>
      </c>
      <c r="S28" s="39">
        <v>0.26</v>
      </c>
      <c r="T28" s="39">
        <v>1.24</v>
      </c>
      <c r="U28" s="39">
        <v>0.93</v>
      </c>
      <c r="X28" s="46"/>
    </row>
    <row r="29" spans="1:24" x14ac:dyDescent="0.3">
      <c r="A29" s="35">
        <v>45922</v>
      </c>
      <c r="B29" s="48">
        <v>8.6999999999999993</v>
      </c>
      <c r="C29" s="49">
        <v>80</v>
      </c>
      <c r="D29" s="39">
        <v>7.92</v>
      </c>
      <c r="E29" s="33">
        <f>(5977+6054)/2</f>
        <v>6015.5</v>
      </c>
      <c r="F29" s="33">
        <f>(25597+25783)/2</f>
        <v>25690</v>
      </c>
      <c r="G29" s="39">
        <f t="shared" si="0"/>
        <v>0.23415725963409886</v>
      </c>
      <c r="H29" s="44">
        <v>617</v>
      </c>
      <c r="I29" s="13"/>
      <c r="J29" s="31">
        <v>607</v>
      </c>
      <c r="K29" s="31" t="s">
        <v>39</v>
      </c>
      <c r="L29" s="31" t="s">
        <v>37</v>
      </c>
      <c r="M29" s="31" t="s">
        <v>37</v>
      </c>
      <c r="N29" s="31" t="s">
        <v>40</v>
      </c>
      <c r="O29" s="31" t="s">
        <v>38</v>
      </c>
      <c r="P29" s="31" t="s">
        <v>38</v>
      </c>
      <c r="Q29" s="45">
        <v>4331</v>
      </c>
      <c r="R29" s="30">
        <v>0.76</v>
      </c>
      <c r="S29" s="39">
        <v>0.28999999999999998</v>
      </c>
      <c r="T29" s="39">
        <v>1.35</v>
      </c>
      <c r="U29" s="39">
        <v>0.97</v>
      </c>
      <c r="X29" s="46"/>
    </row>
    <row r="30" spans="1:24" x14ac:dyDescent="0.3">
      <c r="A30" s="35">
        <v>45939</v>
      </c>
      <c r="B30" s="48">
        <v>8.3000000000000007</v>
      </c>
      <c r="C30" s="49">
        <v>78.2</v>
      </c>
      <c r="D30" s="39">
        <v>7.95</v>
      </c>
      <c r="E30" s="33">
        <v>6622</v>
      </c>
      <c r="F30" s="33">
        <v>23398</v>
      </c>
      <c r="G30" s="39">
        <f t="shared" si="0"/>
        <v>0.28301564236259508</v>
      </c>
      <c r="H30" s="44">
        <v>790</v>
      </c>
      <c r="I30" s="13"/>
      <c r="J30" s="31">
        <v>725</v>
      </c>
      <c r="K30" s="31">
        <v>65</v>
      </c>
      <c r="L30" s="31" t="s">
        <v>37</v>
      </c>
      <c r="M30" s="31" t="s">
        <v>37</v>
      </c>
      <c r="N30" s="31" t="s">
        <v>40</v>
      </c>
      <c r="O30" s="31" t="s">
        <v>38</v>
      </c>
      <c r="P30" s="31" t="s">
        <v>38</v>
      </c>
      <c r="Q30" s="45">
        <v>3883</v>
      </c>
      <c r="R30" s="30">
        <v>0.66</v>
      </c>
      <c r="S30" s="39">
        <v>0.22</v>
      </c>
      <c r="T30" s="39">
        <v>1.1299999999999999</v>
      </c>
      <c r="U30" s="42">
        <v>0.85</v>
      </c>
      <c r="X30" s="46"/>
    </row>
    <row r="31" spans="1:24" x14ac:dyDescent="0.3">
      <c r="A31" s="35">
        <v>45953</v>
      </c>
      <c r="B31" s="48">
        <v>8.6999999999999993</v>
      </c>
      <c r="C31" s="49">
        <v>79.8</v>
      </c>
      <c r="D31" s="39">
        <v>7.92</v>
      </c>
      <c r="E31" s="33">
        <f>(6397+6259)/2</f>
        <v>6328</v>
      </c>
      <c r="F31" s="33">
        <f>(24035+24369)/2</f>
        <v>24202</v>
      </c>
      <c r="G31" s="39">
        <f t="shared" si="0"/>
        <v>0.2614659945459053</v>
      </c>
      <c r="H31" s="44">
        <v>531</v>
      </c>
      <c r="I31" s="13"/>
      <c r="J31" s="31">
        <v>499</v>
      </c>
      <c r="K31" s="31" t="s">
        <v>39</v>
      </c>
      <c r="L31" s="31" t="s">
        <v>37</v>
      </c>
      <c r="M31" s="31" t="s">
        <v>37</v>
      </c>
      <c r="N31" s="31" t="s">
        <v>40</v>
      </c>
      <c r="O31" s="31" t="s">
        <v>38</v>
      </c>
      <c r="P31" s="31" t="s">
        <v>38</v>
      </c>
      <c r="Q31" s="45">
        <v>4059</v>
      </c>
      <c r="R31" s="30">
        <v>0.61</v>
      </c>
      <c r="S31" s="39">
        <v>0.24</v>
      </c>
      <c r="T31" s="39">
        <v>1.17</v>
      </c>
      <c r="U31" s="42">
        <v>0.84</v>
      </c>
      <c r="X31" s="46"/>
    </row>
    <row r="32" spans="1:24" x14ac:dyDescent="0.3">
      <c r="A32" s="35">
        <v>45965</v>
      </c>
      <c r="B32" s="48">
        <v>8.6</v>
      </c>
      <c r="C32" s="49">
        <v>77</v>
      </c>
      <c r="D32" s="39">
        <v>7.93</v>
      </c>
      <c r="E32" s="33">
        <f>(6757+6559)/2</f>
        <v>6658</v>
      </c>
      <c r="F32" s="33">
        <f>(26300+25949)/2</f>
        <v>26124.5</v>
      </c>
      <c r="G32" s="39">
        <f t="shared" si="0"/>
        <v>0.2548565522785125</v>
      </c>
      <c r="H32" s="44">
        <v>859</v>
      </c>
      <c r="I32" s="13"/>
      <c r="J32" s="31">
        <v>789</v>
      </c>
      <c r="K32" s="31">
        <v>70.099999999999994</v>
      </c>
      <c r="L32" s="31" t="s">
        <v>37</v>
      </c>
      <c r="M32" s="31" t="s">
        <v>37</v>
      </c>
      <c r="N32" s="31" t="s">
        <v>40</v>
      </c>
      <c r="O32" s="31" t="s">
        <v>38</v>
      </c>
      <c r="P32" s="31" t="s">
        <v>38</v>
      </c>
      <c r="Q32" s="45">
        <v>4177</v>
      </c>
      <c r="R32" s="30">
        <v>0.73</v>
      </c>
      <c r="S32" s="39">
        <v>0.24</v>
      </c>
      <c r="T32" s="39">
        <v>1.1499999999999999</v>
      </c>
      <c r="U32" s="42">
        <v>0.83</v>
      </c>
      <c r="X32" s="46"/>
    </row>
    <row r="33" spans="1:24" x14ac:dyDescent="0.3">
      <c r="A33" s="35">
        <v>45979</v>
      </c>
      <c r="B33" s="48">
        <v>8.5</v>
      </c>
      <c r="C33" s="49">
        <v>78.5</v>
      </c>
      <c r="D33" s="39">
        <v>7.98</v>
      </c>
      <c r="E33" s="33">
        <v>6175</v>
      </c>
      <c r="F33" s="33">
        <v>25913</v>
      </c>
      <c r="G33" s="39">
        <f t="shared" si="0"/>
        <v>0.23829737969359008</v>
      </c>
      <c r="H33" s="44">
        <v>531</v>
      </c>
      <c r="I33" s="13"/>
      <c r="J33" s="31">
        <v>499</v>
      </c>
      <c r="K33" s="31" t="s">
        <v>39</v>
      </c>
      <c r="L33" s="31" t="s">
        <v>37</v>
      </c>
      <c r="M33" s="31" t="s">
        <v>37</v>
      </c>
      <c r="N33" s="31" t="s">
        <v>40</v>
      </c>
      <c r="O33" s="31" t="s">
        <v>38</v>
      </c>
      <c r="P33" s="31" t="s">
        <v>38</v>
      </c>
      <c r="Q33" s="45">
        <v>4464</v>
      </c>
      <c r="R33" s="30">
        <v>0.77</v>
      </c>
      <c r="S33" s="39">
        <v>0.25</v>
      </c>
      <c r="T33" s="39">
        <v>1.17</v>
      </c>
      <c r="U33" s="42">
        <v>0.87</v>
      </c>
      <c r="X33" s="46"/>
    </row>
    <row r="34" spans="1:24" x14ac:dyDescent="0.3">
      <c r="A34" s="35">
        <v>45986</v>
      </c>
      <c r="B34" s="48">
        <v>8.6</v>
      </c>
      <c r="C34" s="49">
        <v>70.7</v>
      </c>
      <c r="D34" s="39">
        <v>8.0500000000000007</v>
      </c>
      <c r="E34" s="33">
        <f>(6910+6750)/2</f>
        <v>6830</v>
      </c>
      <c r="F34" s="33">
        <f>(25492+25827)/2</f>
        <v>25659.5</v>
      </c>
      <c r="G34" s="39">
        <f t="shared" si="0"/>
        <v>0.26617821859350338</v>
      </c>
      <c r="H34" s="44">
        <v>761</v>
      </c>
      <c r="I34" s="13"/>
      <c r="J34" s="31">
        <v>694</v>
      </c>
      <c r="K34" s="31">
        <v>67.099999999999994</v>
      </c>
      <c r="L34" s="31" t="s">
        <v>37</v>
      </c>
      <c r="M34" s="31" t="s">
        <v>37</v>
      </c>
      <c r="N34" s="31" t="s">
        <v>40</v>
      </c>
      <c r="O34" s="31" t="s">
        <v>38</v>
      </c>
      <c r="P34" s="31" t="s">
        <v>38</v>
      </c>
      <c r="Q34" s="45">
        <v>4373</v>
      </c>
      <c r="R34" s="30">
        <v>0.77</v>
      </c>
      <c r="S34" s="39">
        <v>0.28999999999999998</v>
      </c>
      <c r="T34" s="39">
        <v>1.23</v>
      </c>
      <c r="U34" s="42">
        <v>0.89</v>
      </c>
      <c r="X34" s="46"/>
    </row>
    <row r="35" spans="1:24" x14ac:dyDescent="0.3">
      <c r="A35" s="35">
        <v>45993</v>
      </c>
      <c r="B35" s="48">
        <v>8.8000000000000007</v>
      </c>
      <c r="C35" s="49">
        <v>79.2</v>
      </c>
      <c r="D35" s="39">
        <v>7.91</v>
      </c>
      <c r="E35" s="33">
        <f>(8043+8596)/2</f>
        <v>8319.5</v>
      </c>
      <c r="F35" s="33">
        <f>(26971+26749)/2</f>
        <v>26860</v>
      </c>
      <c r="G35" s="39">
        <f t="shared" si="0"/>
        <v>0.30973566641846612</v>
      </c>
      <c r="H35" s="44">
        <v>419</v>
      </c>
      <c r="I35" s="13"/>
      <c r="J35" s="31">
        <v>399</v>
      </c>
      <c r="K35" s="31" t="s">
        <v>39</v>
      </c>
      <c r="L35" s="31" t="s">
        <v>37</v>
      </c>
      <c r="M35" s="31" t="s">
        <v>37</v>
      </c>
      <c r="N35" s="31" t="s">
        <v>40</v>
      </c>
      <c r="O35" s="31" t="s">
        <v>38</v>
      </c>
      <c r="P35" s="31" t="s">
        <v>38</v>
      </c>
      <c r="Q35" s="45">
        <v>3993</v>
      </c>
      <c r="R35" s="30">
        <v>0.79</v>
      </c>
      <c r="S35" s="39">
        <v>0.25</v>
      </c>
      <c r="T35" s="39">
        <v>1.23</v>
      </c>
      <c r="U35" s="39">
        <v>0.9</v>
      </c>
      <c r="X35" s="46"/>
    </row>
    <row r="36" spans="1:24" s="98" customFormat="1" ht="15" thickBot="1" x14ac:dyDescent="0.35">
      <c r="A36" s="109">
        <v>46007</v>
      </c>
      <c r="B36" s="102">
        <v>8.8000000000000007</v>
      </c>
      <c r="C36" s="103">
        <v>79</v>
      </c>
      <c r="D36" s="94">
        <v>7.93</v>
      </c>
      <c r="E36" s="93">
        <f>(6241+6390)/2</f>
        <v>6315.5</v>
      </c>
      <c r="F36" s="93">
        <f>(26701+26890)/2</f>
        <v>26795.5</v>
      </c>
      <c r="G36" s="94">
        <f t="shared" si="0"/>
        <v>0.23569256031796385</v>
      </c>
      <c r="H36" s="95">
        <v>548</v>
      </c>
      <c r="I36" s="104"/>
      <c r="J36" s="96">
        <v>532</v>
      </c>
      <c r="K36" s="96" t="s">
        <v>39</v>
      </c>
      <c r="L36" s="96" t="s">
        <v>37</v>
      </c>
      <c r="M36" s="96" t="s">
        <v>37</v>
      </c>
      <c r="N36" s="96" t="s">
        <v>40</v>
      </c>
      <c r="O36" s="96" t="s">
        <v>38</v>
      </c>
      <c r="P36" s="96" t="s">
        <v>38</v>
      </c>
      <c r="Q36" s="107">
        <v>4400</v>
      </c>
      <c r="R36" s="97">
        <v>0.78</v>
      </c>
      <c r="S36" s="94">
        <v>0.22</v>
      </c>
      <c r="T36" s="94">
        <v>1.1000000000000001</v>
      </c>
      <c r="U36" s="92">
        <v>0.83</v>
      </c>
      <c r="X36" s="99"/>
    </row>
    <row r="37" spans="1:24" x14ac:dyDescent="0.3">
      <c r="A37" s="85">
        <v>46027</v>
      </c>
      <c r="B37" s="105"/>
      <c r="C37" s="101"/>
      <c r="D37" s="27"/>
      <c r="E37" s="28"/>
      <c r="F37" s="58"/>
      <c r="G37" s="27"/>
      <c r="H37" s="106"/>
      <c r="I37" s="27"/>
      <c r="J37" s="38"/>
      <c r="K37" s="38"/>
      <c r="L37" s="38"/>
      <c r="M37" s="38"/>
      <c r="N37" s="38"/>
      <c r="O37" s="38"/>
      <c r="P37" s="38"/>
      <c r="Q37" s="38"/>
      <c r="R37" s="91"/>
      <c r="S37" s="27"/>
      <c r="T37" s="27"/>
      <c r="U37" s="27"/>
      <c r="X37" s="46"/>
    </row>
    <row r="38" spans="1:24" x14ac:dyDescent="0.3">
      <c r="A38" s="35">
        <v>46041</v>
      </c>
      <c r="B38" s="48">
        <v>8</v>
      </c>
      <c r="C38" s="49">
        <v>78.2</v>
      </c>
      <c r="D38" s="39">
        <v>8</v>
      </c>
      <c r="E38" s="33">
        <v>5767</v>
      </c>
      <c r="F38" s="33">
        <v>24278</v>
      </c>
      <c r="G38" s="39">
        <f t="shared" ref="G38:G46" si="1">E38/F38</f>
        <v>0.2375401598154708</v>
      </c>
      <c r="H38" s="44">
        <v>494</v>
      </c>
      <c r="I38" s="13"/>
      <c r="J38" s="31">
        <v>494</v>
      </c>
      <c r="K38" s="31" t="s">
        <v>39</v>
      </c>
      <c r="L38" s="31" t="s">
        <v>37</v>
      </c>
      <c r="M38" s="31" t="s">
        <v>37</v>
      </c>
      <c r="N38" s="31" t="s">
        <v>40</v>
      </c>
      <c r="O38" s="31" t="s">
        <v>38</v>
      </c>
      <c r="P38" s="31" t="s">
        <v>38</v>
      </c>
      <c r="Q38" s="45">
        <v>4012</v>
      </c>
      <c r="R38" s="30">
        <v>0.71</v>
      </c>
      <c r="S38" s="39">
        <v>0.2</v>
      </c>
      <c r="T38" s="39">
        <v>1.06</v>
      </c>
      <c r="U38" s="42">
        <v>0.73</v>
      </c>
      <c r="X38" s="46"/>
    </row>
    <row r="39" spans="1:24" x14ac:dyDescent="0.3">
      <c r="A39" s="35">
        <v>46048</v>
      </c>
      <c r="B39" s="48">
        <v>7.8</v>
      </c>
      <c r="C39" s="49">
        <v>81.400000000000006</v>
      </c>
      <c r="D39" s="39">
        <v>7.88</v>
      </c>
      <c r="E39" s="33">
        <v>5215</v>
      </c>
      <c r="F39" s="33">
        <v>21739</v>
      </c>
      <c r="G39" s="39">
        <f t="shared" si="1"/>
        <v>0.2398914393486361</v>
      </c>
      <c r="H39" s="44">
        <v>251</v>
      </c>
      <c r="I39" s="13"/>
      <c r="J39" s="31">
        <v>251</v>
      </c>
      <c r="K39" s="31" t="s">
        <v>39</v>
      </c>
      <c r="L39" s="31" t="s">
        <v>37</v>
      </c>
      <c r="M39" s="31" t="s">
        <v>37</v>
      </c>
      <c r="N39" s="31" t="s">
        <v>40</v>
      </c>
      <c r="O39" s="31" t="s">
        <v>38</v>
      </c>
      <c r="P39" s="31" t="s">
        <v>38</v>
      </c>
      <c r="Q39" s="45">
        <v>3634</v>
      </c>
      <c r="R39" s="30">
        <v>0.63</v>
      </c>
      <c r="S39" s="40">
        <v>0.2</v>
      </c>
      <c r="T39" s="40">
        <v>1.07</v>
      </c>
      <c r="U39" s="42">
        <v>0.75</v>
      </c>
      <c r="X39" s="46"/>
    </row>
    <row r="40" spans="1:24" x14ac:dyDescent="0.3">
      <c r="A40" s="35">
        <v>46063</v>
      </c>
      <c r="B40" s="48">
        <v>7.3</v>
      </c>
      <c r="C40" s="49">
        <v>77.7</v>
      </c>
      <c r="D40" s="39">
        <v>7.96</v>
      </c>
      <c r="E40" s="33">
        <f>(4991+5086)/2</f>
        <v>5038.5</v>
      </c>
      <c r="F40" s="33">
        <f>(20355+20544)/2</f>
        <v>20449.5</v>
      </c>
      <c r="G40" s="39">
        <f t="shared" si="1"/>
        <v>0.24638744223575149</v>
      </c>
      <c r="H40" s="44">
        <v>463</v>
      </c>
      <c r="I40" s="13"/>
      <c r="J40" s="31">
        <v>444</v>
      </c>
      <c r="K40" s="31" t="s">
        <v>39</v>
      </c>
      <c r="L40" s="31" t="s">
        <v>37</v>
      </c>
      <c r="M40" s="31" t="s">
        <v>37</v>
      </c>
      <c r="N40" s="31" t="s">
        <v>40</v>
      </c>
      <c r="O40" s="31" t="s">
        <v>38</v>
      </c>
      <c r="P40" s="31" t="s">
        <v>38</v>
      </c>
      <c r="Q40" s="45">
        <v>3400</v>
      </c>
      <c r="R40" s="30">
        <v>0.64</v>
      </c>
      <c r="S40" s="41">
        <v>0.16</v>
      </c>
      <c r="T40" s="40">
        <v>0.92</v>
      </c>
      <c r="U40" s="42">
        <v>0.68</v>
      </c>
      <c r="X40" s="46"/>
    </row>
    <row r="41" spans="1:24" x14ac:dyDescent="0.3">
      <c r="A41" s="35">
        <v>46076</v>
      </c>
      <c r="B41" s="48">
        <v>7.4</v>
      </c>
      <c r="C41" s="49">
        <v>81.2</v>
      </c>
      <c r="D41" s="39">
        <v>7.78</v>
      </c>
      <c r="E41" s="33">
        <f>(4874+5099)/2</f>
        <v>4986.5</v>
      </c>
      <c r="F41" s="33">
        <f>(19852+19821)/2</f>
        <v>19836.5</v>
      </c>
      <c r="G41" s="39">
        <f t="shared" si="1"/>
        <v>0.25138003175963503</v>
      </c>
      <c r="H41" s="44">
        <v>392</v>
      </c>
      <c r="I41" s="13"/>
      <c r="J41" s="31">
        <v>373</v>
      </c>
      <c r="K41" s="31" t="s">
        <v>39</v>
      </c>
      <c r="L41" s="31" t="s">
        <v>37</v>
      </c>
      <c r="M41" s="31" t="s">
        <v>37</v>
      </c>
      <c r="N41" s="31" t="s">
        <v>40</v>
      </c>
      <c r="O41" s="31" t="s">
        <v>38</v>
      </c>
      <c r="P41" s="31" t="s">
        <v>38</v>
      </c>
      <c r="Q41" s="45">
        <v>3303</v>
      </c>
      <c r="R41" s="30">
        <v>0.62</v>
      </c>
      <c r="S41" s="40">
        <v>0.22</v>
      </c>
      <c r="T41" s="40">
        <v>1.19</v>
      </c>
      <c r="U41" s="39">
        <v>1.05</v>
      </c>
      <c r="X41" s="46"/>
    </row>
    <row r="42" spans="1:24" x14ac:dyDescent="0.3">
      <c r="A42" s="35">
        <v>46083</v>
      </c>
      <c r="B42" s="48">
        <v>7.6</v>
      </c>
      <c r="C42" s="49">
        <v>79.2</v>
      </c>
      <c r="D42" s="39">
        <v>7.9</v>
      </c>
      <c r="E42" s="33">
        <v>4705</v>
      </c>
      <c r="F42" s="33">
        <v>20382</v>
      </c>
      <c r="G42" s="39">
        <f t="shared" si="1"/>
        <v>0.23084093808262193</v>
      </c>
      <c r="H42" s="44">
        <v>342</v>
      </c>
      <c r="I42" s="13"/>
      <c r="J42" s="31">
        <v>331</v>
      </c>
      <c r="K42" s="31" t="s">
        <v>39</v>
      </c>
      <c r="L42" s="31" t="s">
        <v>37</v>
      </c>
      <c r="M42" s="31" t="s">
        <v>37</v>
      </c>
      <c r="N42" s="31" t="s">
        <v>40</v>
      </c>
      <c r="O42" s="31" t="s">
        <v>38</v>
      </c>
      <c r="P42" s="31" t="s">
        <v>38</v>
      </c>
      <c r="Q42" s="45">
        <v>3397</v>
      </c>
      <c r="R42" s="30">
        <v>0.63</v>
      </c>
      <c r="S42" s="40">
        <v>0.25</v>
      </c>
      <c r="T42" s="40">
        <v>1.28</v>
      </c>
      <c r="U42" s="39">
        <v>1.18</v>
      </c>
      <c r="X42" s="46"/>
    </row>
    <row r="43" spans="1:24" x14ac:dyDescent="0.3">
      <c r="A43" s="35">
        <v>46097</v>
      </c>
      <c r="B43" s="48">
        <v>7.9</v>
      </c>
      <c r="C43" s="49">
        <v>83.4</v>
      </c>
      <c r="D43" s="39">
        <v>7.89</v>
      </c>
      <c r="E43" s="33">
        <v>4687</v>
      </c>
      <c r="F43" s="33">
        <v>22007</v>
      </c>
      <c r="G43" s="39">
        <f t="shared" si="1"/>
        <v>0.21297768891716273</v>
      </c>
      <c r="H43" s="44">
        <v>325</v>
      </c>
      <c r="I43" s="13"/>
      <c r="J43" s="31">
        <v>314</v>
      </c>
      <c r="K43" s="31" t="s">
        <v>39</v>
      </c>
      <c r="L43" s="31" t="s">
        <v>37</v>
      </c>
      <c r="M43" s="31" t="s">
        <v>37</v>
      </c>
      <c r="N43" s="31" t="s">
        <v>40</v>
      </c>
      <c r="O43" s="31" t="s">
        <v>38</v>
      </c>
      <c r="P43" s="31" t="s">
        <v>38</v>
      </c>
      <c r="Q43" s="45">
        <v>2972</v>
      </c>
      <c r="R43" s="30">
        <v>0.68</v>
      </c>
      <c r="S43" s="40">
        <v>0.27</v>
      </c>
      <c r="T43" s="40">
        <v>1.25</v>
      </c>
      <c r="U43" s="39">
        <v>1.45</v>
      </c>
      <c r="X43" s="46"/>
    </row>
    <row r="44" spans="1:24" x14ac:dyDescent="0.3">
      <c r="A44" s="35">
        <v>46111</v>
      </c>
      <c r="B44" s="48">
        <v>7.8</v>
      </c>
      <c r="C44" s="49">
        <v>77.400000000000006</v>
      </c>
      <c r="D44" s="39">
        <v>7.89</v>
      </c>
      <c r="E44" s="33">
        <f>(4812+4818)/2</f>
        <v>4815</v>
      </c>
      <c r="F44" s="33">
        <f>(22339+22494)/2</f>
        <v>22416.5</v>
      </c>
      <c r="G44" s="39">
        <f t="shared" si="1"/>
        <v>0.21479713603818615</v>
      </c>
      <c r="H44" s="44">
        <v>330</v>
      </c>
      <c r="I44" s="13"/>
      <c r="J44" s="31">
        <v>312</v>
      </c>
      <c r="K44" s="31" t="s">
        <v>39</v>
      </c>
      <c r="L44" s="31" t="s">
        <v>37</v>
      </c>
      <c r="M44" s="31" t="s">
        <v>37</v>
      </c>
      <c r="N44" s="31" t="s">
        <v>40</v>
      </c>
      <c r="O44" s="31" t="s">
        <v>38</v>
      </c>
      <c r="P44" s="31" t="s">
        <v>38</v>
      </c>
      <c r="Q44" s="31"/>
      <c r="R44" s="30"/>
      <c r="S44" s="37"/>
      <c r="T44" s="37"/>
      <c r="U44" s="13"/>
      <c r="X44" s="46"/>
    </row>
    <row r="45" spans="1:24" x14ac:dyDescent="0.3">
      <c r="A45" s="35">
        <v>46118</v>
      </c>
      <c r="B45" s="48">
        <v>8</v>
      </c>
      <c r="C45" s="49">
        <v>82.2</v>
      </c>
      <c r="D45" s="39">
        <v>7.99</v>
      </c>
      <c r="E45" s="33">
        <v>4964</v>
      </c>
      <c r="F45" s="33">
        <v>22763</v>
      </c>
      <c r="G45" s="39">
        <f t="shared" si="1"/>
        <v>0.21807318894697536</v>
      </c>
      <c r="H45" s="44">
        <v>140</v>
      </c>
      <c r="I45" s="13"/>
      <c r="J45" s="31">
        <v>117</v>
      </c>
      <c r="K45" s="31" t="s">
        <v>39</v>
      </c>
      <c r="L45" s="31" t="s">
        <v>37</v>
      </c>
      <c r="M45" s="31" t="s">
        <v>37</v>
      </c>
      <c r="N45" s="31" t="s">
        <v>40</v>
      </c>
      <c r="O45" s="31" t="s">
        <v>38</v>
      </c>
      <c r="P45" s="31" t="s">
        <v>38</v>
      </c>
      <c r="Q45" s="45">
        <v>3474</v>
      </c>
      <c r="R45" s="30">
        <v>0.69</v>
      </c>
      <c r="S45" s="40">
        <v>0.27</v>
      </c>
      <c r="T45" s="40">
        <v>1.49</v>
      </c>
      <c r="U45" s="39">
        <v>1.21</v>
      </c>
      <c r="X45" s="46"/>
    </row>
    <row r="46" spans="1:24" x14ac:dyDescent="0.3">
      <c r="A46" s="35">
        <v>46135</v>
      </c>
      <c r="B46" s="48">
        <v>8.1</v>
      </c>
      <c r="C46" s="49">
        <v>79.400000000000006</v>
      </c>
      <c r="D46" s="39">
        <v>7.92</v>
      </c>
      <c r="E46" s="33">
        <f>(5081+5025)/2</f>
        <v>5053</v>
      </c>
      <c r="F46" s="33">
        <f>(25183+24930)/2</f>
        <v>25056.5</v>
      </c>
      <c r="G46" s="39">
        <f t="shared" si="1"/>
        <v>0.20166423882026621</v>
      </c>
      <c r="H46" s="29" t="s">
        <v>62</v>
      </c>
      <c r="I46" s="13"/>
      <c r="J46" s="29" t="s">
        <v>62</v>
      </c>
      <c r="K46" s="29" t="s">
        <v>62</v>
      </c>
      <c r="L46" s="29" t="s">
        <v>62</v>
      </c>
      <c r="M46" s="29" t="s">
        <v>62</v>
      </c>
      <c r="N46" s="29" t="s">
        <v>62</v>
      </c>
      <c r="O46" s="29" t="s">
        <v>62</v>
      </c>
      <c r="P46" s="29" t="s">
        <v>62</v>
      </c>
      <c r="Q46" s="29" t="s">
        <v>62</v>
      </c>
      <c r="R46" s="29" t="s">
        <v>62</v>
      </c>
      <c r="S46" s="29" t="s">
        <v>62</v>
      </c>
      <c r="T46" s="29" t="s">
        <v>62</v>
      </c>
      <c r="U46" s="29" t="s">
        <v>62</v>
      </c>
      <c r="X46" s="46"/>
    </row>
    <row r="47" spans="1:24" x14ac:dyDescent="0.3">
      <c r="A47" s="35"/>
      <c r="B47" s="49"/>
      <c r="C47" s="49"/>
      <c r="D47" s="13"/>
      <c r="E47" s="33"/>
      <c r="F47" s="33"/>
      <c r="G47" s="13"/>
      <c r="H47" s="29"/>
      <c r="I47" s="13"/>
      <c r="J47" s="31"/>
      <c r="K47" s="31"/>
      <c r="L47" s="31"/>
      <c r="M47" s="31"/>
      <c r="N47" s="31"/>
      <c r="O47" s="31"/>
      <c r="P47" s="31"/>
      <c r="Q47" s="31"/>
      <c r="R47" s="30"/>
      <c r="S47" s="37"/>
      <c r="T47" s="37"/>
      <c r="U47" s="13"/>
      <c r="X47" s="46"/>
    </row>
    <row r="48" spans="1:24" x14ac:dyDescent="0.3">
      <c r="A48" s="35"/>
      <c r="B48" s="49"/>
      <c r="C48" s="49"/>
      <c r="D48" s="13"/>
      <c r="E48" s="33"/>
      <c r="F48" s="33"/>
      <c r="G48" s="13"/>
      <c r="H48" s="29"/>
      <c r="I48" s="13"/>
      <c r="J48" s="31"/>
      <c r="K48" s="31"/>
      <c r="L48" s="31"/>
      <c r="M48" s="31"/>
      <c r="N48" s="31"/>
      <c r="O48" s="31"/>
      <c r="P48" s="31"/>
      <c r="Q48" s="31"/>
      <c r="R48" s="30"/>
      <c r="S48" s="37"/>
      <c r="T48" s="37"/>
      <c r="U48" s="13"/>
      <c r="X48" s="46"/>
    </row>
    <row r="49" spans="1:24" x14ac:dyDescent="0.3">
      <c r="A49" s="35"/>
      <c r="B49" s="49"/>
      <c r="C49" s="49"/>
      <c r="D49" s="13"/>
      <c r="E49" s="33"/>
      <c r="F49" s="33"/>
      <c r="G49" s="13"/>
      <c r="H49" s="29"/>
      <c r="I49" s="13"/>
      <c r="J49" s="31"/>
      <c r="K49" s="31"/>
      <c r="L49" s="31"/>
      <c r="M49" s="31"/>
      <c r="N49" s="31"/>
      <c r="O49" s="31"/>
      <c r="P49" s="31"/>
      <c r="Q49" s="31"/>
      <c r="R49" s="30"/>
      <c r="S49" s="37"/>
      <c r="T49" s="37"/>
      <c r="U49" s="13"/>
      <c r="X49" s="46"/>
    </row>
    <row r="50" spans="1:24" x14ac:dyDescent="0.3">
      <c r="A50" s="35"/>
      <c r="B50" s="49"/>
      <c r="C50" s="49"/>
      <c r="D50" s="13"/>
      <c r="E50" s="33"/>
      <c r="F50" s="33"/>
      <c r="G50" s="13"/>
      <c r="H50" s="29"/>
      <c r="I50" s="13"/>
      <c r="J50" s="31"/>
      <c r="K50" s="31"/>
      <c r="L50" s="31"/>
      <c r="M50" s="31"/>
      <c r="N50" s="31"/>
      <c r="O50" s="31"/>
      <c r="P50" s="31"/>
      <c r="Q50" s="31"/>
      <c r="R50" s="30"/>
      <c r="S50" s="37"/>
      <c r="T50" s="37"/>
      <c r="U50" s="13"/>
      <c r="X50" s="46"/>
    </row>
    <row r="51" spans="1:24" x14ac:dyDescent="0.3">
      <c r="A51" s="35"/>
      <c r="B51" s="49"/>
      <c r="C51" s="49"/>
      <c r="D51" s="13"/>
      <c r="E51" s="33"/>
      <c r="F51" s="33"/>
      <c r="G51" s="13"/>
      <c r="H51" s="29"/>
      <c r="I51" s="13"/>
      <c r="J51" s="31"/>
      <c r="K51" s="31"/>
      <c r="L51" s="31"/>
      <c r="M51" s="31"/>
      <c r="N51" s="31"/>
      <c r="O51" s="31"/>
      <c r="P51" s="31"/>
      <c r="Q51" s="31"/>
      <c r="R51" s="30"/>
      <c r="S51" s="37"/>
      <c r="T51" s="37"/>
      <c r="U51" s="13"/>
      <c r="X51" s="46"/>
    </row>
    <row r="52" spans="1:24" x14ac:dyDescent="0.3">
      <c r="A52" s="35"/>
      <c r="B52" s="49"/>
      <c r="C52" s="49"/>
      <c r="D52" s="13"/>
      <c r="E52" s="33"/>
      <c r="F52" s="33"/>
      <c r="G52" s="13"/>
      <c r="H52" s="29"/>
      <c r="I52" s="13"/>
      <c r="J52" s="31"/>
      <c r="K52" s="31"/>
      <c r="L52" s="31"/>
      <c r="M52" s="31"/>
      <c r="N52" s="31"/>
      <c r="O52" s="31"/>
      <c r="P52" s="31"/>
      <c r="Q52" s="31"/>
      <c r="R52" s="30"/>
      <c r="S52" s="37"/>
      <c r="T52" s="37"/>
      <c r="U52" s="13"/>
      <c r="X52" s="46"/>
    </row>
    <row r="53" spans="1:24" x14ac:dyDescent="0.3">
      <c r="A53" s="35"/>
      <c r="B53" s="49"/>
      <c r="C53" s="49"/>
      <c r="D53" s="13"/>
      <c r="E53" s="33"/>
      <c r="F53" s="33"/>
      <c r="G53" s="13"/>
      <c r="H53" s="29"/>
      <c r="I53" s="13"/>
      <c r="J53" s="31"/>
      <c r="K53" s="31"/>
      <c r="L53" s="31"/>
      <c r="M53" s="31"/>
      <c r="N53" s="31"/>
      <c r="O53" s="31"/>
      <c r="P53" s="31"/>
      <c r="Q53" s="31"/>
      <c r="R53" s="30"/>
      <c r="S53" s="37"/>
      <c r="T53" s="37"/>
      <c r="U53" s="13"/>
      <c r="X53" s="46"/>
    </row>
    <row r="54" spans="1:24" x14ac:dyDescent="0.3">
      <c r="A54" s="35"/>
      <c r="B54" s="49"/>
      <c r="C54" s="49"/>
      <c r="D54" s="13"/>
      <c r="E54" s="33"/>
      <c r="F54" s="33"/>
      <c r="G54" s="13"/>
      <c r="H54" s="29"/>
      <c r="I54" s="13"/>
      <c r="J54" s="31"/>
      <c r="K54" s="31"/>
      <c r="L54" s="31"/>
      <c r="M54" s="31"/>
      <c r="N54" s="31"/>
      <c r="O54" s="31"/>
      <c r="P54" s="31"/>
      <c r="Q54" s="31"/>
      <c r="R54" s="30"/>
      <c r="S54" s="37"/>
      <c r="T54" s="37"/>
      <c r="U54" s="13"/>
      <c r="X54" s="46"/>
    </row>
    <row r="55" spans="1:24" x14ac:dyDescent="0.3">
      <c r="A55" s="35"/>
      <c r="B55" s="49"/>
      <c r="C55" s="49"/>
      <c r="D55" s="13"/>
      <c r="E55" s="33"/>
      <c r="F55" s="33"/>
      <c r="G55" s="13"/>
      <c r="H55" s="29"/>
      <c r="I55" s="13"/>
      <c r="J55" s="31"/>
      <c r="K55" s="31"/>
      <c r="L55" s="31"/>
      <c r="M55" s="31"/>
      <c r="N55" s="31"/>
      <c r="O55" s="31"/>
      <c r="P55" s="31"/>
      <c r="Q55" s="31"/>
      <c r="R55" s="30"/>
      <c r="S55" s="37"/>
      <c r="T55" s="37"/>
      <c r="U55" s="13"/>
      <c r="X55" s="46"/>
    </row>
    <row r="56" spans="1:24" x14ac:dyDescent="0.3">
      <c r="A56" s="35"/>
      <c r="B56" s="49"/>
      <c r="C56" s="49"/>
      <c r="D56" s="13"/>
      <c r="E56" s="33"/>
      <c r="F56" s="33"/>
      <c r="G56" s="13"/>
      <c r="H56" s="49"/>
      <c r="I56" s="13"/>
      <c r="J56" s="31"/>
      <c r="K56" s="31"/>
      <c r="L56" s="31"/>
      <c r="M56" s="31"/>
      <c r="N56" s="31"/>
      <c r="O56" s="31"/>
      <c r="P56" s="31"/>
      <c r="Q56" s="31"/>
      <c r="R56" s="30"/>
      <c r="S56" s="37"/>
      <c r="T56" s="37"/>
      <c r="U56" s="13"/>
      <c r="X56" s="46"/>
    </row>
    <row r="57" spans="1:24" x14ac:dyDescent="0.3">
      <c r="A57" s="35"/>
      <c r="B57" s="49"/>
      <c r="C57" s="49"/>
      <c r="D57" s="13"/>
      <c r="E57" s="33"/>
      <c r="F57" s="33"/>
      <c r="G57" s="13"/>
      <c r="H57" s="29"/>
      <c r="I57" s="13"/>
      <c r="J57" s="31"/>
      <c r="K57" s="31"/>
      <c r="L57" s="31"/>
      <c r="M57" s="31"/>
      <c r="N57" s="31"/>
      <c r="O57" s="31"/>
      <c r="P57" s="31"/>
      <c r="Q57" s="31"/>
      <c r="R57" s="30"/>
      <c r="S57" s="37"/>
      <c r="T57" s="37"/>
      <c r="U57" s="13"/>
      <c r="X57" s="46"/>
    </row>
    <row r="58" spans="1:24" x14ac:dyDescent="0.3">
      <c r="A58" s="35"/>
      <c r="B58" s="49"/>
      <c r="C58" s="49"/>
      <c r="D58" s="13"/>
      <c r="E58" s="33"/>
      <c r="F58" s="33"/>
      <c r="G58" s="13"/>
      <c r="H58" s="31"/>
      <c r="I58" s="34"/>
      <c r="J58" s="31"/>
      <c r="K58" s="31"/>
      <c r="L58" s="31"/>
      <c r="M58" s="31"/>
      <c r="N58" s="31"/>
      <c r="O58" s="31"/>
      <c r="P58" s="31"/>
      <c r="Q58" s="31"/>
      <c r="R58" s="30"/>
      <c r="S58" s="37"/>
      <c r="T58" s="37"/>
      <c r="U58" s="13"/>
      <c r="X58" s="46"/>
    </row>
    <row r="59" spans="1:24" x14ac:dyDescent="0.3">
      <c r="A59" s="35"/>
      <c r="B59" s="49"/>
      <c r="C59" s="49"/>
      <c r="D59" s="13"/>
      <c r="E59" s="33"/>
      <c r="F59" s="33"/>
      <c r="G59" s="13"/>
      <c r="H59" s="15"/>
      <c r="I59" s="15"/>
      <c r="J59" s="15"/>
      <c r="K59" s="31"/>
      <c r="L59" s="31"/>
      <c r="M59" s="31"/>
      <c r="N59" s="31"/>
      <c r="O59" s="31"/>
      <c r="P59" s="31"/>
      <c r="Q59" s="31"/>
      <c r="R59" s="30"/>
      <c r="S59" s="37"/>
      <c r="T59" s="37"/>
      <c r="U59" s="13"/>
      <c r="X59" s="46"/>
    </row>
    <row r="60" spans="1:24" x14ac:dyDescent="0.3">
      <c r="A60" s="35"/>
      <c r="B60" s="49"/>
      <c r="C60" s="49"/>
      <c r="D60" s="13"/>
      <c r="E60" s="33"/>
      <c r="F60" s="33"/>
      <c r="G60" s="13"/>
      <c r="H60" s="15"/>
      <c r="I60" s="15"/>
      <c r="J60" s="15"/>
      <c r="K60" s="31"/>
      <c r="L60" s="31"/>
      <c r="M60" s="31"/>
      <c r="N60" s="31"/>
      <c r="O60" s="31"/>
      <c r="P60" s="31"/>
      <c r="Q60" s="31"/>
      <c r="R60" s="30"/>
      <c r="S60" s="37"/>
      <c r="T60" s="37"/>
      <c r="U60" s="13"/>
      <c r="X60" s="46"/>
    </row>
    <row r="61" spans="1:24" x14ac:dyDescent="0.3">
      <c r="A61" s="35"/>
      <c r="B61" s="49"/>
      <c r="C61" s="49"/>
      <c r="D61" s="13"/>
      <c r="E61" s="33"/>
      <c r="F61" s="33"/>
      <c r="G61" s="13"/>
      <c r="H61" s="15"/>
      <c r="I61" s="15"/>
      <c r="J61" s="15"/>
      <c r="K61" s="31"/>
      <c r="L61" s="31"/>
      <c r="M61" s="31"/>
      <c r="N61" s="31"/>
      <c r="O61" s="31"/>
      <c r="P61" s="31"/>
      <c r="Q61" s="31"/>
      <c r="R61" s="30"/>
      <c r="S61" s="37"/>
      <c r="T61" s="37"/>
      <c r="U61" s="13"/>
      <c r="X61" s="46"/>
    </row>
    <row r="62" spans="1:24" x14ac:dyDescent="0.3">
      <c r="A62" s="35"/>
      <c r="B62" s="49"/>
      <c r="C62" s="49"/>
      <c r="D62" s="13"/>
      <c r="E62" s="33"/>
      <c r="F62" s="33"/>
      <c r="G62" s="13"/>
      <c r="H62" s="15"/>
      <c r="I62" s="15"/>
      <c r="J62" s="15"/>
      <c r="K62" s="31"/>
      <c r="L62" s="31"/>
      <c r="M62" s="31"/>
      <c r="N62" s="31"/>
      <c r="O62" s="31"/>
      <c r="P62" s="31"/>
      <c r="Q62" s="31"/>
      <c r="R62" s="30"/>
      <c r="S62" s="37"/>
      <c r="T62" s="37"/>
      <c r="U62" s="13"/>
      <c r="X62" s="46"/>
    </row>
    <row r="63" spans="1:24" x14ac:dyDescent="0.3">
      <c r="A63" s="35"/>
      <c r="B63" s="49"/>
      <c r="C63" s="49"/>
      <c r="D63" s="13"/>
      <c r="E63" s="33"/>
      <c r="F63" s="33"/>
      <c r="G63" s="13"/>
      <c r="H63" s="15"/>
      <c r="I63" s="15"/>
      <c r="J63" s="15"/>
      <c r="K63" s="31"/>
      <c r="L63" s="31"/>
      <c r="M63" s="31"/>
      <c r="N63" s="31"/>
      <c r="O63" s="31"/>
      <c r="P63" s="31"/>
      <c r="Q63" s="31"/>
      <c r="R63" s="30"/>
      <c r="S63" s="37"/>
      <c r="T63" s="37"/>
      <c r="U63" s="13"/>
      <c r="X63" s="46"/>
    </row>
    <row r="64" spans="1:24" x14ac:dyDescent="0.3">
      <c r="A64" s="35"/>
      <c r="B64" s="49"/>
      <c r="C64" s="49"/>
      <c r="D64" s="13"/>
      <c r="E64" s="33"/>
      <c r="F64" s="33"/>
      <c r="G64" s="13"/>
      <c r="H64" s="15"/>
      <c r="I64" s="15"/>
      <c r="J64" s="15"/>
      <c r="K64" s="31"/>
      <c r="L64" s="31"/>
      <c r="M64" s="31"/>
      <c r="N64" s="31"/>
      <c r="O64" s="31"/>
      <c r="P64" s="31"/>
      <c r="Q64" s="31"/>
      <c r="R64" s="30"/>
      <c r="S64" s="37"/>
      <c r="T64" s="37"/>
      <c r="U64" s="13"/>
      <c r="X64" s="46"/>
    </row>
    <row r="65" spans="1:24" x14ac:dyDescent="0.3">
      <c r="A65" s="35"/>
      <c r="B65" s="49"/>
      <c r="C65" s="49"/>
      <c r="D65" s="13"/>
      <c r="E65" s="33"/>
      <c r="F65" s="33"/>
      <c r="G65" s="13"/>
      <c r="H65" s="15"/>
      <c r="I65" s="15"/>
      <c r="J65" s="15"/>
      <c r="K65" s="31"/>
      <c r="L65" s="31"/>
      <c r="M65" s="31"/>
      <c r="N65" s="31"/>
      <c r="O65" s="31"/>
      <c r="P65" s="31"/>
      <c r="Q65" s="31"/>
      <c r="R65" s="30"/>
      <c r="S65" s="37"/>
      <c r="T65" s="37"/>
      <c r="U65" s="13"/>
      <c r="X65" s="46"/>
    </row>
    <row r="66" spans="1:24" x14ac:dyDescent="0.3">
      <c r="A66" s="35"/>
      <c r="B66" s="49"/>
      <c r="C66" s="49"/>
      <c r="D66" s="13"/>
      <c r="E66" s="33"/>
      <c r="F66" s="33"/>
      <c r="G66" s="13"/>
      <c r="H66" s="15"/>
      <c r="I66" s="15"/>
      <c r="J66" s="15"/>
      <c r="K66" s="31"/>
      <c r="L66" s="31"/>
      <c r="M66" s="31"/>
      <c r="N66" s="31"/>
      <c r="O66" s="31"/>
      <c r="P66" s="31"/>
      <c r="Q66" s="31"/>
      <c r="R66" s="30"/>
      <c r="S66" s="37"/>
      <c r="T66" s="37"/>
      <c r="U66" s="13"/>
      <c r="X66" s="46"/>
    </row>
    <row r="67" spans="1:24" x14ac:dyDescent="0.3">
      <c r="A67" s="35"/>
      <c r="B67" s="49"/>
      <c r="C67" s="49"/>
      <c r="D67" s="13"/>
      <c r="E67" s="33"/>
      <c r="F67" s="33"/>
      <c r="G67" s="13"/>
      <c r="H67" s="15"/>
      <c r="I67" s="15"/>
      <c r="J67" s="33"/>
      <c r="K67" s="31"/>
      <c r="L67" s="31"/>
      <c r="M67" s="31"/>
      <c r="N67" s="31"/>
      <c r="O67" s="31"/>
      <c r="P67" s="31"/>
      <c r="Q67" s="31"/>
      <c r="R67" s="30"/>
      <c r="S67" s="37"/>
      <c r="T67" s="37"/>
      <c r="U67" s="13"/>
      <c r="X67" s="46"/>
    </row>
    <row r="68" spans="1:24" x14ac:dyDescent="0.3">
      <c r="A68" s="35"/>
      <c r="B68" s="49"/>
      <c r="C68" s="49"/>
      <c r="D68" s="13"/>
      <c r="E68" s="33"/>
      <c r="F68" s="33"/>
      <c r="G68" s="13"/>
      <c r="H68" s="15"/>
      <c r="I68" s="15"/>
      <c r="J68" s="33"/>
      <c r="K68" s="31"/>
      <c r="L68" s="31"/>
      <c r="M68" s="31"/>
      <c r="N68" s="31"/>
      <c r="O68" s="31"/>
      <c r="P68" s="31"/>
      <c r="Q68" s="31"/>
      <c r="R68" s="30"/>
      <c r="S68" s="37"/>
      <c r="T68" s="37"/>
      <c r="U68" s="13"/>
      <c r="X68" s="46"/>
    </row>
    <row r="69" spans="1:24" x14ac:dyDescent="0.3">
      <c r="A69" s="35"/>
      <c r="B69" s="49"/>
      <c r="C69" s="49"/>
      <c r="D69" s="13"/>
      <c r="E69" s="33"/>
      <c r="F69" s="33"/>
      <c r="G69" s="13"/>
      <c r="H69" s="15"/>
      <c r="I69" s="15"/>
      <c r="J69" s="33"/>
      <c r="K69" s="31"/>
      <c r="L69" s="31"/>
      <c r="M69" s="31"/>
      <c r="N69" s="31"/>
      <c r="O69" s="31"/>
      <c r="P69" s="31"/>
      <c r="Q69" s="31"/>
      <c r="R69" s="30"/>
      <c r="S69" s="37"/>
      <c r="T69" s="37"/>
      <c r="U69" s="37"/>
      <c r="X69" s="46"/>
    </row>
    <row r="70" spans="1:24" x14ac:dyDescent="0.3">
      <c r="A70" s="35"/>
      <c r="B70" s="49"/>
      <c r="C70" s="49"/>
      <c r="D70" s="13"/>
      <c r="E70" s="33"/>
      <c r="F70" s="33"/>
      <c r="G70" s="13"/>
      <c r="H70" s="15"/>
      <c r="I70" s="15"/>
      <c r="J70" s="33"/>
      <c r="K70" s="31"/>
      <c r="L70" s="31"/>
      <c r="M70" s="31"/>
      <c r="N70" s="31"/>
      <c r="O70" s="31"/>
      <c r="P70" s="31"/>
      <c r="Q70" s="31"/>
      <c r="R70" s="30"/>
      <c r="S70" s="37"/>
      <c r="T70" s="37"/>
      <c r="U70" s="13"/>
      <c r="X70" s="46"/>
    </row>
    <row r="71" spans="1:24" x14ac:dyDescent="0.3">
      <c r="A71" s="35"/>
      <c r="B71" s="49"/>
      <c r="C71" s="49"/>
      <c r="D71" s="13"/>
      <c r="E71" s="33"/>
      <c r="F71" s="33"/>
      <c r="G71" s="13"/>
      <c r="H71" s="15"/>
      <c r="I71" s="15"/>
      <c r="J71" s="33"/>
      <c r="K71" s="31"/>
      <c r="L71" s="31"/>
      <c r="M71" s="31"/>
      <c r="N71" s="31"/>
      <c r="O71" s="31"/>
      <c r="P71" s="31"/>
      <c r="Q71" s="31"/>
      <c r="R71" s="30"/>
      <c r="S71" s="37"/>
      <c r="T71" s="37"/>
      <c r="U71" s="13"/>
      <c r="X71" s="46"/>
    </row>
    <row r="72" spans="1:24" x14ac:dyDescent="0.3">
      <c r="A72" s="35"/>
      <c r="B72" s="49"/>
      <c r="C72" s="49"/>
      <c r="D72" s="13"/>
      <c r="E72" s="33"/>
      <c r="F72" s="33"/>
      <c r="G72" s="13"/>
      <c r="H72" s="15"/>
      <c r="I72" s="15"/>
      <c r="J72" s="33"/>
      <c r="K72" s="31"/>
      <c r="L72" s="31"/>
      <c r="M72" s="31"/>
      <c r="N72" s="31"/>
      <c r="O72" s="31"/>
      <c r="P72" s="31"/>
      <c r="Q72" s="31"/>
      <c r="R72" s="30"/>
      <c r="S72" s="37"/>
      <c r="T72" s="37"/>
      <c r="U72" s="37"/>
      <c r="X72" s="46"/>
    </row>
    <row r="73" spans="1:24" x14ac:dyDescent="0.3">
      <c r="A73" s="35"/>
      <c r="B73" s="49"/>
      <c r="C73" s="49"/>
      <c r="D73" s="13"/>
      <c r="E73" s="33"/>
      <c r="F73" s="33"/>
      <c r="G73" s="13"/>
      <c r="H73" s="15"/>
      <c r="I73" s="15"/>
      <c r="J73" s="33"/>
      <c r="K73" s="31"/>
      <c r="L73" s="31"/>
      <c r="M73" s="31"/>
      <c r="N73" s="31"/>
      <c r="O73" s="31"/>
      <c r="P73" s="31"/>
      <c r="Q73" s="31"/>
      <c r="R73" s="30"/>
      <c r="S73" s="37"/>
      <c r="T73" s="37"/>
      <c r="U73" s="37"/>
      <c r="X73" s="46"/>
    </row>
    <row r="74" spans="1:24" x14ac:dyDescent="0.3">
      <c r="A74" s="35"/>
      <c r="B74" s="49"/>
      <c r="C74" s="49"/>
      <c r="D74" s="13"/>
      <c r="E74" s="33"/>
      <c r="F74" s="33"/>
      <c r="G74" s="13"/>
      <c r="H74" s="15"/>
      <c r="I74" s="15"/>
      <c r="J74" s="33"/>
      <c r="K74" s="31"/>
      <c r="L74" s="31"/>
      <c r="M74" s="31"/>
      <c r="N74" s="31"/>
      <c r="O74" s="31"/>
      <c r="P74" s="31"/>
      <c r="Q74" s="31"/>
      <c r="R74" s="30"/>
      <c r="S74" s="37"/>
      <c r="T74" s="37"/>
      <c r="U74" s="37"/>
      <c r="X74" s="46"/>
    </row>
    <row r="75" spans="1:24" x14ac:dyDescent="0.3">
      <c r="A75" s="35"/>
      <c r="B75" s="49"/>
      <c r="C75" s="49"/>
      <c r="D75" s="13"/>
      <c r="E75" s="33"/>
      <c r="F75" s="33"/>
      <c r="G75" s="13"/>
      <c r="H75" s="15"/>
      <c r="I75" s="15"/>
      <c r="J75" s="33"/>
      <c r="K75" s="31"/>
      <c r="L75" s="31"/>
      <c r="M75" s="31"/>
      <c r="N75" s="31"/>
      <c r="O75" s="31"/>
      <c r="P75" s="31"/>
      <c r="Q75" s="31"/>
      <c r="R75" s="30"/>
      <c r="S75" s="37"/>
      <c r="T75" s="37"/>
      <c r="U75" s="37"/>
      <c r="X75" s="46"/>
    </row>
    <row r="76" spans="1:24" x14ac:dyDescent="0.3">
      <c r="A76" s="35"/>
      <c r="B76" s="49"/>
      <c r="C76" s="49"/>
      <c r="D76" s="13"/>
      <c r="E76" s="33"/>
      <c r="F76" s="33"/>
      <c r="G76" s="13"/>
      <c r="H76" s="15"/>
      <c r="I76" s="15"/>
      <c r="J76" s="33"/>
      <c r="K76" s="31"/>
      <c r="L76" s="31"/>
      <c r="M76" s="31"/>
      <c r="N76" s="31"/>
      <c r="O76" s="31"/>
      <c r="P76" s="31"/>
      <c r="Q76" s="31"/>
      <c r="R76" s="30"/>
      <c r="S76" s="37"/>
      <c r="T76" s="37"/>
      <c r="U76" s="37"/>
      <c r="X76" s="46"/>
    </row>
    <row r="77" spans="1:24" x14ac:dyDescent="0.3">
      <c r="A77" s="35"/>
      <c r="B77" s="49"/>
      <c r="C77" s="49"/>
      <c r="D77" s="13"/>
      <c r="E77" s="33"/>
      <c r="F77" s="33"/>
      <c r="G77" s="13"/>
      <c r="H77" s="15"/>
      <c r="I77" s="15"/>
      <c r="J77" s="33"/>
      <c r="K77" s="31"/>
      <c r="L77" s="31"/>
      <c r="M77" s="31"/>
      <c r="N77" s="31"/>
      <c r="O77" s="31"/>
      <c r="P77" s="31"/>
      <c r="Q77" s="31"/>
      <c r="R77" s="30"/>
      <c r="S77" s="37"/>
      <c r="T77" s="37"/>
      <c r="U77" s="37"/>
      <c r="X77" s="46"/>
    </row>
    <row r="78" spans="1:24" x14ac:dyDescent="0.3">
      <c r="A78" s="35"/>
      <c r="B78" s="49"/>
      <c r="C78" s="49"/>
      <c r="D78" s="13"/>
      <c r="E78" s="33"/>
      <c r="F78" s="33"/>
      <c r="G78" s="13"/>
      <c r="H78" s="15"/>
      <c r="I78" s="15"/>
      <c r="J78" s="33"/>
      <c r="K78" s="31"/>
      <c r="L78" s="31"/>
      <c r="M78" s="31"/>
      <c r="N78" s="31"/>
      <c r="O78" s="31"/>
      <c r="P78" s="31"/>
      <c r="Q78" s="31"/>
      <c r="R78" s="30"/>
      <c r="S78" s="37"/>
      <c r="T78" s="37"/>
      <c r="U78" s="37"/>
      <c r="X78" s="46"/>
    </row>
    <row r="79" spans="1:24" x14ac:dyDescent="0.3">
      <c r="A79" s="35"/>
      <c r="B79" s="49"/>
      <c r="C79" s="49"/>
      <c r="D79" s="13"/>
      <c r="E79" s="33"/>
      <c r="F79" s="33"/>
      <c r="G79" s="13"/>
      <c r="H79" s="15"/>
      <c r="I79" s="15"/>
      <c r="J79" s="33"/>
      <c r="K79" s="31"/>
      <c r="L79" s="31"/>
      <c r="M79" s="31"/>
      <c r="N79" s="31"/>
      <c r="O79" s="31"/>
      <c r="P79" s="31"/>
      <c r="Q79" s="31"/>
      <c r="R79" s="30"/>
      <c r="S79" s="37"/>
      <c r="T79" s="37"/>
      <c r="U79" s="37"/>
      <c r="X79" s="46"/>
    </row>
    <row r="80" spans="1:24" x14ac:dyDescent="0.3">
      <c r="A80" s="35"/>
      <c r="B80" s="49"/>
      <c r="C80" s="49"/>
      <c r="D80" s="13"/>
      <c r="E80" s="33"/>
      <c r="F80" s="33"/>
      <c r="G80" s="13"/>
      <c r="H80" s="15"/>
      <c r="I80" s="15"/>
      <c r="J80" s="33"/>
      <c r="K80" s="31"/>
      <c r="L80" s="31"/>
      <c r="M80" s="31"/>
      <c r="N80" s="31"/>
      <c r="O80" s="31"/>
      <c r="P80" s="31"/>
      <c r="Q80" s="31"/>
      <c r="R80" s="30"/>
      <c r="S80" s="37"/>
      <c r="T80" s="37"/>
      <c r="U80" s="37"/>
      <c r="X80" s="46"/>
    </row>
    <row r="81" spans="1:24" x14ac:dyDescent="0.3">
      <c r="A81" s="35"/>
      <c r="B81" s="49"/>
      <c r="C81" s="49"/>
      <c r="D81" s="13"/>
      <c r="E81" s="33"/>
      <c r="F81" s="33"/>
      <c r="G81" s="13"/>
      <c r="H81" s="15"/>
      <c r="I81" s="15"/>
      <c r="J81" s="33"/>
      <c r="K81" s="31"/>
      <c r="L81" s="31"/>
      <c r="M81" s="31"/>
      <c r="N81" s="31"/>
      <c r="O81" s="31"/>
      <c r="P81" s="31"/>
      <c r="Q81" s="31"/>
      <c r="R81" s="30"/>
      <c r="S81" s="37"/>
      <c r="T81" s="37"/>
      <c r="U81" s="37"/>
      <c r="X81" s="46"/>
    </row>
    <row r="82" spans="1:24" x14ac:dyDescent="0.3">
      <c r="A82" s="35"/>
      <c r="B82" s="15"/>
      <c r="C82" s="12"/>
      <c r="D82" s="13"/>
      <c r="E82" s="33"/>
      <c r="F82" s="33"/>
      <c r="G82" s="13"/>
      <c r="H82" s="15"/>
      <c r="I82" s="15"/>
      <c r="J82" s="33"/>
      <c r="K82" s="31"/>
      <c r="L82" s="31"/>
      <c r="M82" s="31"/>
      <c r="N82" s="31"/>
      <c r="O82" s="31"/>
      <c r="P82" s="31"/>
      <c r="Q82" s="31"/>
      <c r="R82" s="30"/>
      <c r="S82" s="37"/>
      <c r="T82" s="37"/>
      <c r="U82" s="37"/>
      <c r="X82" s="46"/>
    </row>
    <row r="83" spans="1:24" x14ac:dyDescent="0.3">
      <c r="A83" s="35"/>
      <c r="B83" s="15"/>
      <c r="C83" s="12"/>
      <c r="D83" s="13"/>
      <c r="E83" s="33"/>
      <c r="F83" s="33"/>
      <c r="G83" s="13"/>
      <c r="H83" s="15"/>
      <c r="I83" s="15"/>
      <c r="J83" s="33"/>
      <c r="K83" s="31"/>
      <c r="L83" s="31"/>
      <c r="M83" s="31"/>
      <c r="N83" s="31"/>
      <c r="O83" s="31"/>
      <c r="P83" s="31"/>
      <c r="Q83" s="31"/>
      <c r="R83" s="30"/>
      <c r="S83" s="37"/>
      <c r="T83" s="37"/>
      <c r="U83" s="37"/>
      <c r="X83" s="46"/>
    </row>
    <row r="84" spans="1:24" x14ac:dyDescent="0.3">
      <c r="A84" s="35"/>
      <c r="B84" s="15"/>
      <c r="C84" s="12"/>
      <c r="D84" s="13"/>
      <c r="E84" s="33"/>
      <c r="F84" s="33"/>
      <c r="G84" s="13"/>
      <c r="H84" s="15"/>
      <c r="I84" s="15"/>
      <c r="J84" s="33"/>
      <c r="K84" s="31"/>
      <c r="L84" s="31"/>
      <c r="M84" s="31"/>
      <c r="N84" s="31"/>
      <c r="O84" s="31"/>
      <c r="P84" s="31"/>
      <c r="Q84" s="31"/>
      <c r="R84" s="30"/>
      <c r="S84" s="37"/>
      <c r="T84" s="37"/>
      <c r="U84" s="37"/>
      <c r="X84" s="46"/>
    </row>
    <row r="85" spans="1:24" x14ac:dyDescent="0.3">
      <c r="A85" s="35"/>
      <c r="B85" s="15"/>
      <c r="C85" s="12"/>
      <c r="D85" s="13"/>
      <c r="E85" s="33"/>
      <c r="F85" s="33"/>
      <c r="G85" s="13"/>
      <c r="H85" s="15"/>
      <c r="I85" s="15"/>
      <c r="J85" s="33"/>
      <c r="K85" s="31"/>
      <c r="L85" s="31"/>
      <c r="M85" s="31"/>
      <c r="N85" s="31"/>
      <c r="O85" s="31"/>
      <c r="P85" s="31"/>
      <c r="Q85" s="31"/>
      <c r="R85" s="30"/>
      <c r="S85" s="37"/>
      <c r="T85" s="37"/>
      <c r="U85" s="37"/>
      <c r="X85" s="46"/>
    </row>
    <row r="86" spans="1:24" x14ac:dyDescent="0.3">
      <c r="A86" s="35"/>
      <c r="B86" s="15"/>
      <c r="C86" s="12"/>
      <c r="D86" s="13"/>
      <c r="E86" s="33"/>
      <c r="F86" s="33"/>
      <c r="G86" s="13"/>
      <c r="H86" s="15"/>
      <c r="I86" s="15"/>
      <c r="J86" s="33"/>
      <c r="K86" s="31"/>
      <c r="L86" s="31"/>
      <c r="M86" s="31"/>
      <c r="N86" s="31"/>
      <c r="O86" s="31"/>
      <c r="P86" s="31"/>
      <c r="Q86" s="31"/>
      <c r="R86" s="30"/>
      <c r="S86" s="37"/>
      <c r="T86" s="37"/>
      <c r="U86" s="37"/>
      <c r="X86" s="46"/>
    </row>
    <row r="87" spans="1:24" x14ac:dyDescent="0.3">
      <c r="A87" s="35"/>
      <c r="B87" s="15"/>
      <c r="C87" s="12"/>
      <c r="D87" s="13"/>
      <c r="E87" s="33"/>
      <c r="F87" s="33"/>
      <c r="G87" s="13"/>
      <c r="H87" s="15"/>
      <c r="I87" s="15"/>
      <c r="J87" s="33"/>
      <c r="K87" s="31"/>
      <c r="L87" s="31"/>
      <c r="M87" s="31"/>
      <c r="N87" s="31"/>
      <c r="O87" s="31"/>
      <c r="P87" s="31"/>
      <c r="Q87" s="31"/>
      <c r="R87" s="30"/>
      <c r="S87" s="37"/>
      <c r="T87" s="37"/>
      <c r="U87" s="37"/>
      <c r="X87" s="46"/>
    </row>
    <row r="88" spans="1:24" x14ac:dyDescent="0.3">
      <c r="A88" s="35"/>
      <c r="B88" s="15"/>
      <c r="C88" s="12"/>
      <c r="D88" s="13"/>
      <c r="E88" s="33"/>
      <c r="F88" s="33"/>
      <c r="G88" s="13"/>
      <c r="H88" s="15"/>
      <c r="I88" s="15"/>
      <c r="J88" s="33"/>
      <c r="K88" s="31"/>
      <c r="L88" s="31"/>
      <c r="M88" s="31"/>
      <c r="N88" s="31"/>
      <c r="O88" s="31"/>
      <c r="P88" s="31"/>
      <c r="Q88" s="31"/>
      <c r="R88" s="30"/>
      <c r="S88" s="37"/>
      <c r="T88" s="37"/>
      <c r="U88" s="37"/>
      <c r="X88" s="46"/>
    </row>
    <row r="89" spans="1:24" x14ac:dyDescent="0.3">
      <c r="A89" s="35"/>
      <c r="B89" s="15"/>
      <c r="C89" s="12"/>
      <c r="D89" s="13"/>
      <c r="E89" s="33"/>
      <c r="F89" s="33"/>
      <c r="G89" s="13"/>
      <c r="H89" s="15"/>
      <c r="I89" s="15"/>
      <c r="J89" s="29"/>
      <c r="K89" s="31"/>
      <c r="L89" s="31"/>
      <c r="M89" s="31"/>
      <c r="N89" s="31"/>
      <c r="O89" s="31"/>
      <c r="P89" s="31"/>
      <c r="Q89" s="31"/>
      <c r="R89" s="30"/>
      <c r="S89" s="37"/>
      <c r="T89" s="37"/>
      <c r="U89" s="37"/>
      <c r="X89" s="46"/>
    </row>
    <row r="90" spans="1:24" x14ac:dyDescent="0.3">
      <c r="A90" s="35"/>
      <c r="B90" s="15"/>
      <c r="C90" s="12"/>
      <c r="D90" s="13"/>
      <c r="E90" s="33"/>
      <c r="F90" s="33"/>
      <c r="G90" s="13"/>
      <c r="H90" s="15"/>
      <c r="I90" s="15"/>
      <c r="J90" s="29"/>
      <c r="K90" s="31"/>
      <c r="L90" s="31"/>
      <c r="M90" s="31"/>
      <c r="N90" s="31"/>
      <c r="O90" s="31"/>
      <c r="P90" s="31"/>
      <c r="Q90" s="31"/>
      <c r="R90" s="30"/>
      <c r="S90" s="37"/>
      <c r="T90" s="37"/>
      <c r="U90" s="37"/>
      <c r="X90" s="46"/>
    </row>
    <row r="91" spans="1:24" x14ac:dyDescent="0.3">
      <c r="A91" s="35"/>
      <c r="B91" s="15"/>
      <c r="C91" s="12"/>
      <c r="D91" s="13"/>
      <c r="E91" s="33"/>
      <c r="F91" s="33"/>
      <c r="G91" s="13"/>
      <c r="H91" s="15"/>
      <c r="I91" s="15"/>
      <c r="J91" s="29"/>
      <c r="K91" s="31"/>
      <c r="L91" s="31"/>
      <c r="M91" s="31"/>
      <c r="N91" s="31"/>
      <c r="O91" s="31"/>
      <c r="P91" s="31"/>
      <c r="Q91" s="31"/>
      <c r="R91" s="30"/>
      <c r="S91" s="37"/>
      <c r="T91" s="37"/>
      <c r="U91" s="37"/>
      <c r="X91" s="46"/>
    </row>
    <row r="92" spans="1:24" x14ac:dyDescent="0.3">
      <c r="A92" s="35"/>
      <c r="B92" s="15"/>
      <c r="C92" s="12"/>
      <c r="D92" s="13"/>
      <c r="E92" s="33"/>
      <c r="F92" s="33"/>
      <c r="G92" s="13"/>
      <c r="H92" s="15"/>
      <c r="I92" s="15"/>
      <c r="J92" s="29"/>
      <c r="K92" s="31"/>
      <c r="L92" s="31"/>
      <c r="M92" s="31"/>
      <c r="N92" s="31"/>
      <c r="O92" s="31"/>
      <c r="P92" s="31"/>
      <c r="Q92" s="31"/>
      <c r="R92" s="30"/>
      <c r="S92" s="37"/>
      <c r="T92" s="37"/>
      <c r="U92" s="37"/>
      <c r="X92" s="46"/>
    </row>
    <row r="93" spans="1:24" x14ac:dyDescent="0.3">
      <c r="A93" s="35"/>
      <c r="B93" s="15"/>
      <c r="C93" s="12"/>
      <c r="D93" s="13"/>
      <c r="E93" s="33"/>
      <c r="F93" s="33"/>
      <c r="G93" s="13"/>
      <c r="H93" s="15"/>
      <c r="I93" s="15"/>
      <c r="J93" s="29"/>
      <c r="K93" s="31"/>
      <c r="L93" s="31"/>
      <c r="M93" s="31"/>
      <c r="N93" s="31"/>
      <c r="O93" s="31"/>
      <c r="P93" s="31"/>
      <c r="Q93" s="31"/>
      <c r="R93" s="30"/>
      <c r="S93" s="37"/>
      <c r="T93" s="37"/>
      <c r="U93" s="37"/>
      <c r="X93" s="46"/>
    </row>
    <row r="94" spans="1:24" x14ac:dyDescent="0.3">
      <c r="A94" s="35"/>
      <c r="B94" s="15"/>
      <c r="C94" s="12"/>
      <c r="D94" s="13"/>
      <c r="E94" s="33"/>
      <c r="F94" s="33"/>
      <c r="G94" s="13"/>
      <c r="H94" s="15"/>
      <c r="I94" s="15"/>
      <c r="J94" s="29"/>
      <c r="K94" s="31"/>
      <c r="L94" s="31"/>
      <c r="M94" s="31"/>
      <c r="N94" s="31"/>
      <c r="O94" s="31"/>
      <c r="P94" s="31"/>
      <c r="Q94" s="31"/>
      <c r="R94" s="30"/>
      <c r="S94" s="37"/>
      <c r="T94" s="37"/>
      <c r="U94" s="37"/>
      <c r="X94" s="46"/>
    </row>
    <row r="95" spans="1:24" x14ac:dyDescent="0.3">
      <c r="A95" s="35"/>
      <c r="B95" s="15"/>
      <c r="C95" s="12"/>
      <c r="D95" s="13"/>
      <c r="E95" s="33"/>
      <c r="F95" s="33"/>
      <c r="G95" s="13"/>
      <c r="H95" s="15"/>
      <c r="I95" s="15"/>
      <c r="J95" s="29"/>
      <c r="K95" s="31"/>
      <c r="L95" s="31"/>
      <c r="M95" s="31"/>
      <c r="N95" s="31"/>
      <c r="O95" s="31"/>
      <c r="P95" s="31"/>
      <c r="Q95" s="31"/>
      <c r="R95" s="30"/>
      <c r="S95" s="37"/>
      <c r="T95" s="37"/>
      <c r="U95" s="37"/>
      <c r="X95" s="46"/>
    </row>
    <row r="96" spans="1:24" x14ac:dyDescent="0.3">
      <c r="A96" s="35"/>
      <c r="B96" s="15"/>
      <c r="C96" s="12"/>
      <c r="D96" s="13"/>
      <c r="E96" s="33"/>
      <c r="F96" s="33"/>
      <c r="G96" s="13"/>
      <c r="H96" s="15"/>
      <c r="I96" s="15"/>
      <c r="J96" s="29"/>
      <c r="K96" s="31"/>
      <c r="L96" s="31"/>
      <c r="M96" s="31"/>
      <c r="N96" s="31"/>
      <c r="O96" s="31"/>
      <c r="P96" s="31"/>
      <c r="Q96" s="31"/>
      <c r="R96" s="30"/>
      <c r="S96" s="37"/>
      <c r="T96" s="37"/>
      <c r="U96" s="37"/>
      <c r="X96" s="46"/>
    </row>
    <row r="97" spans="1:24" x14ac:dyDescent="0.3">
      <c r="A97" s="35"/>
      <c r="B97" s="15"/>
      <c r="C97" s="12"/>
      <c r="D97" s="13"/>
      <c r="E97" s="33"/>
      <c r="F97" s="33"/>
      <c r="G97" s="13"/>
      <c r="H97" s="15"/>
      <c r="I97" s="15"/>
      <c r="J97" s="29"/>
      <c r="K97" s="31"/>
      <c r="L97" s="31"/>
      <c r="M97" s="31"/>
      <c r="N97" s="31"/>
      <c r="O97" s="31"/>
      <c r="P97" s="31"/>
      <c r="Q97" s="31"/>
      <c r="R97" s="30"/>
      <c r="S97" s="37"/>
      <c r="T97" s="37"/>
      <c r="U97" s="37"/>
      <c r="X97" s="46"/>
    </row>
    <row r="98" spans="1:24" x14ac:dyDescent="0.3">
      <c r="A98" s="35"/>
      <c r="B98" s="15"/>
      <c r="C98" s="12"/>
      <c r="D98" s="13"/>
      <c r="E98" s="33"/>
      <c r="F98" s="33"/>
      <c r="G98" s="13"/>
      <c r="H98" s="15"/>
      <c r="I98" s="15"/>
      <c r="J98" s="29"/>
      <c r="K98" s="31"/>
      <c r="L98" s="31"/>
      <c r="M98" s="31"/>
      <c r="N98" s="31"/>
      <c r="O98" s="31"/>
      <c r="P98" s="31"/>
      <c r="Q98" s="31"/>
      <c r="R98" s="30"/>
      <c r="S98" s="37"/>
      <c r="T98" s="37"/>
      <c r="U98" s="37"/>
      <c r="X98" s="46"/>
    </row>
    <row r="99" spans="1:24" x14ac:dyDescent="0.3">
      <c r="A99" s="35"/>
      <c r="B99" s="15"/>
      <c r="C99" s="12"/>
      <c r="D99" s="13"/>
      <c r="E99" s="33"/>
      <c r="F99" s="33"/>
      <c r="G99" s="13"/>
      <c r="H99" s="15"/>
      <c r="I99" s="15"/>
      <c r="J99" s="29"/>
      <c r="K99" s="31"/>
      <c r="L99" s="31"/>
      <c r="M99" s="31"/>
      <c r="N99" s="31"/>
      <c r="O99" s="31"/>
      <c r="P99" s="31"/>
      <c r="Q99" s="31"/>
      <c r="R99" s="30"/>
      <c r="S99" s="37"/>
      <c r="T99" s="37"/>
      <c r="U99" s="37"/>
      <c r="X99" s="46"/>
    </row>
    <row r="100" spans="1:24" x14ac:dyDescent="0.3">
      <c r="A100" s="35"/>
      <c r="B100" s="15"/>
      <c r="C100" s="12"/>
      <c r="D100" s="13"/>
      <c r="E100" s="33"/>
      <c r="F100" s="33"/>
      <c r="G100" s="13"/>
      <c r="H100" s="15"/>
      <c r="I100" s="15"/>
      <c r="J100" s="29"/>
      <c r="K100" s="31"/>
      <c r="L100" s="31"/>
      <c r="M100" s="31"/>
      <c r="N100" s="31"/>
      <c r="O100" s="31"/>
      <c r="P100" s="31"/>
      <c r="Q100" s="31"/>
      <c r="R100" s="30"/>
      <c r="S100" s="37"/>
      <c r="T100" s="37"/>
      <c r="U100" s="37"/>
      <c r="X100" s="46"/>
    </row>
    <row r="101" spans="1:24" x14ac:dyDescent="0.3">
      <c r="A101" s="35"/>
      <c r="B101" s="15"/>
      <c r="C101" s="12"/>
      <c r="D101" s="13"/>
      <c r="E101" s="33"/>
      <c r="F101" s="33"/>
      <c r="G101" s="13"/>
      <c r="H101" s="15"/>
      <c r="I101" s="15"/>
      <c r="J101" s="29"/>
      <c r="K101" s="31"/>
      <c r="L101" s="31"/>
      <c r="M101" s="31"/>
      <c r="N101" s="31"/>
      <c r="O101" s="31"/>
      <c r="P101" s="31"/>
      <c r="Q101" s="31"/>
      <c r="R101" s="30"/>
      <c r="S101" s="37"/>
      <c r="T101" s="37"/>
      <c r="U101" s="37"/>
      <c r="X101" s="46"/>
    </row>
    <row r="102" spans="1:24" x14ac:dyDescent="0.3">
      <c r="A102" s="35"/>
      <c r="B102" s="15"/>
      <c r="C102" s="12"/>
      <c r="D102" s="13"/>
      <c r="E102" s="33"/>
      <c r="F102" s="33"/>
      <c r="G102" s="13"/>
      <c r="H102" s="15"/>
      <c r="I102" s="15"/>
      <c r="J102" s="29"/>
      <c r="K102" s="31"/>
      <c r="L102" s="31"/>
      <c r="M102" s="31"/>
      <c r="N102" s="31"/>
      <c r="O102" s="31"/>
      <c r="P102" s="31"/>
      <c r="Q102" s="31"/>
      <c r="R102" s="30"/>
      <c r="S102" s="37"/>
      <c r="T102" s="37"/>
      <c r="U102" s="37"/>
      <c r="X102" s="46"/>
    </row>
    <row r="103" spans="1:24" x14ac:dyDescent="0.3">
      <c r="A103" s="35"/>
      <c r="B103" s="15"/>
      <c r="C103" s="12"/>
      <c r="D103" s="13"/>
      <c r="E103" s="33"/>
      <c r="F103" s="33"/>
      <c r="G103" s="13"/>
      <c r="H103" s="15"/>
      <c r="I103" s="15"/>
      <c r="J103" s="29"/>
      <c r="K103" s="31"/>
      <c r="L103" s="31"/>
      <c r="M103" s="31"/>
      <c r="N103" s="31"/>
      <c r="O103" s="31"/>
      <c r="P103" s="31"/>
      <c r="Q103" s="31"/>
      <c r="R103" s="30"/>
      <c r="S103" s="37"/>
      <c r="T103" s="37"/>
      <c r="U103" s="37"/>
      <c r="X103" s="46"/>
    </row>
    <row r="104" spans="1:24" x14ac:dyDescent="0.3">
      <c r="A104" s="35"/>
      <c r="B104" s="15"/>
      <c r="C104" s="12"/>
      <c r="D104" s="13"/>
      <c r="E104" s="33"/>
      <c r="F104" s="33"/>
      <c r="G104" s="13"/>
      <c r="H104" s="15"/>
      <c r="I104" s="15"/>
      <c r="J104" s="29"/>
      <c r="K104" s="31"/>
      <c r="L104" s="31"/>
      <c r="M104" s="31"/>
      <c r="N104" s="31"/>
      <c r="O104" s="31"/>
      <c r="P104" s="31"/>
      <c r="Q104" s="31"/>
      <c r="R104" s="30"/>
      <c r="S104" s="37"/>
      <c r="T104" s="37"/>
      <c r="U104" s="37"/>
      <c r="X104" s="46"/>
    </row>
    <row r="105" spans="1:24" x14ac:dyDescent="0.3">
      <c r="A105" s="35"/>
      <c r="B105" s="15"/>
      <c r="C105" s="12"/>
      <c r="D105" s="13"/>
      <c r="E105" s="33"/>
      <c r="F105" s="33"/>
      <c r="G105" s="13"/>
      <c r="H105" s="15"/>
      <c r="I105" s="15"/>
      <c r="J105" s="29"/>
      <c r="K105" s="31"/>
      <c r="L105" s="31"/>
      <c r="M105" s="31"/>
      <c r="N105" s="31"/>
      <c r="O105" s="31"/>
      <c r="P105" s="31"/>
      <c r="Q105" s="31"/>
      <c r="R105" s="30"/>
      <c r="S105" s="37"/>
      <c r="T105" s="37"/>
      <c r="U105" s="37"/>
      <c r="X105" s="46"/>
    </row>
    <row r="106" spans="1:24" x14ac:dyDescent="0.3">
      <c r="A106" s="35"/>
      <c r="B106" s="15"/>
      <c r="C106" s="12"/>
      <c r="D106" s="13"/>
      <c r="E106" s="33"/>
      <c r="F106" s="33"/>
      <c r="G106" s="13"/>
      <c r="H106" s="15"/>
      <c r="I106" s="15"/>
      <c r="J106" s="29"/>
      <c r="K106" s="31"/>
      <c r="L106" s="31"/>
      <c r="M106" s="31"/>
      <c r="N106" s="31"/>
      <c r="O106" s="31"/>
      <c r="P106" s="31"/>
      <c r="Q106" s="31"/>
      <c r="R106" s="30"/>
      <c r="S106" s="37"/>
      <c r="T106" s="37"/>
      <c r="U106" s="37"/>
      <c r="X106" s="46"/>
    </row>
    <row r="107" spans="1:24" x14ac:dyDescent="0.3">
      <c r="A107" s="35"/>
      <c r="B107" s="15"/>
      <c r="C107" s="12"/>
      <c r="D107" s="13"/>
      <c r="E107" s="33"/>
      <c r="F107" s="33"/>
      <c r="G107" s="13"/>
      <c r="H107" s="15"/>
      <c r="I107" s="15"/>
      <c r="J107" s="29"/>
      <c r="K107" s="31"/>
      <c r="L107" s="31"/>
      <c r="M107" s="31"/>
      <c r="N107" s="31"/>
      <c r="O107" s="31"/>
      <c r="P107" s="31"/>
      <c r="Q107" s="31"/>
      <c r="R107" s="30"/>
      <c r="S107" s="37"/>
      <c r="T107" s="37"/>
      <c r="U107" s="37"/>
      <c r="X107" s="46"/>
    </row>
    <row r="108" spans="1:24" x14ac:dyDescent="0.3">
      <c r="A108" s="35"/>
      <c r="B108" s="15"/>
      <c r="C108" s="12"/>
      <c r="D108" s="13"/>
      <c r="E108" s="33"/>
      <c r="F108" s="33"/>
      <c r="G108" s="13"/>
      <c r="H108" s="15"/>
      <c r="I108" s="15"/>
      <c r="J108" s="29"/>
      <c r="K108" s="31"/>
      <c r="L108" s="31"/>
      <c r="M108" s="31"/>
      <c r="N108" s="31"/>
      <c r="O108" s="31"/>
      <c r="P108" s="31"/>
      <c r="Q108" s="31"/>
      <c r="R108" s="30"/>
      <c r="S108" s="37"/>
      <c r="T108" s="37"/>
      <c r="U108" s="37"/>
      <c r="X108" s="46"/>
    </row>
    <row r="109" spans="1:24" x14ac:dyDescent="0.3">
      <c r="A109" s="35"/>
      <c r="B109" s="15"/>
      <c r="C109" s="12"/>
      <c r="D109" s="13"/>
      <c r="E109" s="33"/>
      <c r="F109" s="33"/>
      <c r="G109" s="13"/>
      <c r="H109" s="15"/>
      <c r="I109" s="15"/>
      <c r="J109" s="29"/>
      <c r="K109" s="31"/>
      <c r="L109" s="31"/>
      <c r="M109" s="31"/>
      <c r="N109" s="31"/>
      <c r="O109" s="31"/>
      <c r="P109" s="31"/>
      <c r="Q109" s="31"/>
      <c r="R109" s="30"/>
      <c r="S109" s="37"/>
      <c r="T109" s="37"/>
      <c r="U109" s="37"/>
      <c r="X109" s="46"/>
    </row>
    <row r="110" spans="1:24" x14ac:dyDescent="0.3">
      <c r="A110" s="35"/>
      <c r="B110" s="15"/>
      <c r="C110" s="12"/>
      <c r="D110" s="13"/>
      <c r="E110" s="33"/>
      <c r="F110" s="33"/>
      <c r="G110" s="13"/>
      <c r="H110" s="15"/>
      <c r="I110" s="15"/>
      <c r="J110" s="29"/>
      <c r="K110" s="31"/>
      <c r="L110" s="31"/>
      <c r="M110" s="31"/>
      <c r="N110" s="31"/>
      <c r="O110" s="31"/>
      <c r="P110" s="31"/>
      <c r="Q110" s="31"/>
      <c r="R110" s="30"/>
      <c r="S110" s="37"/>
      <c r="T110" s="37"/>
      <c r="U110" s="37"/>
      <c r="X110" s="46"/>
    </row>
    <row r="111" spans="1:24" x14ac:dyDescent="0.3">
      <c r="A111" s="35"/>
      <c r="B111" s="15"/>
      <c r="C111" s="12"/>
      <c r="D111" s="13"/>
      <c r="E111" s="33"/>
      <c r="F111" s="33"/>
      <c r="G111" s="13"/>
      <c r="H111" s="15"/>
      <c r="I111" s="15"/>
      <c r="J111" s="29"/>
      <c r="K111" s="31"/>
      <c r="L111" s="31"/>
      <c r="M111" s="31"/>
      <c r="N111" s="31"/>
      <c r="O111" s="31"/>
      <c r="P111" s="31"/>
      <c r="Q111" s="31"/>
      <c r="R111" s="30"/>
      <c r="S111" s="37"/>
      <c r="T111" s="37"/>
      <c r="U111" s="37"/>
      <c r="X111" s="46"/>
    </row>
    <row r="112" spans="1:24" x14ac:dyDescent="0.3">
      <c r="A112" s="35"/>
      <c r="B112" s="15"/>
      <c r="C112" s="12"/>
      <c r="D112" s="13"/>
      <c r="E112" s="33"/>
      <c r="F112" s="33"/>
      <c r="G112" s="13"/>
      <c r="H112" s="15"/>
      <c r="I112" s="15"/>
      <c r="J112" s="29"/>
      <c r="K112" s="31"/>
      <c r="L112" s="31"/>
      <c r="M112" s="31"/>
      <c r="N112" s="31"/>
      <c r="O112" s="31"/>
      <c r="P112" s="31"/>
      <c r="Q112" s="31"/>
      <c r="R112" s="30"/>
      <c r="S112" s="37"/>
      <c r="T112" s="37"/>
      <c r="U112" s="37"/>
      <c r="X112" s="46"/>
    </row>
    <row r="113" spans="1:24" x14ac:dyDescent="0.3">
      <c r="A113" s="35"/>
      <c r="B113" s="15"/>
      <c r="C113" s="12"/>
      <c r="D113" s="13"/>
      <c r="E113" s="33"/>
      <c r="F113" s="33"/>
      <c r="G113" s="13"/>
      <c r="H113" s="15"/>
      <c r="I113" s="15"/>
      <c r="J113" s="29"/>
      <c r="K113" s="31"/>
      <c r="L113" s="31"/>
      <c r="M113" s="31"/>
      <c r="N113" s="31"/>
      <c r="O113" s="31"/>
      <c r="P113" s="31"/>
      <c r="Q113" s="31"/>
      <c r="R113" s="30"/>
      <c r="S113" s="37"/>
      <c r="T113" s="37"/>
      <c r="U113" s="37"/>
      <c r="X113" s="46"/>
    </row>
    <row r="114" spans="1:24" x14ac:dyDescent="0.3">
      <c r="A114" s="35"/>
      <c r="B114" s="15"/>
      <c r="C114" s="12"/>
      <c r="D114" s="13"/>
      <c r="E114" s="33"/>
      <c r="F114" s="33"/>
      <c r="G114" s="13"/>
      <c r="H114" s="15"/>
      <c r="I114" s="15"/>
      <c r="J114" s="29"/>
      <c r="K114" s="31"/>
      <c r="L114" s="31"/>
      <c r="M114" s="31"/>
      <c r="N114" s="31"/>
      <c r="O114" s="31"/>
      <c r="P114" s="31"/>
      <c r="Q114" s="31"/>
      <c r="R114" s="30"/>
      <c r="S114" s="37"/>
      <c r="T114" s="37"/>
      <c r="U114" s="37"/>
      <c r="X114" s="46"/>
    </row>
    <row r="115" spans="1:24" x14ac:dyDescent="0.3">
      <c r="A115" s="35"/>
      <c r="B115" s="15"/>
      <c r="C115" s="12"/>
      <c r="D115" s="13"/>
      <c r="E115" s="33"/>
      <c r="F115" s="33"/>
      <c r="G115" s="13"/>
      <c r="H115" s="15"/>
      <c r="I115" s="15"/>
      <c r="J115" s="29"/>
      <c r="K115" s="31"/>
      <c r="L115" s="31"/>
      <c r="M115" s="31"/>
      <c r="N115" s="31"/>
      <c r="O115" s="31"/>
      <c r="P115" s="31"/>
      <c r="Q115" s="31"/>
      <c r="R115" s="30"/>
      <c r="S115" s="37"/>
      <c r="T115" s="37"/>
      <c r="U115" s="37"/>
      <c r="X115" s="46"/>
    </row>
    <row r="116" spans="1:24" x14ac:dyDescent="0.3">
      <c r="A116" s="35"/>
      <c r="B116" s="15"/>
      <c r="C116" s="12"/>
      <c r="D116" s="13"/>
      <c r="E116" s="33"/>
      <c r="F116" s="33"/>
      <c r="G116" s="13"/>
      <c r="H116" s="15"/>
      <c r="I116" s="15"/>
      <c r="J116" s="29"/>
      <c r="K116" s="31"/>
      <c r="L116" s="31"/>
      <c r="M116" s="31"/>
      <c r="N116" s="31"/>
      <c r="O116" s="31"/>
      <c r="P116" s="31"/>
      <c r="Q116" s="31"/>
      <c r="R116" s="30"/>
      <c r="S116" s="37"/>
      <c r="T116" s="37"/>
      <c r="U116" s="37"/>
      <c r="X116" s="46"/>
    </row>
    <row r="117" spans="1:24" x14ac:dyDescent="0.3">
      <c r="A117" s="35"/>
      <c r="B117" s="15"/>
      <c r="C117" s="12"/>
      <c r="D117" s="13"/>
      <c r="E117" s="33"/>
      <c r="F117" s="33"/>
      <c r="G117" s="13"/>
      <c r="H117" s="15"/>
      <c r="I117" s="15"/>
      <c r="J117" s="29"/>
      <c r="K117" s="31"/>
      <c r="L117" s="31"/>
      <c r="M117" s="31"/>
      <c r="N117" s="31"/>
      <c r="O117" s="31"/>
      <c r="P117" s="31"/>
      <c r="Q117" s="31"/>
      <c r="R117" s="30"/>
      <c r="S117" s="37"/>
      <c r="T117" s="37"/>
      <c r="U117" s="37"/>
      <c r="X117" s="46"/>
    </row>
    <row r="118" spans="1:24" x14ac:dyDescent="0.3">
      <c r="A118" s="35"/>
      <c r="B118" s="15"/>
      <c r="C118" s="12"/>
      <c r="D118" s="13"/>
      <c r="E118" s="33"/>
      <c r="F118" s="33"/>
      <c r="G118" s="13"/>
      <c r="H118" s="15"/>
      <c r="I118" s="15"/>
      <c r="J118" s="29"/>
      <c r="K118" s="31"/>
      <c r="L118" s="31"/>
      <c r="M118" s="31"/>
      <c r="N118" s="31"/>
      <c r="O118" s="31"/>
      <c r="P118" s="31"/>
      <c r="Q118" s="31"/>
      <c r="R118" s="30"/>
      <c r="S118" s="37"/>
      <c r="T118" s="37"/>
      <c r="U118" s="37"/>
      <c r="X118" s="46"/>
    </row>
    <row r="119" spans="1:24" x14ac:dyDescent="0.3">
      <c r="A119" s="35"/>
      <c r="B119" s="15"/>
      <c r="C119" s="12"/>
      <c r="D119" s="13"/>
      <c r="E119" s="33"/>
      <c r="F119" s="33"/>
      <c r="G119" s="13"/>
      <c r="H119" s="15"/>
      <c r="I119" s="15"/>
      <c r="J119" s="29"/>
      <c r="K119" s="31"/>
      <c r="L119" s="31"/>
      <c r="M119" s="31"/>
      <c r="N119" s="31"/>
      <c r="O119" s="31"/>
      <c r="P119" s="31"/>
      <c r="Q119" s="31"/>
      <c r="R119" s="30"/>
      <c r="S119" s="37"/>
      <c r="T119" s="37"/>
      <c r="U119" s="37"/>
      <c r="X119" s="46"/>
    </row>
    <row r="120" spans="1:24" x14ac:dyDescent="0.3">
      <c r="A120" s="35"/>
      <c r="B120" s="15"/>
      <c r="C120" s="12"/>
      <c r="D120" s="13"/>
      <c r="E120" s="33"/>
      <c r="F120" s="33"/>
      <c r="G120" s="13"/>
      <c r="H120" s="15"/>
      <c r="I120" s="15"/>
      <c r="J120" s="29"/>
      <c r="K120" s="31"/>
      <c r="L120" s="31"/>
      <c r="M120" s="31"/>
      <c r="N120" s="31"/>
      <c r="O120" s="31"/>
      <c r="P120" s="31"/>
      <c r="Q120" s="31"/>
      <c r="R120" s="30"/>
      <c r="S120" s="37"/>
      <c r="T120" s="37"/>
      <c r="U120" s="37"/>
      <c r="X120" s="46"/>
    </row>
    <row r="121" spans="1:24" x14ac:dyDescent="0.3">
      <c r="A121" s="35"/>
      <c r="B121" s="15"/>
      <c r="C121" s="12"/>
      <c r="D121" s="13"/>
      <c r="E121" s="33"/>
      <c r="F121" s="33"/>
      <c r="G121" s="13"/>
      <c r="H121" s="15"/>
      <c r="I121" s="15"/>
      <c r="J121" s="29"/>
      <c r="K121" s="31"/>
      <c r="L121" s="31"/>
      <c r="M121" s="31"/>
      <c r="N121" s="31"/>
      <c r="O121" s="31"/>
      <c r="P121" s="31"/>
      <c r="Q121" s="31"/>
      <c r="R121" s="30"/>
      <c r="S121" s="37"/>
      <c r="T121" s="37"/>
      <c r="U121" s="37"/>
      <c r="X121" s="46"/>
    </row>
    <row r="122" spans="1:24" x14ac:dyDescent="0.3">
      <c r="A122" s="35"/>
      <c r="B122" s="15"/>
      <c r="C122" s="12"/>
      <c r="D122" s="13"/>
      <c r="E122" s="33"/>
      <c r="F122" s="33"/>
      <c r="G122" s="13"/>
      <c r="H122" s="15"/>
      <c r="I122" s="15"/>
      <c r="J122" s="29"/>
      <c r="K122" s="31"/>
      <c r="L122" s="31"/>
      <c r="M122" s="31"/>
      <c r="N122" s="31"/>
      <c r="O122" s="31"/>
      <c r="P122" s="31"/>
      <c r="Q122" s="31"/>
      <c r="R122" s="30"/>
      <c r="S122" s="37"/>
      <c r="T122" s="37"/>
      <c r="U122" s="37"/>
      <c r="X122" s="46"/>
    </row>
    <row r="123" spans="1:24" x14ac:dyDescent="0.3">
      <c r="A123" s="35"/>
      <c r="B123" s="15"/>
      <c r="C123" s="12"/>
      <c r="D123" s="13"/>
      <c r="E123" s="33"/>
      <c r="F123" s="33"/>
      <c r="G123" s="13"/>
      <c r="H123" s="15"/>
      <c r="I123" s="15"/>
      <c r="J123" s="29"/>
      <c r="K123" s="31"/>
      <c r="L123" s="31"/>
      <c r="M123" s="31"/>
      <c r="N123" s="31"/>
      <c r="O123" s="31"/>
      <c r="P123" s="31"/>
      <c r="Q123" s="31"/>
      <c r="R123" s="30"/>
      <c r="S123" s="37"/>
      <c r="T123" s="37"/>
      <c r="U123" s="37"/>
      <c r="X123" s="46"/>
    </row>
    <row r="124" spans="1:24" x14ac:dyDescent="0.3">
      <c r="A124" s="35"/>
      <c r="B124" s="15"/>
      <c r="C124" s="12"/>
      <c r="D124" s="13"/>
      <c r="E124" s="33"/>
      <c r="F124" s="33"/>
      <c r="G124" s="13"/>
      <c r="H124" s="15"/>
      <c r="I124" s="15"/>
      <c r="J124" s="29"/>
      <c r="K124" s="31"/>
      <c r="L124" s="31"/>
      <c r="M124" s="31"/>
      <c r="N124" s="31"/>
      <c r="O124" s="31"/>
      <c r="P124" s="31"/>
      <c r="Q124" s="31"/>
      <c r="R124" s="30"/>
      <c r="S124" s="37"/>
      <c r="T124" s="37"/>
      <c r="U124" s="37"/>
      <c r="X124" s="46"/>
    </row>
    <row r="125" spans="1:24" x14ac:dyDescent="0.3">
      <c r="A125" s="35"/>
      <c r="B125" s="15"/>
      <c r="C125" s="12"/>
      <c r="D125" s="13"/>
      <c r="E125" s="33"/>
      <c r="F125" s="33"/>
      <c r="G125" s="13"/>
      <c r="H125" s="15"/>
      <c r="I125" s="15"/>
      <c r="J125" s="29"/>
      <c r="K125" s="31"/>
      <c r="L125" s="31"/>
      <c r="M125" s="31"/>
      <c r="N125" s="31"/>
      <c r="O125" s="31"/>
      <c r="P125" s="31"/>
      <c r="Q125" s="31"/>
      <c r="R125" s="30"/>
      <c r="S125" s="37"/>
      <c r="T125" s="37"/>
      <c r="U125" s="37"/>
      <c r="X125" s="46"/>
    </row>
    <row r="126" spans="1:24" x14ac:dyDescent="0.3">
      <c r="A126" s="35"/>
      <c r="B126" s="15"/>
      <c r="C126" s="12"/>
      <c r="D126" s="13"/>
      <c r="E126" s="33"/>
      <c r="F126" s="33"/>
      <c r="G126" s="13"/>
      <c r="H126" s="15"/>
      <c r="I126" s="15"/>
      <c r="J126" s="29"/>
      <c r="K126" s="31"/>
      <c r="L126" s="31"/>
      <c r="M126" s="31"/>
      <c r="N126" s="31"/>
      <c r="O126" s="31"/>
      <c r="P126" s="31"/>
      <c r="Q126" s="31"/>
      <c r="R126" s="30"/>
      <c r="S126" s="37"/>
      <c r="T126" s="37"/>
      <c r="U126" s="37"/>
      <c r="X126" s="46"/>
    </row>
    <row r="127" spans="1:24" x14ac:dyDescent="0.3">
      <c r="A127" s="35"/>
      <c r="B127" s="15"/>
      <c r="C127" s="12"/>
      <c r="D127" s="13"/>
      <c r="E127" s="33"/>
      <c r="F127" s="33"/>
      <c r="G127" s="13"/>
      <c r="H127" s="15"/>
      <c r="I127" s="15"/>
      <c r="J127" s="29"/>
      <c r="K127" s="31"/>
      <c r="L127" s="31"/>
      <c r="M127" s="31"/>
      <c r="N127" s="31"/>
      <c r="O127" s="31"/>
      <c r="P127" s="31"/>
      <c r="Q127" s="31"/>
      <c r="R127" s="30"/>
      <c r="S127" s="37"/>
      <c r="T127" s="37"/>
      <c r="U127" s="37"/>
      <c r="X127" s="46"/>
    </row>
    <row r="128" spans="1:24" x14ac:dyDescent="0.3">
      <c r="A128" s="35"/>
      <c r="B128" s="15"/>
      <c r="C128" s="12"/>
      <c r="D128" s="13"/>
      <c r="E128" s="33"/>
      <c r="F128" s="33"/>
      <c r="G128" s="13"/>
      <c r="H128" s="15"/>
      <c r="I128" s="15"/>
      <c r="J128" s="29"/>
      <c r="K128" s="31"/>
      <c r="L128" s="31"/>
      <c r="M128" s="31"/>
      <c r="N128" s="31"/>
      <c r="O128" s="31"/>
      <c r="P128" s="31"/>
      <c r="Q128" s="31"/>
      <c r="R128" s="30"/>
      <c r="S128" s="37"/>
      <c r="T128" s="37"/>
      <c r="U128" s="37"/>
      <c r="X128" s="46"/>
    </row>
    <row r="129" spans="1:24" x14ac:dyDescent="0.3">
      <c r="A129" s="35"/>
      <c r="B129" s="15"/>
      <c r="C129" s="12"/>
      <c r="D129" s="13"/>
      <c r="E129" s="33"/>
      <c r="F129" s="33"/>
      <c r="G129" s="13"/>
      <c r="H129" s="15"/>
      <c r="I129" s="15"/>
      <c r="J129" s="29"/>
      <c r="K129" s="31"/>
      <c r="L129" s="31"/>
      <c r="M129" s="31"/>
      <c r="N129" s="31"/>
      <c r="O129" s="31"/>
      <c r="P129" s="31"/>
      <c r="Q129" s="31"/>
      <c r="R129" s="30"/>
      <c r="S129" s="37"/>
      <c r="T129" s="37"/>
      <c r="U129" s="37"/>
      <c r="X129" s="46"/>
    </row>
    <row r="130" spans="1:24" x14ac:dyDescent="0.3">
      <c r="A130" s="35"/>
      <c r="B130" s="15"/>
      <c r="C130" s="12"/>
      <c r="D130" s="13"/>
      <c r="E130" s="33"/>
      <c r="F130" s="33"/>
      <c r="G130" s="13"/>
      <c r="H130" s="15"/>
      <c r="I130" s="15"/>
      <c r="J130" s="29"/>
      <c r="K130" s="31"/>
      <c r="L130" s="31"/>
      <c r="M130" s="31"/>
      <c r="N130" s="31"/>
      <c r="O130" s="31"/>
      <c r="P130" s="31"/>
      <c r="Q130" s="31"/>
      <c r="R130" s="30"/>
      <c r="S130" s="37"/>
      <c r="T130" s="37"/>
      <c r="U130" s="37"/>
      <c r="X130" s="46"/>
    </row>
    <row r="131" spans="1:24" x14ac:dyDescent="0.3">
      <c r="A131" s="35"/>
      <c r="B131" s="15"/>
      <c r="C131" s="12"/>
      <c r="D131" s="13"/>
      <c r="E131" s="33"/>
      <c r="F131" s="33"/>
      <c r="G131" s="13"/>
      <c r="H131" s="15"/>
      <c r="I131" s="15"/>
      <c r="J131" s="29"/>
      <c r="K131" s="31"/>
      <c r="L131" s="31"/>
      <c r="M131" s="31"/>
      <c r="N131" s="31"/>
      <c r="O131" s="31"/>
      <c r="P131" s="31"/>
      <c r="Q131" s="31"/>
      <c r="R131" s="30"/>
      <c r="S131" s="37"/>
      <c r="T131" s="37"/>
      <c r="U131" s="37"/>
      <c r="X131" s="46"/>
    </row>
    <row r="132" spans="1:24" x14ac:dyDescent="0.3">
      <c r="A132" s="35"/>
      <c r="B132" s="15"/>
      <c r="C132" s="12"/>
      <c r="D132" s="13"/>
      <c r="E132" s="33"/>
      <c r="F132" s="33"/>
      <c r="G132" s="13"/>
      <c r="H132" s="15"/>
      <c r="I132" s="15"/>
      <c r="J132" s="29"/>
      <c r="K132" s="31"/>
      <c r="L132" s="31"/>
      <c r="M132" s="31"/>
      <c r="N132" s="31"/>
      <c r="O132" s="31"/>
      <c r="P132" s="31"/>
      <c r="Q132" s="31"/>
      <c r="R132" s="30"/>
      <c r="S132" s="37"/>
      <c r="T132" s="37"/>
      <c r="U132" s="37"/>
      <c r="X132" s="46"/>
    </row>
    <row r="133" spans="1:24" x14ac:dyDescent="0.3">
      <c r="A133" s="35"/>
      <c r="B133" s="15"/>
      <c r="C133" s="12"/>
      <c r="D133" s="13"/>
      <c r="E133" s="33"/>
      <c r="F133" s="33"/>
      <c r="G133" s="13"/>
      <c r="H133" s="15"/>
      <c r="I133" s="15"/>
      <c r="J133" s="29"/>
      <c r="K133" s="31"/>
      <c r="L133" s="31"/>
      <c r="M133" s="31"/>
      <c r="N133" s="31"/>
      <c r="O133" s="31"/>
      <c r="P133" s="31"/>
      <c r="Q133" s="31"/>
      <c r="R133" s="30"/>
      <c r="S133" s="37"/>
      <c r="T133" s="37"/>
      <c r="U133" s="37"/>
      <c r="X133" s="46"/>
    </row>
    <row r="134" spans="1:24" x14ac:dyDescent="0.3">
      <c r="A134" s="35"/>
      <c r="B134" s="15"/>
      <c r="C134" s="12"/>
      <c r="D134" s="13"/>
      <c r="E134" s="33"/>
      <c r="F134" s="33"/>
      <c r="G134" s="13"/>
      <c r="H134" s="15"/>
      <c r="I134" s="15"/>
      <c r="J134" s="29"/>
      <c r="K134" s="31"/>
      <c r="L134" s="31"/>
      <c r="M134" s="31"/>
      <c r="N134" s="31"/>
      <c r="O134" s="31"/>
      <c r="P134" s="31"/>
      <c r="Q134" s="31"/>
      <c r="R134" s="30"/>
      <c r="S134" s="37"/>
      <c r="T134" s="37"/>
      <c r="U134" s="37"/>
      <c r="X134" s="46"/>
    </row>
    <row r="135" spans="1:24" x14ac:dyDescent="0.3">
      <c r="A135" s="35"/>
      <c r="B135" s="15"/>
      <c r="C135" s="12"/>
      <c r="D135" s="13"/>
      <c r="E135" s="33"/>
      <c r="F135" s="33"/>
      <c r="G135" s="13"/>
      <c r="H135" s="15"/>
      <c r="I135" s="15"/>
      <c r="J135" s="29"/>
      <c r="K135" s="31"/>
      <c r="L135" s="31"/>
      <c r="M135" s="31"/>
      <c r="N135" s="31"/>
      <c r="O135" s="31"/>
      <c r="P135" s="31"/>
      <c r="Q135" s="31"/>
      <c r="R135" s="30"/>
      <c r="S135" s="37"/>
      <c r="T135" s="37"/>
      <c r="U135" s="37"/>
      <c r="X135" s="46"/>
    </row>
    <row r="136" spans="1:24" x14ac:dyDescent="0.3">
      <c r="A136" s="35"/>
      <c r="B136" s="15"/>
      <c r="C136" s="12"/>
      <c r="D136" s="13"/>
      <c r="E136" s="33"/>
      <c r="F136" s="33"/>
      <c r="G136" s="13"/>
      <c r="H136" s="15"/>
      <c r="I136" s="15"/>
      <c r="J136" s="29"/>
      <c r="K136" s="31"/>
      <c r="L136" s="31"/>
      <c r="M136" s="31"/>
      <c r="N136" s="31"/>
      <c r="O136" s="31"/>
      <c r="P136" s="31"/>
      <c r="Q136" s="31"/>
      <c r="R136" s="30"/>
      <c r="S136" s="37"/>
      <c r="T136" s="37"/>
      <c r="U136" s="37"/>
      <c r="X136" s="46"/>
    </row>
    <row r="137" spans="1:24" x14ac:dyDescent="0.3">
      <c r="A137" s="35"/>
      <c r="B137" s="15"/>
      <c r="C137" s="12"/>
      <c r="D137" s="13"/>
      <c r="E137" s="33"/>
      <c r="F137" s="33"/>
      <c r="G137" s="13"/>
      <c r="H137" s="15"/>
      <c r="I137" s="15"/>
      <c r="J137" s="29"/>
      <c r="K137" s="31"/>
      <c r="L137" s="31"/>
      <c r="M137" s="31"/>
      <c r="N137" s="31"/>
      <c r="O137" s="31"/>
      <c r="P137" s="31"/>
      <c r="Q137" s="31"/>
      <c r="R137" s="30"/>
      <c r="S137" s="37"/>
      <c r="T137" s="37"/>
      <c r="U137" s="37"/>
      <c r="X137" s="46"/>
    </row>
    <row r="138" spans="1:24" x14ac:dyDescent="0.3">
      <c r="A138" s="35"/>
      <c r="B138" s="15"/>
      <c r="C138" s="12"/>
      <c r="D138" s="13"/>
      <c r="E138" s="33"/>
      <c r="F138" s="33"/>
      <c r="G138" s="13"/>
      <c r="H138" s="15"/>
      <c r="I138" s="15"/>
      <c r="J138" s="29"/>
      <c r="K138" s="31"/>
      <c r="L138" s="31"/>
      <c r="M138" s="31"/>
      <c r="N138" s="31"/>
      <c r="O138" s="31"/>
      <c r="P138" s="31"/>
      <c r="Q138" s="31"/>
      <c r="R138" s="30"/>
      <c r="S138" s="37"/>
      <c r="T138" s="37"/>
      <c r="U138" s="37"/>
      <c r="X138" s="46"/>
    </row>
    <row r="139" spans="1:24" x14ac:dyDescent="0.3">
      <c r="A139" s="35"/>
      <c r="B139" s="15"/>
      <c r="C139" s="12"/>
      <c r="D139" s="13"/>
      <c r="E139" s="33"/>
      <c r="F139" s="33"/>
      <c r="G139" s="13"/>
      <c r="H139" s="15"/>
      <c r="I139" s="15"/>
      <c r="J139" s="29"/>
      <c r="K139" s="31"/>
      <c r="L139" s="31"/>
      <c r="M139" s="31"/>
      <c r="N139" s="31"/>
      <c r="O139" s="31"/>
      <c r="P139" s="31"/>
      <c r="Q139" s="31"/>
      <c r="R139" s="30"/>
      <c r="S139" s="37"/>
      <c r="T139" s="37"/>
      <c r="U139" s="37"/>
      <c r="X139" s="46"/>
    </row>
    <row r="140" spans="1:24" x14ac:dyDescent="0.3">
      <c r="A140" s="35"/>
      <c r="B140" s="15"/>
      <c r="C140" s="12"/>
      <c r="D140" s="13"/>
      <c r="E140" s="33"/>
      <c r="F140" s="33"/>
      <c r="G140" s="13"/>
      <c r="H140" s="15"/>
      <c r="I140" s="15"/>
      <c r="J140" s="29"/>
      <c r="K140" s="31"/>
      <c r="L140" s="31"/>
      <c r="M140" s="31"/>
      <c r="N140" s="31"/>
      <c r="O140" s="31"/>
      <c r="P140" s="31"/>
      <c r="Q140" s="31"/>
      <c r="R140" s="30"/>
      <c r="S140" s="37"/>
      <c r="T140" s="37"/>
      <c r="U140" s="37"/>
      <c r="X140" s="46"/>
    </row>
    <row r="141" spans="1:24" x14ac:dyDescent="0.3">
      <c r="A141" s="35"/>
      <c r="B141" s="15"/>
      <c r="C141" s="12"/>
      <c r="D141" s="13"/>
      <c r="E141" s="33"/>
      <c r="F141" s="33"/>
      <c r="G141" s="13"/>
      <c r="H141" s="15"/>
      <c r="I141" s="15"/>
      <c r="J141" s="29"/>
      <c r="K141" s="31"/>
      <c r="L141" s="31"/>
      <c r="M141" s="31"/>
      <c r="N141" s="31"/>
      <c r="O141" s="31"/>
      <c r="P141" s="31"/>
      <c r="Q141" s="31"/>
      <c r="R141" s="30"/>
      <c r="S141" s="37"/>
      <c r="T141" s="37"/>
      <c r="U141" s="37"/>
      <c r="X141" s="46"/>
    </row>
    <row r="142" spans="1:24" x14ac:dyDescent="0.3">
      <c r="A142" s="35"/>
      <c r="B142" s="15"/>
      <c r="C142" s="12"/>
      <c r="D142" s="13"/>
      <c r="E142" s="33"/>
      <c r="F142" s="33"/>
      <c r="G142" s="13"/>
      <c r="H142" s="15"/>
      <c r="I142" s="15"/>
      <c r="J142" s="29"/>
      <c r="K142" s="31"/>
      <c r="L142" s="31"/>
      <c r="M142" s="31"/>
      <c r="N142" s="31"/>
      <c r="O142" s="31"/>
      <c r="P142" s="31"/>
      <c r="Q142" s="31"/>
      <c r="R142" s="30"/>
      <c r="S142" s="37"/>
      <c r="T142" s="37"/>
      <c r="U142" s="37"/>
      <c r="X142" s="46"/>
    </row>
    <row r="143" spans="1:24" ht="5.25" customHeight="1" x14ac:dyDescent="0.3">
      <c r="A143" s="35"/>
      <c r="B143" s="12"/>
      <c r="C143" s="12"/>
      <c r="D143" s="13"/>
      <c r="E143" s="33"/>
      <c r="F143" s="33"/>
      <c r="G143" s="13"/>
      <c r="H143" s="29"/>
      <c r="I143" s="13"/>
      <c r="J143" s="29"/>
      <c r="K143" s="29"/>
      <c r="L143" s="29"/>
      <c r="M143" s="29"/>
      <c r="N143" s="29"/>
      <c r="O143" s="29"/>
      <c r="P143" s="29"/>
      <c r="Q143" s="31"/>
      <c r="R143" s="30"/>
      <c r="S143" s="13"/>
      <c r="T143" s="13"/>
      <c r="U143" s="13"/>
      <c r="X143" s="46"/>
    </row>
    <row r="144" spans="1:24" x14ac:dyDescent="0.3">
      <c r="A144" s="50" t="s">
        <v>41</v>
      </c>
    </row>
    <row r="145" spans="1:25" x14ac:dyDescent="0.3">
      <c r="A145" s="50"/>
    </row>
    <row r="146" spans="1:25" x14ac:dyDescent="0.3">
      <c r="Y146" s="53"/>
    </row>
    <row r="256" ht="16.5" customHeight="1" x14ac:dyDescent="0.3"/>
    <row r="278" spans="1:21" s="3" customFormat="1" x14ac:dyDescent="0.3">
      <c r="A278"/>
      <c r="B278"/>
      <c r="C278" s="51"/>
      <c r="D278" s="2"/>
      <c r="E278" s="52"/>
      <c r="F278" s="52"/>
      <c r="G278"/>
      <c r="H278" s="1"/>
      <c r="I278" s="2"/>
      <c r="R278" s="4"/>
      <c r="S278" s="2"/>
      <c r="T278" s="2"/>
      <c r="U278" s="2"/>
    </row>
    <row r="288" spans="1:21" ht="5.25" customHeight="1" x14ac:dyDescent="0.3"/>
    <row r="1047255" spans="7:7" x14ac:dyDescent="0.3">
      <c r="G1047255" s="2"/>
    </row>
  </sheetData>
  <mergeCells count="11">
    <mergeCell ref="A7:U7"/>
    <mergeCell ref="B1:G1"/>
    <mergeCell ref="C2:G2"/>
    <mergeCell ref="C3:G4"/>
    <mergeCell ref="C5:G5"/>
    <mergeCell ref="C6:G6"/>
    <mergeCell ref="B8:C8"/>
    <mergeCell ref="D8:G8"/>
    <mergeCell ref="H8:P8"/>
    <mergeCell ref="Q8:R8"/>
    <mergeCell ref="S8:U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63CAA-3911-4264-841C-8F1AECDFAC7F}">
  <dimension ref="A1:Y1047158"/>
  <sheetViews>
    <sheetView workbookViewId="0">
      <pane ySplit="10" topLeftCell="A41" activePane="bottomLeft" state="frozen"/>
      <selection pane="bottomLeft" activeCell="F53" sqref="F53"/>
    </sheetView>
  </sheetViews>
  <sheetFormatPr defaultRowHeight="14.4" x14ac:dyDescent="0.3"/>
  <cols>
    <col min="1" max="1" width="10.6640625" bestFit="1" customWidth="1"/>
    <col min="2" max="3" width="7.5546875" style="51" customWidth="1"/>
    <col min="4" max="4" width="5.5546875" style="2" bestFit="1" customWidth="1"/>
    <col min="5" max="6" width="8.5546875" bestFit="1" customWidth="1"/>
    <col min="7" max="7" width="5.5546875" bestFit="1" customWidth="1"/>
    <col min="8" max="8" width="5.44140625" style="3" bestFit="1" customWidth="1"/>
    <col min="9" max="9" width="6.5546875" style="2" bestFit="1" customWidth="1"/>
    <col min="10" max="10" width="6.44140625" style="3" bestFit="1" customWidth="1"/>
    <col min="11" max="12" width="8.88671875" style="3"/>
    <col min="13" max="13" width="10.88671875" style="3" bestFit="1" customWidth="1"/>
    <col min="14" max="15" width="8.88671875" style="3"/>
    <col min="16" max="16" width="10.44140625" style="3" bestFit="1" customWidth="1"/>
    <col min="17" max="17" width="7.44140625" style="3" bestFit="1" customWidth="1"/>
    <col min="18" max="18" width="7.88671875" style="4" bestFit="1" customWidth="1"/>
    <col min="19" max="19" width="8.5546875" bestFit="1" customWidth="1"/>
    <col min="20" max="20" width="8.44140625" style="2" bestFit="1" customWidth="1"/>
    <col min="21" max="21" width="8.6640625" bestFit="1" customWidth="1"/>
  </cols>
  <sheetData>
    <row r="1" spans="1:21" x14ac:dyDescent="0.3">
      <c r="B1" s="131" t="s">
        <v>0</v>
      </c>
      <c r="C1" s="131"/>
      <c r="D1" s="131"/>
      <c r="E1" s="131"/>
      <c r="F1" s="131"/>
      <c r="G1" s="131"/>
    </row>
    <row r="2" spans="1:21" x14ac:dyDescent="0.3">
      <c r="B2" s="43"/>
      <c r="C2" s="132" t="s">
        <v>1</v>
      </c>
      <c r="D2" s="133"/>
      <c r="E2" s="133"/>
      <c r="F2" s="133"/>
      <c r="G2" s="134"/>
    </row>
    <row r="3" spans="1:21" ht="15" customHeight="1" x14ac:dyDescent="0.3">
      <c r="B3" s="47"/>
      <c r="C3" s="135" t="s">
        <v>2</v>
      </c>
      <c r="D3" s="136"/>
      <c r="E3" s="136"/>
      <c r="F3" s="136"/>
      <c r="G3" s="137"/>
    </row>
    <row r="4" spans="1:21" x14ac:dyDescent="0.3">
      <c r="B4" s="54"/>
      <c r="C4" s="138"/>
      <c r="D4" s="139"/>
      <c r="E4" s="139"/>
      <c r="F4" s="139"/>
      <c r="G4" s="140"/>
    </row>
    <row r="5" spans="1:21" x14ac:dyDescent="0.3">
      <c r="B5" s="55"/>
      <c r="C5" s="132" t="s">
        <v>3</v>
      </c>
      <c r="D5" s="133"/>
      <c r="E5" s="133"/>
      <c r="F5" s="133"/>
      <c r="G5" s="134"/>
    </row>
    <row r="6" spans="1:21" x14ac:dyDescent="0.3">
      <c r="B6" s="56" t="s">
        <v>4</v>
      </c>
      <c r="C6" s="132" t="s">
        <v>5</v>
      </c>
      <c r="D6" s="133"/>
      <c r="E6" s="133"/>
      <c r="F6" s="133"/>
      <c r="G6" s="134"/>
    </row>
    <row r="7" spans="1:21" ht="18" x14ac:dyDescent="0.3">
      <c r="A7" s="141" t="s">
        <v>42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</row>
    <row r="8" spans="1:21" x14ac:dyDescent="0.3">
      <c r="A8" s="10"/>
      <c r="B8" s="118" t="s">
        <v>7</v>
      </c>
      <c r="C8" s="119"/>
      <c r="D8" s="120" t="s">
        <v>8</v>
      </c>
      <c r="E8" s="121"/>
      <c r="F8" s="121"/>
      <c r="G8" s="122"/>
      <c r="H8" s="123" t="s">
        <v>9</v>
      </c>
      <c r="I8" s="124"/>
      <c r="J8" s="124"/>
      <c r="K8" s="124"/>
      <c r="L8" s="124"/>
      <c r="M8" s="124"/>
      <c r="N8" s="124"/>
      <c r="O8" s="124"/>
      <c r="P8" s="125"/>
      <c r="Q8" s="126" t="s">
        <v>10</v>
      </c>
      <c r="R8" s="127"/>
      <c r="S8" s="128" t="s">
        <v>11</v>
      </c>
      <c r="T8" s="129"/>
      <c r="U8" s="130"/>
    </row>
    <row r="9" spans="1:21" ht="43.8" x14ac:dyDescent="0.35">
      <c r="A9" s="11" t="s">
        <v>12</v>
      </c>
      <c r="B9" s="12" t="s">
        <v>13</v>
      </c>
      <c r="C9" s="12" t="s">
        <v>14</v>
      </c>
      <c r="D9" s="13" t="s">
        <v>15</v>
      </c>
      <c r="E9" s="57" t="s">
        <v>16</v>
      </c>
      <c r="F9" s="57" t="s">
        <v>17</v>
      </c>
      <c r="G9" s="15" t="s">
        <v>18</v>
      </c>
      <c r="H9" s="16" t="s">
        <v>19</v>
      </c>
      <c r="I9" s="17" t="s">
        <v>20</v>
      </c>
      <c r="J9" s="18" t="s">
        <v>21</v>
      </c>
      <c r="K9" s="18" t="s">
        <v>22</v>
      </c>
      <c r="L9" s="18" t="s">
        <v>23</v>
      </c>
      <c r="M9" s="18" t="s">
        <v>24</v>
      </c>
      <c r="N9" s="18" t="s">
        <v>25</v>
      </c>
      <c r="O9" s="18" t="s">
        <v>26</v>
      </c>
      <c r="P9" s="18" t="s">
        <v>27</v>
      </c>
      <c r="Q9" s="18" t="s">
        <v>28</v>
      </c>
      <c r="R9" s="19" t="s">
        <v>29</v>
      </c>
      <c r="S9" s="57" t="s">
        <v>30</v>
      </c>
      <c r="T9" s="17" t="s">
        <v>31</v>
      </c>
      <c r="U9" s="57" t="s">
        <v>32</v>
      </c>
    </row>
    <row r="10" spans="1:21" x14ac:dyDescent="0.3">
      <c r="A10" s="20"/>
      <c r="B10" s="21" t="s">
        <v>33</v>
      </c>
      <c r="C10" s="21" t="s">
        <v>33</v>
      </c>
      <c r="D10" s="22"/>
      <c r="E10" s="20" t="s">
        <v>34</v>
      </c>
      <c r="F10" s="20" t="s">
        <v>34</v>
      </c>
      <c r="G10" s="20"/>
      <c r="H10" s="24" t="s">
        <v>34</v>
      </c>
      <c r="I10" s="22"/>
      <c r="J10" s="25" t="s">
        <v>34</v>
      </c>
      <c r="K10" s="25" t="s">
        <v>34</v>
      </c>
      <c r="L10" s="25" t="s">
        <v>34</v>
      </c>
      <c r="M10" s="25" t="s">
        <v>34</v>
      </c>
      <c r="N10" s="25" t="s">
        <v>34</v>
      </c>
      <c r="O10" s="25" t="s">
        <v>34</v>
      </c>
      <c r="P10" s="25" t="s">
        <v>34</v>
      </c>
      <c r="Q10" s="25" t="s">
        <v>35</v>
      </c>
      <c r="R10" s="26" t="s">
        <v>36</v>
      </c>
      <c r="S10" s="20"/>
      <c r="T10" s="22"/>
      <c r="U10" s="20"/>
    </row>
    <row r="11" spans="1:21" x14ac:dyDescent="0.3">
      <c r="A11" s="85">
        <v>43839</v>
      </c>
      <c r="B11" s="86">
        <v>7.9</v>
      </c>
      <c r="C11" s="87">
        <v>80.7</v>
      </c>
      <c r="D11" s="88">
        <v>7.93</v>
      </c>
      <c r="E11" s="28">
        <v>4435</v>
      </c>
      <c r="F11" s="28">
        <v>20395</v>
      </c>
      <c r="G11" s="88">
        <f t="shared" ref="G11:G33" si="0">E11/F11</f>
        <v>0.21745525864182397</v>
      </c>
      <c r="H11" s="90">
        <v>87</v>
      </c>
      <c r="I11" s="34"/>
      <c r="J11" s="38">
        <v>87</v>
      </c>
      <c r="K11" s="38" t="s">
        <v>39</v>
      </c>
      <c r="L11" s="38" t="s">
        <v>37</v>
      </c>
      <c r="M11" s="38" t="s">
        <v>37</v>
      </c>
      <c r="N11" s="38" t="s">
        <v>40</v>
      </c>
      <c r="O11" s="38" t="s">
        <v>38</v>
      </c>
      <c r="P11" s="38" t="s">
        <v>38</v>
      </c>
      <c r="Q11" s="90">
        <v>3254</v>
      </c>
      <c r="R11" s="91">
        <v>0.64</v>
      </c>
      <c r="S11" s="110">
        <v>0.24</v>
      </c>
      <c r="T11" s="88">
        <v>1.0900000000000001</v>
      </c>
      <c r="U11" s="110">
        <v>1.0900000000000001</v>
      </c>
    </row>
    <row r="12" spans="1:21" x14ac:dyDescent="0.3">
      <c r="A12" s="35">
        <v>43853</v>
      </c>
      <c r="B12" s="43">
        <v>7.6</v>
      </c>
      <c r="C12" s="12">
        <v>80.7</v>
      </c>
      <c r="D12" s="39">
        <v>7.93</v>
      </c>
      <c r="E12" s="33">
        <v>4728</v>
      </c>
      <c r="F12" s="33">
        <v>20262</v>
      </c>
      <c r="G12" s="39">
        <f t="shared" si="0"/>
        <v>0.23334320402724312</v>
      </c>
      <c r="H12" s="45">
        <v>103</v>
      </c>
      <c r="I12" s="34"/>
      <c r="J12" s="31">
        <v>96.2</v>
      </c>
      <c r="K12" s="31" t="s">
        <v>39</v>
      </c>
      <c r="L12" s="31" t="s">
        <v>37</v>
      </c>
      <c r="M12" s="31" t="s">
        <v>37</v>
      </c>
      <c r="N12" s="31" t="s">
        <v>40</v>
      </c>
      <c r="O12" s="31" t="s">
        <v>38</v>
      </c>
      <c r="P12" s="31" t="s">
        <v>38</v>
      </c>
      <c r="Q12" s="45">
        <v>3287</v>
      </c>
      <c r="R12" s="30">
        <v>0.64</v>
      </c>
      <c r="S12" s="5">
        <v>0.23</v>
      </c>
      <c r="T12" s="39">
        <v>0.98</v>
      </c>
      <c r="U12" s="5">
        <v>1.05</v>
      </c>
    </row>
    <row r="13" spans="1:21" x14ac:dyDescent="0.3">
      <c r="A13" s="35">
        <v>43865</v>
      </c>
      <c r="B13" s="43">
        <v>8</v>
      </c>
      <c r="C13" s="12">
        <v>83.4</v>
      </c>
      <c r="D13" s="39">
        <v>7.93</v>
      </c>
      <c r="E13" s="33">
        <f>(4695+4788)/2</f>
        <v>4741.5</v>
      </c>
      <c r="F13" s="33">
        <f>(21904+21891)/2</f>
        <v>21897.5</v>
      </c>
      <c r="G13" s="39">
        <f t="shared" si="0"/>
        <v>0.21653156753054001</v>
      </c>
      <c r="H13" s="45">
        <v>146</v>
      </c>
      <c r="I13" s="34"/>
      <c r="J13" s="31">
        <v>146</v>
      </c>
      <c r="K13" s="31" t="s">
        <v>39</v>
      </c>
      <c r="L13" s="31" t="s">
        <v>37</v>
      </c>
      <c r="M13" s="31" t="s">
        <v>37</v>
      </c>
      <c r="N13" s="31" t="s">
        <v>40</v>
      </c>
      <c r="O13" s="31" t="s">
        <v>38</v>
      </c>
      <c r="P13" s="31" t="s">
        <v>38</v>
      </c>
      <c r="Q13" s="45">
        <v>2691</v>
      </c>
      <c r="R13" s="30">
        <v>0.68</v>
      </c>
      <c r="S13" s="5">
        <v>0.25</v>
      </c>
      <c r="T13" s="39">
        <v>1.05</v>
      </c>
      <c r="U13" s="5">
        <v>1.02</v>
      </c>
    </row>
    <row r="14" spans="1:21" x14ac:dyDescent="0.3">
      <c r="A14" s="35">
        <v>43878</v>
      </c>
      <c r="B14" s="43">
        <v>7.8</v>
      </c>
      <c r="C14" s="12">
        <v>79.599999999999994</v>
      </c>
      <c r="D14" s="39">
        <v>7.81</v>
      </c>
      <c r="E14" s="33">
        <f>(4749+4397)/2</f>
        <v>4573</v>
      </c>
      <c r="F14" s="33">
        <f>(20022+19899)/2</f>
        <v>19960.5</v>
      </c>
      <c r="G14" s="39">
        <f t="shared" si="0"/>
        <v>0.22910247739285089</v>
      </c>
      <c r="H14" s="45">
        <v>343</v>
      </c>
      <c r="I14" s="34"/>
      <c r="J14" s="31">
        <v>306</v>
      </c>
      <c r="K14" s="31" t="s">
        <v>39</v>
      </c>
      <c r="L14" s="31" t="s">
        <v>37</v>
      </c>
      <c r="M14" s="31" t="s">
        <v>37</v>
      </c>
      <c r="N14" s="31" t="s">
        <v>40</v>
      </c>
      <c r="O14" s="31" t="s">
        <v>38</v>
      </c>
      <c r="P14" s="31" t="s">
        <v>38</v>
      </c>
      <c r="Q14" s="45">
        <v>3358</v>
      </c>
      <c r="R14" s="30">
        <v>0.62</v>
      </c>
      <c r="S14" s="5">
        <v>0.23</v>
      </c>
      <c r="T14" s="39">
        <v>1.36</v>
      </c>
      <c r="U14" s="7">
        <v>0.86</v>
      </c>
    </row>
    <row r="15" spans="1:21" x14ac:dyDescent="0.3">
      <c r="A15" s="35">
        <v>43895</v>
      </c>
      <c r="B15" s="43">
        <v>7.3</v>
      </c>
      <c r="C15" s="12">
        <v>82.4</v>
      </c>
      <c r="D15" s="39">
        <v>7.83</v>
      </c>
      <c r="E15" s="33">
        <v>5745</v>
      </c>
      <c r="F15" s="33">
        <v>18760</v>
      </c>
      <c r="G15" s="39">
        <f t="shared" si="0"/>
        <v>0.30623667377398722</v>
      </c>
      <c r="H15" s="45">
        <v>125</v>
      </c>
      <c r="I15" s="34"/>
      <c r="J15" s="31">
        <v>124</v>
      </c>
      <c r="K15" s="31" t="s">
        <v>39</v>
      </c>
      <c r="L15" s="31" t="s">
        <v>37</v>
      </c>
      <c r="M15" s="31" t="s">
        <v>37</v>
      </c>
      <c r="N15" s="31" t="s">
        <v>40</v>
      </c>
      <c r="O15" s="31" t="s">
        <v>38</v>
      </c>
      <c r="P15" s="31" t="s">
        <v>38</v>
      </c>
      <c r="Q15" s="45">
        <v>3268</v>
      </c>
      <c r="R15" s="30">
        <v>0.6</v>
      </c>
      <c r="S15" s="5">
        <v>0.21</v>
      </c>
      <c r="T15" s="39">
        <v>1</v>
      </c>
      <c r="U15" s="7">
        <v>0.84</v>
      </c>
    </row>
    <row r="16" spans="1:21" x14ac:dyDescent="0.3">
      <c r="A16" s="35">
        <v>43913</v>
      </c>
      <c r="B16" s="43">
        <v>7.9</v>
      </c>
      <c r="C16" s="12">
        <v>82.8</v>
      </c>
      <c r="D16" s="39">
        <v>7.73</v>
      </c>
      <c r="E16" s="33">
        <f>(5711+5496)/2</f>
        <v>5603.5</v>
      </c>
      <c r="F16" s="33">
        <f>(18604+19195)/2</f>
        <v>18899.5</v>
      </c>
      <c r="G16" s="39">
        <f t="shared" si="0"/>
        <v>0.296489325114421</v>
      </c>
      <c r="H16" s="45">
        <v>195</v>
      </c>
      <c r="I16" s="34"/>
      <c r="J16" s="31">
        <v>193</v>
      </c>
      <c r="K16" s="31" t="s">
        <v>39</v>
      </c>
      <c r="L16" s="31" t="s">
        <v>37</v>
      </c>
      <c r="M16" s="31" t="s">
        <v>37</v>
      </c>
      <c r="N16" s="31" t="s">
        <v>40</v>
      </c>
      <c r="O16" s="31" t="s">
        <v>38</v>
      </c>
      <c r="P16" s="31" t="s">
        <v>38</v>
      </c>
      <c r="Q16" s="45">
        <v>3146</v>
      </c>
      <c r="R16" s="30">
        <v>0.62</v>
      </c>
      <c r="S16" s="5">
        <v>0.19</v>
      </c>
      <c r="T16" s="39">
        <v>0.9</v>
      </c>
      <c r="U16" s="7">
        <v>0.8</v>
      </c>
    </row>
    <row r="17" spans="1:21" x14ac:dyDescent="0.3">
      <c r="A17" s="35">
        <v>43923</v>
      </c>
      <c r="B17" s="43">
        <v>8.1</v>
      </c>
      <c r="C17" s="12">
        <v>82.7</v>
      </c>
      <c r="D17" s="39">
        <v>8.01</v>
      </c>
      <c r="E17" s="33">
        <v>4312</v>
      </c>
      <c r="F17" s="33">
        <v>20858</v>
      </c>
      <c r="G17" s="39">
        <f t="shared" si="0"/>
        <v>0.20673123022341547</v>
      </c>
      <c r="H17" s="45">
        <v>299</v>
      </c>
      <c r="I17" s="34"/>
      <c r="J17" s="31">
        <v>257</v>
      </c>
      <c r="K17" s="31" t="s">
        <v>39</v>
      </c>
      <c r="L17" s="31" t="s">
        <v>37</v>
      </c>
      <c r="M17" s="31" t="s">
        <v>37</v>
      </c>
      <c r="N17" s="31">
        <v>15.6</v>
      </c>
      <c r="O17" s="31" t="s">
        <v>38</v>
      </c>
      <c r="P17" s="31" t="s">
        <v>38</v>
      </c>
      <c r="Q17" s="45">
        <v>3236</v>
      </c>
      <c r="R17" s="30">
        <v>0.65</v>
      </c>
      <c r="S17" s="5">
        <v>0.23</v>
      </c>
      <c r="T17" s="39">
        <v>1.01</v>
      </c>
      <c r="U17" s="5">
        <v>0.9</v>
      </c>
    </row>
    <row r="18" spans="1:21" x14ac:dyDescent="0.3">
      <c r="A18" s="35">
        <v>43936</v>
      </c>
      <c r="B18" s="43">
        <v>8.8000000000000007</v>
      </c>
      <c r="C18" s="12">
        <v>82.4</v>
      </c>
      <c r="D18" s="39">
        <v>7.96</v>
      </c>
      <c r="E18" s="33">
        <v>4593</v>
      </c>
      <c r="F18" s="33">
        <v>21719</v>
      </c>
      <c r="G18" s="39">
        <f t="shared" si="0"/>
        <v>0.21147382476172935</v>
      </c>
      <c r="H18" s="45">
        <v>174</v>
      </c>
      <c r="I18" s="34"/>
      <c r="J18" s="31">
        <v>174</v>
      </c>
      <c r="K18" s="31" t="s">
        <v>39</v>
      </c>
      <c r="L18" s="31" t="s">
        <v>37</v>
      </c>
      <c r="M18" s="31" t="s">
        <v>37</v>
      </c>
      <c r="N18" s="31" t="s">
        <v>40</v>
      </c>
      <c r="O18" s="31" t="s">
        <v>38</v>
      </c>
      <c r="P18" s="31" t="s">
        <v>38</v>
      </c>
      <c r="Q18" s="45">
        <v>3741</v>
      </c>
      <c r="R18" s="30">
        <v>0.73</v>
      </c>
      <c r="S18" s="5">
        <v>0.28000000000000003</v>
      </c>
      <c r="T18" s="39">
        <v>1.2</v>
      </c>
      <c r="U18" s="5">
        <v>1.05</v>
      </c>
    </row>
    <row r="19" spans="1:21" x14ac:dyDescent="0.3">
      <c r="A19" s="35">
        <v>43951</v>
      </c>
      <c r="B19" s="43">
        <v>9.1999999999999993</v>
      </c>
      <c r="C19" s="12">
        <v>81.400000000000006</v>
      </c>
      <c r="D19" s="42">
        <v>8.08</v>
      </c>
      <c r="E19" s="33">
        <f>(5356+5247)/2</f>
        <v>5301.5</v>
      </c>
      <c r="F19" s="33">
        <f>(23852+23396)/2</f>
        <v>23624</v>
      </c>
      <c r="G19" s="39">
        <f t="shared" si="0"/>
        <v>0.224411615306468</v>
      </c>
      <c r="H19" s="45">
        <v>193</v>
      </c>
      <c r="I19" s="34"/>
      <c r="J19" s="31">
        <v>193</v>
      </c>
      <c r="K19" s="31" t="s">
        <v>39</v>
      </c>
      <c r="L19" s="31" t="s">
        <v>37</v>
      </c>
      <c r="M19" s="31" t="s">
        <v>37</v>
      </c>
      <c r="N19" s="31" t="s">
        <v>40</v>
      </c>
      <c r="O19" s="31" t="s">
        <v>38</v>
      </c>
      <c r="P19" s="31" t="s">
        <v>38</v>
      </c>
      <c r="Q19" s="45">
        <v>3877</v>
      </c>
      <c r="R19" s="30">
        <v>0.75</v>
      </c>
      <c r="S19" s="5">
        <v>0.28000000000000003</v>
      </c>
      <c r="T19" s="39">
        <v>1.23</v>
      </c>
      <c r="U19" s="5">
        <v>1.1200000000000001</v>
      </c>
    </row>
    <row r="20" spans="1:21" x14ac:dyDescent="0.3">
      <c r="A20" s="35">
        <v>43969</v>
      </c>
      <c r="B20" s="43">
        <v>9</v>
      </c>
      <c r="C20" s="12">
        <v>81</v>
      </c>
      <c r="D20" s="39">
        <v>7.87</v>
      </c>
      <c r="E20" s="33">
        <v>5333</v>
      </c>
      <c r="F20" s="33">
        <v>24211</v>
      </c>
      <c r="G20" s="39">
        <f t="shared" si="0"/>
        <v>0.22027177729131386</v>
      </c>
      <c r="H20" s="45">
        <v>320</v>
      </c>
      <c r="I20" s="34"/>
      <c r="J20" s="31">
        <v>303</v>
      </c>
      <c r="K20" s="31" t="s">
        <v>39</v>
      </c>
      <c r="L20" s="31" t="s">
        <v>37</v>
      </c>
      <c r="M20" s="31" t="s">
        <v>37</v>
      </c>
      <c r="N20" s="31" t="s">
        <v>40</v>
      </c>
      <c r="O20" s="31" t="s">
        <v>38</v>
      </c>
      <c r="P20" s="31" t="s">
        <v>38</v>
      </c>
      <c r="Q20" s="45">
        <v>4310</v>
      </c>
      <c r="R20" s="30">
        <v>0.74</v>
      </c>
      <c r="S20" s="5">
        <v>0.28000000000000003</v>
      </c>
      <c r="T20" s="39">
        <v>1.28</v>
      </c>
      <c r="U20" s="5">
        <v>1.1000000000000001</v>
      </c>
    </row>
    <row r="21" spans="1:21" x14ac:dyDescent="0.3">
      <c r="A21" s="35">
        <v>43978</v>
      </c>
      <c r="B21" s="43">
        <v>9.1</v>
      </c>
      <c r="C21" s="12">
        <v>80.5</v>
      </c>
      <c r="D21" s="42">
        <v>8.0500000000000007</v>
      </c>
      <c r="E21" s="33">
        <f>(5257+5452)/2</f>
        <v>5354.5</v>
      </c>
      <c r="F21" s="33">
        <f>(24635+25122)/2</f>
        <v>24878.5</v>
      </c>
      <c r="G21" s="39">
        <f t="shared" si="0"/>
        <v>0.21522599835199069</v>
      </c>
      <c r="H21" s="45">
        <v>101</v>
      </c>
      <c r="I21" s="34"/>
      <c r="J21" s="31">
        <v>101</v>
      </c>
      <c r="K21" s="31" t="s">
        <v>39</v>
      </c>
      <c r="L21" s="31" t="s">
        <v>37</v>
      </c>
      <c r="M21" s="31" t="s">
        <v>37</v>
      </c>
      <c r="N21" s="31" t="s">
        <v>40</v>
      </c>
      <c r="O21" s="31" t="s">
        <v>38</v>
      </c>
      <c r="P21" s="31" t="s">
        <v>38</v>
      </c>
      <c r="Q21" s="45">
        <v>4124</v>
      </c>
      <c r="R21" s="30">
        <v>0.74</v>
      </c>
      <c r="S21" s="5">
        <v>0.27</v>
      </c>
      <c r="T21" s="39">
        <v>1.54</v>
      </c>
      <c r="U21" s="5">
        <v>1.2</v>
      </c>
    </row>
    <row r="22" spans="1:21" x14ac:dyDescent="0.3">
      <c r="A22" s="35">
        <v>43994</v>
      </c>
      <c r="B22" s="43">
        <v>9.1</v>
      </c>
      <c r="C22" s="12">
        <v>80.099999999999994</v>
      </c>
      <c r="D22" s="42">
        <v>8.1300000000000008</v>
      </c>
      <c r="E22" s="33">
        <v>5483</v>
      </c>
      <c r="F22" s="33">
        <v>25769</v>
      </c>
      <c r="G22" s="39">
        <f t="shared" si="0"/>
        <v>0.21277503977647561</v>
      </c>
      <c r="H22" s="45">
        <v>282</v>
      </c>
      <c r="I22" s="34"/>
      <c r="J22" s="31">
        <v>282</v>
      </c>
      <c r="K22" s="31" t="s">
        <v>39</v>
      </c>
      <c r="L22" s="31" t="s">
        <v>37</v>
      </c>
      <c r="M22" s="31" t="s">
        <v>37</v>
      </c>
      <c r="N22" s="31" t="s">
        <v>40</v>
      </c>
      <c r="O22" s="31" t="s">
        <v>38</v>
      </c>
      <c r="P22" s="31" t="s">
        <v>38</v>
      </c>
      <c r="Q22" s="45">
        <v>4240</v>
      </c>
      <c r="R22" s="30">
        <v>0.72</v>
      </c>
      <c r="S22" s="5">
        <v>0.25</v>
      </c>
      <c r="T22" s="39">
        <v>1.43</v>
      </c>
      <c r="U22" s="5">
        <v>1.08</v>
      </c>
    </row>
    <row r="23" spans="1:21" x14ac:dyDescent="0.3">
      <c r="A23" s="35">
        <v>44008</v>
      </c>
      <c r="B23" s="43">
        <v>9.1999999999999993</v>
      </c>
      <c r="C23" s="12">
        <v>81.400000000000006</v>
      </c>
      <c r="D23" s="39">
        <v>8.01</v>
      </c>
      <c r="E23" s="33">
        <v>6894</v>
      </c>
      <c r="F23" s="33">
        <v>34032</v>
      </c>
      <c r="G23" s="39">
        <f t="shared" si="0"/>
        <v>0.202574047954866</v>
      </c>
      <c r="H23" s="45">
        <v>110</v>
      </c>
      <c r="I23" s="34"/>
      <c r="J23" s="31">
        <v>110</v>
      </c>
      <c r="K23" s="31" t="s">
        <v>39</v>
      </c>
      <c r="L23" s="31" t="s">
        <v>37</v>
      </c>
      <c r="M23" s="31" t="s">
        <v>37</v>
      </c>
      <c r="N23" s="31" t="s">
        <v>40</v>
      </c>
      <c r="O23" s="31" t="s">
        <v>38</v>
      </c>
      <c r="P23" s="31" t="s">
        <v>38</v>
      </c>
      <c r="Q23" s="45">
        <v>4048</v>
      </c>
      <c r="R23" s="30">
        <v>0.72</v>
      </c>
      <c r="S23" s="5">
        <v>0.21</v>
      </c>
      <c r="T23" s="39">
        <v>1.1399999999999999</v>
      </c>
      <c r="U23" s="5">
        <v>1.01</v>
      </c>
    </row>
    <row r="24" spans="1:21" x14ac:dyDescent="0.3">
      <c r="A24" s="35">
        <v>44026</v>
      </c>
      <c r="B24" s="43">
        <v>9.1</v>
      </c>
      <c r="C24" s="12">
        <v>81.599999999999994</v>
      </c>
      <c r="D24" s="39">
        <v>7.94</v>
      </c>
      <c r="E24" s="33">
        <v>5240</v>
      </c>
      <c r="F24" s="33">
        <v>24162</v>
      </c>
      <c r="G24" s="39">
        <f t="shared" si="0"/>
        <v>0.21686946444830726</v>
      </c>
      <c r="H24" s="45">
        <v>264</v>
      </c>
      <c r="I24" s="34"/>
      <c r="J24" s="31">
        <v>264</v>
      </c>
      <c r="K24" s="31" t="s">
        <v>39</v>
      </c>
      <c r="L24" s="31" t="s">
        <v>37</v>
      </c>
      <c r="M24" s="31" t="s">
        <v>37</v>
      </c>
      <c r="N24" s="31" t="s">
        <v>40</v>
      </c>
      <c r="O24" s="31" t="s">
        <v>38</v>
      </c>
      <c r="P24" s="31" t="s">
        <v>38</v>
      </c>
      <c r="Q24" s="45">
        <v>3934</v>
      </c>
      <c r="R24" s="30">
        <v>0.7</v>
      </c>
      <c r="S24" s="5">
        <v>0.24</v>
      </c>
      <c r="T24" s="39">
        <v>1.2</v>
      </c>
      <c r="U24" s="5">
        <v>0.99</v>
      </c>
    </row>
    <row r="25" spans="1:21" x14ac:dyDescent="0.3">
      <c r="A25" s="35">
        <v>44035</v>
      </c>
      <c r="B25" s="43">
        <v>9.3000000000000007</v>
      </c>
      <c r="C25" s="12">
        <v>80.8</v>
      </c>
      <c r="D25" s="39">
        <v>8.07</v>
      </c>
      <c r="E25" s="33">
        <v>5457</v>
      </c>
      <c r="F25" s="33">
        <v>26257</v>
      </c>
      <c r="G25" s="39">
        <f t="shared" si="0"/>
        <v>0.20783029287428115</v>
      </c>
      <c r="H25" s="45">
        <v>80</v>
      </c>
      <c r="I25" s="34"/>
      <c r="J25" s="31">
        <v>56.1</v>
      </c>
      <c r="K25" s="31" t="s">
        <v>39</v>
      </c>
      <c r="L25" s="31" t="s">
        <v>37</v>
      </c>
      <c r="M25" s="31" t="s">
        <v>37</v>
      </c>
      <c r="N25" s="31" t="s">
        <v>40</v>
      </c>
      <c r="O25" s="31" t="s">
        <v>38</v>
      </c>
      <c r="P25" s="31" t="s">
        <v>38</v>
      </c>
      <c r="Q25" s="45">
        <v>4054</v>
      </c>
      <c r="R25" s="30">
        <v>0.74</v>
      </c>
      <c r="S25" s="5">
        <v>0.26</v>
      </c>
      <c r="T25" s="39">
        <v>1.1200000000000001</v>
      </c>
      <c r="U25" s="5">
        <v>0.94</v>
      </c>
    </row>
    <row r="26" spans="1:21" x14ac:dyDescent="0.3">
      <c r="A26" s="35">
        <v>44049</v>
      </c>
      <c r="B26" s="43">
        <v>8.9</v>
      </c>
      <c r="C26" s="12">
        <v>79.7</v>
      </c>
      <c r="D26" s="39">
        <v>7.88</v>
      </c>
      <c r="E26" s="33">
        <v>5185</v>
      </c>
      <c r="F26" s="33">
        <v>27002</v>
      </c>
      <c r="G26" s="39">
        <f t="shared" si="0"/>
        <v>0.1920228131249537</v>
      </c>
      <c r="H26" s="45">
        <v>94.9</v>
      </c>
      <c r="I26" s="34"/>
      <c r="J26" s="31">
        <v>94.9</v>
      </c>
      <c r="K26" s="31" t="s">
        <v>39</v>
      </c>
      <c r="L26" s="31" t="s">
        <v>37</v>
      </c>
      <c r="M26" s="31" t="s">
        <v>37</v>
      </c>
      <c r="N26" s="31" t="s">
        <v>40</v>
      </c>
      <c r="O26" s="31" t="s">
        <v>38</v>
      </c>
      <c r="P26" s="31" t="s">
        <v>38</v>
      </c>
      <c r="Q26" s="45">
        <v>4153</v>
      </c>
      <c r="R26" s="30">
        <v>0.73</v>
      </c>
      <c r="S26" s="5">
        <v>0.25</v>
      </c>
      <c r="T26" s="39">
        <v>1.18</v>
      </c>
      <c r="U26" s="5">
        <v>0.9</v>
      </c>
    </row>
    <row r="27" spans="1:21" x14ac:dyDescent="0.3">
      <c r="A27" s="35">
        <v>44068</v>
      </c>
      <c r="B27" s="43">
        <v>7.9</v>
      </c>
      <c r="C27" s="12">
        <v>79.599999999999994</v>
      </c>
      <c r="D27" s="39">
        <v>7.92</v>
      </c>
      <c r="E27" s="33">
        <f>(5882+5524)/2</f>
        <v>5703</v>
      </c>
      <c r="F27" s="33">
        <f>(25801+26436)/2</f>
        <v>26118.5</v>
      </c>
      <c r="G27" s="39">
        <f t="shared" si="0"/>
        <v>0.21835097727664299</v>
      </c>
      <c r="H27" s="45">
        <v>165</v>
      </c>
      <c r="I27" s="34"/>
      <c r="J27" s="31">
        <v>165</v>
      </c>
      <c r="K27" s="31" t="s">
        <v>39</v>
      </c>
      <c r="L27" s="31" t="s">
        <v>37</v>
      </c>
      <c r="M27" s="31" t="s">
        <v>37</v>
      </c>
      <c r="N27" s="31" t="s">
        <v>40</v>
      </c>
      <c r="O27" s="31" t="s">
        <v>38</v>
      </c>
      <c r="P27" s="31" t="s">
        <v>38</v>
      </c>
      <c r="Q27" s="45">
        <v>4147</v>
      </c>
      <c r="R27" s="30">
        <v>0.72</v>
      </c>
      <c r="S27" s="5">
        <v>0.24</v>
      </c>
      <c r="T27" s="39">
        <v>1.1000000000000001</v>
      </c>
      <c r="U27" s="7">
        <v>0.83</v>
      </c>
    </row>
    <row r="28" spans="1:21" x14ac:dyDescent="0.3">
      <c r="A28" s="35">
        <v>44089</v>
      </c>
      <c r="B28" s="43">
        <v>9.1</v>
      </c>
      <c r="C28" s="12">
        <v>79.2</v>
      </c>
      <c r="D28" s="39">
        <v>7.89</v>
      </c>
      <c r="E28" s="33">
        <f>(5689+5574)/2</f>
        <v>5631.5</v>
      </c>
      <c r="F28" s="33">
        <f>(26061+26054)/2</f>
        <v>26057.5</v>
      </c>
      <c r="G28" s="39">
        <f t="shared" si="0"/>
        <v>0.21611820013431834</v>
      </c>
      <c r="H28" s="45">
        <v>164</v>
      </c>
      <c r="I28" s="34"/>
      <c r="J28" s="31">
        <v>164</v>
      </c>
      <c r="K28" s="31" t="s">
        <v>39</v>
      </c>
      <c r="L28" s="31" t="s">
        <v>37</v>
      </c>
      <c r="M28" s="31" t="s">
        <v>37</v>
      </c>
      <c r="N28" s="31" t="s">
        <v>40</v>
      </c>
      <c r="O28" s="31" t="s">
        <v>38</v>
      </c>
      <c r="P28" s="31" t="s">
        <v>38</v>
      </c>
      <c r="Q28" s="45">
        <v>4063</v>
      </c>
      <c r="R28" s="30">
        <v>0.77</v>
      </c>
      <c r="S28" s="5">
        <v>0.26</v>
      </c>
      <c r="T28" s="39">
        <v>1.23</v>
      </c>
      <c r="U28" s="5">
        <v>0.94</v>
      </c>
    </row>
    <row r="29" spans="1:21" x14ac:dyDescent="0.3">
      <c r="A29" s="35">
        <v>44096</v>
      </c>
      <c r="B29" s="43">
        <v>8.8000000000000007</v>
      </c>
      <c r="C29" s="12">
        <v>79.5</v>
      </c>
      <c r="D29" s="39">
        <v>7.95</v>
      </c>
      <c r="E29" s="33">
        <v>6023</v>
      </c>
      <c r="F29" s="33">
        <v>26033</v>
      </c>
      <c r="G29" s="39">
        <f t="shared" si="0"/>
        <v>0.23136019667345292</v>
      </c>
      <c r="H29" s="45">
        <v>366</v>
      </c>
      <c r="I29" s="34"/>
      <c r="J29" s="31">
        <v>366</v>
      </c>
      <c r="K29" s="31" t="s">
        <v>39</v>
      </c>
      <c r="L29" s="31" t="s">
        <v>37</v>
      </c>
      <c r="M29" s="31" t="s">
        <v>37</v>
      </c>
      <c r="N29" s="31" t="s">
        <v>40</v>
      </c>
      <c r="O29" s="31" t="s">
        <v>38</v>
      </c>
      <c r="P29" s="31" t="s">
        <v>38</v>
      </c>
      <c r="Q29" s="45">
        <v>4239</v>
      </c>
      <c r="R29" s="30">
        <v>0.74</v>
      </c>
      <c r="S29" s="5">
        <v>0.26</v>
      </c>
      <c r="T29" s="39">
        <v>1.22</v>
      </c>
      <c r="U29" s="5">
        <v>0.94</v>
      </c>
    </row>
    <row r="30" spans="1:21" x14ac:dyDescent="0.3">
      <c r="A30" s="35">
        <v>44113</v>
      </c>
      <c r="B30" s="43">
        <v>8.3000000000000007</v>
      </c>
      <c r="C30" s="12">
        <v>78.5</v>
      </c>
      <c r="D30" s="39">
        <v>7.95</v>
      </c>
      <c r="E30" s="33">
        <f>(6448+6265)/2</f>
        <v>6356.5</v>
      </c>
      <c r="F30" s="33">
        <f>(23471+23406)/2</f>
        <v>23438.5</v>
      </c>
      <c r="G30" s="39">
        <f t="shared" si="0"/>
        <v>0.27119909550525845</v>
      </c>
      <c r="H30" s="45">
        <v>520</v>
      </c>
      <c r="I30" s="34"/>
      <c r="J30" s="31">
        <v>492</v>
      </c>
      <c r="K30" s="31" t="s">
        <v>39</v>
      </c>
      <c r="L30" s="31" t="s">
        <v>37</v>
      </c>
      <c r="M30" s="31" t="s">
        <v>37</v>
      </c>
      <c r="N30" s="31" t="s">
        <v>40</v>
      </c>
      <c r="O30" s="31" t="s">
        <v>38</v>
      </c>
      <c r="P30" s="31" t="s">
        <v>38</v>
      </c>
      <c r="Q30" s="45">
        <v>3796</v>
      </c>
      <c r="R30" s="30">
        <v>0.7</v>
      </c>
      <c r="S30" s="5">
        <v>0.22</v>
      </c>
      <c r="T30" s="39">
        <v>1.1100000000000001</v>
      </c>
      <c r="U30" s="7">
        <v>0.88</v>
      </c>
    </row>
    <row r="31" spans="1:21" x14ac:dyDescent="0.3">
      <c r="A31" s="35">
        <v>44119</v>
      </c>
      <c r="B31" s="43">
        <v>8.1999999999999993</v>
      </c>
      <c r="C31" s="12">
        <v>78</v>
      </c>
      <c r="D31" s="39">
        <v>8.02</v>
      </c>
      <c r="E31" s="33">
        <f>(6275+6223)/2</f>
        <v>6249</v>
      </c>
      <c r="F31" s="33">
        <f>(24207+24590)/2</f>
        <v>24398.5</v>
      </c>
      <c r="G31" s="39">
        <f t="shared" si="0"/>
        <v>0.25612230260056973</v>
      </c>
      <c r="H31" s="45">
        <v>562</v>
      </c>
      <c r="I31" s="34"/>
      <c r="J31" s="31">
        <v>526</v>
      </c>
      <c r="K31" s="31" t="s">
        <v>39</v>
      </c>
      <c r="L31" s="31" t="s">
        <v>37</v>
      </c>
      <c r="M31" s="31" t="s">
        <v>37</v>
      </c>
      <c r="N31" s="31" t="s">
        <v>40</v>
      </c>
      <c r="O31" s="31" t="s">
        <v>38</v>
      </c>
      <c r="P31" s="31" t="s">
        <v>38</v>
      </c>
      <c r="Q31" s="45">
        <v>3947</v>
      </c>
      <c r="R31" s="30">
        <v>0.73</v>
      </c>
      <c r="S31" s="5">
        <v>0.23</v>
      </c>
      <c r="T31" s="39">
        <v>1.1200000000000001</v>
      </c>
      <c r="U31" s="42">
        <v>0.8</v>
      </c>
    </row>
    <row r="32" spans="1:21" x14ac:dyDescent="0.3">
      <c r="A32" s="35">
        <v>44139</v>
      </c>
      <c r="B32" s="43">
        <v>8.5</v>
      </c>
      <c r="C32" s="12">
        <v>76.900000000000006</v>
      </c>
      <c r="D32" s="39">
        <v>8.0299999999999994</v>
      </c>
      <c r="E32" s="33">
        <f>(6218+6253)/2</f>
        <v>6235.5</v>
      </c>
      <c r="F32" s="33">
        <f>(26052+25635)/2</f>
        <v>25843.5</v>
      </c>
      <c r="G32" s="39">
        <f t="shared" si="0"/>
        <v>0.24127923849323815</v>
      </c>
      <c r="H32" s="45">
        <v>722</v>
      </c>
      <c r="I32" s="34"/>
      <c r="J32" s="31">
        <v>657</v>
      </c>
      <c r="K32" s="31">
        <v>65</v>
      </c>
      <c r="L32" s="31" t="s">
        <v>37</v>
      </c>
      <c r="M32" s="31" t="s">
        <v>37</v>
      </c>
      <c r="N32" s="31" t="s">
        <v>40</v>
      </c>
      <c r="O32" s="31" t="s">
        <v>38</v>
      </c>
      <c r="P32" s="31" t="s">
        <v>38</v>
      </c>
      <c r="Q32" s="45">
        <v>4057</v>
      </c>
      <c r="R32" s="30">
        <v>0.75</v>
      </c>
      <c r="S32" s="5">
        <v>0.23</v>
      </c>
      <c r="T32" s="39">
        <v>1.1599999999999999</v>
      </c>
      <c r="U32" s="42">
        <v>0.83</v>
      </c>
    </row>
    <row r="33" spans="1:21" x14ac:dyDescent="0.3">
      <c r="A33" s="35">
        <v>44153</v>
      </c>
      <c r="B33" s="43">
        <v>8.5</v>
      </c>
      <c r="C33" s="12">
        <v>77.900000000000006</v>
      </c>
      <c r="D33" s="39">
        <v>8</v>
      </c>
      <c r="E33" s="33">
        <f>(6254+6181)/2</f>
        <v>6217.5</v>
      </c>
      <c r="F33" s="33">
        <f>(25570+25784)/2</f>
        <v>25677</v>
      </c>
      <c r="G33" s="39">
        <f t="shared" si="0"/>
        <v>0.242142773688515</v>
      </c>
      <c r="H33" s="45">
        <v>570</v>
      </c>
      <c r="I33" s="34"/>
      <c r="J33" s="31">
        <v>534</v>
      </c>
      <c r="K33" s="31" t="s">
        <v>39</v>
      </c>
      <c r="L33" s="31" t="s">
        <v>37</v>
      </c>
      <c r="M33" s="31" t="s">
        <v>37</v>
      </c>
      <c r="N33" s="31" t="s">
        <v>40</v>
      </c>
      <c r="O33" s="31" t="s">
        <v>38</v>
      </c>
      <c r="P33" s="31" t="s">
        <v>38</v>
      </c>
      <c r="Q33" s="45">
        <v>4189</v>
      </c>
      <c r="R33" s="30">
        <v>0.77</v>
      </c>
      <c r="S33" s="5">
        <v>0.25</v>
      </c>
      <c r="T33" s="39">
        <v>1.1299999999999999</v>
      </c>
      <c r="U33" s="42">
        <v>0.83</v>
      </c>
    </row>
    <row r="34" spans="1:21" x14ac:dyDescent="0.3">
      <c r="A34" s="35">
        <v>44158</v>
      </c>
      <c r="B34" s="43">
        <v>8.6</v>
      </c>
      <c r="C34" s="12">
        <v>78.099999999999994</v>
      </c>
      <c r="D34" s="39">
        <v>8.06</v>
      </c>
      <c r="E34" s="33">
        <f>(6836+6574)/2</f>
        <v>6705</v>
      </c>
      <c r="F34" s="33">
        <f>(25695+25520)/2</f>
        <v>25607.5</v>
      </c>
      <c r="G34" s="39">
        <f t="shared" ref="G34:G46" si="1">E34/F34</f>
        <v>0.26183735233818217</v>
      </c>
      <c r="H34" s="45">
        <v>645</v>
      </c>
      <c r="I34" s="34"/>
      <c r="J34" s="31">
        <v>591</v>
      </c>
      <c r="K34" s="31">
        <v>54</v>
      </c>
      <c r="L34" s="31" t="s">
        <v>37</v>
      </c>
      <c r="M34" s="31" t="s">
        <v>37</v>
      </c>
      <c r="N34" s="31" t="s">
        <v>40</v>
      </c>
      <c r="O34" s="31" t="s">
        <v>38</v>
      </c>
      <c r="P34" s="31" t="s">
        <v>38</v>
      </c>
      <c r="Q34" s="45">
        <v>4325</v>
      </c>
      <c r="R34" s="30">
        <v>0.76</v>
      </c>
      <c r="S34" s="5">
        <v>0.31</v>
      </c>
      <c r="T34" s="39">
        <v>1.25</v>
      </c>
      <c r="U34" s="39">
        <v>0.92</v>
      </c>
    </row>
    <row r="35" spans="1:21" x14ac:dyDescent="0.3">
      <c r="A35" s="35">
        <v>44172</v>
      </c>
      <c r="B35" s="43">
        <v>8.8000000000000007</v>
      </c>
      <c r="C35" s="12">
        <v>79</v>
      </c>
      <c r="D35" s="39">
        <v>7.93</v>
      </c>
      <c r="E35" s="33">
        <v>6939</v>
      </c>
      <c r="F35" s="33">
        <v>26748</v>
      </c>
      <c r="G35" s="39">
        <f t="shared" si="1"/>
        <v>0.25942126514131897</v>
      </c>
      <c r="H35" s="45">
        <v>358</v>
      </c>
      <c r="I35" s="34"/>
      <c r="J35" s="31">
        <v>346</v>
      </c>
      <c r="K35" s="31" t="s">
        <v>39</v>
      </c>
      <c r="L35" s="31" t="s">
        <v>37</v>
      </c>
      <c r="M35" s="31" t="s">
        <v>37</v>
      </c>
      <c r="N35" s="31" t="s">
        <v>40</v>
      </c>
      <c r="O35" s="31" t="s">
        <v>38</v>
      </c>
      <c r="P35" s="31" t="s">
        <v>38</v>
      </c>
      <c r="Q35" s="45">
        <v>4414</v>
      </c>
      <c r="R35" s="30">
        <v>0.78</v>
      </c>
      <c r="S35" s="5">
        <v>0.26</v>
      </c>
      <c r="T35" s="39">
        <v>1.24</v>
      </c>
      <c r="U35" s="39">
        <v>0.89</v>
      </c>
    </row>
    <row r="36" spans="1:21" x14ac:dyDescent="0.3">
      <c r="A36" s="35">
        <v>44182</v>
      </c>
      <c r="B36" s="43">
        <v>8.6999999999999993</v>
      </c>
      <c r="C36" s="12">
        <v>79</v>
      </c>
      <c r="D36" s="39">
        <v>7.97</v>
      </c>
      <c r="E36" s="33">
        <v>6093</v>
      </c>
      <c r="F36" s="33">
        <v>26562</v>
      </c>
      <c r="G36" s="39">
        <f t="shared" si="1"/>
        <v>0.22938784730065506</v>
      </c>
      <c r="H36" s="45">
        <v>424</v>
      </c>
      <c r="I36" s="34"/>
      <c r="J36" s="31">
        <v>423</v>
      </c>
      <c r="K36" s="31" t="s">
        <v>39</v>
      </c>
      <c r="L36" s="31" t="s">
        <v>37</v>
      </c>
      <c r="M36" s="31" t="s">
        <v>37</v>
      </c>
      <c r="N36" s="31" t="s">
        <v>40</v>
      </c>
      <c r="O36" s="31" t="s">
        <v>38</v>
      </c>
      <c r="P36" s="31" t="s">
        <v>38</v>
      </c>
      <c r="Q36" s="45">
        <v>4379</v>
      </c>
      <c r="R36" s="30">
        <v>0.77</v>
      </c>
      <c r="S36" s="5">
        <v>0.21</v>
      </c>
      <c r="T36" s="39">
        <v>1.04</v>
      </c>
      <c r="U36" s="42">
        <v>0.76</v>
      </c>
    </row>
    <row r="37" spans="1:21" x14ac:dyDescent="0.3">
      <c r="A37" s="35">
        <v>44201</v>
      </c>
      <c r="B37" s="43">
        <v>7.7</v>
      </c>
      <c r="C37" s="12">
        <v>79.099999999999994</v>
      </c>
      <c r="D37" s="39">
        <v>8.0299999999999994</v>
      </c>
      <c r="E37" s="33">
        <v>5784</v>
      </c>
      <c r="F37" s="33">
        <v>22744</v>
      </c>
      <c r="G37" s="39">
        <f t="shared" si="1"/>
        <v>0.25430882870207527</v>
      </c>
      <c r="H37" s="31"/>
      <c r="I37" s="34"/>
      <c r="J37" s="31"/>
      <c r="K37" s="31"/>
      <c r="L37" s="31"/>
      <c r="M37" s="31"/>
      <c r="N37" s="31"/>
      <c r="O37" s="31"/>
      <c r="P37" s="31"/>
      <c r="Q37" s="31"/>
      <c r="R37" s="30"/>
      <c r="S37" s="15"/>
      <c r="T37" s="13"/>
      <c r="U37" s="13"/>
    </row>
    <row r="38" spans="1:21" x14ac:dyDescent="0.3">
      <c r="A38" s="35">
        <v>44207</v>
      </c>
      <c r="B38" s="43">
        <v>8</v>
      </c>
      <c r="C38" s="12">
        <v>76.7</v>
      </c>
      <c r="D38" s="39">
        <v>7.92</v>
      </c>
      <c r="E38" s="33">
        <f>(5591+5698)/2</f>
        <v>5644.5</v>
      </c>
      <c r="F38" s="33">
        <f>(23844+23952)/2</f>
        <v>23898</v>
      </c>
      <c r="G38" s="39">
        <f t="shared" si="1"/>
        <v>0.23619131308059252</v>
      </c>
      <c r="H38" s="45">
        <v>416</v>
      </c>
      <c r="I38" s="34"/>
      <c r="J38" s="31">
        <v>416</v>
      </c>
      <c r="K38" s="31" t="s">
        <v>39</v>
      </c>
      <c r="L38" s="31" t="s">
        <v>37</v>
      </c>
      <c r="M38" s="31" t="s">
        <v>37</v>
      </c>
      <c r="N38" s="31" t="s">
        <v>40</v>
      </c>
      <c r="O38" s="31" t="s">
        <v>38</v>
      </c>
      <c r="P38" s="31" t="s">
        <v>38</v>
      </c>
      <c r="Q38" s="45">
        <v>4041</v>
      </c>
      <c r="R38" s="30">
        <v>0.7</v>
      </c>
      <c r="S38" s="5">
        <v>0.19</v>
      </c>
      <c r="T38" s="39">
        <v>1.03</v>
      </c>
      <c r="U38" s="42">
        <v>0.69</v>
      </c>
    </row>
    <row r="39" spans="1:21" x14ac:dyDescent="0.3">
      <c r="A39" s="35">
        <v>44224</v>
      </c>
      <c r="B39" s="43">
        <v>7.5</v>
      </c>
      <c r="C39" s="12">
        <v>79</v>
      </c>
      <c r="D39" s="39">
        <v>7.9</v>
      </c>
      <c r="E39" s="33">
        <f>(4940+5089)/2</f>
        <v>5014.5</v>
      </c>
      <c r="F39" s="33">
        <f>(21525+21205)/2</f>
        <v>21365</v>
      </c>
      <c r="G39" s="39">
        <f t="shared" si="1"/>
        <v>0.23470629534285045</v>
      </c>
      <c r="H39" s="45">
        <v>141</v>
      </c>
      <c r="I39" s="34"/>
      <c r="J39" s="31">
        <v>141</v>
      </c>
      <c r="K39" s="31" t="s">
        <v>39</v>
      </c>
      <c r="L39" s="31" t="s">
        <v>37</v>
      </c>
      <c r="M39" s="31" t="s">
        <v>37</v>
      </c>
      <c r="N39" s="31" t="s">
        <v>40</v>
      </c>
      <c r="O39" s="31" t="s">
        <v>38</v>
      </c>
      <c r="P39" s="31" t="s">
        <v>38</v>
      </c>
      <c r="Q39" s="45">
        <v>3600</v>
      </c>
      <c r="R39" s="30">
        <v>0.64</v>
      </c>
      <c r="S39" s="5">
        <v>0.21</v>
      </c>
      <c r="T39" s="39">
        <v>1.1000000000000001</v>
      </c>
      <c r="U39" s="42">
        <v>0.76</v>
      </c>
    </row>
    <row r="40" spans="1:21" x14ac:dyDescent="0.3">
      <c r="A40" s="35">
        <v>44237</v>
      </c>
      <c r="B40" s="43">
        <v>7.3</v>
      </c>
      <c r="C40" s="12">
        <v>78.400000000000006</v>
      </c>
      <c r="D40" s="39">
        <v>8</v>
      </c>
      <c r="E40" s="33">
        <f>(5147+4855)/2</f>
        <v>5001</v>
      </c>
      <c r="F40" s="33">
        <f>(20466+20598)/2</f>
        <v>20532</v>
      </c>
      <c r="G40" s="39">
        <f t="shared" si="1"/>
        <v>0.24357101110461718</v>
      </c>
      <c r="H40" s="45">
        <v>376</v>
      </c>
      <c r="I40" s="34"/>
      <c r="J40" s="31">
        <v>346</v>
      </c>
      <c r="K40" s="31" t="s">
        <v>39</v>
      </c>
      <c r="L40" s="31" t="s">
        <v>37</v>
      </c>
      <c r="M40" s="31" t="s">
        <v>37</v>
      </c>
      <c r="N40" s="31" t="s">
        <v>40</v>
      </c>
      <c r="O40" s="31" t="s">
        <v>38</v>
      </c>
      <c r="P40" s="31" t="s">
        <v>38</v>
      </c>
      <c r="Q40" s="45">
        <v>3329</v>
      </c>
      <c r="R40" s="30">
        <v>0.63</v>
      </c>
      <c r="S40" s="7">
        <v>0.17</v>
      </c>
      <c r="T40" s="39">
        <v>0.94</v>
      </c>
      <c r="U40" s="42">
        <v>0.68</v>
      </c>
    </row>
    <row r="41" spans="1:21" x14ac:dyDescent="0.3">
      <c r="A41" s="35">
        <v>44250</v>
      </c>
      <c r="B41" s="43">
        <v>7.2</v>
      </c>
      <c r="C41" s="12">
        <v>80.099999999999994</v>
      </c>
      <c r="D41" s="39">
        <v>7.77</v>
      </c>
      <c r="E41" s="33">
        <v>5069</v>
      </c>
      <c r="F41" s="33">
        <v>19980</v>
      </c>
      <c r="G41" s="39">
        <f t="shared" si="1"/>
        <v>0.25370370370370371</v>
      </c>
      <c r="H41" s="45">
        <v>238</v>
      </c>
      <c r="I41" s="34"/>
      <c r="J41" s="31">
        <v>224</v>
      </c>
      <c r="K41" s="31" t="s">
        <v>39</v>
      </c>
      <c r="L41" s="31" t="s">
        <v>37</v>
      </c>
      <c r="M41" s="31" t="s">
        <v>37</v>
      </c>
      <c r="N41" s="31" t="s">
        <v>40</v>
      </c>
      <c r="O41" s="31" t="s">
        <v>38</v>
      </c>
      <c r="P41" s="31" t="s">
        <v>38</v>
      </c>
      <c r="Q41" s="45">
        <v>3268</v>
      </c>
      <c r="R41" s="30">
        <v>0.62</v>
      </c>
      <c r="S41" s="5">
        <v>0.22</v>
      </c>
      <c r="T41" s="39">
        <v>1.21</v>
      </c>
      <c r="U41" s="39">
        <v>1.06</v>
      </c>
    </row>
    <row r="42" spans="1:21" x14ac:dyDescent="0.3">
      <c r="A42" s="35">
        <v>44257</v>
      </c>
      <c r="B42" s="43">
        <v>7.4</v>
      </c>
      <c r="C42" s="12">
        <v>79.400000000000006</v>
      </c>
      <c r="D42" s="39">
        <v>7.91</v>
      </c>
      <c r="E42" s="33">
        <f>(4577+4657)/2</f>
        <v>4617</v>
      </c>
      <c r="F42" s="33">
        <f>(20465+20596)/2</f>
        <v>20530.5</v>
      </c>
      <c r="G42" s="39">
        <f t="shared" si="1"/>
        <v>0.2248849273032805</v>
      </c>
      <c r="H42" s="45">
        <v>197</v>
      </c>
      <c r="I42" s="34"/>
      <c r="J42" s="31">
        <v>197</v>
      </c>
      <c r="K42" s="31" t="s">
        <v>39</v>
      </c>
      <c r="L42" s="31" t="s">
        <v>37</v>
      </c>
      <c r="M42" s="31" t="s">
        <v>37</v>
      </c>
      <c r="N42" s="31" t="s">
        <v>40</v>
      </c>
      <c r="O42" s="31" t="s">
        <v>38</v>
      </c>
      <c r="P42" s="31" t="s">
        <v>38</v>
      </c>
      <c r="Q42" s="45">
        <v>3229</v>
      </c>
      <c r="R42" s="30">
        <v>0.63</v>
      </c>
      <c r="S42" s="5">
        <v>0.26</v>
      </c>
      <c r="T42" s="39">
        <v>1.33</v>
      </c>
      <c r="U42" s="39">
        <v>1.23</v>
      </c>
    </row>
    <row r="43" spans="1:21" x14ac:dyDescent="0.3">
      <c r="A43" s="35">
        <v>44271</v>
      </c>
      <c r="B43" s="43">
        <v>7.9</v>
      </c>
      <c r="C43" s="12">
        <v>83.1</v>
      </c>
      <c r="D43" s="39">
        <v>7.97</v>
      </c>
      <c r="E43" s="33">
        <v>4427</v>
      </c>
      <c r="F43" s="33">
        <v>21593</v>
      </c>
      <c r="G43" s="39">
        <f t="shared" si="1"/>
        <v>0.20502014541749641</v>
      </c>
      <c r="H43" s="45">
        <v>210</v>
      </c>
      <c r="I43" s="34"/>
      <c r="J43" s="31">
        <v>207</v>
      </c>
      <c r="K43" s="31" t="s">
        <v>39</v>
      </c>
      <c r="L43" s="31" t="s">
        <v>37</v>
      </c>
      <c r="M43" s="31" t="s">
        <v>37</v>
      </c>
      <c r="N43" s="31" t="s">
        <v>40</v>
      </c>
      <c r="O43" s="31" t="s">
        <v>38</v>
      </c>
      <c r="P43" s="31" t="s">
        <v>38</v>
      </c>
      <c r="Q43" s="45">
        <v>3286</v>
      </c>
      <c r="R43" s="30">
        <v>0.66</v>
      </c>
      <c r="S43" s="5">
        <v>0.27</v>
      </c>
      <c r="T43" s="39">
        <v>1.46</v>
      </c>
      <c r="U43" s="39">
        <v>1.25</v>
      </c>
    </row>
    <row r="44" spans="1:21" x14ac:dyDescent="0.3">
      <c r="A44" s="35">
        <v>44278</v>
      </c>
      <c r="B44" s="43">
        <v>7.9</v>
      </c>
      <c r="C44" s="12">
        <v>79</v>
      </c>
      <c r="D44" s="39">
        <v>7.9</v>
      </c>
      <c r="E44" s="33">
        <v>4616</v>
      </c>
      <c r="F44" s="33">
        <v>22364</v>
      </c>
      <c r="G44" s="39">
        <f t="shared" si="1"/>
        <v>0.20640314791629405</v>
      </c>
      <c r="H44" s="45">
        <v>236</v>
      </c>
      <c r="I44" s="34"/>
      <c r="J44" s="31">
        <v>218</v>
      </c>
      <c r="K44" s="31" t="s">
        <v>39</v>
      </c>
      <c r="L44" s="31" t="s">
        <v>37</v>
      </c>
      <c r="M44" s="31" t="s">
        <v>37</v>
      </c>
      <c r="N44" s="31" t="s">
        <v>40</v>
      </c>
      <c r="O44" s="31" t="s">
        <v>38</v>
      </c>
      <c r="P44" s="31" t="s">
        <v>38</v>
      </c>
      <c r="Q44" s="31"/>
      <c r="R44" s="30"/>
      <c r="S44" s="15"/>
      <c r="T44" s="13"/>
      <c r="U44" s="13"/>
    </row>
    <row r="45" spans="1:21" x14ac:dyDescent="0.3">
      <c r="A45" s="35">
        <v>44287</v>
      </c>
      <c r="B45" s="43">
        <v>7.7</v>
      </c>
      <c r="C45" s="12">
        <v>79</v>
      </c>
      <c r="D45" s="39">
        <v>8.0399999999999991</v>
      </c>
      <c r="E45" s="33">
        <v>4998</v>
      </c>
      <c r="F45" s="33">
        <v>23120</v>
      </c>
      <c r="G45" s="39">
        <f t="shared" si="1"/>
        <v>0.2161764705882353</v>
      </c>
      <c r="H45" s="45">
        <v>116</v>
      </c>
      <c r="I45" s="34"/>
      <c r="J45" s="31">
        <v>95</v>
      </c>
      <c r="K45" s="31" t="s">
        <v>39</v>
      </c>
      <c r="L45" s="31" t="s">
        <v>37</v>
      </c>
      <c r="M45" s="31" t="s">
        <v>37</v>
      </c>
      <c r="N45" s="31" t="s">
        <v>40</v>
      </c>
      <c r="O45" s="31" t="s">
        <v>38</v>
      </c>
      <c r="P45" s="31" t="s">
        <v>38</v>
      </c>
      <c r="Q45" s="45">
        <v>3504</v>
      </c>
      <c r="R45" s="30">
        <v>0.69</v>
      </c>
      <c r="S45" s="5">
        <v>0.28999999999999998</v>
      </c>
      <c r="T45" s="39">
        <v>1.57</v>
      </c>
      <c r="U45" s="39">
        <v>1.26</v>
      </c>
    </row>
    <row r="46" spans="1:21" x14ac:dyDescent="0.3">
      <c r="A46" s="35">
        <v>44309</v>
      </c>
      <c r="B46" s="43">
        <v>8.1999999999999993</v>
      </c>
      <c r="C46" s="12">
        <v>79.400000000000006</v>
      </c>
      <c r="D46" s="39">
        <v>8.01</v>
      </c>
      <c r="E46" s="33">
        <v>5030</v>
      </c>
      <c r="F46" s="33">
        <v>25373</v>
      </c>
      <c r="G46" s="39">
        <f t="shared" si="1"/>
        <v>0.19824222598825522</v>
      </c>
      <c r="H46" s="29" t="s">
        <v>62</v>
      </c>
      <c r="I46" s="13"/>
      <c r="J46" s="29" t="s">
        <v>62</v>
      </c>
      <c r="K46" s="29" t="s">
        <v>62</v>
      </c>
      <c r="L46" s="29" t="s">
        <v>62</v>
      </c>
      <c r="M46" s="29" t="s">
        <v>62</v>
      </c>
      <c r="N46" s="29" t="s">
        <v>62</v>
      </c>
      <c r="O46" s="29" t="s">
        <v>62</v>
      </c>
      <c r="P46" s="29" t="s">
        <v>62</v>
      </c>
      <c r="Q46" s="29" t="s">
        <v>62</v>
      </c>
      <c r="R46" s="29" t="s">
        <v>62</v>
      </c>
      <c r="S46" s="29" t="s">
        <v>62</v>
      </c>
      <c r="T46" s="29" t="s">
        <v>62</v>
      </c>
      <c r="U46" s="29" t="s">
        <v>62</v>
      </c>
    </row>
    <row r="47" spans="1:21" ht="4.5" customHeight="1" x14ac:dyDescent="0.3">
      <c r="A47" s="35"/>
      <c r="B47" s="12"/>
      <c r="C47" s="12"/>
      <c r="D47" s="13"/>
      <c r="E47" s="33"/>
      <c r="F47" s="33"/>
      <c r="G47" s="13"/>
      <c r="H47" s="29"/>
      <c r="I47" s="13"/>
      <c r="J47" s="29"/>
      <c r="K47" s="31"/>
      <c r="L47" s="31"/>
      <c r="M47" s="31"/>
      <c r="N47" s="31"/>
      <c r="O47" s="31"/>
      <c r="P47" s="31"/>
      <c r="Q47" s="31"/>
      <c r="R47" s="30"/>
      <c r="S47" s="15"/>
      <c r="T47" s="13"/>
      <c r="U47" s="13"/>
    </row>
    <row r="48" spans="1:21" x14ac:dyDescent="0.3">
      <c r="A48" s="50" t="s">
        <v>41</v>
      </c>
    </row>
    <row r="49" spans="2:25" x14ac:dyDescent="0.3">
      <c r="Y49" s="53"/>
    </row>
    <row r="51" spans="2:25" x14ac:dyDescent="0.3">
      <c r="B51" s="51" t="s">
        <v>43</v>
      </c>
      <c r="G51" t="s">
        <v>44</v>
      </c>
    </row>
    <row r="159" ht="16.5" customHeight="1" x14ac:dyDescent="0.3"/>
    <row r="181" spans="1:21" s="3" customFormat="1" x14ac:dyDescent="0.3">
      <c r="A181"/>
      <c r="B181" s="51"/>
      <c r="C181" s="51"/>
      <c r="D181" s="2"/>
      <c r="E181"/>
      <c r="F181"/>
      <c r="G181"/>
      <c r="I181" s="2"/>
      <c r="R181" s="4"/>
      <c r="S181"/>
      <c r="T181" s="2"/>
      <c r="U181"/>
    </row>
    <row r="191" spans="1:21" ht="5.25" customHeight="1" x14ac:dyDescent="0.3"/>
    <row r="1047158" spans="1:25" s="3" customFormat="1" x14ac:dyDescent="0.3">
      <c r="A1047158"/>
      <c r="B1047158" s="51"/>
      <c r="C1047158" s="51"/>
      <c r="D1047158" s="2"/>
      <c r="E1047158"/>
      <c r="F1047158"/>
      <c r="G1047158" s="27"/>
      <c r="I1047158" s="2"/>
      <c r="R1047158" s="4"/>
      <c r="S1047158"/>
      <c r="T1047158" s="2"/>
      <c r="U1047158"/>
      <c r="V1047158"/>
      <c r="W1047158"/>
      <c r="X1047158"/>
      <c r="Y1047158"/>
    </row>
  </sheetData>
  <mergeCells count="11">
    <mergeCell ref="A7:U7"/>
    <mergeCell ref="B1:G1"/>
    <mergeCell ref="C2:G2"/>
    <mergeCell ref="C3:G4"/>
    <mergeCell ref="C5:G5"/>
    <mergeCell ref="C6:G6"/>
    <mergeCell ref="B8:C8"/>
    <mergeCell ref="D8:G8"/>
    <mergeCell ref="H8:P8"/>
    <mergeCell ref="Q8:R8"/>
    <mergeCell ref="S8:U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AA509-D8F4-4624-8372-A106FE18E381}">
  <dimension ref="A1:I226"/>
  <sheetViews>
    <sheetView zoomScaleNormal="100" workbookViewId="0">
      <pane ySplit="1" topLeftCell="A2" activePane="bottomLeft" state="frozen"/>
      <selection pane="bottomLeft" activeCell="O21" sqref="O21"/>
    </sheetView>
  </sheetViews>
  <sheetFormatPr defaultColWidth="9.109375" defaultRowHeight="14.4" x14ac:dyDescent="0.3"/>
  <cols>
    <col min="1" max="1" width="10.6640625" style="60" bestFit="1" customWidth="1"/>
    <col min="2" max="2" width="21" style="60" bestFit="1" customWidth="1"/>
    <col min="3" max="6" width="9.109375" style="60"/>
    <col min="7" max="7" width="9.109375" style="77"/>
    <col min="8" max="8" width="2" style="78" customWidth="1"/>
    <col min="9" max="9" width="9.109375" style="79"/>
    <col min="10" max="16384" width="9.109375" style="60"/>
  </cols>
  <sheetData>
    <row r="1" spans="1:9" x14ac:dyDescent="0.3">
      <c r="A1" s="59" t="s">
        <v>45</v>
      </c>
      <c r="B1" s="59" t="s">
        <v>46</v>
      </c>
      <c r="C1" s="59" t="s">
        <v>13</v>
      </c>
      <c r="D1" s="59" t="s">
        <v>14</v>
      </c>
      <c r="E1" s="36" t="s">
        <v>47</v>
      </c>
      <c r="F1" s="36" t="s">
        <v>48</v>
      </c>
      <c r="G1" s="154" t="s">
        <v>49</v>
      </c>
      <c r="H1" s="154"/>
      <c r="I1" s="154"/>
    </row>
    <row r="2" spans="1:9" x14ac:dyDescent="0.3">
      <c r="A2" s="61" t="s">
        <v>50</v>
      </c>
      <c r="B2" s="61"/>
      <c r="C2" s="61" t="s">
        <v>33</v>
      </c>
      <c r="D2" s="61" t="s">
        <v>33</v>
      </c>
      <c r="E2" s="62" t="s">
        <v>36</v>
      </c>
      <c r="F2" s="62" t="s">
        <v>36</v>
      </c>
      <c r="G2" s="63"/>
      <c r="H2" s="64"/>
      <c r="I2" s="65"/>
    </row>
    <row r="3" spans="1:9" ht="6" customHeight="1" thickBot="1" x14ac:dyDescent="0.35">
      <c r="A3" s="72"/>
      <c r="B3" s="72"/>
      <c r="C3" s="72"/>
      <c r="D3" s="72"/>
      <c r="E3" s="73"/>
      <c r="F3" s="73"/>
      <c r="G3" s="74"/>
      <c r="H3" s="75"/>
      <c r="I3" s="76"/>
    </row>
    <row r="4" spans="1:9" x14ac:dyDescent="0.3">
      <c r="A4" s="108">
        <v>45666</v>
      </c>
      <c r="B4" s="67" t="s">
        <v>52</v>
      </c>
      <c r="C4" s="67">
        <v>32.9</v>
      </c>
      <c r="D4" s="67">
        <v>95</v>
      </c>
      <c r="E4" s="70">
        <v>45.3</v>
      </c>
      <c r="F4" s="70">
        <v>2.34</v>
      </c>
      <c r="G4" s="68">
        <f t="shared" ref="G4:G23" si="0">E4/F4</f>
        <v>19.358974358974358</v>
      </c>
      <c r="H4" s="71" t="s">
        <v>51</v>
      </c>
      <c r="I4" s="69">
        <v>1</v>
      </c>
    </row>
    <row r="5" spans="1:9" x14ac:dyDescent="0.3">
      <c r="A5" s="35">
        <v>45680</v>
      </c>
      <c r="B5" s="67" t="s">
        <v>52</v>
      </c>
      <c r="C5" s="67">
        <v>33.799999999999997</v>
      </c>
      <c r="D5" s="67">
        <v>95.3</v>
      </c>
      <c r="E5" s="70"/>
      <c r="F5" s="70"/>
      <c r="G5" s="68"/>
      <c r="H5" s="71" t="s">
        <v>51</v>
      </c>
      <c r="I5" s="69">
        <v>1</v>
      </c>
    </row>
    <row r="6" spans="1:9" x14ac:dyDescent="0.3">
      <c r="A6" s="35">
        <v>45692</v>
      </c>
      <c r="B6" s="67" t="s">
        <v>52</v>
      </c>
      <c r="C6" s="67">
        <v>31.9</v>
      </c>
      <c r="D6" s="67">
        <v>95.2</v>
      </c>
      <c r="E6" s="70"/>
      <c r="F6" s="70"/>
      <c r="G6" s="68"/>
      <c r="H6" s="71" t="s">
        <v>51</v>
      </c>
      <c r="I6" s="69">
        <v>1</v>
      </c>
    </row>
    <row r="7" spans="1:9" x14ac:dyDescent="0.3">
      <c r="A7" s="35">
        <v>45705</v>
      </c>
      <c r="B7" s="67" t="s">
        <v>52</v>
      </c>
      <c r="C7" s="67">
        <v>34.4</v>
      </c>
      <c r="D7" s="67">
        <v>95.6</v>
      </c>
      <c r="E7" s="70">
        <v>45.4</v>
      </c>
      <c r="F7" s="70">
        <v>2.44</v>
      </c>
      <c r="G7" s="68">
        <f t="shared" si="0"/>
        <v>18.606557377049182</v>
      </c>
      <c r="H7" s="71" t="s">
        <v>51</v>
      </c>
      <c r="I7" s="69">
        <v>1</v>
      </c>
    </row>
    <row r="8" spans="1:9" x14ac:dyDescent="0.3">
      <c r="A8" s="35">
        <v>45721</v>
      </c>
      <c r="B8" s="67" t="s">
        <v>52</v>
      </c>
      <c r="C8" s="67">
        <v>35.700000000000003</v>
      </c>
      <c r="D8" s="67">
        <v>94.5</v>
      </c>
      <c r="E8" s="70"/>
      <c r="F8" s="70"/>
      <c r="G8" s="68"/>
      <c r="H8" s="71" t="s">
        <v>51</v>
      </c>
      <c r="I8" s="69">
        <v>1</v>
      </c>
    </row>
    <row r="9" spans="1:9" x14ac:dyDescent="0.3">
      <c r="A9" s="35">
        <v>45735</v>
      </c>
      <c r="B9" s="67" t="s">
        <v>52</v>
      </c>
      <c r="C9" s="67">
        <v>33.299999999999997</v>
      </c>
      <c r="D9" s="67">
        <v>95</v>
      </c>
      <c r="E9" s="70"/>
      <c r="F9" s="70"/>
      <c r="G9" s="68"/>
      <c r="H9" s="71" t="s">
        <v>51</v>
      </c>
      <c r="I9" s="69">
        <v>1</v>
      </c>
    </row>
    <row r="10" spans="1:9" x14ac:dyDescent="0.3">
      <c r="A10" s="35">
        <v>45749</v>
      </c>
      <c r="B10" s="67" t="s">
        <v>52</v>
      </c>
      <c r="C10" s="67">
        <v>38.4</v>
      </c>
      <c r="D10" s="67">
        <v>94.8</v>
      </c>
      <c r="E10" s="70">
        <v>44.8</v>
      </c>
      <c r="F10" s="70">
        <v>2.38</v>
      </c>
      <c r="G10" s="68">
        <f t="shared" si="0"/>
        <v>18.823529411764707</v>
      </c>
      <c r="H10" s="71" t="s">
        <v>51</v>
      </c>
      <c r="I10" s="69">
        <v>1</v>
      </c>
    </row>
    <row r="11" spans="1:9" x14ac:dyDescent="0.3">
      <c r="A11" s="35">
        <v>45762</v>
      </c>
      <c r="B11" s="67" t="s">
        <v>52</v>
      </c>
      <c r="C11" s="67">
        <v>40.700000000000003</v>
      </c>
      <c r="D11" s="67">
        <v>95.1</v>
      </c>
      <c r="E11" s="70">
        <v>44.3</v>
      </c>
      <c r="F11" s="70">
        <v>2.5499999999999998</v>
      </c>
      <c r="G11" s="68">
        <f t="shared" si="0"/>
        <v>17.372549019607842</v>
      </c>
      <c r="H11" s="71" t="s">
        <v>51</v>
      </c>
      <c r="I11" s="69">
        <v>1</v>
      </c>
    </row>
    <row r="12" spans="1:9" x14ac:dyDescent="0.3">
      <c r="A12" s="35">
        <v>45777</v>
      </c>
      <c r="B12" s="67" t="s">
        <v>52</v>
      </c>
      <c r="C12" s="67">
        <v>36.200000000000003</v>
      </c>
      <c r="D12" s="67">
        <v>95</v>
      </c>
      <c r="E12" s="70"/>
      <c r="F12" s="70"/>
      <c r="G12" s="68"/>
      <c r="H12" s="71" t="s">
        <v>51</v>
      </c>
      <c r="I12" s="69">
        <v>1</v>
      </c>
    </row>
    <row r="13" spans="1:9" x14ac:dyDescent="0.3">
      <c r="A13" s="35">
        <v>45791</v>
      </c>
      <c r="B13" s="67" t="s">
        <v>52</v>
      </c>
      <c r="C13" s="67">
        <v>38.299999999999997</v>
      </c>
      <c r="D13" s="67">
        <v>94.2</v>
      </c>
      <c r="E13" s="70">
        <v>44.5</v>
      </c>
      <c r="F13" s="70">
        <v>2.52</v>
      </c>
      <c r="G13" s="68">
        <f t="shared" si="0"/>
        <v>17.658730158730158</v>
      </c>
      <c r="H13" s="71" t="s">
        <v>51</v>
      </c>
      <c r="I13" s="69">
        <v>1</v>
      </c>
    </row>
    <row r="14" spans="1:9" x14ac:dyDescent="0.3">
      <c r="A14" s="35">
        <v>45804</v>
      </c>
      <c r="B14" s="67" t="s">
        <v>52</v>
      </c>
      <c r="C14" s="67">
        <v>39.6</v>
      </c>
      <c r="D14" s="67">
        <v>94.9</v>
      </c>
      <c r="E14" s="70"/>
      <c r="F14" s="70"/>
      <c r="G14" s="68" t="e">
        <f t="shared" si="0"/>
        <v>#DIV/0!</v>
      </c>
      <c r="H14" s="71" t="s">
        <v>51</v>
      </c>
      <c r="I14" s="69">
        <v>1</v>
      </c>
    </row>
    <row r="15" spans="1:9" x14ac:dyDescent="0.3">
      <c r="A15" s="35">
        <v>45820</v>
      </c>
      <c r="B15" s="67" t="s">
        <v>52</v>
      </c>
      <c r="C15" s="67">
        <v>40.5</v>
      </c>
      <c r="D15" s="67">
        <v>94</v>
      </c>
      <c r="E15" s="70">
        <v>44.6</v>
      </c>
      <c r="F15" s="70">
        <v>2.2999999999999998</v>
      </c>
      <c r="G15" s="68">
        <f t="shared" si="0"/>
        <v>19.39130434782609</v>
      </c>
      <c r="H15" s="71" t="s">
        <v>51</v>
      </c>
      <c r="I15" s="69">
        <v>1</v>
      </c>
    </row>
    <row r="16" spans="1:9" x14ac:dyDescent="0.3">
      <c r="A16" s="35">
        <v>45834</v>
      </c>
      <c r="B16" s="67" t="s">
        <v>52</v>
      </c>
      <c r="C16" s="67">
        <v>41.3</v>
      </c>
      <c r="D16" s="67">
        <v>94</v>
      </c>
      <c r="E16" s="67"/>
      <c r="F16" s="67"/>
      <c r="G16" s="68" t="e">
        <f t="shared" si="0"/>
        <v>#DIV/0!</v>
      </c>
      <c r="H16" s="71" t="s">
        <v>51</v>
      </c>
      <c r="I16" s="69">
        <v>1</v>
      </c>
    </row>
    <row r="17" spans="1:9" x14ac:dyDescent="0.3">
      <c r="A17" s="35">
        <v>45847</v>
      </c>
      <c r="B17" s="67" t="s">
        <v>52</v>
      </c>
      <c r="C17" s="67">
        <v>38.299999999999997</v>
      </c>
      <c r="D17" s="67">
        <v>93.7</v>
      </c>
      <c r="E17" s="67">
        <v>44.3</v>
      </c>
      <c r="F17" s="67">
        <v>2.33</v>
      </c>
      <c r="G17" s="68">
        <f t="shared" si="0"/>
        <v>19.012875536480685</v>
      </c>
      <c r="H17" s="71" t="s">
        <v>51</v>
      </c>
      <c r="I17" s="69">
        <v>1</v>
      </c>
    </row>
    <row r="18" spans="1:9" x14ac:dyDescent="0.3">
      <c r="A18" s="35">
        <v>45861</v>
      </c>
      <c r="B18" s="67" t="s">
        <v>52</v>
      </c>
      <c r="C18" s="67">
        <v>37.200000000000003</v>
      </c>
      <c r="D18" s="67">
        <v>94.4</v>
      </c>
      <c r="E18" s="67"/>
      <c r="F18" s="67"/>
      <c r="G18" s="68" t="e">
        <f t="shared" si="0"/>
        <v>#DIV/0!</v>
      </c>
      <c r="H18" s="71" t="s">
        <v>51</v>
      </c>
      <c r="I18" s="69">
        <v>1</v>
      </c>
    </row>
    <row r="19" spans="1:9" x14ac:dyDescent="0.3">
      <c r="A19" s="35">
        <v>45875</v>
      </c>
      <c r="B19" s="67" t="s">
        <v>52</v>
      </c>
      <c r="C19" s="67">
        <v>35.4</v>
      </c>
      <c r="D19" s="67">
        <v>94</v>
      </c>
      <c r="E19" s="67">
        <v>44.2</v>
      </c>
      <c r="F19" s="67">
        <v>1.86</v>
      </c>
      <c r="G19" s="68">
        <f t="shared" si="0"/>
        <v>23.763440860215056</v>
      </c>
      <c r="H19" s="71" t="s">
        <v>51</v>
      </c>
      <c r="I19" s="69">
        <v>1</v>
      </c>
    </row>
    <row r="20" spans="1:9" x14ac:dyDescent="0.3">
      <c r="A20" s="35">
        <v>45894</v>
      </c>
      <c r="B20" s="67" t="s">
        <v>52</v>
      </c>
      <c r="C20" s="67">
        <v>37.4</v>
      </c>
      <c r="D20" s="67">
        <v>94</v>
      </c>
      <c r="E20" s="67">
        <v>43.9</v>
      </c>
      <c r="F20" s="67">
        <v>2.3199999999999998</v>
      </c>
      <c r="G20" s="68">
        <f t="shared" si="0"/>
        <v>18.922413793103448</v>
      </c>
      <c r="H20" s="71" t="s">
        <v>51</v>
      </c>
      <c r="I20" s="69">
        <v>1</v>
      </c>
    </row>
    <row r="21" spans="1:9" x14ac:dyDescent="0.3">
      <c r="A21" s="35">
        <v>45915</v>
      </c>
      <c r="B21" s="67" t="s">
        <v>52</v>
      </c>
      <c r="C21" s="67">
        <v>39.6</v>
      </c>
      <c r="D21" s="67">
        <v>94.8</v>
      </c>
      <c r="E21" s="67">
        <v>46.1</v>
      </c>
      <c r="F21" s="67">
        <v>2.04</v>
      </c>
      <c r="G21" s="68">
        <f t="shared" si="0"/>
        <v>22.598039215686274</v>
      </c>
      <c r="H21" s="71" t="s">
        <v>51</v>
      </c>
      <c r="I21" s="69">
        <v>1</v>
      </c>
    </row>
    <row r="22" spans="1:9" x14ac:dyDescent="0.3">
      <c r="A22" s="35">
        <v>45922</v>
      </c>
      <c r="B22" s="67" t="s">
        <v>52</v>
      </c>
      <c r="C22" s="67">
        <v>36.1</v>
      </c>
      <c r="D22" s="67">
        <v>95.5</v>
      </c>
      <c r="E22" s="67"/>
      <c r="F22" s="67"/>
      <c r="G22" s="68" t="e">
        <f t="shared" si="0"/>
        <v>#DIV/0!</v>
      </c>
      <c r="H22" s="71" t="s">
        <v>51</v>
      </c>
      <c r="I22" s="69">
        <v>1</v>
      </c>
    </row>
    <row r="23" spans="1:9" x14ac:dyDescent="0.3">
      <c r="A23" s="35">
        <v>45939</v>
      </c>
      <c r="B23" s="67" t="s">
        <v>52</v>
      </c>
      <c r="C23" s="67">
        <v>39</v>
      </c>
      <c r="D23" s="67">
        <v>93.4</v>
      </c>
      <c r="E23" s="67">
        <v>44.8</v>
      </c>
      <c r="F23" s="67">
        <v>2.29</v>
      </c>
      <c r="G23" s="68">
        <f t="shared" si="0"/>
        <v>19.563318777292576</v>
      </c>
      <c r="H23" s="71" t="s">
        <v>51</v>
      </c>
      <c r="I23" s="69">
        <v>1</v>
      </c>
    </row>
    <row r="24" spans="1:9" x14ac:dyDescent="0.3">
      <c r="A24" s="35">
        <v>45953</v>
      </c>
      <c r="B24" s="67" t="s">
        <v>52</v>
      </c>
      <c r="C24" s="67">
        <v>39.5</v>
      </c>
      <c r="D24" s="67">
        <v>94.1</v>
      </c>
      <c r="E24" s="67"/>
      <c r="F24" s="67"/>
      <c r="G24" s="68"/>
      <c r="H24" s="71"/>
      <c r="I24" s="69"/>
    </row>
    <row r="25" spans="1:9" x14ac:dyDescent="0.3">
      <c r="A25" s="35">
        <v>45965</v>
      </c>
      <c r="B25" s="67" t="s">
        <v>52</v>
      </c>
      <c r="C25" s="67">
        <v>36</v>
      </c>
      <c r="D25" s="67">
        <v>94.3</v>
      </c>
      <c r="E25" s="67">
        <v>45.3</v>
      </c>
      <c r="F25" s="67">
        <v>2.46</v>
      </c>
      <c r="G25" s="68">
        <f>E25/F25</f>
        <v>18.414634146341463</v>
      </c>
      <c r="H25" s="71" t="s">
        <v>51</v>
      </c>
      <c r="I25" s="69">
        <v>1</v>
      </c>
    </row>
    <row r="26" spans="1:9" x14ac:dyDescent="0.3">
      <c r="A26" s="35">
        <v>45979</v>
      </c>
      <c r="B26" s="67" t="s">
        <v>52</v>
      </c>
      <c r="C26" s="67">
        <v>38.1</v>
      </c>
      <c r="D26" s="67">
        <v>95.6</v>
      </c>
      <c r="E26" s="67"/>
      <c r="F26" s="67"/>
      <c r="G26" s="68"/>
      <c r="H26" s="71"/>
      <c r="I26" s="69"/>
    </row>
    <row r="27" spans="1:9" x14ac:dyDescent="0.3">
      <c r="A27" s="35">
        <v>45986</v>
      </c>
      <c r="B27" s="67" t="s">
        <v>52</v>
      </c>
      <c r="C27" s="67">
        <v>37.200000000000003</v>
      </c>
      <c r="D27" s="67">
        <v>95.4</v>
      </c>
      <c r="E27" s="67"/>
      <c r="F27" s="67"/>
      <c r="G27" s="68"/>
      <c r="H27" s="71"/>
      <c r="I27" s="69"/>
    </row>
    <row r="28" spans="1:9" x14ac:dyDescent="0.3">
      <c r="A28" s="35">
        <v>45993</v>
      </c>
      <c r="B28" s="67" t="s">
        <v>52</v>
      </c>
      <c r="C28" s="67">
        <v>40.700000000000003</v>
      </c>
      <c r="D28" s="67">
        <v>92.5</v>
      </c>
      <c r="E28" s="67"/>
      <c r="F28" s="67"/>
      <c r="G28" s="68"/>
      <c r="H28" s="71"/>
      <c r="I28" s="69"/>
    </row>
    <row r="29" spans="1:9" ht="15" thickBot="1" x14ac:dyDescent="0.35">
      <c r="A29" s="109">
        <v>46007</v>
      </c>
      <c r="B29" s="67" t="s">
        <v>52</v>
      </c>
      <c r="C29" s="67">
        <v>41.2</v>
      </c>
      <c r="D29" s="67">
        <v>93.6</v>
      </c>
      <c r="E29" s="67">
        <v>44.5</v>
      </c>
      <c r="F29" s="67">
        <v>2.48</v>
      </c>
      <c r="G29" s="68">
        <v>17.899999999999999</v>
      </c>
      <c r="H29" s="71"/>
      <c r="I29" s="69"/>
    </row>
    <row r="30" spans="1:9" x14ac:dyDescent="0.3">
      <c r="A30" s="85">
        <v>46027</v>
      </c>
      <c r="B30" s="67" t="s">
        <v>52</v>
      </c>
      <c r="C30" s="67">
        <v>37.4</v>
      </c>
      <c r="D30" s="67">
        <v>95.5</v>
      </c>
      <c r="E30" s="67"/>
      <c r="F30" s="67"/>
      <c r="G30" s="68"/>
      <c r="H30" s="71"/>
      <c r="I30" s="69"/>
    </row>
    <row r="31" spans="1:9" x14ac:dyDescent="0.3">
      <c r="A31" s="35">
        <v>46041</v>
      </c>
      <c r="B31" s="67" t="s">
        <v>52</v>
      </c>
      <c r="C31" s="67">
        <v>41.3</v>
      </c>
      <c r="D31" s="67">
        <v>94</v>
      </c>
      <c r="E31" s="67">
        <v>46.2</v>
      </c>
      <c r="F31" s="67">
        <v>2.4300000000000002</v>
      </c>
      <c r="G31" s="68">
        <v>19</v>
      </c>
      <c r="H31" s="71" t="s">
        <v>51</v>
      </c>
      <c r="I31" s="69">
        <v>1</v>
      </c>
    </row>
    <row r="32" spans="1:9" x14ac:dyDescent="0.3">
      <c r="A32" s="35">
        <v>46048</v>
      </c>
      <c r="B32" s="67" t="s">
        <v>52</v>
      </c>
      <c r="C32" s="67">
        <v>37.6</v>
      </c>
      <c r="D32" s="67">
        <v>95.4</v>
      </c>
      <c r="E32" s="67"/>
      <c r="F32" s="67"/>
      <c r="G32" s="68"/>
      <c r="H32" s="71"/>
      <c r="I32" s="69"/>
    </row>
    <row r="33" spans="1:9" x14ac:dyDescent="0.3">
      <c r="A33" s="35">
        <v>46063</v>
      </c>
      <c r="B33" s="67" t="s">
        <v>52</v>
      </c>
      <c r="C33" s="67">
        <v>35.6</v>
      </c>
      <c r="D33" s="67">
        <v>95.4</v>
      </c>
      <c r="E33" s="67">
        <v>45.5</v>
      </c>
      <c r="F33" s="67">
        <v>1.87</v>
      </c>
      <c r="G33" s="68">
        <v>24.3</v>
      </c>
      <c r="H33" s="71" t="s">
        <v>51</v>
      </c>
      <c r="I33" s="69">
        <v>1</v>
      </c>
    </row>
    <row r="34" spans="1:9" x14ac:dyDescent="0.3">
      <c r="A34" s="35">
        <v>46076</v>
      </c>
      <c r="B34" s="67" t="s">
        <v>52</v>
      </c>
      <c r="C34" s="67">
        <v>38.200000000000003</v>
      </c>
      <c r="D34" s="67">
        <v>94.5</v>
      </c>
      <c r="E34" s="67"/>
      <c r="F34" s="67"/>
      <c r="G34" s="68"/>
      <c r="H34" s="71"/>
      <c r="I34" s="69"/>
    </row>
    <row r="35" spans="1:9" x14ac:dyDescent="0.3">
      <c r="A35" s="35">
        <v>46083</v>
      </c>
      <c r="B35" s="67" t="s">
        <v>52</v>
      </c>
      <c r="C35" s="68">
        <v>38</v>
      </c>
      <c r="D35" s="67">
        <v>94.9</v>
      </c>
      <c r="E35" s="67">
        <v>45.2</v>
      </c>
      <c r="F35" s="67">
        <v>2.72</v>
      </c>
      <c r="G35" s="68">
        <v>16.600000000000001</v>
      </c>
      <c r="H35" s="71" t="s">
        <v>51</v>
      </c>
      <c r="I35" s="69">
        <v>1</v>
      </c>
    </row>
    <row r="36" spans="1:9" x14ac:dyDescent="0.3">
      <c r="A36" s="35">
        <v>46097</v>
      </c>
      <c r="B36" s="67" t="s">
        <v>52</v>
      </c>
      <c r="C36" s="67">
        <v>37</v>
      </c>
      <c r="D36" s="67">
        <v>95.1</v>
      </c>
      <c r="E36" s="67"/>
      <c r="F36" s="67"/>
      <c r="G36" s="68"/>
      <c r="H36" s="71"/>
      <c r="I36" s="69"/>
    </row>
    <row r="37" spans="1:9" x14ac:dyDescent="0.3">
      <c r="A37" s="35">
        <v>46111</v>
      </c>
      <c r="B37" s="67" t="s">
        <v>52</v>
      </c>
      <c r="C37" s="67">
        <v>37.6</v>
      </c>
      <c r="D37" s="67">
        <v>93.3</v>
      </c>
      <c r="E37" s="67">
        <v>48.2</v>
      </c>
      <c r="F37" s="67">
        <v>2.82</v>
      </c>
      <c r="G37" s="68">
        <v>17.100000000000001</v>
      </c>
      <c r="H37" s="71" t="s">
        <v>51</v>
      </c>
      <c r="I37" s="69">
        <v>1</v>
      </c>
    </row>
    <row r="38" spans="1:9" x14ac:dyDescent="0.3">
      <c r="A38" s="35">
        <v>46118</v>
      </c>
      <c r="B38" s="67" t="s">
        <v>52</v>
      </c>
      <c r="C38" s="67">
        <v>39</v>
      </c>
      <c r="D38" s="67">
        <v>95.6</v>
      </c>
      <c r="E38" s="67"/>
      <c r="F38" s="67"/>
      <c r="G38" s="68"/>
      <c r="H38" s="71"/>
      <c r="I38" s="69"/>
    </row>
    <row r="39" spans="1:9" x14ac:dyDescent="0.3">
      <c r="A39" s="35">
        <v>46135</v>
      </c>
      <c r="B39" s="67" t="s">
        <v>52</v>
      </c>
      <c r="C39" s="67">
        <v>39.9</v>
      </c>
      <c r="D39" s="67">
        <v>93.5</v>
      </c>
      <c r="E39" s="67">
        <v>48.7</v>
      </c>
      <c r="F39" s="67">
        <v>2.75</v>
      </c>
      <c r="G39" s="68">
        <v>17.7</v>
      </c>
      <c r="H39" s="71" t="s">
        <v>51</v>
      </c>
      <c r="I39" s="69">
        <v>1</v>
      </c>
    </row>
    <row r="40" spans="1:9" x14ac:dyDescent="0.3">
      <c r="A40" s="66"/>
      <c r="B40" s="67"/>
      <c r="C40" s="67"/>
      <c r="D40" s="67"/>
      <c r="E40" s="67"/>
      <c r="F40" s="67"/>
      <c r="G40" s="68"/>
      <c r="H40" s="71"/>
      <c r="I40" s="69"/>
    </row>
    <row r="41" spans="1:9" x14ac:dyDescent="0.3">
      <c r="A41" s="66"/>
      <c r="B41" s="67"/>
      <c r="C41" s="67"/>
      <c r="D41" s="67"/>
      <c r="E41" s="67"/>
      <c r="F41" s="67"/>
      <c r="G41" s="68"/>
      <c r="H41" s="71"/>
      <c r="I41" s="69"/>
    </row>
    <row r="42" spans="1:9" x14ac:dyDescent="0.3">
      <c r="A42" s="66"/>
      <c r="B42" s="67"/>
      <c r="C42" s="67"/>
      <c r="D42" s="67"/>
      <c r="E42" s="67"/>
      <c r="F42" s="67"/>
      <c r="G42" s="68"/>
      <c r="H42" s="71"/>
      <c r="I42" s="69"/>
    </row>
    <row r="43" spans="1:9" x14ac:dyDescent="0.3">
      <c r="A43" s="66"/>
      <c r="B43" s="67"/>
      <c r="C43" s="67"/>
      <c r="D43" s="67"/>
      <c r="E43" s="67"/>
      <c r="F43" s="67"/>
      <c r="G43" s="68"/>
      <c r="H43" s="71"/>
      <c r="I43" s="69"/>
    </row>
    <row r="44" spans="1:9" x14ac:dyDescent="0.3">
      <c r="A44" s="66"/>
      <c r="B44" s="67"/>
      <c r="C44" s="67"/>
      <c r="D44" s="67"/>
      <c r="E44" s="67"/>
      <c r="F44" s="67"/>
      <c r="G44" s="68"/>
      <c r="H44" s="71"/>
      <c r="I44" s="69"/>
    </row>
    <row r="45" spans="1:9" x14ac:dyDescent="0.3">
      <c r="A45" s="66"/>
      <c r="B45" s="67"/>
      <c r="C45" s="67"/>
      <c r="D45" s="67"/>
      <c r="E45" s="67"/>
      <c r="F45" s="67"/>
      <c r="G45" s="68"/>
      <c r="H45" s="71"/>
      <c r="I45" s="69"/>
    </row>
    <row r="46" spans="1:9" x14ac:dyDescent="0.3">
      <c r="A46" s="66"/>
      <c r="B46" s="67"/>
      <c r="C46" s="67"/>
      <c r="D46" s="67"/>
      <c r="E46" s="67"/>
      <c r="F46" s="67"/>
      <c r="G46" s="68"/>
      <c r="H46" s="71"/>
      <c r="I46" s="69"/>
    </row>
    <row r="47" spans="1:9" x14ac:dyDescent="0.3">
      <c r="A47" s="66"/>
      <c r="B47" s="67"/>
      <c r="C47" s="67"/>
      <c r="D47" s="67"/>
      <c r="E47" s="67"/>
      <c r="F47" s="67"/>
      <c r="G47" s="68"/>
      <c r="H47" s="71"/>
      <c r="I47" s="69"/>
    </row>
    <row r="48" spans="1:9" x14ac:dyDescent="0.3">
      <c r="A48" s="66"/>
      <c r="B48" s="67"/>
      <c r="C48" s="67"/>
      <c r="D48" s="67"/>
      <c r="E48" s="67"/>
      <c r="F48" s="67"/>
      <c r="G48" s="68"/>
      <c r="H48" s="71"/>
      <c r="I48" s="69"/>
    </row>
    <row r="49" spans="1:9" x14ac:dyDescent="0.3">
      <c r="A49" s="66"/>
      <c r="B49" s="67"/>
      <c r="C49" s="67"/>
      <c r="D49" s="67"/>
      <c r="E49" s="67"/>
      <c r="F49" s="67"/>
      <c r="G49" s="68"/>
      <c r="H49" s="71"/>
      <c r="I49" s="69"/>
    </row>
    <row r="50" spans="1:9" x14ac:dyDescent="0.3">
      <c r="A50" s="66"/>
      <c r="B50" s="67"/>
      <c r="C50" s="67"/>
      <c r="D50" s="67"/>
      <c r="E50" s="67"/>
      <c r="F50" s="67"/>
      <c r="G50" s="68"/>
      <c r="H50" s="71"/>
      <c r="I50" s="69"/>
    </row>
    <row r="51" spans="1:9" x14ac:dyDescent="0.3">
      <c r="A51" s="66"/>
      <c r="B51" s="67"/>
      <c r="C51" s="67"/>
      <c r="D51" s="67"/>
      <c r="E51" s="67"/>
      <c r="F51" s="67"/>
      <c r="G51" s="68"/>
      <c r="H51" s="71"/>
      <c r="I51" s="69"/>
    </row>
    <row r="52" spans="1:9" x14ac:dyDescent="0.3">
      <c r="A52" s="66"/>
      <c r="B52" s="67"/>
      <c r="C52" s="67"/>
      <c r="D52" s="67"/>
      <c r="E52" s="67"/>
      <c r="F52" s="67"/>
      <c r="G52" s="68"/>
      <c r="H52" s="71"/>
      <c r="I52" s="69"/>
    </row>
    <row r="53" spans="1:9" x14ac:dyDescent="0.3">
      <c r="A53" s="66"/>
      <c r="B53" s="67"/>
      <c r="C53" s="67"/>
      <c r="D53" s="67"/>
      <c r="E53" s="67"/>
      <c r="F53" s="67"/>
      <c r="G53" s="68"/>
      <c r="H53" s="71"/>
      <c r="I53" s="69"/>
    </row>
    <row r="54" spans="1:9" x14ac:dyDescent="0.3">
      <c r="A54" s="66"/>
      <c r="B54" s="67"/>
      <c r="C54" s="67"/>
      <c r="D54" s="67"/>
      <c r="E54" s="67"/>
      <c r="F54" s="67"/>
      <c r="G54" s="68"/>
      <c r="H54" s="71"/>
      <c r="I54" s="69"/>
    </row>
    <row r="55" spans="1:9" x14ac:dyDescent="0.3">
      <c r="A55" s="66"/>
      <c r="B55" s="67"/>
      <c r="C55" s="67"/>
      <c r="D55" s="67"/>
      <c r="E55" s="67"/>
      <c r="F55" s="67"/>
      <c r="G55" s="68"/>
      <c r="H55" s="71"/>
      <c r="I55" s="69"/>
    </row>
    <row r="56" spans="1:9" x14ac:dyDescent="0.3">
      <c r="A56" s="66"/>
      <c r="B56" s="67"/>
      <c r="C56" s="67"/>
      <c r="D56" s="67"/>
      <c r="E56" s="67"/>
      <c r="F56" s="67"/>
      <c r="G56" s="68"/>
      <c r="H56" s="71"/>
      <c r="I56" s="69"/>
    </row>
    <row r="57" spans="1:9" x14ac:dyDescent="0.3">
      <c r="A57" s="66"/>
      <c r="B57" s="67"/>
      <c r="C57" s="67"/>
      <c r="D57" s="67"/>
      <c r="E57" s="67"/>
      <c r="F57" s="67"/>
      <c r="G57" s="68"/>
      <c r="H57" s="71"/>
      <c r="I57" s="69"/>
    </row>
    <row r="58" spans="1:9" x14ac:dyDescent="0.3">
      <c r="A58" s="66"/>
      <c r="B58" s="67"/>
      <c r="C58" s="67"/>
      <c r="D58" s="67"/>
      <c r="E58" s="67"/>
      <c r="F58" s="67"/>
      <c r="G58" s="68"/>
      <c r="H58" s="71"/>
      <c r="I58" s="69"/>
    </row>
    <row r="59" spans="1:9" x14ac:dyDescent="0.3">
      <c r="A59" s="66"/>
      <c r="B59" s="67"/>
      <c r="C59" s="67"/>
      <c r="D59" s="67"/>
      <c r="E59" s="67"/>
      <c r="F59" s="67"/>
      <c r="G59" s="68"/>
      <c r="H59" s="71"/>
      <c r="I59" s="69"/>
    </row>
    <row r="60" spans="1:9" x14ac:dyDescent="0.3">
      <c r="A60" s="66"/>
      <c r="B60" s="67"/>
      <c r="C60" s="67"/>
      <c r="D60" s="67"/>
      <c r="E60" s="67"/>
      <c r="F60" s="67"/>
      <c r="G60" s="68"/>
      <c r="H60" s="71"/>
      <c r="I60" s="69"/>
    </row>
    <row r="61" spans="1:9" x14ac:dyDescent="0.3">
      <c r="A61" s="66"/>
      <c r="B61" s="67"/>
      <c r="C61" s="67"/>
      <c r="D61" s="67"/>
      <c r="E61" s="67"/>
      <c r="F61" s="67"/>
      <c r="G61" s="68"/>
      <c r="H61" s="71"/>
      <c r="I61" s="69"/>
    </row>
    <row r="62" spans="1:9" x14ac:dyDescent="0.3">
      <c r="A62" s="66"/>
      <c r="B62" s="67"/>
      <c r="C62" s="67"/>
      <c r="D62" s="67"/>
      <c r="E62" s="67"/>
      <c r="F62" s="67"/>
      <c r="G62" s="68"/>
      <c r="H62" s="71"/>
      <c r="I62" s="69"/>
    </row>
    <row r="63" spans="1:9" x14ac:dyDescent="0.3">
      <c r="A63" s="66"/>
      <c r="B63" s="67"/>
      <c r="C63" s="67"/>
      <c r="D63" s="67"/>
      <c r="E63" s="67"/>
      <c r="F63" s="67"/>
      <c r="G63" s="68"/>
      <c r="H63" s="71"/>
      <c r="I63" s="69"/>
    </row>
    <row r="64" spans="1:9" x14ac:dyDescent="0.3">
      <c r="A64" s="66"/>
      <c r="B64" s="67"/>
      <c r="C64" s="67"/>
      <c r="D64" s="67"/>
      <c r="E64" s="67"/>
      <c r="F64" s="67"/>
      <c r="G64" s="68"/>
      <c r="H64" s="71"/>
      <c r="I64" s="69"/>
    </row>
    <row r="65" spans="1:9" x14ac:dyDescent="0.3">
      <c r="A65" s="66"/>
      <c r="B65" s="67"/>
      <c r="C65" s="67"/>
      <c r="D65" s="67"/>
      <c r="E65" s="67"/>
      <c r="F65" s="67"/>
      <c r="G65" s="68"/>
      <c r="H65" s="71"/>
      <c r="I65" s="69"/>
    </row>
    <row r="66" spans="1:9" x14ac:dyDescent="0.3">
      <c r="A66" s="66"/>
      <c r="B66" s="67"/>
      <c r="C66" s="67"/>
      <c r="D66" s="67"/>
      <c r="E66" s="67"/>
      <c r="F66" s="67"/>
      <c r="G66" s="68"/>
      <c r="H66" s="71"/>
      <c r="I66" s="69"/>
    </row>
    <row r="67" spans="1:9" x14ac:dyDescent="0.3">
      <c r="A67" s="66"/>
      <c r="B67" s="67"/>
      <c r="C67" s="67"/>
      <c r="D67" s="67"/>
      <c r="E67" s="67"/>
      <c r="F67" s="67"/>
      <c r="G67" s="68"/>
      <c r="H67" s="71"/>
      <c r="I67" s="69"/>
    </row>
    <row r="68" spans="1:9" x14ac:dyDescent="0.3">
      <c r="A68" s="66"/>
      <c r="B68" s="67"/>
      <c r="C68" s="67"/>
      <c r="D68" s="67"/>
      <c r="E68" s="67"/>
      <c r="F68" s="67"/>
      <c r="G68" s="68"/>
      <c r="H68" s="71"/>
      <c r="I68" s="69"/>
    </row>
    <row r="69" spans="1:9" x14ac:dyDescent="0.3">
      <c r="A69" s="66"/>
      <c r="B69" s="67"/>
      <c r="C69" s="67"/>
      <c r="D69" s="67"/>
      <c r="E69" s="67"/>
      <c r="F69" s="67"/>
      <c r="G69" s="68"/>
      <c r="H69" s="71"/>
      <c r="I69" s="69"/>
    </row>
    <row r="70" spans="1:9" x14ac:dyDescent="0.3">
      <c r="A70" s="66"/>
      <c r="B70" s="67"/>
      <c r="C70" s="67"/>
      <c r="D70" s="67"/>
      <c r="E70" s="67"/>
      <c r="F70" s="67"/>
      <c r="G70" s="68"/>
      <c r="H70" s="71"/>
      <c r="I70" s="69"/>
    </row>
    <row r="71" spans="1:9" x14ac:dyDescent="0.3">
      <c r="A71" s="66"/>
      <c r="B71" s="67"/>
      <c r="C71" s="67"/>
      <c r="D71" s="67"/>
      <c r="E71" s="67"/>
      <c r="F71" s="67"/>
      <c r="G71" s="68"/>
      <c r="H71" s="71"/>
      <c r="I71" s="69"/>
    </row>
    <row r="72" spans="1:9" x14ac:dyDescent="0.3">
      <c r="A72" s="66"/>
      <c r="B72" s="67"/>
      <c r="C72" s="67"/>
      <c r="D72" s="67"/>
      <c r="E72" s="67"/>
      <c r="F72" s="67"/>
      <c r="G72" s="68"/>
      <c r="H72" s="71"/>
      <c r="I72" s="69"/>
    </row>
    <row r="73" spans="1:9" x14ac:dyDescent="0.3">
      <c r="A73" s="66"/>
      <c r="B73" s="67"/>
      <c r="C73" s="67"/>
      <c r="D73" s="67"/>
      <c r="E73" s="67"/>
      <c r="F73" s="67"/>
      <c r="G73" s="68"/>
      <c r="H73" s="71"/>
      <c r="I73" s="69"/>
    </row>
    <row r="74" spans="1:9" x14ac:dyDescent="0.3">
      <c r="A74" s="66"/>
      <c r="B74" s="67"/>
      <c r="C74" s="67"/>
      <c r="D74" s="67"/>
      <c r="E74" s="67"/>
      <c r="F74" s="67"/>
      <c r="G74" s="68"/>
      <c r="H74" s="71"/>
      <c r="I74" s="69"/>
    </row>
    <row r="75" spans="1:9" x14ac:dyDescent="0.3">
      <c r="A75" s="66"/>
      <c r="B75" s="67"/>
      <c r="C75" s="67"/>
      <c r="D75" s="67"/>
      <c r="E75" s="67"/>
      <c r="F75" s="67"/>
      <c r="G75" s="68"/>
      <c r="H75" s="71"/>
      <c r="I75" s="69"/>
    </row>
    <row r="76" spans="1:9" x14ac:dyDescent="0.3">
      <c r="A76" s="66"/>
      <c r="B76" s="67"/>
      <c r="C76" s="67"/>
      <c r="D76" s="67"/>
      <c r="E76" s="67"/>
      <c r="F76" s="67"/>
      <c r="G76" s="68"/>
      <c r="H76" s="71"/>
      <c r="I76" s="69"/>
    </row>
    <row r="77" spans="1:9" x14ac:dyDescent="0.3">
      <c r="A77" s="66"/>
      <c r="B77" s="67"/>
      <c r="C77" s="67"/>
      <c r="D77" s="67"/>
      <c r="E77" s="67"/>
      <c r="F77" s="67"/>
      <c r="G77" s="68"/>
      <c r="H77" s="71"/>
      <c r="I77" s="69"/>
    </row>
    <row r="78" spans="1:9" x14ac:dyDescent="0.3">
      <c r="A78" s="66"/>
      <c r="B78" s="67"/>
      <c r="C78" s="67"/>
      <c r="D78" s="67"/>
      <c r="E78" s="67"/>
      <c r="F78" s="67"/>
      <c r="G78" s="68"/>
      <c r="H78" s="71"/>
      <c r="I78" s="69"/>
    </row>
    <row r="79" spans="1:9" x14ac:dyDescent="0.3">
      <c r="A79" s="66"/>
      <c r="B79" s="67"/>
      <c r="C79" s="67"/>
      <c r="D79" s="67"/>
      <c r="E79" s="67"/>
      <c r="F79" s="67"/>
      <c r="G79" s="68"/>
      <c r="H79" s="71"/>
      <c r="I79" s="69"/>
    </row>
    <row r="80" spans="1:9" x14ac:dyDescent="0.3">
      <c r="A80" s="66"/>
      <c r="B80" s="67"/>
      <c r="C80" s="67"/>
      <c r="D80" s="67"/>
      <c r="E80" s="67"/>
      <c r="F80" s="67"/>
      <c r="G80" s="68"/>
      <c r="H80" s="71"/>
      <c r="I80" s="69"/>
    </row>
    <row r="81" spans="1:9" x14ac:dyDescent="0.3">
      <c r="A81" s="66"/>
      <c r="B81" s="67"/>
      <c r="C81" s="67"/>
      <c r="D81" s="67"/>
      <c r="E81" s="67"/>
      <c r="F81" s="67"/>
      <c r="G81" s="68"/>
      <c r="H81" s="71"/>
      <c r="I81" s="69"/>
    </row>
    <row r="82" spans="1:9" x14ac:dyDescent="0.3">
      <c r="A82" s="66"/>
      <c r="B82" s="67"/>
      <c r="C82" s="67"/>
      <c r="D82" s="67"/>
      <c r="E82" s="67"/>
      <c r="F82" s="67"/>
      <c r="G82" s="68"/>
      <c r="H82" s="71"/>
      <c r="I82" s="69"/>
    </row>
    <row r="83" spans="1:9" x14ac:dyDescent="0.3">
      <c r="A83" s="66"/>
      <c r="B83" s="15"/>
      <c r="C83" s="67"/>
      <c r="D83" s="67"/>
      <c r="E83" s="67"/>
      <c r="F83" s="67"/>
      <c r="G83" s="68"/>
      <c r="H83" s="32"/>
      <c r="I83" s="69"/>
    </row>
    <row r="84" spans="1:9" x14ac:dyDescent="0.3">
      <c r="A84" s="66"/>
      <c r="B84" s="15"/>
      <c r="C84" s="67"/>
      <c r="D84" s="67"/>
      <c r="E84" s="67"/>
      <c r="F84" s="67"/>
      <c r="G84" s="68"/>
      <c r="H84" s="71"/>
      <c r="I84" s="69"/>
    </row>
    <row r="85" spans="1:9" x14ac:dyDescent="0.3">
      <c r="A85" s="66"/>
      <c r="B85" s="15"/>
      <c r="C85" s="67"/>
      <c r="D85" s="67"/>
      <c r="E85" s="67"/>
      <c r="F85" s="67"/>
      <c r="G85" s="68"/>
      <c r="H85" s="71"/>
      <c r="I85" s="69"/>
    </row>
    <row r="86" spans="1:9" x14ac:dyDescent="0.3">
      <c r="A86" s="66"/>
      <c r="B86" s="15"/>
      <c r="C86" s="67"/>
      <c r="D86" s="67"/>
      <c r="E86" s="67"/>
      <c r="F86" s="67"/>
      <c r="G86" s="68"/>
      <c r="H86" s="32"/>
      <c r="I86" s="69"/>
    </row>
    <row r="87" spans="1:9" x14ac:dyDescent="0.3">
      <c r="A87" s="66"/>
      <c r="B87" s="15"/>
      <c r="C87" s="67"/>
      <c r="D87" s="67"/>
      <c r="E87" s="67"/>
      <c r="F87" s="67"/>
      <c r="G87" s="68"/>
      <c r="H87" s="71"/>
      <c r="I87" s="69"/>
    </row>
    <row r="88" spans="1:9" x14ac:dyDescent="0.3">
      <c r="A88" s="66"/>
      <c r="B88" s="15"/>
      <c r="C88" s="67"/>
      <c r="D88" s="67"/>
      <c r="E88" s="67"/>
      <c r="F88" s="67"/>
      <c r="G88" s="68"/>
      <c r="H88" s="32"/>
      <c r="I88" s="69"/>
    </row>
    <row r="89" spans="1:9" x14ac:dyDescent="0.3">
      <c r="A89" s="66"/>
      <c r="B89" s="15"/>
      <c r="C89" s="67"/>
      <c r="D89" s="67"/>
      <c r="E89" s="67"/>
      <c r="F89" s="67"/>
      <c r="G89" s="68"/>
      <c r="H89" s="32"/>
      <c r="I89" s="69"/>
    </row>
    <row r="90" spans="1:9" x14ac:dyDescent="0.3">
      <c r="A90" s="66"/>
      <c r="B90" s="15"/>
      <c r="C90" s="67"/>
      <c r="D90" s="67"/>
      <c r="E90" s="67"/>
      <c r="F90" s="67"/>
      <c r="G90" s="68"/>
      <c r="H90" s="71"/>
      <c r="I90" s="69"/>
    </row>
    <row r="91" spans="1:9" x14ac:dyDescent="0.3">
      <c r="A91" s="66"/>
      <c r="B91" s="15"/>
      <c r="C91" s="67"/>
      <c r="D91" s="67"/>
      <c r="E91" s="67"/>
      <c r="F91" s="67"/>
      <c r="G91" s="68"/>
      <c r="H91" s="71"/>
      <c r="I91" s="69"/>
    </row>
    <row r="92" spans="1:9" x14ac:dyDescent="0.3">
      <c r="A92" s="66"/>
      <c r="B92" s="15"/>
      <c r="C92" s="67"/>
      <c r="D92" s="67"/>
      <c r="E92" s="67"/>
      <c r="F92" s="67"/>
      <c r="G92" s="68"/>
      <c r="H92" s="32"/>
      <c r="I92" s="69"/>
    </row>
    <row r="93" spans="1:9" x14ac:dyDescent="0.3">
      <c r="A93" s="66"/>
      <c r="B93" s="15"/>
      <c r="C93" s="67"/>
      <c r="D93" s="67"/>
      <c r="E93" s="67"/>
      <c r="F93" s="67"/>
      <c r="G93" s="68"/>
      <c r="H93" s="32"/>
      <c r="I93" s="69"/>
    </row>
    <row r="94" spans="1:9" x14ac:dyDescent="0.3">
      <c r="A94" s="66"/>
      <c r="B94" s="15"/>
      <c r="C94" s="67"/>
      <c r="D94" s="67"/>
      <c r="E94" s="67"/>
      <c r="F94" s="67"/>
      <c r="G94" s="68"/>
      <c r="H94" s="71"/>
      <c r="I94" s="69"/>
    </row>
    <row r="95" spans="1:9" x14ac:dyDescent="0.3">
      <c r="A95" s="66"/>
      <c r="B95" s="15"/>
      <c r="C95" s="67"/>
      <c r="D95" s="67"/>
      <c r="E95" s="67"/>
      <c r="F95" s="67"/>
      <c r="G95" s="68"/>
      <c r="H95" s="32"/>
      <c r="I95" s="69"/>
    </row>
    <row r="96" spans="1:9" x14ac:dyDescent="0.3">
      <c r="A96" s="66"/>
      <c r="B96" s="15"/>
      <c r="C96" s="67"/>
      <c r="D96" s="67"/>
      <c r="E96" s="67"/>
      <c r="F96" s="67"/>
      <c r="G96" s="68"/>
      <c r="H96" s="32"/>
      <c r="I96" s="69"/>
    </row>
    <row r="97" spans="1:9" x14ac:dyDescent="0.3">
      <c r="A97" s="66"/>
      <c r="B97" s="15"/>
      <c r="C97" s="67"/>
      <c r="D97" s="67"/>
      <c r="E97" s="67"/>
      <c r="F97" s="67"/>
      <c r="G97" s="68"/>
      <c r="H97" s="71"/>
      <c r="I97" s="69"/>
    </row>
    <row r="98" spans="1:9" x14ac:dyDescent="0.3">
      <c r="A98" s="35"/>
      <c r="B98" s="15"/>
      <c r="C98" s="67"/>
      <c r="D98" s="67"/>
      <c r="E98" s="67"/>
      <c r="F98" s="67"/>
      <c r="G98" s="68"/>
      <c r="H98" s="32"/>
      <c r="I98" s="69"/>
    </row>
    <row r="99" spans="1:9" x14ac:dyDescent="0.3">
      <c r="A99" s="66"/>
      <c r="B99" s="15"/>
      <c r="C99" s="67"/>
      <c r="D99" s="67"/>
      <c r="E99" s="67"/>
      <c r="F99" s="67"/>
      <c r="G99" s="68"/>
      <c r="H99" s="32"/>
      <c r="I99" s="69"/>
    </row>
    <row r="100" spans="1:9" x14ac:dyDescent="0.3">
      <c r="A100" s="66"/>
      <c r="B100" s="15"/>
      <c r="C100" s="67"/>
      <c r="D100" s="67"/>
      <c r="E100" s="67"/>
      <c r="F100" s="67"/>
      <c r="G100" s="68"/>
      <c r="H100" s="32"/>
      <c r="I100" s="69"/>
    </row>
    <row r="101" spans="1:9" x14ac:dyDescent="0.3">
      <c r="A101" s="66"/>
      <c r="B101" s="15"/>
      <c r="C101" s="67"/>
      <c r="D101" s="67"/>
      <c r="E101" s="67"/>
      <c r="F101" s="67"/>
      <c r="G101" s="68"/>
      <c r="H101" s="32"/>
      <c r="I101" s="69"/>
    </row>
    <row r="102" spans="1:9" x14ac:dyDescent="0.3">
      <c r="A102" s="66"/>
      <c r="B102" s="15"/>
      <c r="C102" s="67"/>
      <c r="D102" s="67"/>
      <c r="E102" s="67"/>
      <c r="F102" s="67"/>
      <c r="G102" s="68"/>
      <c r="H102" s="71"/>
      <c r="I102" s="69"/>
    </row>
    <row r="103" spans="1:9" x14ac:dyDescent="0.3">
      <c r="A103" s="66"/>
      <c r="B103" s="15"/>
      <c r="C103" s="67"/>
      <c r="D103" s="67"/>
      <c r="E103" s="67"/>
      <c r="F103" s="67"/>
      <c r="G103" s="68"/>
      <c r="H103" s="32"/>
      <c r="I103" s="69"/>
    </row>
    <row r="104" spans="1:9" x14ac:dyDescent="0.3">
      <c r="A104" s="66"/>
      <c r="B104" s="15"/>
      <c r="C104" s="67"/>
      <c r="D104" s="67"/>
      <c r="E104" s="67"/>
      <c r="F104" s="67"/>
      <c r="G104" s="68"/>
      <c r="H104" s="32"/>
      <c r="I104" s="69"/>
    </row>
    <row r="105" spans="1:9" x14ac:dyDescent="0.3">
      <c r="A105" s="66"/>
      <c r="B105" s="15"/>
      <c r="C105" s="67"/>
      <c r="D105" s="67"/>
      <c r="E105" s="67"/>
      <c r="F105" s="67"/>
      <c r="G105" s="68"/>
      <c r="H105" s="32"/>
      <c r="I105" s="69"/>
    </row>
    <row r="106" spans="1:9" x14ac:dyDescent="0.3">
      <c r="A106" s="66"/>
      <c r="B106" s="15"/>
      <c r="C106" s="67"/>
      <c r="D106" s="67"/>
      <c r="E106" s="67"/>
      <c r="F106" s="67"/>
      <c r="G106" s="68"/>
      <c r="H106" s="71"/>
      <c r="I106" s="69"/>
    </row>
    <row r="107" spans="1:9" x14ac:dyDescent="0.3">
      <c r="A107" s="66"/>
      <c r="B107" s="15"/>
      <c r="C107" s="67"/>
      <c r="D107" s="67"/>
      <c r="E107" s="67"/>
      <c r="F107" s="67"/>
      <c r="G107" s="68"/>
      <c r="H107" s="32"/>
      <c r="I107" s="69"/>
    </row>
    <row r="108" spans="1:9" x14ac:dyDescent="0.3">
      <c r="A108" s="66"/>
      <c r="B108" s="15"/>
      <c r="C108" s="67"/>
      <c r="D108" s="67"/>
      <c r="E108" s="67"/>
      <c r="F108" s="67"/>
      <c r="G108" s="68"/>
      <c r="H108" s="71"/>
      <c r="I108" s="69"/>
    </row>
    <row r="109" spans="1:9" x14ac:dyDescent="0.3">
      <c r="A109" s="66"/>
      <c r="B109" s="15"/>
      <c r="C109" s="67"/>
      <c r="D109" s="67"/>
      <c r="E109" s="67"/>
      <c r="F109" s="67"/>
      <c r="G109" s="68"/>
      <c r="H109" s="32"/>
      <c r="I109" s="69"/>
    </row>
    <row r="110" spans="1:9" x14ac:dyDescent="0.3">
      <c r="A110" s="66"/>
      <c r="B110" s="15"/>
      <c r="C110" s="67"/>
      <c r="D110" s="67"/>
      <c r="E110" s="67"/>
      <c r="F110" s="67"/>
      <c r="G110" s="68"/>
      <c r="H110" s="71"/>
      <c r="I110" s="69"/>
    </row>
    <row r="111" spans="1:9" x14ac:dyDescent="0.3">
      <c r="A111" s="66"/>
      <c r="B111" s="15"/>
      <c r="C111" s="67"/>
      <c r="D111" s="67"/>
      <c r="E111" s="67"/>
      <c r="F111" s="67"/>
      <c r="G111" s="68"/>
      <c r="H111" s="32"/>
      <c r="I111" s="69"/>
    </row>
    <row r="112" spans="1:9" x14ac:dyDescent="0.3">
      <c r="A112" s="66"/>
      <c r="B112" s="15"/>
      <c r="C112" s="67"/>
      <c r="D112" s="67"/>
      <c r="E112" s="67"/>
      <c r="F112" s="67"/>
      <c r="G112" s="68"/>
      <c r="H112" s="71"/>
      <c r="I112" s="69"/>
    </row>
    <row r="113" spans="1:9" x14ac:dyDescent="0.3">
      <c r="A113" s="66"/>
      <c r="B113" s="15"/>
      <c r="C113" s="67"/>
      <c r="D113" s="67"/>
      <c r="E113" s="67"/>
      <c r="F113" s="67"/>
      <c r="G113" s="68"/>
      <c r="H113" s="32"/>
      <c r="I113" s="69"/>
    </row>
    <row r="114" spans="1:9" x14ac:dyDescent="0.3">
      <c r="A114" s="66"/>
      <c r="B114" s="15"/>
      <c r="C114" s="67"/>
      <c r="D114" s="67"/>
      <c r="E114" s="67"/>
      <c r="F114" s="67"/>
      <c r="G114" s="68"/>
      <c r="H114" s="71"/>
      <c r="I114" s="69"/>
    </row>
    <row r="115" spans="1:9" x14ac:dyDescent="0.3">
      <c r="A115" s="66"/>
      <c r="B115" s="15"/>
      <c r="C115" s="67"/>
      <c r="D115" s="67"/>
      <c r="E115" s="67"/>
      <c r="F115" s="67"/>
      <c r="G115" s="68"/>
      <c r="H115" s="71"/>
      <c r="I115" s="69"/>
    </row>
    <row r="116" spans="1:9" x14ac:dyDescent="0.3">
      <c r="A116" s="66"/>
      <c r="B116" s="15"/>
      <c r="C116" s="67"/>
      <c r="D116" s="67"/>
      <c r="E116" s="67"/>
      <c r="F116" s="67"/>
      <c r="G116" s="68"/>
      <c r="H116" s="71"/>
      <c r="I116" s="69"/>
    </row>
    <row r="117" spans="1:9" x14ac:dyDescent="0.3">
      <c r="A117" s="66"/>
      <c r="B117" s="15"/>
      <c r="C117" s="67"/>
      <c r="D117" s="67"/>
      <c r="E117" s="67"/>
      <c r="F117" s="67"/>
      <c r="G117" s="68"/>
      <c r="H117" s="71"/>
      <c r="I117" s="69"/>
    </row>
    <row r="118" spans="1:9" x14ac:dyDescent="0.3">
      <c r="A118" s="66"/>
      <c r="B118" s="15"/>
      <c r="C118" s="67"/>
      <c r="D118" s="67"/>
      <c r="E118" s="67"/>
      <c r="F118" s="67"/>
      <c r="G118" s="68"/>
      <c r="H118" s="71"/>
      <c r="I118" s="69"/>
    </row>
    <row r="119" spans="1:9" x14ac:dyDescent="0.3">
      <c r="A119" s="66"/>
      <c r="B119" s="15"/>
      <c r="C119" s="67"/>
      <c r="D119" s="67"/>
      <c r="E119" s="67"/>
      <c r="F119" s="67"/>
      <c r="G119" s="68"/>
      <c r="H119" s="71"/>
      <c r="I119" s="69"/>
    </row>
    <row r="120" spans="1:9" x14ac:dyDescent="0.3">
      <c r="A120" s="66"/>
      <c r="B120" s="15"/>
      <c r="C120" s="67"/>
      <c r="D120" s="67"/>
      <c r="E120" s="67"/>
      <c r="F120" s="67"/>
      <c r="G120" s="68"/>
      <c r="H120" s="32"/>
      <c r="I120" s="69"/>
    </row>
    <row r="121" spans="1:9" x14ac:dyDescent="0.3">
      <c r="A121" s="66"/>
      <c r="B121" s="15"/>
      <c r="C121" s="67"/>
      <c r="D121" s="67"/>
      <c r="E121" s="67"/>
      <c r="F121" s="67"/>
      <c r="G121" s="68"/>
      <c r="H121" s="71"/>
      <c r="I121" s="69"/>
    </row>
    <row r="122" spans="1:9" x14ac:dyDescent="0.3">
      <c r="A122" s="66"/>
      <c r="B122" s="15"/>
      <c r="C122" s="67"/>
      <c r="D122" s="67"/>
      <c r="E122" s="67"/>
      <c r="F122" s="67"/>
      <c r="G122" s="68"/>
      <c r="H122" s="32"/>
      <c r="I122" s="69"/>
    </row>
    <row r="123" spans="1:9" x14ac:dyDescent="0.3">
      <c r="A123" s="66"/>
      <c r="B123" s="15"/>
      <c r="C123" s="67"/>
      <c r="D123" s="67"/>
      <c r="E123" s="67"/>
      <c r="F123" s="67"/>
      <c r="G123" s="68"/>
      <c r="H123" s="71"/>
      <c r="I123" s="69"/>
    </row>
    <row r="124" spans="1:9" x14ac:dyDescent="0.3">
      <c r="A124" s="66"/>
      <c r="B124" s="15"/>
      <c r="C124" s="67"/>
      <c r="D124" s="67"/>
      <c r="E124" s="67"/>
      <c r="F124" s="67"/>
      <c r="G124" s="68"/>
      <c r="H124" s="32"/>
      <c r="I124" s="69"/>
    </row>
    <row r="125" spans="1:9" x14ac:dyDescent="0.3">
      <c r="A125" s="66"/>
      <c r="B125" s="15"/>
      <c r="C125" s="67"/>
      <c r="D125" s="67"/>
      <c r="E125" s="67"/>
      <c r="F125" s="67"/>
      <c r="G125" s="68"/>
      <c r="H125" s="71"/>
      <c r="I125" s="69"/>
    </row>
    <row r="126" spans="1:9" x14ac:dyDescent="0.3">
      <c r="A126" s="66"/>
      <c r="B126" s="15"/>
      <c r="C126" s="67"/>
      <c r="D126" s="67"/>
      <c r="E126" s="67"/>
      <c r="F126" s="67"/>
      <c r="G126" s="68"/>
      <c r="H126" s="32"/>
      <c r="I126" s="69"/>
    </row>
    <row r="127" spans="1:9" x14ac:dyDescent="0.3">
      <c r="A127" s="66"/>
      <c r="B127" s="15"/>
      <c r="C127" s="67"/>
      <c r="D127" s="67"/>
      <c r="E127" s="67"/>
      <c r="F127" s="67"/>
      <c r="G127" s="68"/>
      <c r="H127" s="71"/>
      <c r="I127" s="69"/>
    </row>
    <row r="128" spans="1:9" x14ac:dyDescent="0.3">
      <c r="A128" s="66"/>
      <c r="B128" s="15"/>
      <c r="C128" s="67"/>
      <c r="D128" s="67"/>
      <c r="E128" s="67"/>
      <c r="F128" s="67"/>
      <c r="G128" s="68"/>
      <c r="H128" s="32"/>
      <c r="I128" s="69"/>
    </row>
    <row r="129" spans="1:9" x14ac:dyDescent="0.3">
      <c r="A129" s="66"/>
      <c r="B129" s="15"/>
      <c r="C129" s="67"/>
      <c r="D129" s="67"/>
      <c r="E129" s="67"/>
      <c r="F129" s="67"/>
      <c r="G129" s="68"/>
      <c r="H129" s="71"/>
      <c r="I129" s="69"/>
    </row>
    <row r="130" spans="1:9" x14ac:dyDescent="0.3">
      <c r="A130" s="66"/>
      <c r="B130" s="15"/>
      <c r="C130" s="67"/>
      <c r="D130" s="67"/>
      <c r="E130" s="15"/>
      <c r="F130" s="15"/>
      <c r="G130" s="68"/>
      <c r="H130" s="32"/>
      <c r="I130" s="69"/>
    </row>
    <row r="131" spans="1:9" x14ac:dyDescent="0.3">
      <c r="A131" s="66"/>
      <c r="B131" s="15"/>
      <c r="C131" s="67"/>
      <c r="D131" s="67"/>
      <c r="E131" s="67"/>
      <c r="F131" s="67"/>
      <c r="G131" s="68"/>
      <c r="H131" s="71"/>
      <c r="I131" s="69"/>
    </row>
    <row r="132" spans="1:9" x14ac:dyDescent="0.3">
      <c r="A132" s="66"/>
      <c r="B132" s="15"/>
      <c r="C132" s="67"/>
      <c r="D132" s="67"/>
      <c r="E132" s="15"/>
      <c r="F132" s="15"/>
      <c r="G132" s="68"/>
      <c r="H132" s="32"/>
      <c r="I132" s="69"/>
    </row>
    <row r="133" spans="1:9" x14ac:dyDescent="0.3">
      <c r="A133" s="66"/>
      <c r="B133" s="15"/>
      <c r="C133" s="67"/>
      <c r="D133" s="67"/>
      <c r="E133" s="67"/>
      <c r="F133" s="67"/>
      <c r="G133" s="68"/>
      <c r="H133" s="71"/>
      <c r="I133" s="69"/>
    </row>
    <row r="134" spans="1:9" x14ac:dyDescent="0.3">
      <c r="A134" s="66"/>
      <c r="B134" s="15"/>
      <c r="C134" s="67"/>
      <c r="D134" s="67"/>
      <c r="E134" s="15"/>
      <c r="F134" s="15"/>
      <c r="G134" s="68"/>
      <c r="H134" s="32"/>
      <c r="I134" s="69"/>
    </row>
    <row r="135" spans="1:9" x14ac:dyDescent="0.3">
      <c r="A135" s="66"/>
      <c r="B135" s="15"/>
      <c r="C135" s="67"/>
      <c r="D135" s="67"/>
      <c r="E135" s="67"/>
      <c r="F135" s="67"/>
      <c r="G135" s="68"/>
      <c r="H135" s="71"/>
      <c r="I135" s="69"/>
    </row>
    <row r="136" spans="1:9" x14ac:dyDescent="0.3">
      <c r="A136" s="66"/>
      <c r="B136" s="15"/>
      <c r="C136" s="67"/>
      <c r="D136" s="67"/>
      <c r="E136" s="15"/>
      <c r="F136" s="15"/>
      <c r="G136" s="68"/>
      <c r="H136" s="32"/>
      <c r="I136" s="69"/>
    </row>
    <row r="137" spans="1:9" x14ac:dyDescent="0.3">
      <c r="A137" s="66"/>
      <c r="B137" s="15"/>
      <c r="C137" s="15"/>
      <c r="D137" s="15"/>
      <c r="E137" s="15"/>
      <c r="F137" s="15"/>
      <c r="G137" s="68"/>
      <c r="H137" s="32"/>
      <c r="I137" s="69"/>
    </row>
    <row r="138" spans="1:9" x14ac:dyDescent="0.3">
      <c r="A138" s="66"/>
      <c r="B138" s="15"/>
      <c r="C138" s="15"/>
      <c r="D138" s="67"/>
      <c r="E138" s="15"/>
      <c r="F138" s="15"/>
      <c r="G138" s="68"/>
      <c r="H138" s="32"/>
      <c r="I138" s="69"/>
    </row>
    <row r="139" spans="1:9" x14ac:dyDescent="0.3">
      <c r="A139" s="66"/>
      <c r="B139" s="15"/>
      <c r="C139" s="67"/>
      <c r="D139" s="67"/>
      <c r="E139" s="15"/>
      <c r="F139" s="15"/>
      <c r="G139" s="68"/>
      <c r="H139" s="32"/>
      <c r="I139" s="69"/>
    </row>
    <row r="140" spans="1:9" x14ac:dyDescent="0.3">
      <c r="A140" s="66"/>
      <c r="B140" s="15"/>
      <c r="C140" s="67"/>
      <c r="D140" s="67"/>
      <c r="E140" s="67"/>
      <c r="F140" s="67"/>
      <c r="G140" s="68"/>
      <c r="H140" s="71"/>
      <c r="I140" s="69"/>
    </row>
    <row r="141" spans="1:9" x14ac:dyDescent="0.3">
      <c r="A141" s="66"/>
      <c r="B141" s="15"/>
      <c r="C141" s="67"/>
      <c r="D141" s="67"/>
      <c r="E141" s="67"/>
      <c r="F141" s="67"/>
      <c r="G141" s="68"/>
      <c r="H141" s="32"/>
      <c r="I141" s="69"/>
    </row>
    <row r="142" spans="1:9" x14ac:dyDescent="0.3">
      <c r="A142" s="35"/>
      <c r="B142" s="15"/>
      <c r="C142" s="67"/>
      <c r="D142" s="67"/>
      <c r="E142" s="15"/>
      <c r="F142" s="15"/>
      <c r="G142" s="68"/>
      <c r="H142" s="32"/>
      <c r="I142" s="69"/>
    </row>
    <row r="143" spans="1:9" x14ac:dyDescent="0.3">
      <c r="A143" s="66"/>
      <c r="B143" s="15"/>
      <c r="C143" s="67"/>
      <c r="D143" s="67"/>
      <c r="E143" s="15"/>
      <c r="F143" s="15"/>
      <c r="G143" s="68"/>
      <c r="H143" s="32"/>
      <c r="I143" s="69"/>
    </row>
    <row r="144" spans="1:9" x14ac:dyDescent="0.3">
      <c r="A144" s="66"/>
      <c r="B144" s="15"/>
      <c r="C144" s="67"/>
      <c r="D144" s="67"/>
      <c r="E144" s="67"/>
      <c r="F144" s="67"/>
      <c r="G144" s="68"/>
      <c r="H144" s="32"/>
      <c r="I144" s="69"/>
    </row>
    <row r="145" spans="1:9" x14ac:dyDescent="0.3">
      <c r="A145" s="66"/>
      <c r="B145" s="15"/>
      <c r="C145" s="15"/>
      <c r="D145" s="15"/>
      <c r="E145" s="67"/>
      <c r="F145" s="67"/>
      <c r="G145" s="68"/>
      <c r="H145" s="32"/>
      <c r="I145" s="69"/>
    </row>
    <row r="146" spans="1:9" x14ac:dyDescent="0.3">
      <c r="A146" s="66"/>
      <c r="B146" s="15"/>
      <c r="C146" s="67"/>
      <c r="D146" s="67"/>
      <c r="E146" s="67"/>
      <c r="F146" s="67"/>
      <c r="G146" s="68"/>
      <c r="H146" s="71"/>
      <c r="I146" s="69"/>
    </row>
    <row r="147" spans="1:9" x14ac:dyDescent="0.3">
      <c r="A147" s="66"/>
      <c r="B147" s="15"/>
      <c r="C147" s="67"/>
      <c r="D147" s="67"/>
      <c r="E147" s="15"/>
      <c r="F147" s="15"/>
      <c r="G147" s="68"/>
      <c r="H147" s="32"/>
      <c r="I147" s="69"/>
    </row>
    <row r="148" spans="1:9" x14ac:dyDescent="0.3">
      <c r="A148" s="66"/>
      <c r="B148" s="15"/>
      <c r="C148" s="67"/>
      <c r="D148" s="67"/>
      <c r="E148" s="67"/>
      <c r="F148" s="67"/>
      <c r="G148" s="68"/>
      <c r="H148" s="71"/>
      <c r="I148" s="69"/>
    </row>
    <row r="149" spans="1:9" x14ac:dyDescent="0.3">
      <c r="A149" s="66"/>
      <c r="B149" s="15"/>
      <c r="C149" s="67"/>
      <c r="D149" s="67"/>
      <c r="E149" s="67"/>
      <c r="F149" s="67"/>
      <c r="G149" s="68"/>
      <c r="H149" s="32"/>
      <c r="I149" s="69"/>
    </row>
    <row r="150" spans="1:9" x14ac:dyDescent="0.3">
      <c r="A150" s="66"/>
      <c r="B150" s="15"/>
      <c r="C150" s="67"/>
      <c r="D150" s="67"/>
      <c r="E150" s="67"/>
      <c r="F150" s="67"/>
      <c r="G150" s="68"/>
      <c r="H150" s="71"/>
      <c r="I150" s="69"/>
    </row>
    <row r="151" spans="1:9" x14ac:dyDescent="0.3">
      <c r="A151" s="66"/>
      <c r="B151" s="15"/>
      <c r="C151" s="67"/>
      <c r="D151" s="67"/>
      <c r="E151" s="67"/>
      <c r="F151" s="67"/>
      <c r="G151" s="68"/>
      <c r="H151" s="32"/>
      <c r="I151" s="69"/>
    </row>
    <row r="152" spans="1:9" x14ac:dyDescent="0.3">
      <c r="A152" s="66"/>
      <c r="B152" s="15"/>
      <c r="C152" s="67"/>
      <c r="D152" s="67"/>
      <c r="E152" s="15"/>
      <c r="F152" s="15"/>
      <c r="G152" s="68"/>
      <c r="H152" s="32"/>
      <c r="I152" s="69"/>
    </row>
    <row r="153" spans="1:9" x14ac:dyDescent="0.3">
      <c r="A153" s="66"/>
      <c r="B153" s="15"/>
      <c r="C153" s="67"/>
      <c r="D153" s="67"/>
      <c r="E153" s="15"/>
      <c r="F153" s="15"/>
      <c r="G153" s="68"/>
      <c r="H153" s="32"/>
      <c r="I153" s="69"/>
    </row>
    <row r="154" spans="1:9" x14ac:dyDescent="0.3">
      <c r="A154" s="66"/>
      <c r="B154" s="15"/>
      <c r="C154" s="67"/>
      <c r="D154" s="67"/>
      <c r="E154" s="15"/>
      <c r="F154" s="15"/>
      <c r="G154" s="68"/>
      <c r="H154" s="32"/>
      <c r="I154" s="69"/>
    </row>
    <row r="155" spans="1:9" x14ac:dyDescent="0.3">
      <c r="A155" s="66"/>
      <c r="B155" s="15"/>
      <c r="C155" s="67"/>
      <c r="D155" s="67"/>
      <c r="E155" s="15"/>
      <c r="F155" s="15"/>
      <c r="G155" s="68"/>
      <c r="H155" s="32"/>
      <c r="I155" s="69"/>
    </row>
    <row r="156" spans="1:9" x14ac:dyDescent="0.3">
      <c r="A156" s="66"/>
      <c r="B156" s="15"/>
      <c r="C156" s="15"/>
      <c r="D156" s="15"/>
      <c r="E156" s="67"/>
      <c r="F156" s="67"/>
      <c r="G156" s="68"/>
      <c r="H156" s="71"/>
      <c r="I156" s="69"/>
    </row>
    <row r="157" spans="1:9" x14ac:dyDescent="0.3">
      <c r="A157" s="66"/>
      <c r="B157" s="15"/>
      <c r="C157" s="67"/>
      <c r="D157" s="67"/>
      <c r="E157" s="67"/>
      <c r="F157" s="67"/>
      <c r="G157" s="68"/>
      <c r="H157" s="71"/>
      <c r="I157" s="69"/>
    </row>
    <row r="158" spans="1:9" x14ac:dyDescent="0.3">
      <c r="A158" s="66"/>
      <c r="B158" s="15"/>
      <c r="C158" s="67"/>
      <c r="D158" s="67"/>
      <c r="E158" s="67"/>
      <c r="F158" s="67"/>
      <c r="G158" s="68"/>
      <c r="H158" s="71"/>
      <c r="I158" s="69"/>
    </row>
    <row r="159" spans="1:9" x14ac:dyDescent="0.3">
      <c r="A159" s="66"/>
      <c r="B159" s="15"/>
      <c r="C159" s="67"/>
      <c r="D159" s="67"/>
      <c r="E159" s="67"/>
      <c r="F159" s="67"/>
      <c r="G159" s="68"/>
      <c r="H159" s="71"/>
      <c r="I159" s="69"/>
    </row>
    <row r="160" spans="1:9" x14ac:dyDescent="0.3">
      <c r="A160" s="66"/>
      <c r="B160" s="15"/>
      <c r="C160" s="67"/>
      <c r="D160" s="67"/>
      <c r="E160" s="67"/>
      <c r="F160" s="67"/>
      <c r="G160" s="68"/>
      <c r="H160" s="71"/>
      <c r="I160" s="69"/>
    </row>
    <row r="161" spans="1:9" x14ac:dyDescent="0.3">
      <c r="A161" s="66"/>
      <c r="B161" s="15"/>
      <c r="C161" s="67"/>
      <c r="D161" s="67"/>
      <c r="E161" s="67"/>
      <c r="F161" s="67"/>
      <c r="G161" s="68"/>
      <c r="H161" s="71"/>
      <c r="I161" s="69"/>
    </row>
    <row r="162" spans="1:9" x14ac:dyDescent="0.3">
      <c r="A162" s="66"/>
      <c r="B162" s="15"/>
      <c r="C162" s="67"/>
      <c r="D162" s="67"/>
      <c r="E162" s="67"/>
      <c r="F162" s="67"/>
      <c r="G162" s="68"/>
      <c r="H162" s="71"/>
      <c r="I162" s="69"/>
    </row>
    <row r="163" spans="1:9" x14ac:dyDescent="0.3">
      <c r="A163" s="66"/>
      <c r="B163" s="15"/>
      <c r="C163" s="67"/>
      <c r="D163" s="67"/>
      <c r="E163" s="67"/>
      <c r="F163" s="67"/>
      <c r="G163" s="68"/>
      <c r="H163" s="71"/>
      <c r="I163" s="69"/>
    </row>
    <row r="164" spans="1:9" x14ac:dyDescent="0.3">
      <c r="A164" s="66"/>
      <c r="B164" s="15"/>
      <c r="C164" s="67"/>
      <c r="D164" s="67"/>
      <c r="E164" s="67"/>
      <c r="F164" s="67"/>
      <c r="G164" s="68"/>
      <c r="H164" s="71"/>
      <c r="I164" s="69"/>
    </row>
    <row r="165" spans="1:9" x14ac:dyDescent="0.3">
      <c r="A165" s="66"/>
      <c r="B165" s="15"/>
      <c r="C165" s="67"/>
      <c r="D165" s="67"/>
      <c r="E165" s="67"/>
      <c r="F165" s="67"/>
      <c r="G165" s="68"/>
      <c r="H165" s="71"/>
      <c r="I165" s="69"/>
    </row>
    <row r="166" spans="1:9" x14ac:dyDescent="0.3">
      <c r="A166" s="66"/>
      <c r="B166" s="15"/>
      <c r="C166" s="67"/>
      <c r="D166" s="67"/>
      <c r="E166" s="67"/>
      <c r="F166" s="67"/>
      <c r="G166" s="68"/>
      <c r="H166" s="71"/>
      <c r="I166" s="69"/>
    </row>
    <row r="167" spans="1:9" x14ac:dyDescent="0.3">
      <c r="A167" s="66"/>
      <c r="B167" s="67"/>
      <c r="C167" s="67"/>
      <c r="D167" s="67"/>
      <c r="E167" s="67"/>
      <c r="F167" s="67"/>
      <c r="G167" s="68"/>
      <c r="H167" s="71"/>
      <c r="I167" s="69"/>
    </row>
    <row r="168" spans="1:9" x14ac:dyDescent="0.3">
      <c r="A168" s="66"/>
      <c r="B168" s="67"/>
      <c r="C168" s="67"/>
      <c r="D168" s="67"/>
      <c r="E168" s="67"/>
      <c r="F168" s="67"/>
      <c r="G168" s="68"/>
      <c r="H168" s="71"/>
      <c r="I168" s="69"/>
    </row>
    <row r="169" spans="1:9" x14ac:dyDescent="0.3">
      <c r="A169" s="66"/>
      <c r="B169" s="67"/>
      <c r="C169" s="67"/>
      <c r="D169" s="67"/>
      <c r="E169" s="67"/>
      <c r="F169" s="67"/>
      <c r="G169" s="68"/>
      <c r="H169" s="71"/>
      <c r="I169" s="69"/>
    </row>
    <row r="170" spans="1:9" x14ac:dyDescent="0.3">
      <c r="A170" s="66"/>
      <c r="B170" s="67"/>
      <c r="C170" s="67"/>
      <c r="D170" s="67"/>
      <c r="E170" s="67"/>
      <c r="F170" s="67"/>
      <c r="G170" s="68"/>
      <c r="H170" s="71"/>
      <c r="I170" s="69"/>
    </row>
    <row r="171" spans="1:9" x14ac:dyDescent="0.3">
      <c r="A171" s="66"/>
      <c r="B171" s="67"/>
      <c r="C171" s="67"/>
      <c r="D171" s="67"/>
      <c r="E171" s="67"/>
      <c r="F171" s="67"/>
      <c r="G171" s="68"/>
      <c r="H171" s="71"/>
      <c r="I171" s="69"/>
    </row>
    <row r="172" spans="1:9" x14ac:dyDescent="0.3">
      <c r="A172" s="66"/>
      <c r="B172" s="67"/>
      <c r="C172" s="67"/>
      <c r="D172" s="67"/>
      <c r="E172" s="67"/>
      <c r="F172" s="67"/>
      <c r="G172" s="68"/>
      <c r="H172" s="71"/>
      <c r="I172" s="69"/>
    </row>
    <row r="173" spans="1:9" x14ac:dyDescent="0.3">
      <c r="A173" s="66"/>
      <c r="B173" s="67"/>
      <c r="C173" s="67"/>
      <c r="D173" s="67"/>
      <c r="E173" s="67"/>
      <c r="F173" s="67"/>
      <c r="G173" s="68"/>
      <c r="H173" s="71"/>
      <c r="I173" s="69"/>
    </row>
    <row r="174" spans="1:9" x14ac:dyDescent="0.3">
      <c r="A174" s="66"/>
      <c r="B174" s="67"/>
      <c r="C174" s="67"/>
      <c r="D174" s="67"/>
      <c r="E174" s="67"/>
      <c r="F174" s="67"/>
      <c r="G174" s="68"/>
      <c r="H174" s="71"/>
      <c r="I174" s="69"/>
    </row>
    <row r="175" spans="1:9" x14ac:dyDescent="0.3">
      <c r="A175" s="66"/>
      <c r="B175" s="67"/>
      <c r="C175" s="67"/>
      <c r="D175" s="67"/>
      <c r="E175" s="67"/>
      <c r="F175" s="67"/>
      <c r="G175" s="68"/>
      <c r="H175" s="71"/>
      <c r="I175" s="69"/>
    </row>
    <row r="176" spans="1:9" x14ac:dyDescent="0.3">
      <c r="A176" s="66"/>
      <c r="B176" s="67"/>
      <c r="C176" s="67"/>
      <c r="D176" s="67"/>
      <c r="E176" s="67"/>
      <c r="F176" s="67"/>
      <c r="G176" s="68"/>
      <c r="H176" s="71"/>
      <c r="I176" s="69"/>
    </row>
    <row r="177" spans="1:9" x14ac:dyDescent="0.3">
      <c r="A177" s="66"/>
      <c r="B177" s="67"/>
      <c r="C177" s="67"/>
      <c r="D177" s="67"/>
      <c r="E177" s="67"/>
      <c r="F177" s="67"/>
      <c r="G177" s="68"/>
      <c r="H177" s="71"/>
      <c r="I177" s="69"/>
    </row>
    <row r="178" spans="1:9" x14ac:dyDescent="0.3">
      <c r="A178" s="66"/>
      <c r="B178" s="67"/>
      <c r="C178" s="67"/>
      <c r="D178" s="67"/>
      <c r="E178" s="67"/>
      <c r="F178" s="67"/>
      <c r="G178" s="68"/>
      <c r="H178" s="71"/>
      <c r="I178" s="69"/>
    </row>
    <row r="179" spans="1:9" x14ac:dyDescent="0.3">
      <c r="A179" s="66"/>
      <c r="B179" s="67"/>
      <c r="C179" s="67"/>
      <c r="D179" s="67"/>
      <c r="E179" s="67"/>
      <c r="F179" s="67"/>
      <c r="G179" s="68"/>
      <c r="H179" s="71"/>
      <c r="I179" s="69"/>
    </row>
    <row r="180" spans="1:9" x14ac:dyDescent="0.3">
      <c r="A180" s="66"/>
      <c r="B180" s="67"/>
      <c r="C180" s="67"/>
      <c r="D180" s="67"/>
      <c r="E180" s="67"/>
      <c r="F180" s="67"/>
      <c r="G180" s="68"/>
      <c r="H180" s="71"/>
      <c r="I180" s="69"/>
    </row>
    <row r="181" spans="1:9" x14ac:dyDescent="0.3">
      <c r="A181" s="66"/>
      <c r="B181" s="67"/>
      <c r="C181" s="67"/>
      <c r="D181" s="67"/>
      <c r="E181" s="67"/>
      <c r="F181" s="67"/>
      <c r="G181" s="68"/>
      <c r="H181" s="71"/>
      <c r="I181" s="69"/>
    </row>
    <row r="182" spans="1:9" x14ac:dyDescent="0.3">
      <c r="A182" s="66"/>
      <c r="B182" s="67"/>
      <c r="C182" s="67"/>
      <c r="D182" s="67"/>
      <c r="E182" s="67"/>
      <c r="F182" s="67"/>
      <c r="G182" s="68"/>
      <c r="H182" s="71"/>
      <c r="I182" s="69"/>
    </row>
    <row r="183" spans="1:9" x14ac:dyDescent="0.3">
      <c r="A183" s="66"/>
      <c r="B183" s="67"/>
      <c r="C183" s="67"/>
      <c r="D183" s="67"/>
      <c r="E183" s="67"/>
      <c r="F183" s="67"/>
      <c r="G183" s="68"/>
      <c r="H183" s="71"/>
      <c r="I183" s="69"/>
    </row>
    <row r="184" spans="1:9" x14ac:dyDescent="0.3">
      <c r="A184" s="66"/>
      <c r="B184" s="67"/>
      <c r="C184" s="67"/>
      <c r="D184" s="67"/>
      <c r="E184" s="67"/>
      <c r="F184" s="67"/>
      <c r="G184" s="68"/>
      <c r="H184" s="71"/>
      <c r="I184" s="69"/>
    </row>
    <row r="185" spans="1:9" x14ac:dyDescent="0.3">
      <c r="A185" s="66"/>
      <c r="B185" s="67"/>
      <c r="C185" s="67"/>
      <c r="D185" s="67"/>
      <c r="E185" s="67"/>
      <c r="F185" s="67"/>
      <c r="G185" s="68"/>
      <c r="H185" s="71"/>
      <c r="I185" s="69"/>
    </row>
    <row r="186" spans="1:9" x14ac:dyDescent="0.3">
      <c r="A186" s="66"/>
      <c r="B186" s="67"/>
      <c r="C186" s="67"/>
      <c r="D186" s="67"/>
      <c r="E186" s="67"/>
      <c r="F186" s="67"/>
      <c r="G186" s="68"/>
      <c r="H186" s="71"/>
      <c r="I186" s="69"/>
    </row>
    <row r="187" spans="1:9" x14ac:dyDescent="0.3">
      <c r="A187" s="66"/>
      <c r="B187" s="67"/>
      <c r="C187" s="67"/>
      <c r="D187" s="67"/>
      <c r="E187" s="67"/>
      <c r="F187" s="67"/>
      <c r="G187" s="68"/>
      <c r="H187" s="71"/>
      <c r="I187" s="69"/>
    </row>
    <row r="188" spans="1:9" x14ac:dyDescent="0.3">
      <c r="A188" s="66"/>
      <c r="B188" s="67"/>
      <c r="C188" s="67"/>
      <c r="D188" s="67"/>
      <c r="E188" s="67"/>
      <c r="F188" s="67"/>
      <c r="G188" s="68"/>
      <c r="H188" s="71"/>
      <c r="I188" s="69"/>
    </row>
    <row r="189" spans="1:9" x14ac:dyDescent="0.3">
      <c r="A189" s="66"/>
      <c r="B189" s="67"/>
      <c r="C189" s="67"/>
      <c r="D189" s="67"/>
      <c r="E189" s="67"/>
      <c r="F189" s="67"/>
      <c r="G189" s="68"/>
      <c r="H189" s="71"/>
      <c r="I189" s="69"/>
    </row>
    <row r="190" spans="1:9" x14ac:dyDescent="0.3">
      <c r="A190" s="66"/>
      <c r="B190" s="67"/>
      <c r="C190" s="15"/>
      <c r="D190" s="15"/>
      <c r="E190" s="67"/>
      <c r="F190" s="67"/>
      <c r="G190" s="68"/>
      <c r="H190" s="71"/>
      <c r="I190" s="69"/>
    </row>
    <row r="191" spans="1:9" x14ac:dyDescent="0.3">
      <c r="A191" s="66"/>
      <c r="B191" s="67"/>
      <c r="C191" s="67"/>
      <c r="D191" s="67"/>
      <c r="E191" s="67"/>
      <c r="F191" s="67"/>
      <c r="G191" s="68"/>
      <c r="H191" s="71"/>
      <c r="I191" s="69"/>
    </row>
    <row r="192" spans="1:9" x14ac:dyDescent="0.3">
      <c r="A192" s="66"/>
      <c r="B192" s="67"/>
      <c r="C192" s="67"/>
      <c r="D192" s="67"/>
      <c r="E192" s="67"/>
      <c r="F192" s="67"/>
      <c r="G192" s="68"/>
      <c r="H192" s="71"/>
      <c r="I192" s="69"/>
    </row>
    <row r="193" spans="1:9" x14ac:dyDescent="0.3">
      <c r="A193" s="66"/>
      <c r="B193" s="67"/>
      <c r="C193" s="67"/>
      <c r="D193" s="67"/>
      <c r="E193" s="67"/>
      <c r="F193" s="67"/>
      <c r="G193" s="68"/>
      <c r="H193" s="71"/>
      <c r="I193" s="69"/>
    </row>
    <row r="194" spans="1:9" x14ac:dyDescent="0.3">
      <c r="A194" s="66"/>
      <c r="B194" s="67"/>
      <c r="C194" s="67"/>
      <c r="D194" s="67"/>
      <c r="E194" s="67"/>
      <c r="F194" s="67"/>
      <c r="G194" s="68"/>
      <c r="H194" s="71"/>
      <c r="I194" s="69"/>
    </row>
    <row r="195" spans="1:9" x14ac:dyDescent="0.3">
      <c r="A195" s="66"/>
      <c r="B195" s="67"/>
      <c r="C195" s="67"/>
      <c r="D195" s="67"/>
      <c r="E195" s="67"/>
      <c r="F195" s="67"/>
      <c r="G195" s="68"/>
      <c r="H195" s="71"/>
      <c r="I195" s="69"/>
    </row>
    <row r="196" spans="1:9" x14ac:dyDescent="0.3">
      <c r="A196" s="66"/>
      <c r="B196" s="67"/>
      <c r="C196" s="67"/>
      <c r="D196" s="67"/>
      <c r="E196" s="67"/>
      <c r="F196" s="67"/>
      <c r="G196" s="68"/>
      <c r="H196" s="71"/>
      <c r="I196" s="69"/>
    </row>
    <row r="197" spans="1:9" x14ac:dyDescent="0.3">
      <c r="A197" s="66"/>
      <c r="B197" s="67"/>
      <c r="C197" s="67"/>
      <c r="D197" s="67"/>
      <c r="E197" s="67"/>
      <c r="F197" s="67"/>
      <c r="G197" s="68"/>
      <c r="H197" s="71"/>
      <c r="I197" s="69"/>
    </row>
    <row r="198" spans="1:9" x14ac:dyDescent="0.3">
      <c r="A198" s="66"/>
      <c r="B198" s="67"/>
      <c r="C198" s="67"/>
      <c r="D198" s="67"/>
      <c r="E198" s="67"/>
      <c r="F198" s="67"/>
      <c r="G198" s="68"/>
      <c r="H198" s="71"/>
      <c r="I198" s="69"/>
    </row>
    <row r="199" spans="1:9" x14ac:dyDescent="0.3">
      <c r="A199" s="66"/>
      <c r="B199" s="67"/>
      <c r="C199" s="67"/>
      <c r="D199" s="67"/>
      <c r="E199" s="67"/>
      <c r="F199" s="67"/>
      <c r="G199" s="68"/>
      <c r="H199" s="71"/>
      <c r="I199" s="69"/>
    </row>
    <row r="200" spans="1:9" x14ac:dyDescent="0.3">
      <c r="A200" s="66"/>
      <c r="B200" s="67"/>
      <c r="C200" s="67"/>
      <c r="D200" s="67"/>
      <c r="E200" s="67"/>
      <c r="F200" s="67"/>
      <c r="G200" s="68"/>
      <c r="H200" s="71"/>
      <c r="I200" s="69"/>
    </row>
    <row r="201" spans="1:9" x14ac:dyDescent="0.3">
      <c r="A201" s="66"/>
      <c r="B201" s="67"/>
      <c r="C201" s="67"/>
      <c r="D201" s="67"/>
      <c r="E201" s="67"/>
      <c r="F201" s="67"/>
      <c r="G201" s="68"/>
      <c r="H201" s="71"/>
      <c r="I201" s="69"/>
    </row>
    <row r="202" spans="1:9" x14ac:dyDescent="0.3">
      <c r="A202" s="66"/>
      <c r="B202" s="67"/>
      <c r="C202" s="67"/>
      <c r="D202" s="67"/>
      <c r="E202" s="67"/>
      <c r="F202" s="67"/>
      <c r="G202" s="68"/>
      <c r="H202" s="71"/>
      <c r="I202" s="69"/>
    </row>
    <row r="203" spans="1:9" x14ac:dyDescent="0.3">
      <c r="A203" s="66"/>
      <c r="B203" s="67"/>
      <c r="C203" s="67"/>
      <c r="D203" s="67"/>
      <c r="E203" s="67"/>
      <c r="F203" s="67"/>
      <c r="G203" s="68"/>
      <c r="H203" s="71"/>
      <c r="I203" s="69"/>
    </row>
    <row r="204" spans="1:9" x14ac:dyDescent="0.3">
      <c r="A204" s="66"/>
      <c r="B204" s="67"/>
      <c r="C204" s="67"/>
      <c r="D204" s="67"/>
      <c r="E204" s="67"/>
      <c r="F204" s="67"/>
      <c r="G204" s="68"/>
      <c r="H204" s="71"/>
      <c r="I204" s="69"/>
    </row>
    <row r="205" spans="1:9" x14ac:dyDescent="0.3">
      <c r="A205" s="66"/>
      <c r="B205" s="67"/>
      <c r="C205" s="67"/>
      <c r="D205" s="67"/>
      <c r="E205" s="67"/>
      <c r="F205" s="67"/>
      <c r="G205" s="68"/>
      <c r="H205" s="71"/>
      <c r="I205" s="69"/>
    </row>
    <row r="206" spans="1:9" x14ac:dyDescent="0.3">
      <c r="A206" s="66"/>
      <c r="B206" s="67"/>
      <c r="C206" s="67"/>
      <c r="D206" s="67"/>
      <c r="E206" s="67"/>
      <c r="F206" s="67"/>
      <c r="G206" s="68"/>
      <c r="H206" s="71"/>
      <c r="I206" s="69"/>
    </row>
    <row r="207" spans="1:9" ht="6" customHeight="1" x14ac:dyDescent="0.3">
      <c r="A207" s="113"/>
      <c r="B207" s="67"/>
      <c r="C207" s="114"/>
      <c r="D207" s="114"/>
      <c r="E207" s="114"/>
      <c r="F207" s="114"/>
      <c r="G207" s="115"/>
      <c r="H207" s="116"/>
      <c r="I207" s="117"/>
    </row>
    <row r="208" spans="1:9" x14ac:dyDescent="0.3">
      <c r="A208"/>
      <c r="B208"/>
      <c r="C208"/>
      <c r="D208"/>
      <c r="E208"/>
      <c r="F208"/>
      <c r="G208" s="51"/>
      <c r="H208"/>
      <c r="I208"/>
    </row>
    <row r="226" ht="13.5" customHeight="1" x14ac:dyDescent="0.3"/>
  </sheetData>
  <mergeCells count="1">
    <mergeCell ref="G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E8227-6BC8-45E1-B380-7CD7E6840AFA}">
  <dimension ref="A1:G10"/>
  <sheetViews>
    <sheetView zoomScaleNormal="100" workbookViewId="0">
      <selection activeCell="B27" sqref="B27"/>
    </sheetView>
  </sheetViews>
  <sheetFormatPr defaultRowHeight="14.4" x14ac:dyDescent="0.3"/>
  <cols>
    <col min="1" max="1" width="16.5546875" style="84" customWidth="1"/>
    <col min="2" max="2" width="25.88671875" customWidth="1"/>
  </cols>
  <sheetData>
    <row r="1" spans="1:7" x14ac:dyDescent="0.3">
      <c r="A1" s="32" t="s">
        <v>53</v>
      </c>
      <c r="B1" s="5" t="s">
        <v>54</v>
      </c>
      <c r="C1" s="80" t="s">
        <v>13</v>
      </c>
      <c r="D1" s="80" t="s">
        <v>14</v>
      </c>
      <c r="E1" s="81" t="s">
        <v>48</v>
      </c>
      <c r="F1" s="81" t="s">
        <v>55</v>
      </c>
      <c r="G1" s="81" t="s">
        <v>56</v>
      </c>
    </row>
    <row r="2" spans="1:7" x14ac:dyDescent="0.3">
      <c r="A2" s="112" t="s">
        <v>57</v>
      </c>
      <c r="B2" s="82"/>
      <c r="C2" s="82" t="s">
        <v>33</v>
      </c>
      <c r="D2" s="82" t="s">
        <v>33</v>
      </c>
      <c r="E2" s="82" t="s">
        <v>36</v>
      </c>
      <c r="F2" s="82" t="s">
        <v>35</v>
      </c>
      <c r="G2" s="82" t="s">
        <v>35</v>
      </c>
    </row>
    <row r="3" spans="1:7" x14ac:dyDescent="0.3">
      <c r="A3" s="83">
        <v>45666</v>
      </c>
      <c r="B3" s="111" t="s">
        <v>58</v>
      </c>
      <c r="C3" s="15">
        <v>27.7</v>
      </c>
      <c r="D3" s="15">
        <v>96.5</v>
      </c>
      <c r="E3" s="15">
        <v>1.99</v>
      </c>
      <c r="F3" s="15">
        <v>4621</v>
      </c>
      <c r="G3" s="15">
        <v>20033</v>
      </c>
    </row>
    <row r="4" spans="1:7" x14ac:dyDescent="0.3">
      <c r="A4" s="83">
        <v>45666</v>
      </c>
      <c r="B4" s="111" t="s">
        <v>59</v>
      </c>
      <c r="C4" s="15">
        <v>87</v>
      </c>
      <c r="D4" s="15">
        <v>91.8</v>
      </c>
      <c r="E4" s="15">
        <v>1.27</v>
      </c>
      <c r="F4" s="15">
        <v>5070</v>
      </c>
      <c r="G4" s="15">
        <v>24382</v>
      </c>
    </row>
    <row r="5" spans="1:7" x14ac:dyDescent="0.3">
      <c r="A5" s="83">
        <v>45791</v>
      </c>
      <c r="B5" s="111" t="s">
        <v>58</v>
      </c>
      <c r="C5" s="15">
        <v>29.2</v>
      </c>
      <c r="D5" s="15">
        <v>93.1</v>
      </c>
      <c r="E5" s="15"/>
      <c r="F5" s="15"/>
      <c r="G5" s="15"/>
    </row>
    <row r="6" spans="1:7" x14ac:dyDescent="0.3">
      <c r="A6" s="83">
        <v>45791</v>
      </c>
      <c r="B6" s="111" t="s">
        <v>59</v>
      </c>
      <c r="C6" s="15">
        <v>88.1</v>
      </c>
      <c r="D6" s="15">
        <v>92.3</v>
      </c>
      <c r="E6" s="15"/>
      <c r="F6" s="15"/>
      <c r="G6" s="15"/>
    </row>
    <row r="7" spans="1:7" x14ac:dyDescent="0.3">
      <c r="A7" s="83">
        <v>45922</v>
      </c>
      <c r="B7" s="15" t="s">
        <v>58</v>
      </c>
      <c r="C7" s="15">
        <v>21.5</v>
      </c>
      <c r="D7" s="15">
        <v>90.6</v>
      </c>
      <c r="E7" s="15"/>
      <c r="F7" s="15"/>
      <c r="G7" s="15"/>
    </row>
    <row r="8" spans="1:7" x14ac:dyDescent="0.3">
      <c r="A8" s="83">
        <v>45922</v>
      </c>
      <c r="B8" s="15" t="s">
        <v>60</v>
      </c>
      <c r="C8" s="15">
        <v>7.9</v>
      </c>
      <c r="D8" s="15">
        <v>65</v>
      </c>
      <c r="E8" s="15"/>
      <c r="F8" s="15"/>
      <c r="G8" s="15"/>
    </row>
    <row r="9" spans="1:7" x14ac:dyDescent="0.3">
      <c r="A9" s="83">
        <v>45922</v>
      </c>
      <c r="B9" s="15" t="s">
        <v>61</v>
      </c>
      <c r="C9" s="15">
        <v>7.9</v>
      </c>
      <c r="D9" s="15">
        <v>65.2</v>
      </c>
      <c r="E9" s="15"/>
      <c r="F9" s="15"/>
      <c r="G9" s="15"/>
    </row>
    <row r="10" spans="1:7" ht="3" customHeight="1" x14ac:dyDescent="0.3">
      <c r="A10" s="83"/>
      <c r="B10" s="15"/>
      <c r="C10" s="15"/>
      <c r="D10" s="15"/>
      <c r="E10" s="15"/>
      <c r="F10" s="15"/>
      <c r="G10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D03DC62798FD7C43A420D691A82D8B4E" ma:contentTypeVersion="786" ma:contentTypeDescription="Permitting &amp; Compliance Word Document" ma:contentTypeScope="" ma:versionID="1e673f20d9cde49156e0d50a79fcdd3f">
  <xsd:schema xmlns:xsd="http://www.w3.org/2001/XMLSchema" xmlns:xs="http://www.w3.org/2001/XMLSchema" xmlns:p="http://schemas.microsoft.com/office/2006/metadata/properties" xmlns:ns2="859f7ad6-93f6-4205-b62b-a17f28acbbac" xmlns:ns4="0a3f541d-ab69-4573-98e7-35881639f867" xmlns:ns5="9be56660-2c31-41ef-bc00-23e72f632f2a" targetNamespace="http://schemas.microsoft.com/office/2006/metadata/properties" ma:root="true" ma:fieldsID="2cd212851645c046f44ec5cddfbb6487" ns2:_="" ns4:_="" ns5:_="">
    <xsd:import namespace="859f7ad6-93f6-4205-b62b-a17f28acbbac"/>
    <xsd:import namespace="0a3f541d-ab69-4573-98e7-35881639f86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AutoKeyPoints" minOccurs="0"/>
                <xsd:element ref="ns4:MediaServiceKeyPoints" minOccurs="0"/>
                <xsd:element ref="ns4:MediaServiceFastMetadata" minOccurs="0"/>
                <xsd:element ref="ns5:_dlc_DocId" minOccurs="0"/>
                <xsd:element ref="ns5:_dlc_DocIdUrl" minOccurs="0"/>
                <xsd:element ref="ns5:_dlc_DocIdPersistId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DateTaken" minOccurs="0"/>
                <xsd:element ref="ns4:MediaServiceSearchProperties" minOccurs="0"/>
                <xsd:element ref="ns4:MediaServiceLocation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7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3f541d-ab69-4573-98e7-35881639f8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AutoKeyPoints" ma:index="2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1" nillable="true" ma:displayName="Tags" ma:internalName="MediaServiceAutoTags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36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3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3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4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Warren Farm A.D. Plant</Site_x0020_Name>
    <Internal_x002f_External xmlns="859f7ad6-93f6-4205-b62b-a17f28acbbac">Incoming document</Internal_x002f_External>
    <Post_x0020_code xmlns="859f7ad6-93f6-4205-b62b-a17f28acbbac">LD7 1PE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Compliance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2026-05-04T23:00:00+00:00</Document_x0020_Date>
    <Facility_x0020_Address xmlns="859f7ad6-93f6-4205-b62b-a17f28acbbac">Warren, Rhos-Y-Meirch, Knighton</Facility_x0020_Address>
    <lcf76f155ced4ddcb4097134ff3c332f xmlns="0a3f541d-ab69-4573-98e7-35881639f867">
      <Terms xmlns="http://schemas.microsoft.com/office/infopath/2007/PartnerControls"/>
    </lcf76f155ced4ddcb4097134ff3c332f>
    <Environment_x0020_Sub_x0020_Folder xmlns="859f7ad6-93f6-4205-b62b-a17f28acbbac">Licence supervision</Environment_x0020_Sub_x0020_Folder>
    <Customer_x0020_Name xmlns="859f7ad6-93f6-4205-b62b-a17f28acbbac">Edith Patricia Parry Ltd</Customer_x0020_Name>
    <Surrendered_x002f_Expired_x0020_Date xmlns="859f7ad6-93f6-4205-b62b-a17f28acbbac" xsi:nil="true"/>
    <_dlc_DocId xmlns="9be56660-2c31-41ef-bc00-23e72f632f2a">REGU-195-6595999</_dlc_DocId>
    <_dlc_DocIdUrl xmlns="9be56660-2c31-41ef-bc00-23e72f632f2a">
      <Url>https://cyfoethnaturiolcymru.sharepoint.com/teams/Regulatory/Permitting/_layouts/15/DocIdRedir.aspx?ID=REGU-195-6595999</Url>
      <Description>REGU-195-6595999</Description>
    </_dlc_DocIdUrl>
  </documentManagement>
</p:properties>
</file>

<file path=customXml/itemProps1.xml><?xml version="1.0" encoding="utf-8"?>
<ds:datastoreItem xmlns:ds="http://schemas.openxmlformats.org/officeDocument/2006/customXml" ds:itemID="{C6CFDD7A-2690-4103-88E3-45A9385059EF}"/>
</file>

<file path=customXml/itemProps2.xml><?xml version="1.0" encoding="utf-8"?>
<ds:datastoreItem xmlns:ds="http://schemas.openxmlformats.org/officeDocument/2006/customXml" ds:itemID="{0050ACA4-C463-49C2-8BB4-822BDD908CBF}"/>
</file>

<file path=customXml/itemProps3.xml><?xml version="1.0" encoding="utf-8"?>
<ds:datastoreItem xmlns:ds="http://schemas.openxmlformats.org/officeDocument/2006/customXml" ds:itemID="{6C8C1B4A-4AFE-498D-9FAE-01DFA551616A}"/>
</file>

<file path=customXml/itemProps4.xml><?xml version="1.0" encoding="utf-8"?>
<ds:datastoreItem xmlns:ds="http://schemas.openxmlformats.org/officeDocument/2006/customXml" ds:itemID="{2C024CAF-6756-449A-BE4C-1D447AA59CA3}"/>
</file>

<file path=customXml/itemProps5.xml><?xml version="1.0" encoding="utf-8"?>
<ds:datastoreItem xmlns:ds="http://schemas.openxmlformats.org/officeDocument/2006/customXml" ds:itemID="{69DAA033-A80E-4DDB-9AC3-F593BB0852E4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Sheet SP2</vt:lpstr>
      <vt:lpstr>Data Sheet DD</vt:lpstr>
      <vt:lpstr>TM Mix</vt:lpstr>
      <vt:lpstr>Digestate &amp; Fibre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Process stability monitoring</dc:title>
  <dc:creator>Lucy</dc:creator>
  <cp:lastModifiedBy>Lucy</cp:lastModifiedBy>
  <dcterms:created xsi:type="dcterms:W3CDTF">2026-04-25T10:32:26Z</dcterms:created>
  <dcterms:modified xsi:type="dcterms:W3CDTF">2026-05-04T08:23:44Z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0x01010067EB80C5FE939D4A9B3D8BA62129B7F5010200D03DC62798FD7C43A420D691A82D8B4E</vt:lpwstr>
  </property>
  <property fmtid="{D5CDD505-2E9C-101B-9397-08002B2CF9AE}" pid="3" name="_dlc_DocIdItemGuid">
    <vt:lpwstr>d18e26ef-f8c4-4b2f-abd5-e62d908f2085</vt:lpwstr>
  </property>
  <property fmtid="{D5CDD505-2E9C-101B-9397-08002B2CF9AE}" pid="4" name="MediaServiceImageTags">
    <vt:lpwstr/>
  </property>
</Properties>
</file>